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9600" windowHeight="11955"/>
  </bookViews>
  <sheets>
    <sheet name="General Settings" sheetId="6" r:id="rId1"/>
    <sheet name="BtpCurve" sheetId="4" r:id="rId2"/>
    <sheet name="Bond Analysis" sheetId="8" r:id="rId3"/>
    <sheet name="Contribution" sheetId="7" r:id="rId4"/>
    <sheet name="CCT" sheetId="9" r:id="rId5"/>
  </sheets>
  <definedNames>
    <definedName name="AssetSwapPricingEngine">BtpCurve!#REF!</definedName>
    <definedName name="AswIndex">'General Settings'!$B$9</definedName>
    <definedName name="BondPricingEngine">BtpCurve!$L$1</definedName>
    <definedName name="BondSettlementDate">'General Settings'!$B$4</definedName>
    <definedName name="BtpCurve">'General Settings'!$B$21</definedName>
    <definedName name="Descriptions">BtpCurve!$B$2:$B$48</definedName>
    <definedName name="DiscountingCurve">'General Settings'!$B$14</definedName>
    <definedName name="ExcludeMarchSeptember">'General Settings'!$B$19</definedName>
    <definedName name="IgnoreResiduePremium">'General Settings'!$B$20</definedName>
    <definedName name="ParAsw">'General Settings'!$B$10</definedName>
    <definedName name="PriceSelector">'Bond Analysis'!$AI$1</definedName>
    <definedName name="PriceTrigger">'General Settings'!$B$23</definedName>
    <definedName name="ReferenceBond">'General Settings'!$B$12</definedName>
    <definedName name="ReferenceBondAccruedAmount">'Bond Analysis'!$F$1</definedName>
    <definedName name="ReferenceBondDescription">'Bond Analysis'!$A$2</definedName>
    <definedName name="ReferenceBondISIN">'Bond Analysis'!$A$1</definedName>
    <definedName name="ReferenceBondPrice">'Bond Analysis'!$B$2</definedName>
    <definedName name="ReferenceBondPrincipaPremium">'Bond Analysis'!$C$2</definedName>
    <definedName name="Trigger">'General Settings'!$B$1</definedName>
    <definedName name="YieldCompounding">'General Settings'!$B$6</definedName>
    <definedName name="YieldCurveInterpolation">'General Settings'!$B$17</definedName>
    <definedName name="YieldCurveTraits">'General Settings'!$B$16</definedName>
    <definedName name="YieldDayCounter">'General Settings'!$B$5</definedName>
    <definedName name="YieldFrequency">'General Settings'!$B$7</definedName>
  </definedNames>
  <calcPr calcId="145621"/>
</workbook>
</file>

<file path=xl/calcChain.xml><?xml version="1.0" encoding="utf-8"?>
<calcChain xmlns="http://schemas.openxmlformats.org/spreadsheetml/2006/main">
  <c r="D60" i="4" l="1"/>
  <c r="D61" i="4"/>
  <c r="E64" i="4"/>
  <c r="F64" i="4"/>
  <c r="E65" i="4"/>
  <c r="F65" i="4"/>
  <c r="E66" i="4"/>
  <c r="F66" i="4"/>
  <c r="E67" i="4"/>
  <c r="D62" i="4"/>
  <c r="V5" i="7" l="1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4" i="7"/>
  <c r="S49" i="4" l="1"/>
  <c r="T49" i="4"/>
  <c r="S50" i="4"/>
  <c r="T50" i="4"/>
  <c r="Q80" i="7"/>
  <c r="P107" i="7"/>
  <c r="O58" i="7"/>
  <c r="Q108" i="7"/>
  <c r="O20" i="7"/>
  <c r="P14" i="7"/>
  <c r="P60" i="7"/>
  <c r="O18" i="4"/>
  <c r="O42" i="4"/>
  <c r="P118" i="7"/>
  <c r="Q46" i="7"/>
  <c r="O34" i="7"/>
  <c r="P99" i="7"/>
  <c r="Q73" i="7"/>
  <c r="O68" i="7"/>
  <c r="Q39" i="7"/>
  <c r="O128" i="7"/>
  <c r="O114" i="7"/>
  <c r="C2" i="4" a="1"/>
  <c r="Q106" i="7"/>
  <c r="Q147" i="7"/>
  <c r="P149" i="7"/>
  <c r="O139" i="7"/>
  <c r="P72" i="7"/>
  <c r="O101" i="7"/>
  <c r="O74" i="7"/>
  <c r="O30" i="7"/>
  <c r="B2" i="6"/>
  <c r="Q82" i="7"/>
  <c r="O55" i="7"/>
  <c r="Q87" i="7"/>
  <c r="O11" i="7"/>
  <c r="P114" i="7"/>
  <c r="Q58" i="7"/>
  <c r="Q143" i="7"/>
  <c r="Q94" i="7"/>
  <c r="Q6" i="7"/>
  <c r="O75" i="7"/>
  <c r="Q101" i="7"/>
  <c r="P84" i="7"/>
  <c r="P36" i="7"/>
  <c r="Q98" i="7"/>
  <c r="P82" i="7"/>
  <c r="O31" i="7"/>
  <c r="Q116" i="7"/>
  <c r="Q99" i="7"/>
  <c r="O38" i="7"/>
  <c r="P127" i="7"/>
  <c r="P22" i="7"/>
  <c r="O103" i="7"/>
  <c r="Q100" i="7"/>
  <c r="P128" i="7"/>
  <c r="Q24" i="7"/>
  <c r="O61" i="7"/>
  <c r="P129" i="7"/>
  <c r="P66" i="7"/>
  <c r="O43" i="4"/>
  <c r="O102" i="7"/>
  <c r="P87" i="7"/>
  <c r="P46" i="7"/>
  <c r="Q149" i="7"/>
  <c r="O89" i="7"/>
  <c r="O69" i="7"/>
  <c r="Q93" i="7"/>
  <c r="O57" i="7"/>
  <c r="Q37" i="7"/>
  <c r="Q77" i="7"/>
  <c r="O21" i="7"/>
  <c r="Q124" i="7"/>
  <c r="P11" i="7"/>
  <c r="P5" i="7"/>
  <c r="Q21" i="7"/>
  <c r="Q123" i="7"/>
  <c r="P44" i="7"/>
  <c r="Q113" i="7"/>
  <c r="O39" i="7"/>
  <c r="O17" i="7"/>
  <c r="O138" i="7"/>
  <c r="O33" i="7"/>
  <c r="O14" i="7"/>
  <c r="Q96" i="7"/>
  <c r="Q66" i="7"/>
  <c r="O24" i="7"/>
  <c r="P131" i="7"/>
  <c r="P41" i="7"/>
  <c r="O94" i="7"/>
  <c r="P141" i="7"/>
  <c r="O15" i="4"/>
  <c r="P124" i="7"/>
  <c r="O41" i="4"/>
  <c r="O97" i="7"/>
  <c r="Q68" i="7"/>
  <c r="P144" i="7"/>
  <c r="O25" i="7"/>
  <c r="O125" i="7"/>
  <c r="O96" i="7"/>
  <c r="P10" i="7"/>
  <c r="P93" i="7"/>
  <c r="O124" i="7"/>
  <c r="P39" i="7"/>
  <c r="P130" i="7"/>
  <c r="O79" i="7"/>
  <c r="O3" i="4"/>
  <c r="Q48" i="7"/>
  <c r="O53" i="7"/>
  <c r="Q127" i="7"/>
  <c r="P33" i="7"/>
  <c r="P71" i="7"/>
  <c r="P6" i="7"/>
  <c r="O31" i="4"/>
  <c r="Q25" i="7"/>
  <c r="P34" i="7"/>
  <c r="O4" i="4"/>
  <c r="O22" i="7"/>
  <c r="O147" i="7"/>
  <c r="P73" i="7"/>
  <c r="P58" i="7"/>
  <c r="O93" i="7"/>
  <c r="Q42" i="7"/>
  <c r="P100" i="7"/>
  <c r="Q31" i="7"/>
  <c r="P113" i="7"/>
  <c r="O141" i="7"/>
  <c r="Q55" i="7"/>
  <c r="Q20" i="7"/>
  <c r="O9" i="4"/>
  <c r="P115" i="7"/>
  <c r="Q145" i="7"/>
  <c r="Q75" i="7"/>
  <c r="P77" i="7"/>
  <c r="Q90" i="7"/>
  <c r="O5" i="7"/>
  <c r="O7" i="7"/>
  <c r="P74" i="7"/>
  <c r="Q51" i="7"/>
  <c r="P96" i="7"/>
  <c r="P15" i="7"/>
  <c r="Q72" i="7"/>
  <c r="O10" i="4"/>
  <c r="P116" i="7"/>
  <c r="O4" i="7"/>
  <c r="O81" i="7"/>
  <c r="P110" i="7"/>
  <c r="Q63" i="7"/>
  <c r="P50" i="7"/>
  <c r="O130" i="7"/>
  <c r="Q139" i="7"/>
  <c r="Q11" i="7"/>
  <c r="Q102" i="7"/>
  <c r="Q14" i="7"/>
  <c r="Q54" i="7"/>
  <c r="O10" i="7"/>
  <c r="P133" i="7"/>
  <c r="Q122" i="7"/>
  <c r="Q23" i="7"/>
  <c r="O142" i="7"/>
  <c r="P16" i="7"/>
  <c r="Q38" i="7"/>
  <c r="O99" i="7"/>
  <c r="Q56" i="7"/>
  <c r="Q121" i="7"/>
  <c r="P148" i="7"/>
  <c r="P19" i="7"/>
  <c r="O41" i="7"/>
  <c r="P119" i="7"/>
  <c r="Q64" i="7"/>
  <c r="O129" i="7"/>
  <c r="Q148" i="7"/>
  <c r="P38" i="7"/>
  <c r="O119" i="7"/>
  <c r="P135" i="7"/>
  <c r="P47" i="7"/>
  <c r="O59" i="7"/>
  <c r="Q134" i="7"/>
  <c r="P45" i="7"/>
  <c r="Q84" i="7"/>
  <c r="O149" i="7"/>
  <c r="P37" i="7"/>
  <c r="O132" i="7"/>
  <c r="O109" i="7"/>
  <c r="O127" i="7"/>
  <c r="O36" i="7"/>
  <c r="Q61" i="7"/>
  <c r="Q5" i="7"/>
  <c r="O44" i="7"/>
  <c r="Q28" i="7"/>
  <c r="O62" i="7"/>
  <c r="O131" i="7"/>
  <c r="P125" i="7"/>
  <c r="P89" i="7"/>
  <c r="O86" i="7"/>
  <c r="O118" i="7"/>
  <c r="P75" i="7"/>
  <c r="O73" i="7"/>
  <c r="Q8" i="7"/>
  <c r="O134" i="7"/>
  <c r="O95" i="7"/>
  <c r="Q19" i="7"/>
  <c r="Q50" i="7"/>
  <c r="Q126" i="7"/>
  <c r="P52" i="7"/>
  <c r="O13" i="4"/>
  <c r="O49" i="4"/>
  <c r="O56" i="7"/>
  <c r="O32" i="7"/>
  <c r="O23" i="7"/>
  <c r="P35" i="7"/>
  <c r="O6" i="4"/>
  <c r="Q7" i="7"/>
  <c r="O112" i="7"/>
  <c r="O12" i="7"/>
  <c r="O50" i="4"/>
  <c r="O45" i="4"/>
  <c r="O115" i="7"/>
  <c r="P26" i="7"/>
  <c r="P63" i="7"/>
  <c r="O40" i="7"/>
  <c r="O148" i="7"/>
  <c r="Q17" i="7"/>
  <c r="Q132" i="7"/>
  <c r="P64" i="7"/>
  <c r="O78" i="7"/>
  <c r="P146" i="7"/>
  <c r="O85" i="7"/>
  <c r="O106" i="7"/>
  <c r="P109" i="7"/>
  <c r="P143" i="7"/>
  <c r="Q110" i="7"/>
  <c r="Q150" i="7"/>
  <c r="P94" i="7"/>
  <c r="O126" i="7"/>
  <c r="P29" i="7"/>
  <c r="P83" i="7"/>
  <c r="O88" i="7"/>
  <c r="P147" i="7"/>
  <c r="O116" i="7"/>
  <c r="O72" i="7"/>
  <c r="P23" i="7"/>
  <c r="P13" i="7"/>
  <c r="O9" i="7"/>
  <c r="P92" i="7"/>
  <c r="Q35" i="7"/>
  <c r="O84" i="7"/>
  <c r="O140" i="7"/>
  <c r="O82" i="7"/>
  <c r="Q115" i="7"/>
  <c r="Q13" i="7"/>
  <c r="O48" i="7"/>
  <c r="Q36" i="7"/>
  <c r="P103" i="7"/>
  <c r="O37" i="7"/>
  <c r="O35" i="4"/>
  <c r="Q62" i="7"/>
  <c r="P59" i="7"/>
  <c r="O50" i="7"/>
  <c r="P31" i="7"/>
  <c r="Q4" i="7"/>
  <c r="P57" i="7"/>
  <c r="P140" i="7"/>
  <c r="P120" i="7"/>
  <c r="O144" i="7"/>
  <c r="P61" i="7"/>
  <c r="O107" i="7"/>
  <c r="O137" i="7"/>
  <c r="Q76" i="7"/>
  <c r="O8" i="4"/>
  <c r="P54" i="7"/>
  <c r="O36" i="4"/>
  <c r="P42" i="7"/>
  <c r="Q22" i="7"/>
  <c r="O8" i="7"/>
  <c r="O111" i="7"/>
  <c r="O6" i="7"/>
  <c r="P112" i="7"/>
  <c r="O108" i="7"/>
  <c r="P49" i="7"/>
  <c r="Q114" i="7"/>
  <c r="Q70" i="7"/>
  <c r="Q107" i="7"/>
  <c r="O38" i="4"/>
  <c r="P78" i="7"/>
  <c r="P136" i="7"/>
  <c r="Q137" i="7"/>
  <c r="Q69" i="7"/>
  <c r="O47" i="7"/>
  <c r="O46" i="7"/>
  <c r="O34" i="4"/>
  <c r="Q16" i="7"/>
  <c r="P101" i="7"/>
  <c r="Q136" i="7"/>
  <c r="O51" i="7"/>
  <c r="Q34" i="7"/>
  <c r="Q33" i="7"/>
  <c r="O48" i="4"/>
  <c r="O60" i="7"/>
  <c r="P43" i="7"/>
  <c r="O46" i="4"/>
  <c r="Q41" i="7"/>
  <c r="Q15" i="7"/>
  <c r="Q78" i="7"/>
  <c r="O13" i="7"/>
  <c r="P91" i="7"/>
  <c r="O123" i="7"/>
  <c r="O27" i="7"/>
  <c r="Q59" i="7"/>
  <c r="O91" i="7"/>
  <c r="Q47" i="7"/>
  <c r="P32" i="7"/>
  <c r="Q86" i="7"/>
  <c r="P111" i="7"/>
  <c r="Q60" i="7"/>
  <c r="Q111" i="7"/>
  <c r="P30" i="7"/>
  <c r="O117" i="7"/>
  <c r="Q133" i="7"/>
  <c r="Q57" i="7"/>
  <c r="P62" i="7"/>
  <c r="Q71" i="7"/>
  <c r="Q131" i="7"/>
  <c r="Q129" i="7"/>
  <c r="Q44" i="7"/>
  <c r="Q18" i="7"/>
  <c r="O20" i="4"/>
  <c r="P70" i="7"/>
  <c r="Q92" i="7"/>
  <c r="Q112" i="7"/>
  <c r="P150" i="7"/>
  <c r="P105" i="7"/>
  <c r="O40" i="4"/>
  <c r="Q109" i="7"/>
  <c r="P17" i="7"/>
  <c r="O2" i="4"/>
  <c r="O7" i="4"/>
  <c r="P80" i="7"/>
  <c r="O16" i="4"/>
  <c r="P40" i="7"/>
  <c r="O11" i="4"/>
  <c r="O26" i="7"/>
  <c r="O54" i="7"/>
  <c r="P104" i="7"/>
  <c r="Q120" i="7"/>
  <c r="P126" i="7"/>
  <c r="Q9" i="7"/>
  <c r="O110" i="7"/>
  <c r="Q30" i="7"/>
  <c r="P137" i="7"/>
  <c r="Q103" i="7"/>
  <c r="O21" i="4"/>
  <c r="P20" i="7"/>
  <c r="O104" i="7"/>
  <c r="P51" i="7"/>
  <c r="P117" i="7"/>
  <c r="Q146" i="7"/>
  <c r="O29" i="7"/>
  <c r="O120" i="7"/>
  <c r="P7" i="7"/>
  <c r="P134" i="7"/>
  <c r="O71" i="7"/>
  <c r="O76" i="7"/>
  <c r="P55" i="7"/>
  <c r="P24" i="7"/>
  <c r="Q144" i="7"/>
  <c r="P65" i="7"/>
  <c r="O19" i="4"/>
  <c r="Q130" i="7"/>
  <c r="O47" i="4"/>
  <c r="O63" i="7"/>
  <c r="Q140" i="7"/>
  <c r="O18" i="7"/>
  <c r="Q10" i="7"/>
  <c r="Q135" i="7"/>
  <c r="P12" i="7"/>
  <c r="O87" i="7"/>
  <c r="Q29" i="7"/>
  <c r="P122" i="7"/>
  <c r="P76" i="7"/>
  <c r="O37" i="4"/>
  <c r="P67" i="7"/>
  <c r="O45" i="7"/>
  <c r="P9" i="7"/>
  <c r="Q91" i="7"/>
  <c r="O121" i="7"/>
  <c r="Q27" i="7"/>
  <c r="Q104" i="7"/>
  <c r="O5" i="4"/>
  <c r="P139" i="7"/>
  <c r="O83" i="7"/>
  <c r="P53" i="7"/>
  <c r="P132" i="7"/>
  <c r="Q83" i="7"/>
  <c r="Q105" i="7"/>
  <c r="O14" i="4"/>
  <c r="P145" i="7"/>
  <c r="P56" i="7"/>
  <c r="O146" i="7"/>
  <c r="P27" i="7"/>
  <c r="O90" i="7"/>
  <c r="P95" i="7"/>
  <c r="O35" i="7"/>
  <c r="Q89" i="7"/>
  <c r="O65" i="7"/>
  <c r="O136" i="7"/>
  <c r="O122" i="7"/>
  <c r="O42" i="7"/>
  <c r="O12" i="4"/>
  <c r="Q12" i="7"/>
  <c r="P123" i="7"/>
  <c r="O28" i="7"/>
  <c r="P8" i="7"/>
  <c r="O150" i="7"/>
  <c r="Q81" i="7"/>
  <c r="P4" i="7"/>
  <c r="Q65" i="7"/>
  <c r="P68" i="7"/>
  <c r="O133" i="7"/>
  <c r="Q128" i="7"/>
  <c r="Q142" i="7"/>
  <c r="O64" i="7"/>
  <c r="O27" i="4"/>
  <c r="Q117" i="7"/>
  <c r="O25" i="4"/>
  <c r="Q138" i="7"/>
  <c r="P142" i="7"/>
  <c r="O16" i="7"/>
  <c r="O135" i="7"/>
  <c r="P98" i="7"/>
  <c r="O29" i="4"/>
  <c r="O15" i="7"/>
  <c r="Q119" i="7"/>
  <c r="P90" i="7"/>
  <c r="Q26" i="7"/>
  <c r="Q49" i="7"/>
  <c r="Q40" i="7"/>
  <c r="O26" i="4"/>
  <c r="Q67" i="7"/>
  <c r="Q74" i="7"/>
  <c r="O145" i="7"/>
  <c r="O143" i="7"/>
  <c r="P88" i="7"/>
  <c r="O23" i="4"/>
  <c r="O80" i="7"/>
  <c r="O105" i="7"/>
  <c r="Q53" i="7"/>
  <c r="O92" i="7"/>
  <c r="Q52" i="7"/>
  <c r="O30" i="4"/>
  <c r="O24" i="4"/>
  <c r="P81" i="7"/>
  <c r="O67" i="7"/>
  <c r="Q97" i="7"/>
  <c r="P85" i="7"/>
  <c r="O77" i="7"/>
  <c r="O52" i="7"/>
  <c r="O43" i="7"/>
  <c r="P138" i="7"/>
  <c r="P79" i="7"/>
  <c r="O44" i="4"/>
  <c r="P69" i="7"/>
  <c r="P25" i="7"/>
  <c r="O70" i="7"/>
  <c r="O100" i="7"/>
  <c r="P18" i="7"/>
  <c r="O19" i="7"/>
  <c r="Q118" i="7"/>
  <c r="O28" i="4"/>
  <c r="O17" i="4"/>
  <c r="P97" i="7"/>
  <c r="Q45" i="7"/>
  <c r="P28" i="7"/>
  <c r="Q141" i="7"/>
  <c r="O98" i="7"/>
  <c r="Q85" i="7"/>
  <c r="P48" i="7"/>
  <c r="Q32" i="7"/>
  <c r="P121" i="7"/>
  <c r="Q95" i="7"/>
  <c r="Q125" i="7"/>
  <c r="O49" i="7"/>
  <c r="O66" i="7"/>
  <c r="O33" i="4"/>
  <c r="P21" i="7"/>
  <c r="O32" i="4"/>
  <c r="O113" i="7"/>
  <c r="Q79" i="7"/>
  <c r="Q88" i="7"/>
  <c r="P102" i="7"/>
  <c r="P108" i="7"/>
  <c r="Q43" i="7"/>
  <c r="P106" i="7"/>
  <c r="O22" i="4"/>
  <c r="P86" i="7"/>
  <c r="O39" i="4"/>
  <c r="W50" i="7"/>
  <c r="W31" i="7"/>
  <c r="W37" i="7"/>
  <c r="W24" i="7"/>
  <c r="N131" i="7"/>
  <c r="W4" i="7"/>
  <c r="C83" i="7"/>
  <c r="N130" i="7"/>
  <c r="C58" i="7"/>
  <c r="W46" i="7"/>
  <c r="C22" i="7"/>
  <c r="C74" i="7"/>
  <c r="C119" i="7"/>
  <c r="N116" i="7"/>
  <c r="W78" i="7"/>
  <c r="N79" i="7"/>
  <c r="N147" i="7"/>
  <c r="W142" i="7"/>
  <c r="W99" i="7"/>
  <c r="N43" i="7"/>
  <c r="C62" i="7"/>
  <c r="N60" i="7"/>
  <c r="C147" i="7"/>
  <c r="W22" i="7"/>
  <c r="C77" i="7"/>
  <c r="W29" i="7"/>
  <c r="N41" i="7"/>
  <c r="N82" i="7"/>
  <c r="C132" i="7"/>
  <c r="W61" i="7"/>
  <c r="C73" i="7"/>
  <c r="N55" i="7"/>
  <c r="C11" i="7"/>
  <c r="N142" i="7"/>
  <c r="W54" i="7"/>
  <c r="C129" i="7"/>
  <c r="C108" i="7"/>
  <c r="W133" i="7"/>
  <c r="C37" i="7"/>
  <c r="W145" i="7"/>
  <c r="W15" i="7"/>
  <c r="N29" i="7"/>
  <c r="C134" i="7"/>
  <c r="N61" i="7"/>
  <c r="N42" i="7"/>
  <c r="W94" i="7"/>
  <c r="C150" i="7"/>
  <c r="N16" i="7"/>
  <c r="C50" i="7"/>
  <c r="N128" i="7"/>
  <c r="C114" i="7"/>
  <c r="W103" i="7"/>
  <c r="N70" i="7"/>
  <c r="C16" i="7"/>
  <c r="W122" i="7"/>
  <c r="C31" i="7"/>
  <c r="C141" i="7"/>
  <c r="W93" i="7"/>
  <c r="C57" i="7"/>
  <c r="C140" i="7"/>
  <c r="C94" i="7"/>
  <c r="N8" i="7"/>
  <c r="W26" i="7"/>
  <c r="C80" i="7"/>
  <c r="C106" i="7"/>
  <c r="W6" i="7"/>
  <c r="W71" i="7"/>
  <c r="W147" i="7"/>
  <c r="W138" i="7"/>
  <c r="N112" i="7"/>
  <c r="N24" i="7"/>
  <c r="C81" i="7"/>
  <c r="N105" i="7"/>
  <c r="W60" i="7"/>
  <c r="W100" i="7"/>
  <c r="W116" i="7"/>
  <c r="W39" i="7"/>
  <c r="N125" i="7"/>
  <c r="W48" i="7"/>
  <c r="C41" i="7"/>
  <c r="N122" i="7"/>
  <c r="C100" i="7"/>
  <c r="N21" i="7"/>
  <c r="C99" i="7"/>
  <c r="N18" i="7"/>
  <c r="N97" i="7"/>
  <c r="W27" i="7"/>
  <c r="C127" i="7"/>
  <c r="W28" i="7"/>
  <c r="N27" i="7"/>
  <c r="N46" i="7"/>
  <c r="N22" i="7"/>
  <c r="N57" i="7"/>
  <c r="N10" i="7"/>
  <c r="N104" i="7"/>
  <c r="N141" i="7"/>
  <c r="C48" i="7"/>
  <c r="C109" i="7"/>
  <c r="W120" i="7"/>
  <c r="W57" i="7"/>
  <c r="W102" i="7"/>
  <c r="C26" i="7"/>
  <c r="N39" i="7"/>
  <c r="N93" i="7"/>
  <c r="N48" i="7"/>
  <c r="C64" i="7"/>
  <c r="N20" i="7"/>
  <c r="W63" i="7"/>
  <c r="C13" i="7"/>
  <c r="N150" i="7"/>
  <c r="N38" i="7"/>
  <c r="C125" i="7"/>
  <c r="W129" i="7"/>
  <c r="W86" i="7"/>
  <c r="N53" i="7"/>
  <c r="N146" i="7"/>
  <c r="C130" i="7"/>
  <c r="W74" i="7"/>
  <c r="N73" i="7"/>
  <c r="W3" i="7"/>
  <c r="C113" i="7"/>
  <c r="C55" i="7"/>
  <c r="C97" i="7"/>
  <c r="C8" i="7"/>
  <c r="N11" i="7"/>
  <c r="N67" i="7"/>
  <c r="N34" i="7"/>
  <c r="W40" i="7"/>
  <c r="N64" i="7"/>
  <c r="N50" i="7"/>
  <c r="W134" i="7"/>
  <c r="W124" i="7"/>
  <c r="N63" i="7"/>
  <c r="W121" i="7"/>
  <c r="W148" i="7"/>
  <c r="W106" i="7"/>
  <c r="W8" i="7"/>
  <c r="W18" i="7"/>
  <c r="W79" i="7"/>
  <c r="C143" i="7"/>
  <c r="W36" i="7"/>
  <c r="N102" i="7"/>
  <c r="W89" i="7"/>
  <c r="W25" i="7"/>
  <c r="N118" i="7"/>
  <c r="W96" i="7"/>
  <c r="C7" i="7"/>
  <c r="C4" i="7"/>
  <c r="W117" i="7"/>
  <c r="W10" i="7"/>
  <c r="W88" i="7"/>
  <c r="N37" i="7"/>
  <c r="N129" i="7"/>
  <c r="C54" i="7"/>
  <c r="N94" i="7"/>
  <c r="W70" i="7"/>
  <c r="W21" i="7"/>
  <c r="W14" i="7"/>
  <c r="C28" i="7"/>
  <c r="W101" i="7"/>
  <c r="C47" i="7"/>
  <c r="W19" i="7"/>
  <c r="W136" i="7"/>
  <c r="N86" i="7"/>
  <c r="C117" i="7"/>
  <c r="C46" i="7"/>
  <c r="C79" i="7"/>
  <c r="N13" i="7"/>
  <c r="W77" i="7"/>
  <c r="N121" i="7"/>
  <c r="W114" i="7"/>
  <c r="W119" i="7"/>
  <c r="W73" i="7"/>
  <c r="W66" i="7"/>
  <c r="W87" i="7"/>
  <c r="W55" i="7"/>
  <c r="W20" i="7"/>
  <c r="C36" i="7"/>
  <c r="C112" i="7"/>
  <c r="W47" i="7"/>
  <c r="N71" i="7"/>
  <c r="N81" i="7"/>
  <c r="N92" i="7"/>
  <c r="C25" i="7"/>
  <c r="C111" i="7"/>
  <c r="W92" i="7"/>
  <c r="N149" i="7"/>
  <c r="N5" i="7"/>
  <c r="C61" i="7"/>
  <c r="C18" i="7"/>
  <c r="W5" i="7"/>
  <c r="N143" i="7"/>
  <c r="W95" i="7"/>
  <c r="N26" i="7"/>
  <c r="C121" i="7"/>
  <c r="C51" i="7"/>
  <c r="W98" i="7"/>
  <c r="C101" i="7"/>
  <c r="N138" i="7"/>
  <c r="N140" i="7"/>
  <c r="N84" i="7"/>
  <c r="N135" i="7"/>
  <c r="N49" i="7"/>
  <c r="W52" i="7"/>
  <c r="C137" i="7"/>
  <c r="W130" i="7"/>
  <c r="C56" i="7"/>
  <c r="W81" i="7"/>
  <c r="W112" i="7"/>
  <c r="N126" i="7"/>
  <c r="C133" i="7"/>
  <c r="C78" i="7"/>
  <c r="W105" i="7"/>
  <c r="C104" i="7"/>
  <c r="N144" i="7"/>
  <c r="N30" i="7"/>
  <c r="N76" i="7"/>
  <c r="W85" i="7"/>
  <c r="N40" i="7"/>
  <c r="C68" i="7"/>
  <c r="N54" i="7"/>
  <c r="C71" i="7"/>
  <c r="W131" i="7"/>
  <c r="W45" i="7"/>
  <c r="W42" i="7"/>
  <c r="W62" i="7"/>
  <c r="N95" i="7"/>
  <c r="C60" i="7"/>
  <c r="N14" i="7"/>
  <c r="C86" i="7"/>
  <c r="N32" i="7"/>
  <c r="W58" i="7"/>
  <c r="C6" i="7"/>
  <c r="C34" i="7"/>
  <c r="C49" i="7"/>
  <c r="W115" i="7"/>
  <c r="N4" i="7"/>
  <c r="C21" i="7"/>
  <c r="C115" i="7"/>
  <c r="W84" i="7"/>
  <c r="N103" i="7"/>
  <c r="W59" i="7"/>
  <c r="W135" i="7"/>
  <c r="W137" i="7"/>
  <c r="N33" i="7"/>
  <c r="C144" i="7"/>
  <c r="N83" i="7"/>
  <c r="W109" i="7"/>
  <c r="C102" i="7"/>
  <c r="C52" i="7"/>
  <c r="C103" i="7"/>
  <c r="C118" i="7"/>
  <c r="C123" i="7"/>
  <c r="N35" i="7"/>
  <c r="C33" i="7"/>
  <c r="W141" i="7"/>
  <c r="C84" i="7"/>
  <c r="N9" i="7"/>
  <c r="C96" i="7"/>
  <c r="W34" i="7"/>
  <c r="W146" i="7"/>
  <c r="N51" i="7"/>
  <c r="W67" i="7"/>
  <c r="C124" i="7"/>
  <c r="W33" i="7"/>
  <c r="N127" i="7"/>
  <c r="W11" i="7"/>
  <c r="W9" i="7"/>
  <c r="C92" i="7"/>
  <c r="N98" i="7"/>
  <c r="W108" i="7"/>
  <c r="N148" i="7"/>
  <c r="C23" i="7"/>
  <c r="C131" i="7"/>
  <c r="N120" i="7"/>
  <c r="N114" i="7"/>
  <c r="C15" i="7"/>
  <c r="N7" i="7"/>
  <c r="W12" i="7"/>
  <c r="W123" i="7"/>
  <c r="C105" i="7"/>
  <c r="W97" i="7"/>
  <c r="C14" i="7"/>
  <c r="N47" i="7"/>
  <c r="N6" i="7"/>
  <c r="N68" i="7"/>
  <c r="W17" i="7"/>
  <c r="C10" i="7"/>
  <c r="N19" i="7"/>
  <c r="C98" i="7"/>
  <c r="C82" i="7"/>
  <c r="W118" i="7"/>
  <c r="C69" i="7"/>
  <c r="C27" i="7"/>
  <c r="C29" i="7"/>
  <c r="W128" i="7"/>
  <c r="C38" i="7"/>
  <c r="N62" i="7"/>
  <c r="C17" i="7"/>
  <c r="C43" i="7"/>
  <c r="W80" i="7"/>
  <c r="N99" i="7"/>
  <c r="W90" i="7"/>
  <c r="N133" i="7"/>
  <c r="N15" i="7"/>
  <c r="W107" i="7"/>
  <c r="W72" i="7"/>
  <c r="W113" i="7"/>
  <c r="W56" i="7"/>
  <c r="W30" i="7"/>
  <c r="N91" i="7"/>
  <c r="N44" i="7"/>
  <c r="C146" i="7"/>
  <c r="C63" i="7"/>
  <c r="C138" i="7"/>
  <c r="C91" i="7"/>
  <c r="N12" i="7"/>
  <c r="C20" i="7"/>
  <c r="C42" i="7"/>
  <c r="W127" i="7"/>
  <c r="W111" i="7"/>
  <c r="N96" i="7"/>
  <c r="W149" i="7"/>
  <c r="W104" i="7"/>
  <c r="N28" i="7"/>
  <c r="C110" i="7"/>
  <c r="C87" i="7"/>
  <c r="N109" i="7"/>
  <c r="N106" i="7"/>
  <c r="W83" i="7"/>
  <c r="C107" i="7"/>
  <c r="C44" i="7"/>
  <c r="N36" i="7"/>
  <c r="C35" i="7"/>
  <c r="N59" i="7"/>
  <c r="W13" i="7"/>
  <c r="C95" i="7"/>
  <c r="W43" i="7"/>
  <c r="C67" i="7"/>
  <c r="C135" i="7"/>
  <c r="C90" i="7"/>
  <c r="N78" i="7"/>
  <c r="N115" i="7"/>
  <c r="N132" i="7"/>
  <c r="C59" i="7"/>
  <c r="N75" i="7"/>
  <c r="C30" i="7"/>
  <c r="N69" i="7"/>
  <c r="W125" i="7"/>
  <c r="W38" i="7"/>
  <c r="C65" i="7"/>
  <c r="C66" i="7"/>
  <c r="W51" i="7"/>
  <c r="W16" i="7"/>
  <c r="C5" i="7"/>
  <c r="W41" i="7"/>
  <c r="C9" i="7"/>
  <c r="C85" i="7"/>
  <c r="N25" i="7"/>
  <c r="C148" i="7"/>
  <c r="C70" i="7"/>
  <c r="N52" i="7"/>
  <c r="N108" i="7"/>
  <c r="N117" i="7"/>
  <c r="W76" i="7"/>
  <c r="C122" i="7"/>
  <c r="W110" i="7"/>
  <c r="W49" i="7"/>
  <c r="N100" i="7"/>
  <c r="W64" i="7"/>
  <c r="N66" i="7"/>
  <c r="N89" i="7"/>
  <c r="N17" i="7"/>
  <c r="C32" i="7"/>
  <c r="N107" i="7"/>
  <c r="N113" i="7"/>
  <c r="N136" i="7"/>
  <c r="C40" i="7"/>
  <c r="C128" i="7"/>
  <c r="C89" i="7"/>
  <c r="N123" i="7"/>
  <c r="W144" i="7"/>
  <c r="W150" i="7"/>
  <c r="W53" i="7"/>
  <c r="N87" i="7"/>
  <c r="C19" i="7"/>
  <c r="N90" i="7"/>
  <c r="C145" i="7"/>
  <c r="N124" i="7"/>
  <c r="N74" i="7"/>
  <c r="W69" i="7"/>
  <c r="N45" i="7"/>
  <c r="N77" i="7"/>
  <c r="N85" i="7"/>
  <c r="N23" i="7"/>
  <c r="C120" i="7"/>
  <c r="C45" i="7"/>
  <c r="W82" i="7"/>
  <c r="W139" i="7"/>
  <c r="C149" i="7"/>
  <c r="N88" i="7"/>
  <c r="N101" i="7"/>
  <c r="N137" i="7"/>
  <c r="C136" i="7"/>
  <c r="C39" i="7"/>
  <c r="C93" i="7"/>
  <c r="N134" i="7"/>
  <c r="C76" i="7"/>
  <c r="N58" i="7"/>
  <c r="C72" i="7"/>
  <c r="W35" i="7"/>
  <c r="N80" i="7"/>
  <c r="W44" i="7"/>
  <c r="W132" i="7"/>
  <c r="W68" i="7"/>
  <c r="N111" i="7"/>
  <c r="W65" i="7"/>
  <c r="C53" i="7"/>
  <c r="C142" i="7"/>
  <c r="N72" i="7"/>
  <c r="C126" i="7"/>
  <c r="W75" i="7"/>
  <c r="N139" i="7"/>
  <c r="N145" i="7"/>
  <c r="N110" i="7"/>
  <c r="C12" i="7"/>
  <c r="C75" i="7"/>
  <c r="W126" i="7"/>
  <c r="W140" i="7"/>
  <c r="C88" i="7"/>
  <c r="N31" i="7"/>
  <c r="N56" i="7"/>
  <c r="W7" i="7"/>
  <c r="C24" i="7"/>
  <c r="N119" i="7"/>
  <c r="W23" i="7"/>
  <c r="C139" i="7"/>
  <c r="N65" i="7"/>
  <c r="C116" i="7"/>
  <c r="W91" i="7"/>
  <c r="W143" i="7"/>
  <c r="W32" i="7"/>
  <c r="C17" i="4" l="1"/>
  <c r="C34" i="4"/>
  <c r="U34" i="4" s="1"/>
  <c r="C35" i="4"/>
  <c r="C50" i="4"/>
  <c r="Z50" i="4" s="1"/>
  <c r="C45" i="4"/>
  <c r="U45" i="4" s="1"/>
  <c r="C32" i="4"/>
  <c r="R32" i="4" s="1"/>
  <c r="C30" i="4"/>
  <c r="C6" i="4"/>
  <c r="C26" i="4"/>
  <c r="Q26" i="4" s="1"/>
  <c r="C37" i="4"/>
  <c r="U37" i="4" s="1"/>
  <c r="C40" i="4"/>
  <c r="Q40" i="4" s="1"/>
  <c r="C19" i="4"/>
  <c r="G19" i="4" s="1"/>
  <c r="C36" i="4"/>
  <c r="Q36" i="4" s="1"/>
  <c r="C21" i="4"/>
  <c r="Q21" i="4" s="1"/>
  <c r="C27" i="4"/>
  <c r="U27" i="4" s="1"/>
  <c r="C38" i="4"/>
  <c r="C29" i="4"/>
  <c r="U29" i="4" s="1"/>
  <c r="C10" i="4"/>
  <c r="U10" i="4" s="1"/>
  <c r="C7" i="4"/>
  <c r="Q7" i="4" s="1"/>
  <c r="C3" i="4"/>
  <c r="G3" i="4" s="1"/>
  <c r="C4" i="4"/>
  <c r="R4" i="4" s="1"/>
  <c r="C25" i="4"/>
  <c r="U25" i="4" s="1"/>
  <c r="C49" i="4"/>
  <c r="F49" i="4" s="1"/>
  <c r="C47" i="4"/>
  <c r="U47" i="4" s="1"/>
  <c r="C5" i="4"/>
  <c r="R5" i="4" s="1"/>
  <c r="C22" i="4"/>
  <c r="Q22" i="4" s="1"/>
  <c r="C39" i="4"/>
  <c r="R39" i="4" s="1"/>
  <c r="C46" i="4"/>
  <c r="R46" i="4" s="1"/>
  <c r="C20" i="4"/>
  <c r="U20" i="4" s="1"/>
  <c r="C2" i="4"/>
  <c r="C12" i="4"/>
  <c r="U12" i="4" s="1"/>
  <c r="C23" i="4"/>
  <c r="U23" i="4" s="1"/>
  <c r="C42" i="4"/>
  <c r="U42" i="4" s="1"/>
  <c r="C8" i="4"/>
  <c r="G8" i="4" s="1"/>
  <c r="C33" i="4"/>
  <c r="U33" i="4" s="1"/>
  <c r="C41" i="4"/>
  <c r="U41" i="4" s="1"/>
  <c r="C24" i="4"/>
  <c r="R24" i="4" s="1"/>
  <c r="C15" i="4"/>
  <c r="C43" i="4"/>
  <c r="G43" i="4" s="1"/>
  <c r="C18" i="4"/>
  <c r="C13" i="4"/>
  <c r="R13" i="4" s="1"/>
  <c r="C11" i="4"/>
  <c r="R11" i="4" s="1"/>
  <c r="C31" i="4"/>
  <c r="Q31" i="4" s="1"/>
  <c r="C44" i="4"/>
  <c r="Q44" i="4" s="1"/>
  <c r="C14" i="4"/>
  <c r="U14" i="4" s="1"/>
  <c r="C28" i="4"/>
  <c r="C9" i="4"/>
  <c r="R9" i="4" s="1"/>
  <c r="C48" i="4"/>
  <c r="C16" i="4"/>
  <c r="R16" i="4" s="1"/>
  <c r="G22" i="4"/>
  <c r="Q34" i="4"/>
  <c r="B4" i="6"/>
  <c r="E30" i="4" s="1"/>
  <c r="D35" i="4"/>
  <c r="B48" i="4"/>
  <c r="AG43" i="4"/>
  <c r="AG6" i="4"/>
  <c r="Y34" i="4"/>
  <c r="AG37" i="4"/>
  <c r="AG35" i="4"/>
  <c r="AG4" i="4"/>
  <c r="AG9" i="4"/>
  <c r="X15" i="4"/>
  <c r="AG36" i="4"/>
  <c r="X6" i="4"/>
  <c r="X18" i="4"/>
  <c r="AG8" i="4"/>
  <c r="AG39" i="4"/>
  <c r="Y28" i="4"/>
  <c r="AG30" i="4"/>
  <c r="AG23" i="4"/>
  <c r="AG11" i="4"/>
  <c r="AG5" i="4"/>
  <c r="AG42" i="4"/>
  <c r="AG47" i="4"/>
  <c r="AG22" i="4"/>
  <c r="AG25" i="4"/>
  <c r="AG10" i="4"/>
  <c r="AG24" i="4"/>
  <c r="AG29" i="4"/>
  <c r="Y38" i="4"/>
  <c r="AG15" i="4"/>
  <c r="AG34" i="4"/>
  <c r="AG32" i="4"/>
  <c r="AG26" i="4"/>
  <c r="AG14" i="4"/>
  <c r="AG20" i="4"/>
  <c r="AG18" i="4"/>
  <c r="AG27" i="4"/>
  <c r="AG19" i="4"/>
  <c r="AG33" i="4"/>
  <c r="AG17" i="4"/>
  <c r="AG31" i="4"/>
  <c r="AG28" i="4"/>
  <c r="AG21" i="4"/>
  <c r="AG16" i="4"/>
  <c r="AG40" i="4"/>
  <c r="AG38" i="4"/>
  <c r="AG2" i="4"/>
  <c r="X2" i="4"/>
  <c r="AG12" i="4"/>
  <c r="AG44" i="4"/>
  <c r="AG7" i="4"/>
  <c r="AG45" i="4"/>
  <c r="AG13" i="4"/>
  <c r="AG3" i="4"/>
  <c r="AG41" i="4"/>
  <c r="AG46" i="4"/>
  <c r="U17" i="4" l="1"/>
  <c r="R37" i="4"/>
  <c r="Q35" i="4"/>
  <c r="G35" i="4"/>
  <c r="H35" i="4" s="1"/>
  <c r="R29" i="4"/>
  <c r="G29" i="4"/>
  <c r="H29" i="4" s="1"/>
  <c r="Q17" i="4"/>
  <c r="Q5" i="4"/>
  <c r="R17" i="4"/>
  <c r="G5" i="4"/>
  <c r="H5" i="4" s="1"/>
  <c r="G26" i="4"/>
  <c r="H26" i="4" s="1"/>
  <c r="R42" i="4"/>
  <c r="U26" i="4"/>
  <c r="Q42" i="4"/>
  <c r="G13" i="4"/>
  <c r="H13" i="4" s="1"/>
  <c r="G37" i="4"/>
  <c r="H37" i="4" s="1"/>
  <c r="U13" i="4"/>
  <c r="U31" i="4"/>
  <c r="G16" i="4"/>
  <c r="H16" i="4" s="1"/>
  <c r="R44" i="4"/>
  <c r="U39" i="4"/>
  <c r="G42" i="4"/>
  <c r="H42" i="4" s="1"/>
  <c r="Q16" i="4"/>
  <c r="R34" i="4"/>
  <c r="Q10" i="4"/>
  <c r="G34" i="4"/>
  <c r="H34" i="4" s="1"/>
  <c r="G10" i="4"/>
  <c r="H10" i="4" s="1"/>
  <c r="Q13" i="4"/>
  <c r="R7" i="4"/>
  <c r="Q37" i="4"/>
  <c r="U3" i="4"/>
  <c r="U8" i="4"/>
  <c r="R41" i="4"/>
  <c r="Q41" i="4"/>
  <c r="U16" i="4"/>
  <c r="U19" i="4"/>
  <c r="P50" i="4"/>
  <c r="Q39" i="4"/>
  <c r="G17" i="4"/>
  <c r="H17" i="4" s="1"/>
  <c r="R26" i="4"/>
  <c r="Q29" i="4"/>
  <c r="U5" i="4"/>
  <c r="R8" i="4"/>
  <c r="Q11" i="4"/>
  <c r="D50" i="4"/>
  <c r="Q50" i="4"/>
  <c r="R40" i="4"/>
  <c r="R19" i="4"/>
  <c r="U7" i="4"/>
  <c r="U22" i="4"/>
  <c r="Q8" i="4"/>
  <c r="G11" i="4"/>
  <c r="H11" i="4" s="1"/>
  <c r="G4" i="4"/>
  <c r="H4" i="4" s="1"/>
  <c r="G46" i="4"/>
  <c r="H46" i="4" s="1"/>
  <c r="B50" i="4"/>
  <c r="I50" i="4" s="1"/>
  <c r="AC50" i="4"/>
  <c r="U50" i="4"/>
  <c r="G40" i="4"/>
  <c r="H40" i="4" s="1"/>
  <c r="R10" i="4"/>
  <c r="U46" i="4"/>
  <c r="G33" i="4"/>
  <c r="H33" i="4" s="1"/>
  <c r="U11" i="4"/>
  <c r="U9" i="4"/>
  <c r="Q24" i="4"/>
  <c r="R22" i="4"/>
  <c r="U24" i="4"/>
  <c r="Q9" i="4"/>
  <c r="U4" i="4"/>
  <c r="Q20" i="4"/>
  <c r="F50" i="4"/>
  <c r="Q19" i="4"/>
  <c r="R20" i="4"/>
  <c r="G44" i="4"/>
  <c r="H44" i="4" s="1"/>
  <c r="R35" i="4"/>
  <c r="G50" i="4"/>
  <c r="H50" i="4" s="1"/>
  <c r="R27" i="4"/>
  <c r="B49" i="4"/>
  <c r="I49" i="4" s="1"/>
  <c r="R33" i="4"/>
  <c r="U44" i="4"/>
  <c r="U35" i="4"/>
  <c r="AB50" i="4"/>
  <c r="Q27" i="4"/>
  <c r="U49" i="4"/>
  <c r="R43" i="4"/>
  <c r="G32" i="4"/>
  <c r="H32" i="4" s="1"/>
  <c r="E49" i="4"/>
  <c r="R14" i="4"/>
  <c r="Q32" i="4"/>
  <c r="R12" i="4"/>
  <c r="AC49" i="4"/>
  <c r="U43" i="4"/>
  <c r="G14" i="4"/>
  <c r="H14" i="4" s="1"/>
  <c r="R50" i="4"/>
  <c r="R3" i="4"/>
  <c r="P49" i="4"/>
  <c r="Q12" i="4"/>
  <c r="G41" i="4"/>
  <c r="H41" i="4" s="1"/>
  <c r="E50" i="4"/>
  <c r="R36" i="4"/>
  <c r="Q3" i="4"/>
  <c r="G49" i="4"/>
  <c r="H49" i="4" s="1"/>
  <c r="Q46" i="4"/>
  <c r="R31" i="4"/>
  <c r="D49" i="4"/>
  <c r="S38" i="4"/>
  <c r="S18" i="4"/>
  <c r="S6" i="4"/>
  <c r="S9" i="4"/>
  <c r="S43" i="4"/>
  <c r="S12" i="4"/>
  <c r="S27" i="4"/>
  <c r="S30" i="4"/>
  <c r="S28" i="4"/>
  <c r="S15" i="4"/>
  <c r="S32" i="4"/>
  <c r="S14" i="4"/>
  <c r="S20" i="4"/>
  <c r="S44" i="4"/>
  <c r="S41" i="4"/>
  <c r="S46" i="4"/>
  <c r="S3" i="4"/>
  <c r="S19" i="4"/>
  <c r="S47" i="4"/>
  <c r="S2" i="4"/>
  <c r="S24" i="4"/>
  <c r="S45" i="4"/>
  <c r="S31" i="4"/>
  <c r="S33" i="4"/>
  <c r="S39" i="4"/>
  <c r="S7" i="4"/>
  <c r="S40" i="4"/>
  <c r="S35" i="4"/>
  <c r="S23" i="4"/>
  <c r="S4" i="4"/>
  <c r="S11" i="4"/>
  <c r="S8" i="4"/>
  <c r="S22" i="4"/>
  <c r="S10" i="4"/>
  <c r="S37" i="4"/>
  <c r="S34" i="4"/>
  <c r="S25" i="4"/>
  <c r="S36" i="4"/>
  <c r="S16" i="4"/>
  <c r="S13" i="4"/>
  <c r="S42" i="4"/>
  <c r="S5" i="4"/>
  <c r="S29" i="4"/>
  <c r="S26" i="4"/>
  <c r="S17" i="4"/>
  <c r="G38" i="4"/>
  <c r="H38" i="4" s="1"/>
  <c r="Q38" i="4"/>
  <c r="R38" i="4"/>
  <c r="U38" i="4"/>
  <c r="Q18" i="4"/>
  <c r="G18" i="4"/>
  <c r="H18" i="4" s="1"/>
  <c r="R18" i="4"/>
  <c r="U18" i="4"/>
  <c r="R6" i="4"/>
  <c r="U6" i="4"/>
  <c r="Q6" i="4"/>
  <c r="G6" i="4"/>
  <c r="H6" i="4" s="1"/>
  <c r="Q48" i="4"/>
  <c r="AB48" i="4" s="1"/>
  <c r="R21" i="4"/>
  <c r="U2" i="4"/>
  <c r="U48" i="4"/>
  <c r="Q30" i="4"/>
  <c r="G21" i="4"/>
  <c r="H21" i="4" s="1"/>
  <c r="R25" i="4"/>
  <c r="Q49" i="4"/>
  <c r="R2" i="4"/>
  <c r="Q23" i="4"/>
  <c r="U15" i="4"/>
  <c r="U28" i="4"/>
  <c r="G48" i="4"/>
  <c r="R23" i="4"/>
  <c r="Q45" i="4"/>
  <c r="G30" i="4"/>
  <c r="H30" i="4" s="1"/>
  <c r="U36" i="4"/>
  <c r="G25" i="4"/>
  <c r="H25" i="4" s="1"/>
  <c r="AB49" i="4"/>
  <c r="G47" i="4"/>
  <c r="G2" i="4"/>
  <c r="G15" i="4"/>
  <c r="H15" i="4" s="1"/>
  <c r="G28" i="4"/>
  <c r="H28" i="4" s="1"/>
  <c r="R48" i="4"/>
  <c r="Q25" i="4"/>
  <c r="R47" i="4"/>
  <c r="Q15" i="4"/>
  <c r="R28" i="4"/>
  <c r="R45" i="4"/>
  <c r="U30" i="4"/>
  <c r="U21" i="4"/>
  <c r="R49" i="4"/>
  <c r="Q47" i="4"/>
  <c r="Q2" i="4"/>
  <c r="G23" i="4"/>
  <c r="H23" i="4" s="1"/>
  <c r="R15" i="4"/>
  <c r="Q28" i="4"/>
  <c r="U32" i="4"/>
  <c r="G45" i="4"/>
  <c r="H45" i="4" s="1"/>
  <c r="R30" i="4"/>
  <c r="U40" i="4"/>
  <c r="G36" i="4"/>
  <c r="H36" i="4" s="1"/>
  <c r="G27" i="4"/>
  <c r="H27" i="4" s="1"/>
  <c r="G7" i="4"/>
  <c r="H7" i="4" s="1"/>
  <c r="Q4" i="4"/>
  <c r="Z49" i="4"/>
  <c r="G39" i="4"/>
  <c r="H39" i="4" s="1"/>
  <c r="G20" i="4"/>
  <c r="H20" i="4" s="1"/>
  <c r="G12" i="4"/>
  <c r="H12" i="4" s="1"/>
  <c r="Q33" i="4"/>
  <c r="G24" i="4"/>
  <c r="H24" i="4" s="1"/>
  <c r="Q43" i="4"/>
  <c r="G31" i="4"/>
  <c r="H31" i="4" s="1"/>
  <c r="Q14" i="4"/>
  <c r="G9" i="4"/>
  <c r="H9" i="4" s="1"/>
  <c r="H19" i="4"/>
  <c r="H8" i="4"/>
  <c r="H43" i="4"/>
  <c r="AF48" i="4"/>
  <c r="H3" i="4"/>
  <c r="H22" i="4"/>
  <c r="B31" i="4"/>
  <c r="F21" i="4"/>
  <c r="D8" i="4"/>
  <c r="B43" i="4"/>
  <c r="E2" i="4"/>
  <c r="B40" i="4"/>
  <c r="B10" i="4"/>
  <c r="F10" i="4"/>
  <c r="B39" i="4"/>
  <c r="E4" i="4"/>
  <c r="E17" i="4"/>
  <c r="E36" i="4"/>
  <c r="B27" i="4"/>
  <c r="F22" i="4"/>
  <c r="B11" i="4"/>
  <c r="D24" i="4"/>
  <c r="F34" i="4"/>
  <c r="J50" i="4"/>
  <c r="F42" i="4"/>
  <c r="F7" i="4"/>
  <c r="B32" i="4"/>
  <c r="E43" i="4"/>
  <c r="D21" i="4"/>
  <c r="D12" i="4"/>
  <c r="E3" i="4"/>
  <c r="E24" i="4"/>
  <c r="B18" i="4"/>
  <c r="E13" i="4"/>
  <c r="E20" i="4"/>
  <c r="K50" i="4"/>
  <c r="L50" i="4" s="1"/>
  <c r="D3" i="4"/>
  <c r="F19" i="4"/>
  <c r="D20" i="4"/>
  <c r="E9" i="4"/>
  <c r="D6" i="4"/>
  <c r="E6" i="4"/>
  <c r="D38" i="4"/>
  <c r="B23" i="4"/>
  <c r="F31" i="4"/>
  <c r="F30" i="4"/>
  <c r="E18" i="4"/>
  <c r="D26" i="4"/>
  <c r="F3" i="4"/>
  <c r="D37" i="4"/>
  <c r="E31" i="4"/>
  <c r="E47" i="4"/>
  <c r="F13" i="4"/>
  <c r="E39" i="4"/>
  <c r="F9" i="4"/>
  <c r="B30" i="4"/>
  <c r="B16" i="4"/>
  <c r="B5" i="4"/>
  <c r="D30" i="4"/>
  <c r="F15" i="4"/>
  <c r="B28" i="4"/>
  <c r="F32" i="4"/>
  <c r="E48" i="4"/>
  <c r="F39" i="4"/>
  <c r="E16" i="4"/>
  <c r="D33" i="4"/>
  <c r="E40" i="4"/>
  <c r="B38" i="4"/>
  <c r="E14" i="4"/>
  <c r="D47" i="4"/>
  <c r="D15" i="4"/>
  <c r="B14" i="4"/>
  <c r="E32" i="4"/>
  <c r="C6" i="9"/>
  <c r="D23" i="4"/>
  <c r="D42" i="4"/>
  <c r="B37" i="4"/>
  <c r="E44" i="4"/>
  <c r="B15" i="4"/>
  <c r="B44" i="4"/>
  <c r="E29" i="4"/>
  <c r="E25" i="4"/>
  <c r="E12" i="4"/>
  <c r="B25" i="4"/>
  <c r="B7" i="4"/>
  <c r="F37" i="4"/>
  <c r="D40" i="4"/>
  <c r="D2" i="4"/>
  <c r="D22" i="4"/>
  <c r="F23" i="4"/>
  <c r="E11" i="4"/>
  <c r="F48" i="4"/>
  <c r="D31" i="4"/>
  <c r="B2" i="4"/>
  <c r="F36" i="4"/>
  <c r="F11" i="4"/>
  <c r="N49" i="4"/>
  <c r="B12" i="4"/>
  <c r="D46" i="4"/>
  <c r="F38" i="4"/>
  <c r="F27" i="4"/>
  <c r="K49" i="4"/>
  <c r="B8" i="4"/>
  <c r="F25" i="4"/>
  <c r="D43" i="4"/>
  <c r="B45" i="4"/>
  <c r="F35" i="4"/>
  <c r="D14" i="4"/>
  <c r="B4" i="4"/>
  <c r="F6" i="4"/>
  <c r="D39" i="4"/>
  <c r="F24" i="4"/>
  <c r="D16" i="4"/>
  <c r="B36" i="4"/>
  <c r="F45" i="4"/>
  <c r="E35" i="4"/>
  <c r="D45" i="4"/>
  <c r="E23" i="4"/>
  <c r="B22" i="4"/>
  <c r="F47" i="4"/>
  <c r="D41" i="4"/>
  <c r="F46" i="4"/>
  <c r="D11" i="4"/>
  <c r="D29" i="4"/>
  <c r="E5" i="4"/>
  <c r="E22" i="4"/>
  <c r="B13" i="4"/>
  <c r="E27" i="4"/>
  <c r="B3" i="4"/>
  <c r="D7" i="4"/>
  <c r="B17" i="4"/>
  <c r="E28" i="4"/>
  <c r="F43" i="4"/>
  <c r="D25" i="4"/>
  <c r="E19" i="4"/>
  <c r="D10" i="4"/>
  <c r="D19" i="4"/>
  <c r="E38" i="4"/>
  <c r="L49" i="4"/>
  <c r="F28" i="4"/>
  <c r="E7" i="4"/>
  <c r="D4" i="4"/>
  <c r="F44" i="4"/>
  <c r="F40" i="4"/>
  <c r="D36" i="4"/>
  <c r="B34" i="4"/>
  <c r="F14" i="4"/>
  <c r="B29" i="4"/>
  <c r="E21" i="4"/>
  <c r="B24" i="4"/>
  <c r="B6" i="4"/>
  <c r="E45" i="4"/>
  <c r="B42" i="4"/>
  <c r="F4" i="4"/>
  <c r="E33" i="4"/>
  <c r="B26" i="4"/>
  <c r="E46" i="4"/>
  <c r="B19" i="4"/>
  <c r="B33" i="4"/>
  <c r="F2" i="4"/>
  <c r="D44" i="4"/>
  <c r="B20" i="4"/>
  <c r="B41" i="4"/>
  <c r="F16" i="4"/>
  <c r="F33" i="4"/>
  <c r="D17" i="4"/>
  <c r="E15" i="4"/>
  <c r="D18" i="4"/>
  <c r="F29" i="4"/>
  <c r="B21" i="4"/>
  <c r="F26" i="4"/>
  <c r="D9" i="4"/>
  <c r="D27" i="4"/>
  <c r="D28" i="4"/>
  <c r="F18" i="4"/>
  <c r="J49" i="4"/>
  <c r="E26" i="4"/>
  <c r="D32" i="4"/>
  <c r="F41" i="4"/>
  <c r="E37" i="4"/>
  <c r="E42" i="4"/>
  <c r="F20" i="4"/>
  <c r="B35" i="4"/>
  <c r="B9" i="4"/>
  <c r="B46" i="4"/>
  <c r="D48" i="4"/>
  <c r="F17" i="4"/>
  <c r="D34" i="4"/>
  <c r="E41" i="4"/>
  <c r="E8" i="4"/>
  <c r="D5" i="4"/>
  <c r="F8" i="4"/>
  <c r="F12" i="4"/>
  <c r="N50" i="4"/>
  <c r="B47" i="4"/>
  <c r="E34" i="4"/>
  <c r="D13" i="4"/>
  <c r="F5" i="4"/>
  <c r="E10" i="4"/>
  <c r="Y11" i="4"/>
  <c r="X40" i="4"/>
  <c r="X13" i="4"/>
  <c r="Y36" i="4"/>
  <c r="X48" i="4"/>
  <c r="Y18" i="4"/>
  <c r="X29" i="4"/>
  <c r="Y13" i="4"/>
  <c r="Y25" i="4"/>
  <c r="Y22" i="4"/>
  <c r="X12" i="4"/>
  <c r="Y5" i="4"/>
  <c r="Y8" i="4"/>
  <c r="Y16" i="4"/>
  <c r="X33" i="4"/>
  <c r="X42" i="4"/>
  <c r="X4" i="4"/>
  <c r="Y39" i="4"/>
  <c r="AG48" i="4"/>
  <c r="Y29" i="4"/>
  <c r="Y10" i="4"/>
  <c r="Y43" i="4"/>
  <c r="X49" i="4"/>
  <c r="Y46" i="4"/>
  <c r="X25" i="4"/>
  <c r="X21" i="4"/>
  <c r="X41" i="4"/>
  <c r="Y32" i="4"/>
  <c r="Y45" i="4"/>
  <c r="Y6" i="4"/>
  <c r="Y31" i="4"/>
  <c r="X23" i="4"/>
  <c r="X16" i="4"/>
  <c r="Y40" i="4"/>
  <c r="X26" i="4"/>
  <c r="Y4" i="4"/>
  <c r="X22" i="4"/>
  <c r="X36" i="4"/>
  <c r="Y37" i="4"/>
  <c r="X17" i="4"/>
  <c r="Y2" i="4"/>
  <c r="Y50" i="4"/>
  <c r="Y30" i="4"/>
  <c r="Y47" i="4"/>
  <c r="Y27" i="4"/>
  <c r="Y12" i="4"/>
  <c r="X47" i="4"/>
  <c r="X14" i="4"/>
  <c r="X5" i="4"/>
  <c r="X46" i="4"/>
  <c r="X43" i="4"/>
  <c r="X20" i="4"/>
  <c r="X11" i="4"/>
  <c r="X19" i="4"/>
  <c r="X10" i="4"/>
  <c r="Y23" i="4"/>
  <c r="X30" i="4"/>
  <c r="X50" i="4"/>
  <c r="Y3" i="4"/>
  <c r="X38" i="4"/>
  <c r="X9" i="4"/>
  <c r="X37" i="4"/>
  <c r="X31" i="4"/>
  <c r="Y14" i="4"/>
  <c r="Y9" i="4"/>
  <c r="Y24" i="4"/>
  <c r="X27" i="4"/>
  <c r="Y41" i="4"/>
  <c r="X35" i="4"/>
  <c r="Y17" i="4"/>
  <c r="Y20" i="4"/>
  <c r="X24" i="4"/>
  <c r="Y35" i="4"/>
  <c r="X45" i="4"/>
  <c r="Y7" i="4"/>
  <c r="Y48" i="4"/>
  <c r="X7" i="4"/>
  <c r="Y33" i="4"/>
  <c r="Y42" i="4"/>
  <c r="X3" i="4"/>
  <c r="X32" i="4"/>
  <c r="Y49" i="4"/>
  <c r="Y26" i="4"/>
  <c r="X28" i="4"/>
  <c r="Y19" i="4"/>
  <c r="X34" i="4"/>
  <c r="Y15" i="4"/>
  <c r="Y44" i="4"/>
  <c r="X39" i="4"/>
  <c r="X8" i="4"/>
  <c r="Y21" i="4"/>
  <c r="X44" i="4"/>
  <c r="AF34" i="4" l="1"/>
  <c r="AB34" i="4"/>
  <c r="AF31" i="4"/>
  <c r="AB31" i="4"/>
  <c r="P11" i="4"/>
  <c r="AF37" i="4"/>
  <c r="P8" i="4"/>
  <c r="P34" i="4"/>
  <c r="AF10" i="4"/>
  <c r="P10" i="4"/>
  <c r="AF8" i="4"/>
  <c r="AF22" i="4"/>
  <c r="AB22" i="4"/>
  <c r="AB8" i="4"/>
  <c r="AB10" i="4"/>
  <c r="AB37" i="4"/>
  <c r="P26" i="4"/>
  <c r="P5" i="4"/>
  <c r="AF26" i="4"/>
  <c r="AB26" i="4"/>
  <c r="AF29" i="4"/>
  <c r="P17" i="4"/>
  <c r="P13" i="4"/>
  <c r="P29" i="4"/>
  <c r="AB29" i="4"/>
  <c r="AB35" i="4"/>
  <c r="P48" i="4"/>
  <c r="AF5" i="4"/>
  <c r="AB5" i="4"/>
  <c r="P3" i="4"/>
  <c r="P22" i="4"/>
  <c r="P46" i="4"/>
  <c r="P37" i="4"/>
  <c r="P7" i="4"/>
  <c r="AF18" i="4"/>
  <c r="P18" i="4"/>
  <c r="AB18" i="4"/>
  <c r="AB40" i="4"/>
  <c r="AF40" i="4"/>
  <c r="AF11" i="4"/>
  <c r="AF46" i="4"/>
  <c r="AB46" i="4"/>
  <c r="AB11" i="4"/>
  <c r="AF16" i="4"/>
  <c r="AF42" i="4"/>
  <c r="AB42" i="4"/>
  <c r="AB16" i="4"/>
  <c r="AF35" i="4"/>
  <c r="AB13" i="4"/>
  <c r="AF13" i="4"/>
  <c r="AF33" i="4"/>
  <c r="AB33" i="4"/>
  <c r="AF17" i="4"/>
  <c r="AB17" i="4"/>
  <c r="P16" i="4"/>
  <c r="P2" i="4"/>
  <c r="AB44" i="4"/>
  <c r="AF44" i="4"/>
  <c r="P42" i="4"/>
  <c r="P39" i="4"/>
  <c r="AF9" i="4"/>
  <c r="P20" i="4"/>
  <c r="P19" i="4"/>
  <c r="P31" i="4"/>
  <c r="AF15" i="4"/>
  <c r="P44" i="4"/>
  <c r="P33" i="4"/>
  <c r="P9" i="4"/>
  <c r="AF3" i="4"/>
  <c r="P6" i="4"/>
  <c r="P38" i="4"/>
  <c r="AB9" i="4"/>
  <c r="AB3" i="4"/>
  <c r="AB15" i="4"/>
  <c r="P14" i="4"/>
  <c r="AF39" i="4"/>
  <c r="AB39" i="4"/>
  <c r="AF19" i="4"/>
  <c r="P27" i="4"/>
  <c r="P30" i="4"/>
  <c r="AF30" i="4"/>
  <c r="AF7" i="4"/>
  <c r="AB7" i="4"/>
  <c r="P23" i="4"/>
  <c r="AF4" i="4"/>
  <c r="AB41" i="4"/>
  <c r="AF41" i="4"/>
  <c r="P35" i="4"/>
  <c r="P40" i="4"/>
  <c r="P28" i="4"/>
  <c r="P25" i="4"/>
  <c r="P47" i="4"/>
  <c r="P45" i="4"/>
  <c r="P41" i="4"/>
  <c r="AF43" i="4"/>
  <c r="P4" i="4"/>
  <c r="P12" i="4"/>
  <c r="P43" i="4"/>
  <c r="P24" i="4"/>
  <c r="P21" i="4"/>
  <c r="P36" i="4"/>
  <c r="P15" i="4"/>
  <c r="P32" i="4"/>
  <c r="AB30" i="4"/>
  <c r="AB4" i="4"/>
  <c r="AB43" i="4"/>
  <c r="AB19" i="4"/>
  <c r="AF45" i="4"/>
  <c r="AF12" i="4"/>
  <c r="AF21" i="4"/>
  <c r="AB21" i="4"/>
  <c r="AF32" i="4"/>
  <c r="AF36" i="4"/>
  <c r="AB36" i="4"/>
  <c r="AF24" i="4"/>
  <c r="AB24" i="4"/>
  <c r="S48" i="4"/>
  <c r="AB12" i="4"/>
  <c r="AB32" i="4"/>
  <c r="AB45" i="4"/>
  <c r="AB25" i="4"/>
  <c r="AF25" i="4"/>
  <c r="AF14" i="4"/>
  <c r="AB14" i="4"/>
  <c r="AF20" i="4"/>
  <c r="AB20" i="4"/>
  <c r="AF6" i="4"/>
  <c r="AB6" i="4"/>
  <c r="AB27" i="4"/>
  <c r="AF27" i="4"/>
  <c r="AF38" i="4"/>
  <c r="AB38" i="4"/>
  <c r="AB47" i="4"/>
  <c r="AF47" i="4"/>
  <c r="A1" i="8"/>
  <c r="AB2" i="4"/>
  <c r="AF2" i="4"/>
  <c r="AF28" i="4"/>
  <c r="AB28" i="4"/>
  <c r="AB23" i="4"/>
  <c r="AF23" i="4"/>
  <c r="H47" i="4"/>
  <c r="H48" i="4"/>
  <c r="H2" i="4"/>
  <c r="C5" i="9"/>
  <c r="I26" i="4"/>
  <c r="K10" i="4"/>
  <c r="K25" i="4"/>
  <c r="I25" i="4"/>
  <c r="K42" i="4"/>
  <c r="M49" i="4"/>
  <c r="I13" i="4"/>
  <c r="I17" i="4"/>
  <c r="I21" i="4"/>
  <c r="K26" i="4"/>
  <c r="K32" i="4"/>
  <c r="I43" i="4"/>
  <c r="K9" i="4"/>
  <c r="I8" i="4"/>
  <c r="K36" i="4"/>
  <c r="I22" i="4"/>
  <c r="K43" i="4"/>
  <c r="K6" i="4"/>
  <c r="K21" i="4"/>
  <c r="K13" i="4"/>
  <c r="K34" i="4"/>
  <c r="I46" i="4"/>
  <c r="I35" i="4"/>
  <c r="K5" i="4"/>
  <c r="I30" i="4"/>
  <c r="K44" i="4"/>
  <c r="I28" i="4"/>
  <c r="I2" i="4"/>
  <c r="I42" i="4"/>
  <c r="I7" i="4"/>
  <c r="K30" i="4"/>
  <c r="I31" i="4"/>
  <c r="I45" i="4"/>
  <c r="I40" i="4"/>
  <c r="I47" i="4"/>
  <c r="K16" i="4"/>
  <c r="K28" i="4"/>
  <c r="K7" i="4"/>
  <c r="K41" i="4"/>
  <c r="I4" i="4"/>
  <c r="K23" i="4"/>
  <c r="K19" i="4"/>
  <c r="I38" i="4"/>
  <c r="I23" i="4"/>
  <c r="K38" i="4"/>
  <c r="I34" i="4"/>
  <c r="I33" i="4"/>
  <c r="K31" i="4"/>
  <c r="I44" i="4"/>
  <c r="I36" i="4"/>
  <c r="I12" i="4"/>
  <c r="I32" i="4"/>
  <c r="I24" i="4"/>
  <c r="I16" i="4"/>
  <c r="I3" i="4"/>
  <c r="K35" i="4"/>
  <c r="K45" i="4"/>
  <c r="K33" i="4"/>
  <c r="K37" i="4"/>
  <c r="K46" i="4"/>
  <c r="K2" i="4"/>
  <c r="K47" i="4"/>
  <c r="I11" i="4"/>
  <c r="K39" i="4"/>
  <c r="I20" i="4"/>
  <c r="K27" i="4"/>
  <c r="I39" i="4"/>
  <c r="K17" i="4"/>
  <c r="K15" i="4"/>
  <c r="K22" i="4"/>
  <c r="I14" i="4"/>
  <c r="K12" i="4"/>
  <c r="I6" i="4"/>
  <c r="K29" i="4"/>
  <c r="K18" i="4"/>
  <c r="K48" i="4"/>
  <c r="K11" i="4"/>
  <c r="I9" i="4"/>
  <c r="I48" i="4"/>
  <c r="M50" i="4"/>
  <c r="I41" i="4"/>
  <c r="I10" i="4"/>
  <c r="B3" i="8" a="1"/>
  <c r="K24" i="4"/>
  <c r="I18" i="4"/>
  <c r="K4" i="4"/>
  <c r="I15" i="4"/>
  <c r="K8" i="4"/>
  <c r="I5" i="4"/>
  <c r="I19" i="4"/>
  <c r="I37" i="4"/>
  <c r="K14" i="4"/>
  <c r="K3" i="4"/>
  <c r="K20" i="4"/>
  <c r="I29" i="4"/>
  <c r="I27" i="4"/>
  <c r="K40" i="4"/>
  <c r="Z29" i="4"/>
  <c r="N21" i="4"/>
  <c r="N25" i="4"/>
  <c r="N28" i="4"/>
  <c r="N9" i="4"/>
  <c r="Z11" i="4"/>
  <c r="N5" i="4"/>
  <c r="Z3" i="4"/>
  <c r="Z31" i="4"/>
  <c r="Z32" i="4"/>
  <c r="N38" i="4"/>
  <c r="N13" i="4"/>
  <c r="Z7" i="4"/>
  <c r="Z46" i="4"/>
  <c r="Z43" i="4"/>
  <c r="Z33" i="4"/>
  <c r="Z5" i="4"/>
  <c r="N24" i="4"/>
  <c r="N46" i="4"/>
  <c r="N45" i="4"/>
  <c r="N34" i="4"/>
  <c r="N4" i="4"/>
  <c r="N19" i="4"/>
  <c r="Z47" i="4"/>
  <c r="Z48" i="4"/>
  <c r="Z15" i="4"/>
  <c r="Z23" i="4"/>
  <c r="Z21" i="4"/>
  <c r="Z28" i="4"/>
  <c r="N30" i="4"/>
  <c r="Z22" i="4"/>
  <c r="Z4" i="4"/>
  <c r="Z10" i="4"/>
  <c r="Z6" i="4"/>
  <c r="Z26" i="4"/>
  <c r="N17" i="4"/>
  <c r="N2" i="4"/>
  <c r="Z42" i="4"/>
  <c r="N26" i="4"/>
  <c r="N7" i="4"/>
  <c r="Z17" i="4"/>
  <c r="N31" i="4"/>
  <c r="N33" i="4"/>
  <c r="Z36" i="4"/>
  <c r="Z45" i="4"/>
  <c r="N14" i="4"/>
  <c r="N3" i="4"/>
  <c r="N6" i="4"/>
  <c r="Z30" i="4"/>
  <c r="N48" i="4"/>
  <c r="Z39" i="4"/>
  <c r="Z18" i="4"/>
  <c r="N39" i="4"/>
  <c r="N11" i="4"/>
  <c r="Z35" i="4"/>
  <c r="N18" i="4"/>
  <c r="Z2" i="4"/>
  <c r="Z24" i="4"/>
  <c r="Z12" i="4"/>
  <c r="N20" i="4"/>
  <c r="N12" i="4"/>
  <c r="N37" i="4"/>
  <c r="Z9" i="4"/>
  <c r="N22" i="4"/>
  <c r="Z19" i="4"/>
  <c r="Z41" i="4"/>
  <c r="Z34" i="4"/>
  <c r="N40" i="4"/>
  <c r="N29" i="4"/>
  <c r="N15" i="4"/>
  <c r="N42" i="4"/>
  <c r="Z27" i="4"/>
  <c r="Z8" i="4"/>
  <c r="N36" i="4"/>
  <c r="Z25" i="4"/>
  <c r="N35" i="4"/>
  <c r="N23" i="4"/>
  <c r="Z13" i="4"/>
  <c r="Z14" i="4"/>
  <c r="N44" i="4"/>
  <c r="Z40" i="4"/>
  <c r="N43" i="4"/>
  <c r="Z38" i="4"/>
  <c r="N8" i="4"/>
  <c r="N10" i="4"/>
  <c r="N41" i="4"/>
  <c r="N47" i="4"/>
  <c r="N32" i="4"/>
  <c r="N16" i="4"/>
  <c r="Z44" i="4"/>
  <c r="Z37" i="4"/>
  <c r="Z20" i="4"/>
  <c r="Z16" i="4"/>
  <c r="N27" i="4"/>
  <c r="Z32" i="8" l="1"/>
  <c r="B12" i="6"/>
  <c r="R67" i="8"/>
  <c r="S49" i="8"/>
  <c r="M36" i="8"/>
  <c r="K24" i="8"/>
  <c r="U42" i="8"/>
  <c r="I36" i="8"/>
  <c r="T7" i="8"/>
  <c r="C56" i="8"/>
  <c r="S6" i="8"/>
  <c r="M34" i="8"/>
  <c r="E17" i="8"/>
  <c r="N40" i="8"/>
  <c r="B14" i="8"/>
  <c r="P61" i="8"/>
  <c r="F22" i="8"/>
  <c r="D67" i="8"/>
  <c r="O49" i="8"/>
  <c r="S14" i="8"/>
  <c r="C23" i="8"/>
  <c r="L66" i="8"/>
  <c r="O12" i="8"/>
  <c r="F58" i="8"/>
  <c r="I60" i="8"/>
  <c r="J59" i="8"/>
  <c r="B7" i="8"/>
  <c r="F50" i="8"/>
  <c r="C52" i="8"/>
  <c r="I3" i="8"/>
  <c r="O3" i="8"/>
  <c r="F18" i="8"/>
  <c r="G57" i="8"/>
  <c r="L19" i="8"/>
  <c r="C9" i="8"/>
  <c r="S29" i="8"/>
  <c r="C31" i="8"/>
  <c r="L11" i="8"/>
  <c r="O35" i="8"/>
  <c r="L53" i="8"/>
  <c r="G32" i="8"/>
  <c r="E32" i="8"/>
  <c r="C40" i="8"/>
  <c r="B61" i="8"/>
  <c r="N39" i="8"/>
  <c r="H54" i="8"/>
  <c r="D46" i="8"/>
  <c r="O37" i="8"/>
  <c r="B66" i="8"/>
  <c r="R49" i="8"/>
  <c r="B48" i="8"/>
  <c r="K47" i="8"/>
  <c r="U12" i="8"/>
  <c r="D44" i="8"/>
  <c r="D13" i="8"/>
  <c r="I46" i="8"/>
  <c r="O19" i="8"/>
  <c r="F39" i="8"/>
  <c r="D35" i="8"/>
  <c r="J43" i="8"/>
  <c r="E52" i="8"/>
  <c r="K18" i="8"/>
  <c r="F57" i="8"/>
  <c r="M26" i="8"/>
  <c r="C35" i="8"/>
  <c r="O16" i="8"/>
  <c r="F55" i="8"/>
  <c r="U34" i="8"/>
  <c r="P34" i="8"/>
  <c r="H52" i="8"/>
  <c r="B20" i="8"/>
  <c r="H21" i="8"/>
  <c r="T62" i="8"/>
  <c r="T18" i="8"/>
  <c r="Q36" i="8"/>
  <c r="U48" i="8"/>
  <c r="G28" i="8"/>
  <c r="F9" i="8"/>
  <c r="Q44" i="8"/>
  <c r="R61" i="8"/>
  <c r="M49" i="8"/>
  <c r="P27" i="8"/>
  <c r="E13" i="8"/>
  <c r="T29" i="8"/>
  <c r="H30" i="8"/>
  <c r="Q64" i="8"/>
  <c r="M64" i="8"/>
  <c r="M45" i="8"/>
  <c r="S5" i="8"/>
  <c r="H17" i="8"/>
  <c r="J22" i="8"/>
  <c r="H39" i="8"/>
  <c r="E39" i="8"/>
  <c r="N37" i="8"/>
  <c r="M35" i="8"/>
  <c r="N44" i="8"/>
  <c r="N64" i="8"/>
  <c r="U55" i="8"/>
  <c r="O41" i="8"/>
  <c r="U33" i="8"/>
  <c r="G59" i="8"/>
  <c r="B27" i="8"/>
  <c r="Q17" i="8"/>
  <c r="O52" i="8"/>
  <c r="K51" i="8"/>
  <c r="M31" i="8"/>
  <c r="P17" i="8"/>
  <c r="G22" i="8"/>
  <c r="U18" i="8"/>
  <c r="D17" i="8"/>
  <c r="M11" i="8"/>
  <c r="G41" i="8"/>
  <c r="D28" i="8"/>
  <c r="E48" i="8"/>
  <c r="R60" i="8"/>
  <c r="F41" i="8"/>
  <c r="S25" i="8"/>
  <c r="J58" i="8"/>
  <c r="L5" i="8"/>
  <c r="M21" i="8"/>
  <c r="I64" i="8"/>
  <c r="U14" i="8"/>
  <c r="C48" i="8"/>
  <c r="L41" i="8"/>
  <c r="E50" i="8"/>
  <c r="L27" i="8"/>
  <c r="G63" i="8"/>
  <c r="F48" i="8"/>
  <c r="L32" i="8"/>
  <c r="H64" i="8"/>
  <c r="I47" i="8"/>
  <c r="S41" i="8"/>
  <c r="D24" i="8"/>
  <c r="N48" i="8"/>
  <c r="R19" i="8"/>
  <c r="C41" i="8"/>
  <c r="S23" i="8"/>
  <c r="C53" i="8"/>
  <c r="T66" i="8"/>
  <c r="Q50" i="8"/>
  <c r="R29" i="8"/>
  <c r="G8" i="8"/>
  <c r="J30" i="8"/>
  <c r="J66" i="8"/>
  <c r="C30" i="8"/>
  <c r="G58" i="8"/>
  <c r="F14" i="8"/>
  <c r="L51" i="8"/>
  <c r="B45" i="8"/>
  <c r="R58" i="8"/>
  <c r="F6" i="8"/>
  <c r="N61" i="8"/>
  <c r="C46" i="8"/>
  <c r="B30" i="8"/>
  <c r="S22" i="8"/>
  <c r="J48" i="8"/>
  <c r="Q54" i="8"/>
  <c r="L64" i="8"/>
  <c r="C8" i="8"/>
  <c r="K44" i="8"/>
  <c r="T25" i="8"/>
  <c r="K17" i="8"/>
  <c r="I21" i="8"/>
  <c r="Q59" i="8"/>
  <c r="Q8" i="8"/>
  <c r="K26" i="8"/>
  <c r="F44" i="8"/>
  <c r="C26" i="8"/>
  <c r="N50" i="8"/>
  <c r="D6" i="8"/>
  <c r="N58" i="8"/>
  <c r="R36" i="8"/>
  <c r="G9" i="8"/>
  <c r="I32" i="8"/>
  <c r="L30" i="8"/>
  <c r="B26" i="8"/>
  <c r="E18" i="8"/>
  <c r="B35" i="8"/>
  <c r="T10" i="8"/>
  <c r="K57" i="8"/>
  <c r="D57" i="8"/>
  <c r="P43" i="8"/>
  <c r="Q26" i="8"/>
  <c r="H56" i="8"/>
  <c r="M3" i="8"/>
  <c r="G10" i="8"/>
  <c r="R55" i="8"/>
  <c r="F8" i="8"/>
  <c r="B9" i="8"/>
  <c r="H38" i="8"/>
  <c r="H40" i="8"/>
  <c r="E47" i="8"/>
  <c r="L35" i="8"/>
  <c r="F24" i="8"/>
  <c r="N24" i="8"/>
  <c r="J12" i="8"/>
  <c r="I14" i="8"/>
  <c r="D19" i="8"/>
  <c r="E42" i="8"/>
  <c r="J55" i="8"/>
  <c r="D45" i="8"/>
  <c r="P56" i="8"/>
  <c r="B46" i="8"/>
  <c r="I6" i="8"/>
  <c r="L10" i="8"/>
  <c r="G25" i="8"/>
  <c r="B41" i="8"/>
  <c r="U27" i="8"/>
  <c r="S56" i="8"/>
  <c r="P59" i="8"/>
  <c r="M14" i="8"/>
  <c r="K7" i="8"/>
  <c r="I27" i="8"/>
  <c r="J67" i="8"/>
  <c r="Q29" i="8"/>
  <c r="E19" i="8"/>
  <c r="F65" i="8"/>
  <c r="R37" i="8"/>
  <c r="T60" i="8"/>
  <c r="R4" i="8"/>
  <c r="I34" i="8"/>
  <c r="J5" i="8"/>
  <c r="E6" i="8"/>
  <c r="T32" i="8"/>
  <c r="O30" i="8"/>
  <c r="R13" i="8"/>
  <c r="R54" i="8"/>
  <c r="J3" i="8"/>
  <c r="C22" i="8"/>
  <c r="J40" i="8"/>
  <c r="E54" i="8"/>
  <c r="H65" i="8"/>
  <c r="Q23" i="8"/>
  <c r="F45" i="8"/>
  <c r="N35" i="8"/>
  <c r="R44" i="8"/>
  <c r="Q41" i="8"/>
  <c r="T47" i="8"/>
  <c r="U66" i="8"/>
  <c r="R7" i="8"/>
  <c r="T61" i="8"/>
  <c r="T20" i="8"/>
  <c r="I15" i="8"/>
  <c r="E35" i="8"/>
  <c r="J57" i="8"/>
  <c r="U9" i="8"/>
  <c r="O14" i="8"/>
  <c r="T45" i="8"/>
  <c r="Q62" i="8"/>
  <c r="Q39" i="8"/>
  <c r="Q3" i="8"/>
  <c r="J42" i="8"/>
  <c r="J45" i="8"/>
  <c r="R65" i="8"/>
  <c r="T58" i="8"/>
  <c r="D11" i="8"/>
  <c r="O59" i="8"/>
  <c r="M41" i="8"/>
  <c r="O34" i="8"/>
  <c r="D38" i="8"/>
  <c r="H19" i="8"/>
  <c r="C57" i="8"/>
  <c r="G44" i="8"/>
  <c r="M32" i="8"/>
  <c r="N30" i="8"/>
  <c r="P21" i="8"/>
  <c r="H34" i="8"/>
  <c r="S12" i="8"/>
  <c r="S13" i="8"/>
  <c r="B47" i="8"/>
  <c r="K49" i="8"/>
  <c r="L37" i="8"/>
  <c r="E61" i="8"/>
  <c r="O66" i="8"/>
  <c r="R38" i="8"/>
  <c r="T57" i="8"/>
  <c r="C58" i="8"/>
  <c r="Q51" i="8"/>
  <c r="C6" i="8"/>
  <c r="G33" i="8"/>
  <c r="O39" i="8"/>
  <c r="M52" i="8"/>
  <c r="K20" i="8"/>
  <c r="J11" i="8"/>
  <c r="J54" i="8"/>
  <c r="J14" i="8"/>
  <c r="C32" i="8"/>
  <c r="J31" i="8"/>
  <c r="E53" i="8"/>
  <c r="S16" i="8"/>
  <c r="Q21" i="8"/>
  <c r="U21" i="8"/>
  <c r="J26" i="8"/>
  <c r="N11" i="8"/>
  <c r="T38" i="8"/>
  <c r="S30" i="8"/>
  <c r="F11" i="8"/>
  <c r="T41" i="8"/>
  <c r="M5" i="8"/>
  <c r="S50" i="8"/>
  <c r="G47" i="8"/>
  <c r="T67" i="8"/>
  <c r="D5" i="8"/>
  <c r="C63" i="8"/>
  <c r="B19" i="8"/>
  <c r="M8" i="8"/>
  <c r="I45" i="8"/>
  <c r="T44" i="8"/>
  <c r="T34" i="8"/>
  <c r="H4" i="8"/>
  <c r="M63" i="8"/>
  <c r="C39" i="8"/>
  <c r="O33" i="8"/>
  <c r="I53" i="8"/>
  <c r="G49" i="8"/>
  <c r="G15" i="8"/>
  <c r="U39" i="8"/>
  <c r="F62" i="8"/>
  <c r="F34" i="8"/>
  <c r="U8" i="8"/>
  <c r="D20" i="8"/>
  <c r="U19" i="8"/>
  <c r="P22" i="8"/>
  <c r="L57" i="8"/>
  <c r="C27" i="8"/>
  <c r="E21" i="8"/>
  <c r="J63" i="8"/>
  <c r="I51" i="8"/>
  <c r="C25" i="8"/>
  <c r="I42" i="8"/>
  <c r="T54" i="8"/>
  <c r="H48" i="8"/>
  <c r="M50" i="8"/>
  <c r="T30" i="8"/>
  <c r="U26" i="8"/>
  <c r="S53" i="8"/>
  <c r="B12" i="8"/>
  <c r="U10" i="8"/>
  <c r="D3" i="8"/>
  <c r="O22" i="8"/>
  <c r="M61" i="8"/>
  <c r="R47" i="8"/>
  <c r="O54" i="8"/>
  <c r="G53" i="8"/>
  <c r="K53" i="8"/>
  <c r="M51" i="8"/>
  <c r="E10" i="8"/>
  <c r="C5" i="8"/>
  <c r="K43" i="8"/>
  <c r="L8" i="8"/>
  <c r="O31" i="8"/>
  <c r="P19" i="8"/>
  <c r="F19" i="8"/>
  <c r="J37" i="8"/>
  <c r="D37" i="8"/>
  <c r="S33" i="8"/>
  <c r="L42" i="8"/>
  <c r="L58" i="8"/>
  <c r="D23" i="8"/>
  <c r="E38" i="8"/>
  <c r="H10" i="8"/>
  <c r="T35" i="8"/>
  <c r="P41" i="8"/>
  <c r="O9" i="8"/>
  <c r="T5" i="8"/>
  <c r="L9" i="8"/>
  <c r="J15" i="8"/>
  <c r="I24" i="8"/>
  <c r="C24" i="8"/>
  <c r="S27" i="8"/>
  <c r="S60" i="8"/>
  <c r="P7" i="8"/>
  <c r="P45" i="8"/>
  <c r="T17" i="8"/>
  <c r="P12" i="8"/>
  <c r="Q34" i="8"/>
  <c r="P25" i="8"/>
  <c r="D25" i="8"/>
  <c r="R41" i="8"/>
  <c r="N13" i="8"/>
  <c r="P62" i="8"/>
  <c r="E49" i="8"/>
  <c r="M27" i="8"/>
  <c r="E15" i="8"/>
  <c r="B56" i="8"/>
  <c r="T55" i="8"/>
  <c r="L14" i="8"/>
  <c r="Q46" i="8"/>
  <c r="R59" i="8"/>
  <c r="E62" i="8"/>
  <c r="I56" i="8"/>
  <c r="K50" i="8"/>
  <c r="S21" i="8"/>
  <c r="H28" i="8"/>
  <c r="E44" i="8"/>
  <c r="S36" i="8"/>
  <c r="G21" i="8"/>
  <c r="H25" i="8"/>
  <c r="T53" i="8"/>
  <c r="J39" i="8"/>
  <c r="H42" i="8"/>
  <c r="J27" i="8"/>
  <c r="O55" i="8"/>
  <c r="F67" i="8"/>
  <c r="F46" i="8"/>
  <c r="B31" i="8"/>
  <c r="E55" i="8"/>
  <c r="J21" i="8"/>
  <c r="R34" i="8"/>
  <c r="H23" i="8"/>
  <c r="N21" i="8"/>
  <c r="N54" i="8"/>
  <c r="D34" i="8"/>
  <c r="E27" i="8"/>
  <c r="J25" i="8"/>
  <c r="S51" i="8"/>
  <c r="K41" i="8"/>
  <c r="C64" i="8"/>
  <c r="B22" i="8"/>
  <c r="Q15" i="8"/>
  <c r="O61" i="8"/>
  <c r="T65" i="8"/>
  <c r="R9" i="8"/>
  <c r="K56" i="8"/>
  <c r="M7" i="8"/>
  <c r="D61" i="8"/>
  <c r="H51" i="8"/>
  <c r="Q67" i="8"/>
  <c r="N60" i="8"/>
  <c r="J49" i="8"/>
  <c r="O28" i="8"/>
  <c r="K8" i="8"/>
  <c r="R3" i="8"/>
  <c r="C66" i="8"/>
  <c r="R18" i="8"/>
  <c r="R48" i="8"/>
  <c r="P33" i="8"/>
  <c r="M30" i="8"/>
  <c r="Q60" i="8"/>
  <c r="H47" i="8"/>
  <c r="L44" i="8"/>
  <c r="R27" i="8"/>
  <c r="E63" i="8"/>
  <c r="D15" i="8"/>
  <c r="N18" i="8"/>
  <c r="U11" i="8"/>
  <c r="N31" i="8"/>
  <c r="K27" i="8"/>
  <c r="N12" i="8"/>
  <c r="E28" i="8"/>
  <c r="H15" i="8"/>
  <c r="B23" i="8"/>
  <c r="L29" i="8"/>
  <c r="L7" i="8"/>
  <c r="E41" i="8"/>
  <c r="P30" i="8"/>
  <c r="O26" i="8"/>
  <c r="O10" i="8"/>
  <c r="J62" i="8"/>
  <c r="B5" i="8"/>
  <c r="O13" i="8"/>
  <c r="J56" i="8"/>
  <c r="U32" i="8"/>
  <c r="G19" i="8"/>
  <c r="Q24" i="8"/>
  <c r="Q65" i="8"/>
  <c r="J35" i="8"/>
  <c r="S58" i="8"/>
  <c r="O11" i="8"/>
  <c r="H43" i="8"/>
  <c r="Q31" i="8"/>
  <c r="C55" i="8"/>
  <c r="B21" i="8"/>
  <c r="F7" i="8"/>
  <c r="M12" i="8"/>
  <c r="K54" i="8"/>
  <c r="D27" i="8"/>
  <c r="U60" i="8"/>
  <c r="H55" i="8"/>
  <c r="B3" i="8"/>
  <c r="N67" i="8"/>
  <c r="S10" i="8"/>
  <c r="G29" i="8"/>
  <c r="U15" i="8"/>
  <c r="E34" i="8"/>
  <c r="N42" i="8"/>
  <c r="Q12" i="8"/>
  <c r="R52" i="8"/>
  <c r="O43" i="8"/>
  <c r="K31" i="8"/>
  <c r="F66" i="8"/>
  <c r="U6" i="8"/>
  <c r="K45" i="8"/>
  <c r="N43" i="8"/>
  <c r="E16" i="8"/>
  <c r="E67" i="8"/>
  <c r="S3" i="8"/>
  <c r="L12" i="8"/>
  <c r="D62" i="8"/>
  <c r="E45" i="8"/>
  <c r="F37" i="8"/>
  <c r="C51" i="8"/>
  <c r="L31" i="8"/>
  <c r="H3" i="8"/>
  <c r="K19" i="8"/>
  <c r="U49" i="8"/>
  <c r="S42" i="8"/>
  <c r="L43" i="8"/>
  <c r="J47" i="8"/>
  <c r="H66" i="8"/>
  <c r="N17" i="8"/>
  <c r="B34" i="8"/>
  <c r="R46" i="8"/>
  <c r="J46" i="8"/>
  <c r="D33" i="8"/>
  <c r="B25" i="8"/>
  <c r="Q22" i="8"/>
  <c r="R66" i="8"/>
  <c r="D40" i="8"/>
  <c r="P35" i="8"/>
  <c r="P23" i="8"/>
  <c r="P54" i="8"/>
  <c r="J8" i="8"/>
  <c r="P48" i="8"/>
  <c r="P60" i="8"/>
  <c r="F38" i="8"/>
  <c r="I54" i="8"/>
  <c r="O18" i="8"/>
  <c r="E4" i="8"/>
  <c r="L67" i="8"/>
  <c r="U23" i="8"/>
  <c r="G48" i="8"/>
  <c r="P55" i="8"/>
  <c r="K16" i="8"/>
  <c r="Q55" i="8"/>
  <c r="B44" i="8"/>
  <c r="H6" i="8"/>
  <c r="K36" i="8"/>
  <c r="G64" i="8"/>
  <c r="N56" i="8"/>
  <c r="K6" i="8"/>
  <c r="B42" i="8"/>
  <c r="F40" i="8"/>
  <c r="M54" i="8"/>
  <c r="Q66" i="8"/>
  <c r="U7" i="8"/>
  <c r="K67" i="8"/>
  <c r="M57" i="8"/>
  <c r="D52" i="8"/>
  <c r="F27" i="8"/>
  <c r="D47" i="8"/>
  <c r="C7" i="8"/>
  <c r="B4" i="8"/>
  <c r="Q32" i="8"/>
  <c r="R14" i="8"/>
  <c r="T26" i="8"/>
  <c r="J36" i="8"/>
  <c r="B58" i="8"/>
  <c r="O62" i="8"/>
  <c r="M42" i="8"/>
  <c r="R57" i="8"/>
  <c r="M37" i="8"/>
  <c r="E33" i="8"/>
  <c r="E24" i="8"/>
  <c r="Q57" i="8"/>
  <c r="O38" i="8"/>
  <c r="O29" i="8"/>
  <c r="L4" i="8"/>
  <c r="D42" i="8"/>
  <c r="N22" i="8"/>
  <c r="D32" i="8"/>
  <c r="D65" i="8"/>
  <c r="P58" i="8"/>
  <c r="K34" i="8"/>
  <c r="I17" i="8"/>
  <c r="P52" i="8"/>
  <c r="U41" i="8"/>
  <c r="M18" i="8"/>
  <c r="K63" i="8"/>
  <c r="S39" i="8"/>
  <c r="N27" i="8"/>
  <c r="T46" i="8"/>
  <c r="U61" i="8"/>
  <c r="I66" i="8"/>
  <c r="P63" i="8"/>
  <c r="N7" i="8"/>
  <c r="D7" i="8"/>
  <c r="E31" i="8"/>
  <c r="O51" i="8"/>
  <c r="U47" i="8"/>
  <c r="S57" i="8"/>
  <c r="M19" i="8"/>
  <c r="N59" i="8"/>
  <c r="D41" i="8"/>
  <c r="K40" i="8"/>
  <c r="N20" i="8"/>
  <c r="O46" i="8"/>
  <c r="U17" i="8"/>
  <c r="K35" i="8"/>
  <c r="F12" i="8"/>
  <c r="U62" i="8"/>
  <c r="P28" i="8"/>
  <c r="B49" i="8"/>
  <c r="P64" i="8"/>
  <c r="D64" i="8"/>
  <c r="J4" i="8"/>
  <c r="E7" i="8"/>
  <c r="N16" i="8"/>
  <c r="U38" i="8"/>
  <c r="H26" i="8"/>
  <c r="P26" i="8"/>
  <c r="Q52" i="8"/>
  <c r="U65" i="8"/>
  <c r="H8" i="8"/>
  <c r="K55" i="8"/>
  <c r="M47" i="8"/>
  <c r="B54" i="8"/>
  <c r="G7" i="8"/>
  <c r="T19" i="8"/>
  <c r="F5" i="8"/>
  <c r="L55" i="8"/>
  <c r="H37" i="8"/>
  <c r="I30" i="8"/>
  <c r="R26" i="8"/>
  <c r="N45" i="8"/>
  <c r="I63" i="8"/>
  <c r="K14" i="8"/>
  <c r="C18" i="8"/>
  <c r="R30" i="8"/>
  <c r="B57" i="8"/>
  <c r="E60" i="8"/>
  <c r="J6" i="8"/>
  <c r="F28" i="8"/>
  <c r="U58" i="8"/>
  <c r="L65" i="8"/>
  <c r="C37" i="8"/>
  <c r="D66" i="8"/>
  <c r="F23" i="8"/>
  <c r="F4" i="8"/>
  <c r="F15" i="8"/>
  <c r="M55" i="8"/>
  <c r="O56" i="8"/>
  <c r="U67" i="8"/>
  <c r="J51" i="8"/>
  <c r="F16" i="8"/>
  <c r="H18" i="8"/>
  <c r="G6" i="8"/>
  <c r="P3" i="8"/>
  <c r="B51" i="8"/>
  <c r="I10" i="8"/>
  <c r="C15" i="8"/>
  <c r="I23" i="8"/>
  <c r="L16" i="8"/>
  <c r="O42" i="8"/>
  <c r="F29" i="8"/>
  <c r="Q47" i="8"/>
  <c r="G27" i="8"/>
  <c r="C12" i="8"/>
  <c r="S46" i="8"/>
  <c r="R5" i="8"/>
  <c r="H13" i="8"/>
  <c r="G35" i="8"/>
  <c r="U25" i="8"/>
  <c r="I7" i="8"/>
  <c r="R42" i="8"/>
  <c r="O40" i="8"/>
  <c r="L23" i="8"/>
  <c r="S7" i="8"/>
  <c r="S32" i="8"/>
  <c r="B11" i="8"/>
  <c r="G36" i="8"/>
  <c r="U5" i="8"/>
  <c r="E30" i="8"/>
  <c r="J32" i="8"/>
  <c r="B50" i="8"/>
  <c r="N62" i="8"/>
  <c r="J20" i="8"/>
  <c r="F47" i="8"/>
  <c r="G40" i="8"/>
  <c r="U16" i="8"/>
  <c r="R23" i="8"/>
  <c r="U50" i="8"/>
  <c r="U46" i="8"/>
  <c r="R17" i="8"/>
  <c r="O44" i="8"/>
  <c r="U35" i="8"/>
  <c r="M15" i="8"/>
  <c r="T63" i="8"/>
  <c r="K21" i="8"/>
  <c r="Q61" i="8"/>
  <c r="T52" i="8"/>
  <c r="U13" i="8"/>
  <c r="Q56" i="8"/>
  <c r="B63" i="8"/>
  <c r="K9" i="8"/>
  <c r="F13" i="8"/>
  <c r="E3" i="8"/>
  <c r="I35" i="8"/>
  <c r="C67" i="8"/>
  <c r="J53" i="8"/>
  <c r="M62" i="8"/>
  <c r="N10" i="8"/>
  <c r="E26" i="8"/>
  <c r="N29" i="8"/>
  <c r="F51" i="8"/>
  <c r="D10" i="8"/>
  <c r="N5" i="8"/>
  <c r="P42" i="8"/>
  <c r="L60" i="8"/>
  <c r="F54" i="8"/>
  <c r="G56" i="8"/>
  <c r="F21" i="8"/>
  <c r="R33" i="8"/>
  <c r="G34" i="8"/>
  <c r="K12" i="8"/>
  <c r="S45" i="8"/>
  <c r="L47" i="8"/>
  <c r="P65" i="8"/>
  <c r="F20" i="8"/>
  <c r="D36" i="8"/>
  <c r="J28" i="8"/>
  <c r="B10" i="8"/>
  <c r="Q53" i="8"/>
  <c r="L13" i="8"/>
  <c r="L46" i="8"/>
  <c r="B38" i="8"/>
  <c r="L52" i="8"/>
  <c r="C36" i="8"/>
  <c r="H36" i="8"/>
  <c r="D29" i="8"/>
  <c r="K13" i="8"/>
  <c r="C49" i="8"/>
  <c r="Q10" i="8"/>
  <c r="T36" i="8"/>
  <c r="D60" i="8"/>
  <c r="S38" i="8"/>
  <c r="J33" i="8"/>
  <c r="G61" i="8"/>
  <c r="R35" i="8"/>
  <c r="C45" i="8"/>
  <c r="G24" i="8"/>
  <c r="G50" i="8"/>
  <c r="N28" i="8"/>
  <c r="L25" i="8"/>
  <c r="G45" i="8"/>
  <c r="P37" i="8"/>
  <c r="R8" i="8"/>
  <c r="Q13" i="8"/>
  <c r="B15" i="8"/>
  <c r="P32" i="8"/>
  <c r="D9" i="8"/>
  <c r="O32" i="8"/>
  <c r="H63" i="8"/>
  <c r="B8" i="8"/>
  <c r="S19" i="8"/>
  <c r="Q63" i="8"/>
  <c r="G11" i="8"/>
  <c r="E9" i="8"/>
  <c r="M17" i="8"/>
  <c r="I8" i="8"/>
  <c r="C54" i="8"/>
  <c r="M65" i="8"/>
  <c r="U52" i="8"/>
  <c r="G66" i="8"/>
  <c r="T31" i="8"/>
  <c r="N6" i="8"/>
  <c r="T40" i="8"/>
  <c r="N32" i="8"/>
  <c r="U54" i="8"/>
  <c r="B29" i="8"/>
  <c r="H62" i="8"/>
  <c r="D8" i="8"/>
  <c r="K39" i="8"/>
  <c r="P31" i="8"/>
  <c r="Q38" i="8"/>
  <c r="O58" i="8"/>
  <c r="L48" i="8"/>
  <c r="I33" i="8"/>
  <c r="I44" i="8"/>
  <c r="O36" i="8"/>
  <c r="J17" i="8"/>
  <c r="I55" i="8"/>
  <c r="D59" i="8"/>
  <c r="D22" i="8"/>
  <c r="L21" i="8"/>
  <c r="K4" i="8"/>
  <c r="M24" i="8"/>
  <c r="R64" i="8"/>
  <c r="D18" i="8"/>
  <c r="K66" i="8"/>
  <c r="E5" i="8"/>
  <c r="E46" i="8"/>
  <c r="H14" i="8"/>
  <c r="G43" i="8"/>
  <c r="M28" i="8"/>
  <c r="H32" i="8"/>
  <c r="P47" i="8"/>
  <c r="O27" i="8"/>
  <c r="F17" i="8"/>
  <c r="P39" i="8"/>
  <c r="G60" i="8"/>
  <c r="L56" i="8"/>
  <c r="R21" i="8"/>
  <c r="J29" i="8"/>
  <c r="L61" i="8"/>
  <c r="E64" i="8"/>
  <c r="L20" i="8"/>
  <c r="S63" i="8"/>
  <c r="E8" i="8"/>
  <c r="F35" i="8"/>
  <c r="J38" i="8"/>
  <c r="O57" i="8"/>
  <c r="L6" i="8"/>
  <c r="I16" i="8"/>
  <c r="R53" i="8"/>
  <c r="T39" i="8"/>
  <c r="M58" i="8"/>
  <c r="C17" i="8"/>
  <c r="I19" i="8"/>
  <c r="T6" i="8"/>
  <c r="T50" i="8"/>
  <c r="R40" i="8"/>
  <c r="F59" i="8"/>
  <c r="I62" i="8"/>
  <c r="F42" i="8"/>
  <c r="G5" i="8"/>
  <c r="R62" i="8"/>
  <c r="G31" i="8"/>
  <c r="F10" i="8"/>
  <c r="C4" i="8"/>
  <c r="J41" i="8"/>
  <c r="Q27" i="8"/>
  <c r="U37" i="8"/>
  <c r="H16" i="8"/>
  <c r="P49" i="8"/>
  <c r="S24" i="8"/>
  <c r="K33" i="8"/>
  <c r="S43" i="8"/>
  <c r="S48" i="8"/>
  <c r="T16" i="8"/>
  <c r="R10" i="8"/>
  <c r="P38" i="8"/>
  <c r="Q4" i="8"/>
  <c r="S61" i="8"/>
  <c r="H58" i="8"/>
  <c r="H41" i="8"/>
  <c r="I31" i="8"/>
  <c r="B36" i="8"/>
  <c r="P11" i="8"/>
  <c r="F36" i="8"/>
  <c r="R15" i="8"/>
  <c r="M33" i="8"/>
  <c r="D58" i="8"/>
  <c r="B39" i="8"/>
  <c r="C43" i="8"/>
  <c r="J44" i="8"/>
  <c r="P10" i="8"/>
  <c r="F31" i="8"/>
  <c r="S65" i="8"/>
  <c r="B60" i="8"/>
  <c r="I43" i="8"/>
  <c r="I13" i="8"/>
  <c r="R39" i="8"/>
  <c r="O64" i="8"/>
  <c r="P20" i="8"/>
  <c r="U40" i="8"/>
  <c r="F3" i="8"/>
  <c r="K15" i="8"/>
  <c r="H9" i="8"/>
  <c r="C21" i="8"/>
  <c r="I20" i="8"/>
  <c r="E65" i="8"/>
  <c r="I59" i="8"/>
  <c r="L50" i="8"/>
  <c r="I22" i="8"/>
  <c r="P67" i="8"/>
  <c r="S17" i="8"/>
  <c r="L18" i="8"/>
  <c r="K65" i="8"/>
  <c r="N25" i="8"/>
  <c r="U53" i="8"/>
  <c r="J9" i="8"/>
  <c r="D63" i="8"/>
  <c r="N3" i="8"/>
  <c r="M44" i="8"/>
  <c r="K25" i="8"/>
  <c r="S40" i="8"/>
  <c r="L38" i="8"/>
  <c r="O53" i="8"/>
  <c r="C20" i="8"/>
  <c r="C44" i="8"/>
  <c r="E11" i="8"/>
  <c r="T21" i="8"/>
  <c r="E57" i="8"/>
  <c r="T4" i="8"/>
  <c r="R24" i="8"/>
  <c r="I49" i="8"/>
  <c r="N14" i="8"/>
  <c r="S37" i="8"/>
  <c r="K30" i="8"/>
  <c r="I50" i="8"/>
  <c r="G30" i="8"/>
  <c r="P57" i="8"/>
  <c r="P66" i="8"/>
  <c r="N55" i="8"/>
  <c r="I40" i="8"/>
  <c r="M16" i="8"/>
  <c r="R6" i="8"/>
  <c r="O15" i="8"/>
  <c r="C50" i="8"/>
  <c r="M66" i="8"/>
  <c r="L45" i="8"/>
  <c r="R31" i="8"/>
  <c r="H49" i="8"/>
  <c r="K48" i="8"/>
  <c r="H33" i="8"/>
  <c r="R32" i="8"/>
  <c r="Q35" i="8"/>
  <c r="N23" i="8"/>
  <c r="G16" i="8"/>
  <c r="Q5" i="8"/>
  <c r="T59" i="8"/>
  <c r="Q45" i="8"/>
  <c r="I11" i="8"/>
  <c r="E29" i="8"/>
  <c r="J16" i="8"/>
  <c r="U64" i="8"/>
  <c r="Q48" i="8"/>
  <c r="R50" i="8"/>
  <c r="N34" i="8"/>
  <c r="N8" i="8"/>
  <c r="P16" i="8"/>
  <c r="S35" i="8"/>
  <c r="U56" i="8"/>
  <c r="T11" i="8"/>
  <c r="E43" i="8"/>
  <c r="B67" i="8"/>
  <c r="H46" i="8"/>
  <c r="I9" i="8"/>
  <c r="F26" i="8"/>
  <c r="O21" i="8"/>
  <c r="P15" i="8"/>
  <c r="E23" i="8"/>
  <c r="D26" i="8"/>
  <c r="M43" i="8"/>
  <c r="D54" i="8"/>
  <c r="T27" i="8"/>
  <c r="N36" i="8"/>
  <c r="F32" i="8"/>
  <c r="Q30" i="8"/>
  <c r="N51" i="8"/>
  <c r="H12" i="8"/>
  <c r="R63" i="8"/>
  <c r="H27" i="8"/>
  <c r="M39" i="8"/>
  <c r="I18" i="8"/>
  <c r="H67" i="8"/>
  <c r="U57" i="8"/>
  <c r="D4" i="8"/>
  <c r="G13" i="8"/>
  <c r="H20" i="8"/>
  <c r="D43" i="8"/>
  <c r="R28" i="8"/>
  <c r="P13" i="8"/>
  <c r="S15" i="8"/>
  <c r="F49" i="8"/>
  <c r="F60" i="8"/>
  <c r="S64" i="8"/>
  <c r="C3" i="8"/>
  <c r="U44" i="8"/>
  <c r="C28" i="8"/>
  <c r="K11" i="8"/>
  <c r="P40" i="8"/>
  <c r="K29" i="8"/>
  <c r="T28" i="8"/>
  <c r="T37" i="8"/>
  <c r="L36" i="8"/>
  <c r="C29" i="8"/>
  <c r="I39" i="8"/>
  <c r="H44" i="8"/>
  <c r="L33" i="8"/>
  <c r="T48" i="8"/>
  <c r="I65" i="8"/>
  <c r="J61" i="8"/>
  <c r="H7" i="8"/>
  <c r="S52" i="8"/>
  <c r="E25" i="8"/>
  <c r="P5" i="8"/>
  <c r="D14" i="8"/>
  <c r="O20" i="8"/>
  <c r="S62" i="8"/>
  <c r="G54" i="8"/>
  <c r="Q7" i="8"/>
  <c r="S28" i="8"/>
  <c r="U45" i="8"/>
  <c r="M56" i="8"/>
  <c r="T23" i="8"/>
  <c r="K59" i="8"/>
  <c r="E59" i="8"/>
  <c r="O50" i="8"/>
  <c r="T8" i="8"/>
  <c r="C33" i="8"/>
  <c r="O48" i="8"/>
  <c r="F64" i="8"/>
  <c r="N52" i="8"/>
  <c r="U63" i="8"/>
  <c r="D21" i="8"/>
  <c r="F61" i="8"/>
  <c r="J65" i="8"/>
  <c r="F56" i="8"/>
  <c r="J34" i="8"/>
  <c r="S26" i="8"/>
  <c r="Q28" i="8"/>
  <c r="S18" i="8"/>
  <c r="M38" i="8"/>
  <c r="H50" i="8"/>
  <c r="N15" i="8"/>
  <c r="S34" i="8"/>
  <c r="P24" i="8"/>
  <c r="M53" i="8"/>
  <c r="T13" i="8"/>
  <c r="H53" i="8"/>
  <c r="I4" i="8"/>
  <c r="U3" i="8"/>
  <c r="N47" i="8"/>
  <c r="G20" i="8"/>
  <c r="O5" i="8"/>
  <c r="O6" i="8"/>
  <c r="G62" i="8"/>
  <c r="Q20" i="8"/>
  <c r="I38" i="8"/>
  <c r="R12" i="8"/>
  <c r="D39" i="8"/>
  <c r="O63" i="8"/>
  <c r="O65" i="8"/>
  <c r="U29" i="8"/>
  <c r="N26" i="8"/>
  <c r="L62" i="8"/>
  <c r="C62" i="8"/>
  <c r="S59" i="8"/>
  <c r="B37" i="8"/>
  <c r="T43" i="8"/>
  <c r="G3" i="8"/>
  <c r="O25" i="8"/>
  <c r="Q49" i="8"/>
  <c r="R22" i="8"/>
  <c r="D51" i="8"/>
  <c r="G37" i="8"/>
  <c r="F25" i="8"/>
  <c r="D30" i="8"/>
  <c r="I12" i="8"/>
  <c r="G18" i="8"/>
  <c r="D48" i="8"/>
  <c r="F63" i="8"/>
  <c r="U24" i="8"/>
  <c r="M9" i="8"/>
  <c r="M4" i="8"/>
  <c r="I26" i="8"/>
  <c r="J60" i="8"/>
  <c r="T33" i="8"/>
  <c r="J23" i="8"/>
  <c r="H59" i="8"/>
  <c r="M20" i="8"/>
  <c r="I67" i="8"/>
  <c r="B6" i="8"/>
  <c r="O45" i="8"/>
  <c r="G55" i="8"/>
  <c r="K28" i="8"/>
  <c r="B43" i="8"/>
  <c r="U31" i="8"/>
  <c r="C19" i="8"/>
  <c r="R16" i="8"/>
  <c r="S11" i="8"/>
  <c r="I58" i="8"/>
  <c r="K42" i="8"/>
  <c r="H31" i="8"/>
  <c r="K5" i="8"/>
  <c r="K23" i="8"/>
  <c r="H11" i="8"/>
  <c r="E66" i="8"/>
  <c r="L39" i="8"/>
  <c r="M60" i="8"/>
  <c r="M6" i="8"/>
  <c r="Q40" i="8"/>
  <c r="I48" i="8"/>
  <c r="P8" i="8"/>
  <c r="N53" i="8"/>
  <c r="T3" i="8"/>
  <c r="J24" i="8"/>
  <c r="C61" i="8"/>
  <c r="P14" i="8"/>
  <c r="P44" i="8"/>
  <c r="U20" i="8"/>
  <c r="N41" i="8"/>
  <c r="E22" i="8"/>
  <c r="T22" i="8"/>
  <c r="B40" i="8"/>
  <c r="O67" i="8"/>
  <c r="I41" i="8"/>
  <c r="I37" i="8"/>
  <c r="H61" i="8"/>
  <c r="M25" i="8"/>
  <c r="L34" i="8"/>
  <c r="R25" i="8"/>
  <c r="F52" i="8"/>
  <c r="Q9" i="8"/>
  <c r="J13" i="8"/>
  <c r="E51" i="8"/>
  <c r="H24" i="8"/>
  <c r="D56" i="8"/>
  <c r="G46" i="8"/>
  <c r="G52" i="8"/>
  <c r="M22" i="8"/>
  <c r="G51" i="8"/>
  <c r="B33" i="8"/>
  <c r="D55" i="8"/>
  <c r="D53" i="8"/>
  <c r="K22" i="8"/>
  <c r="Q19" i="8"/>
  <c r="G14" i="8"/>
  <c r="U4" i="8"/>
  <c r="T12" i="8"/>
  <c r="H5" i="8"/>
  <c r="R11" i="8"/>
  <c r="G67" i="8"/>
  <c r="C13" i="8"/>
  <c r="O47" i="8"/>
  <c r="F43" i="8"/>
  <c r="S4" i="8"/>
  <c r="I25" i="8"/>
  <c r="N57" i="8"/>
  <c r="M13" i="8"/>
  <c r="Q6" i="8"/>
  <c r="B62" i="8"/>
  <c r="G42" i="8"/>
  <c r="L28" i="8"/>
  <c r="B13" i="8"/>
  <c r="U36" i="8"/>
  <c r="G39" i="8"/>
  <c r="U28" i="8"/>
  <c r="N49" i="8"/>
  <c r="N63" i="8"/>
  <c r="P50" i="8"/>
  <c r="T42" i="8"/>
  <c r="K52" i="8"/>
  <c r="K61" i="8"/>
  <c r="C16" i="8"/>
  <c r="E20" i="8"/>
  <c r="B24" i="8"/>
  <c r="Q14" i="8"/>
  <c r="G12" i="8"/>
  <c r="K37" i="8"/>
  <c r="L54" i="8"/>
  <c r="E56" i="8"/>
  <c r="T56" i="8"/>
  <c r="T15" i="8"/>
  <c r="P29" i="8"/>
  <c r="C10" i="8"/>
  <c r="I5" i="8"/>
  <c r="P36" i="8"/>
  <c r="S54" i="8"/>
  <c r="R45" i="8"/>
  <c r="S66" i="8"/>
  <c r="C60" i="8"/>
  <c r="S44" i="8"/>
  <c r="H45" i="8"/>
  <c r="D16" i="8"/>
  <c r="T51" i="8"/>
  <c r="D12" i="8"/>
  <c r="F30" i="8"/>
  <c r="B16" i="8"/>
  <c r="C47" i="8"/>
  <c r="R20" i="8"/>
  <c r="Q42" i="8"/>
  <c r="C14" i="8"/>
  <c r="M48" i="8"/>
  <c r="M40" i="8"/>
  <c r="Q33" i="8"/>
  <c r="L3" i="8"/>
  <c r="P6" i="8"/>
  <c r="O4" i="8"/>
  <c r="N19" i="8"/>
  <c r="B18" i="8"/>
  <c r="N33" i="8"/>
  <c r="H57" i="8"/>
  <c r="M23" i="8"/>
  <c r="E58" i="8"/>
  <c r="G26" i="8"/>
  <c r="S8" i="8"/>
  <c r="Q18" i="8"/>
  <c r="M10" i="8"/>
  <c r="E37" i="8"/>
  <c r="Q25" i="8"/>
  <c r="I61" i="8"/>
  <c r="C38" i="8"/>
  <c r="N38" i="8"/>
  <c r="Q11" i="8"/>
  <c r="L22" i="8"/>
  <c r="R56" i="8"/>
  <c r="T49" i="8"/>
  <c r="O17" i="8"/>
  <c r="L49" i="8"/>
  <c r="S55" i="8"/>
  <c r="U59" i="8"/>
  <c r="O23" i="8"/>
  <c r="R51" i="8"/>
  <c r="K46" i="8"/>
  <c r="M46" i="8"/>
  <c r="Q43" i="8"/>
  <c r="Q16" i="8"/>
  <c r="E14" i="8"/>
  <c r="P53" i="8"/>
  <c r="B52" i="8"/>
  <c r="U30" i="8"/>
  <c r="D50" i="8"/>
  <c r="B32" i="8"/>
  <c r="S9" i="8"/>
  <c r="O24" i="8"/>
  <c r="E40" i="8"/>
  <c r="C65" i="8"/>
  <c r="K60" i="8"/>
  <c r="U22" i="8"/>
  <c r="L17" i="8"/>
  <c r="P51" i="8"/>
  <c r="G4" i="8"/>
  <c r="J10" i="8"/>
  <c r="J19" i="8"/>
  <c r="S47" i="8"/>
  <c r="H60" i="8"/>
  <c r="I52" i="8"/>
  <c r="B55" i="8"/>
  <c r="D49" i="8"/>
  <c r="G23" i="8"/>
  <c r="E12" i="8"/>
  <c r="H29" i="8"/>
  <c r="I28" i="8"/>
  <c r="Q37" i="8"/>
  <c r="J7" i="8"/>
  <c r="L40" i="8"/>
  <c r="R43" i="8"/>
  <c r="J52" i="8"/>
  <c r="T14" i="8"/>
  <c r="O8" i="8"/>
  <c r="G17" i="8"/>
  <c r="K58" i="8"/>
  <c r="H22" i="8"/>
  <c r="M29" i="8"/>
  <c r="J18" i="8"/>
  <c r="H35" i="8"/>
  <c r="L15" i="8"/>
  <c r="E36" i="8"/>
  <c r="K10" i="8"/>
  <c r="C11" i="8"/>
  <c r="U51" i="8"/>
  <c r="S20" i="8"/>
  <c r="C42" i="8"/>
  <c r="L24" i="8"/>
  <c r="I29" i="8"/>
  <c r="P18" i="8"/>
  <c r="O60" i="8"/>
  <c r="L63" i="8"/>
  <c r="N65" i="8"/>
  <c r="F33" i="8"/>
  <c r="N46" i="8"/>
  <c r="L59" i="8"/>
  <c r="P4" i="8"/>
  <c r="L26" i="8"/>
  <c r="T64" i="8"/>
  <c r="K62" i="8"/>
  <c r="N9" i="8"/>
  <c r="K64" i="8"/>
  <c r="S67" i="8"/>
  <c r="K38" i="8"/>
  <c r="G38" i="8"/>
  <c r="B17" i="8"/>
  <c r="U43" i="8"/>
  <c r="M59" i="8"/>
  <c r="C34" i="8"/>
  <c r="F53" i="8"/>
  <c r="B59" i="8"/>
  <c r="S31" i="8"/>
  <c r="D31" i="8"/>
  <c r="B28" i="8"/>
  <c r="J50" i="8"/>
  <c r="O7" i="8"/>
  <c r="N66" i="8"/>
  <c r="T9" i="8"/>
  <c r="M67" i="8"/>
  <c r="I57" i="8"/>
  <c r="T24" i="8"/>
  <c r="J64" i="8"/>
  <c r="K32" i="8"/>
  <c r="Q58" i="8"/>
  <c r="B53" i="8"/>
  <c r="B65" i="8"/>
  <c r="G65" i="8"/>
  <c r="N4" i="8"/>
  <c r="C59" i="8"/>
  <c r="P9" i="8"/>
  <c r="P46" i="8"/>
  <c r="B64" i="8"/>
  <c r="K3" i="8"/>
  <c r="AH46" i="8"/>
  <c r="AH8" i="8"/>
  <c r="AH27" i="8"/>
  <c r="J19" i="4"/>
  <c r="J30" i="4"/>
  <c r="AH62" i="8"/>
  <c r="AH25" i="8"/>
  <c r="AH9" i="8"/>
  <c r="J40" i="4"/>
  <c r="J36" i="4"/>
  <c r="J32" i="4"/>
  <c r="AH57" i="8"/>
  <c r="AH35" i="8"/>
  <c r="AH21" i="8"/>
  <c r="AH4" i="8"/>
  <c r="AH58" i="8"/>
  <c r="AH59" i="8"/>
  <c r="J22" i="4"/>
  <c r="AH13" i="8"/>
  <c r="AH48" i="8"/>
  <c r="J3" i="4"/>
  <c r="AH20" i="8"/>
  <c r="AH43" i="8"/>
  <c r="J37" i="4"/>
  <c r="J27" i="4"/>
  <c r="J26" i="4"/>
  <c r="AH24" i="8"/>
  <c r="AH49" i="8"/>
  <c r="J24" i="4"/>
  <c r="J42" i="4"/>
  <c r="AH54" i="8"/>
  <c r="AH66" i="8"/>
  <c r="J12" i="4"/>
  <c r="J45" i="4"/>
  <c r="AH12" i="8"/>
  <c r="AH53" i="8"/>
  <c r="AH39" i="8"/>
  <c r="AH65" i="8"/>
  <c r="AH37" i="8"/>
  <c r="AH44" i="8"/>
  <c r="J35" i="4"/>
  <c r="AH10" i="8"/>
  <c r="AH40" i="8"/>
  <c r="J41" i="4"/>
  <c r="J21" i="4"/>
  <c r="AH47" i="8"/>
  <c r="J43" i="4"/>
  <c r="AH32" i="8"/>
  <c r="AH29" i="8"/>
  <c r="AH30" i="8"/>
  <c r="J13" i="4"/>
  <c r="AH52" i="8"/>
  <c r="J39" i="4"/>
  <c r="AH34" i="8"/>
  <c r="J29" i="4"/>
  <c r="AH5" i="8"/>
  <c r="AH45" i="8"/>
  <c r="J38" i="4"/>
  <c r="AH18" i="8"/>
  <c r="AH15" i="8"/>
  <c r="J48" i="4"/>
  <c r="F1" i="8"/>
  <c r="AH7" i="8"/>
  <c r="J17" i="4"/>
  <c r="J6" i="4"/>
  <c r="AH6" i="8"/>
  <c r="J4" i="4"/>
  <c r="AH67" i="8"/>
  <c r="J14" i="4"/>
  <c r="AH17" i="8"/>
  <c r="J33" i="4"/>
  <c r="AH22" i="8"/>
  <c r="AH33" i="8"/>
  <c r="J44" i="4"/>
  <c r="J5" i="4"/>
  <c r="AH55" i="8"/>
  <c r="AH16" i="8"/>
  <c r="AH26" i="8"/>
  <c r="J46" i="4"/>
  <c r="J9" i="4"/>
  <c r="AH61" i="8"/>
  <c r="AH63" i="8"/>
  <c r="AH14" i="8"/>
  <c r="J23" i="4"/>
  <c r="AH42" i="8"/>
  <c r="J8" i="4"/>
  <c r="AH36" i="8"/>
  <c r="AH50" i="8"/>
  <c r="AH38" i="8"/>
  <c r="AH19" i="8"/>
  <c r="J34" i="4"/>
  <c r="AH60" i="8"/>
  <c r="J20" i="4"/>
  <c r="J16" i="4"/>
  <c r="AH31" i="8"/>
  <c r="AH23" i="8"/>
  <c r="AH56" i="8"/>
  <c r="AH64" i="8"/>
  <c r="J15" i="4"/>
  <c r="J18" i="4"/>
  <c r="J11" i="4"/>
  <c r="J31" i="4"/>
  <c r="AH11" i="8"/>
  <c r="J25" i="4"/>
  <c r="J7" i="4"/>
  <c r="J47" i="4"/>
  <c r="AH51" i="8"/>
  <c r="AH41" i="8"/>
  <c r="AH28" i="8"/>
  <c r="J10" i="4"/>
  <c r="J28" i="4"/>
  <c r="J2" i="4"/>
  <c r="B23" i="6"/>
  <c r="B2" i="8"/>
  <c r="U1" i="4"/>
  <c r="AH23" i="4" l="1"/>
  <c r="AI23" i="4" s="1"/>
  <c r="T23" i="4" s="1"/>
  <c r="AH15" i="4"/>
  <c r="AI15" i="4" s="1"/>
  <c r="T15" i="4" s="1"/>
  <c r="AH29" i="4"/>
  <c r="AI29" i="4" s="1"/>
  <c r="T29" i="4" s="1"/>
  <c r="AH5" i="4"/>
  <c r="AI5" i="4" s="1"/>
  <c r="T5" i="4" s="1"/>
  <c r="AH48" i="4"/>
  <c r="AI48" i="4" s="1"/>
  <c r="T48" i="4" s="1"/>
  <c r="AH4" i="4"/>
  <c r="AI4" i="4" s="1"/>
  <c r="T4" i="4" s="1"/>
  <c r="AH27" i="4"/>
  <c r="AI27" i="4" s="1"/>
  <c r="T27" i="4" s="1"/>
  <c r="AH37" i="4"/>
  <c r="AI37" i="4" s="1"/>
  <c r="T37" i="4" s="1"/>
  <c r="AH42" i="4"/>
  <c r="AI42" i="4" s="1"/>
  <c r="T42" i="4" s="1"/>
  <c r="AH34" i="4"/>
  <c r="AI34" i="4" s="1"/>
  <c r="T34" i="4" s="1"/>
  <c r="AH18" i="4"/>
  <c r="AI18" i="4" s="1"/>
  <c r="T18" i="4" s="1"/>
  <c r="AH35" i="4"/>
  <c r="AI35" i="4" s="1"/>
  <c r="T35" i="4" s="1"/>
  <c r="AH38" i="4"/>
  <c r="AI38" i="4" s="1"/>
  <c r="T38" i="4" s="1"/>
  <c r="AH44" i="4"/>
  <c r="AI44" i="4" s="1"/>
  <c r="T44" i="4" s="1"/>
  <c r="AH30" i="4"/>
  <c r="AI30" i="4" s="1"/>
  <c r="T30" i="4" s="1"/>
  <c r="AH14" i="4"/>
  <c r="AI14" i="4" s="1"/>
  <c r="T14" i="4" s="1"/>
  <c r="AH11" i="4"/>
  <c r="AI11" i="4" s="1"/>
  <c r="T11" i="4" s="1"/>
  <c r="AH19" i="4"/>
  <c r="AI19" i="4" s="1"/>
  <c r="T19" i="4" s="1"/>
  <c r="AH9" i="4"/>
  <c r="AI9" i="4" s="1"/>
  <c r="T9" i="4" s="1"/>
  <c r="AH45" i="4"/>
  <c r="AI45" i="4" s="1"/>
  <c r="T45" i="4" s="1"/>
  <c r="AH7" i="4"/>
  <c r="AI7" i="4" s="1"/>
  <c r="T7" i="4" s="1"/>
  <c r="AH25" i="4"/>
  <c r="AI25" i="4" s="1"/>
  <c r="T25" i="4" s="1"/>
  <c r="AH13" i="4"/>
  <c r="AI13" i="4" s="1"/>
  <c r="T13" i="4" s="1"/>
  <c r="AH26" i="4"/>
  <c r="AI26" i="4" s="1"/>
  <c r="T26" i="4" s="1"/>
  <c r="AH20" i="4"/>
  <c r="AI20" i="4" s="1"/>
  <c r="T20" i="4" s="1"/>
  <c r="AH12" i="4"/>
  <c r="AI12" i="4" s="1"/>
  <c r="T12" i="4" s="1"/>
  <c r="AH31" i="4"/>
  <c r="AI31" i="4" s="1"/>
  <c r="T31" i="4" s="1"/>
  <c r="AH47" i="4"/>
  <c r="AI47" i="4" s="1"/>
  <c r="T47" i="4" s="1"/>
  <c r="AH22" i="4"/>
  <c r="AI22" i="4" s="1"/>
  <c r="T22" i="4" s="1"/>
  <c r="AH24" i="4"/>
  <c r="AI24" i="4" s="1"/>
  <c r="T24" i="4" s="1"/>
  <c r="AH8" i="4"/>
  <c r="AI8" i="4" s="1"/>
  <c r="T8" i="4" s="1"/>
  <c r="AH43" i="4"/>
  <c r="AI43" i="4" s="1"/>
  <c r="T43" i="4" s="1"/>
  <c r="AH33" i="4"/>
  <c r="AI33" i="4" s="1"/>
  <c r="T33" i="4" s="1"/>
  <c r="AH3" i="4"/>
  <c r="AI3" i="4" s="1"/>
  <c r="T3" i="4" s="1"/>
  <c r="AH32" i="4"/>
  <c r="AI32" i="4" s="1"/>
  <c r="T32" i="4" s="1"/>
  <c r="AH16" i="4"/>
  <c r="AI16" i="4" s="1"/>
  <c r="T16" i="4" s="1"/>
  <c r="AH36" i="4"/>
  <c r="AI36" i="4" s="1"/>
  <c r="T36" i="4" s="1"/>
  <c r="AH46" i="4"/>
  <c r="AI46" i="4" s="1"/>
  <c r="T46" i="4" s="1"/>
  <c r="AH2" i="4"/>
  <c r="AI2" i="4" s="1"/>
  <c r="T2" i="4" s="1"/>
  <c r="AH28" i="4"/>
  <c r="AI28" i="4" s="1"/>
  <c r="T28" i="4" s="1"/>
  <c r="AH41" i="4"/>
  <c r="AI41" i="4" s="1"/>
  <c r="T41" i="4" s="1"/>
  <c r="AH10" i="4"/>
  <c r="AI10" i="4" s="1"/>
  <c r="T10" i="4" s="1"/>
  <c r="AH40" i="4"/>
  <c r="AI40" i="4" s="1"/>
  <c r="T40" i="4" s="1"/>
  <c r="AH39" i="4"/>
  <c r="AI39" i="4" s="1"/>
  <c r="T39" i="4" s="1"/>
  <c r="AH21" i="4"/>
  <c r="AI21" i="4" s="1"/>
  <c r="AH17" i="4"/>
  <c r="AI17" i="4" s="1"/>
  <c r="T17" i="4" s="1"/>
  <c r="AH6" i="4"/>
  <c r="AI6" i="4" s="1"/>
  <c r="T6" i="4" s="1"/>
  <c r="X123" i="7"/>
  <c r="X48" i="7"/>
  <c r="X142" i="7"/>
  <c r="X4" i="7"/>
  <c r="X52" i="7"/>
  <c r="X149" i="7"/>
  <c r="X114" i="7"/>
  <c r="X147" i="7"/>
  <c r="X88" i="7"/>
  <c r="X127" i="7"/>
  <c r="X141" i="7"/>
  <c r="X91" i="7"/>
  <c r="X5" i="7"/>
  <c r="X38" i="7"/>
  <c r="X7" i="7"/>
  <c r="X59" i="7"/>
  <c r="X6" i="7"/>
  <c r="X96" i="7"/>
  <c r="E61" i="4" l="1"/>
  <c r="E60" i="4"/>
  <c r="F60" i="4"/>
  <c r="P60" i="4"/>
  <c r="P61" i="4"/>
  <c r="F61" i="4"/>
  <c r="X99" i="7"/>
  <c r="X30" i="7"/>
  <c r="X14" i="7"/>
  <c r="X11" i="7"/>
  <c r="X111" i="7"/>
  <c r="X60" i="7"/>
  <c r="X113" i="7"/>
  <c r="X69" i="7"/>
  <c r="X87" i="7"/>
  <c r="X115" i="7"/>
  <c r="X109" i="7"/>
  <c r="X84" i="7"/>
  <c r="X23" i="7"/>
  <c r="X94" i="7"/>
  <c r="X53" i="7"/>
  <c r="X82" i="7"/>
  <c r="X71" i="7"/>
  <c r="X65" i="7"/>
  <c r="X137" i="7"/>
  <c r="X37" i="7"/>
  <c r="X150" i="7"/>
  <c r="X130" i="7"/>
  <c r="X133" i="7"/>
  <c r="X112" i="7"/>
  <c r="X117" i="7"/>
  <c r="X148" i="7"/>
  <c r="X58" i="7"/>
  <c r="X57" i="7"/>
  <c r="X75" i="7"/>
  <c r="X104" i="7"/>
  <c r="X39" i="7"/>
  <c r="X135" i="7"/>
  <c r="X45" i="7"/>
  <c r="X95" i="7"/>
  <c r="X22" i="7"/>
  <c r="X28" i="7"/>
  <c r="X66" i="7"/>
  <c r="X89" i="7"/>
  <c r="X77" i="7"/>
  <c r="X138" i="7"/>
  <c r="X90" i="7"/>
  <c r="X12" i="7"/>
  <c r="X40" i="7"/>
  <c r="X106" i="7"/>
  <c r="X24" i="7"/>
  <c r="X118" i="7"/>
  <c r="X120" i="7"/>
  <c r="X42" i="7"/>
  <c r="X102" i="7"/>
  <c r="X8" i="7"/>
  <c r="X47" i="7"/>
  <c r="X76" i="7"/>
  <c r="X49" i="7"/>
  <c r="X44" i="7"/>
  <c r="X146" i="7"/>
  <c r="X70" i="7"/>
  <c r="X144" i="7"/>
  <c r="X13" i="7"/>
  <c r="X15" i="7"/>
  <c r="X36" i="7"/>
  <c r="X51" i="7"/>
  <c r="X41" i="7"/>
  <c r="X46" i="7"/>
  <c r="X79" i="7"/>
  <c r="X108" i="7"/>
  <c r="X62" i="7"/>
  <c r="X103" i="7"/>
  <c r="X35" i="7"/>
  <c r="X74" i="7"/>
  <c r="X67" i="7"/>
  <c r="X136" i="7"/>
  <c r="X92" i="7"/>
  <c r="X116" i="7"/>
  <c r="X97" i="7"/>
  <c r="X101" i="7"/>
  <c r="X33" i="7"/>
  <c r="X93" i="7"/>
  <c r="X56" i="7"/>
  <c r="X9" i="7"/>
  <c r="X105" i="7"/>
  <c r="X18" i="7"/>
  <c r="X100" i="7"/>
  <c r="X81" i="7"/>
  <c r="X63" i="7"/>
  <c r="X29" i="7"/>
  <c r="X143" i="7"/>
  <c r="X98" i="7"/>
  <c r="X43" i="7"/>
  <c r="X54" i="7"/>
  <c r="X25" i="7"/>
  <c r="X19" i="7"/>
  <c r="X80" i="7"/>
  <c r="X61" i="7"/>
  <c r="X68" i="7"/>
  <c r="X85" i="7"/>
  <c r="X10" i="7"/>
  <c r="X126" i="7"/>
  <c r="X83" i="7"/>
  <c r="X50" i="7"/>
  <c r="X73" i="7"/>
  <c r="X132" i="7"/>
  <c r="X72" i="7"/>
  <c r="X122" i="7"/>
  <c r="X131" i="7"/>
  <c r="X125" i="7"/>
  <c r="X110" i="7"/>
  <c r="X27" i="7"/>
  <c r="X55" i="7"/>
  <c r="X21" i="7"/>
  <c r="X78" i="7"/>
  <c r="X64" i="7"/>
  <c r="X32" i="7"/>
  <c r="X34" i="7"/>
  <c r="X86" i="7"/>
  <c r="X139" i="7"/>
  <c r="X119" i="7"/>
  <c r="X134" i="7"/>
  <c r="X20" i="7"/>
  <c r="X121" i="7"/>
  <c r="X26" i="7"/>
  <c r="X124" i="7"/>
  <c r="X107" i="7"/>
  <c r="X129" i="7"/>
  <c r="X140" i="7"/>
  <c r="X17" i="7"/>
  <c r="X145" i="7"/>
  <c r="X16" i="7"/>
  <c r="X128" i="7"/>
  <c r="X31" i="7"/>
  <c r="E62" i="4" l="1"/>
  <c r="AA32" i="8"/>
  <c r="B21" i="6" l="1"/>
  <c r="A7" i="8"/>
  <c r="A43" i="8"/>
  <c r="A44" i="8"/>
  <c r="A22" i="8"/>
  <c r="G4" i="7" a="1"/>
  <c r="A47" i="8"/>
  <c r="A36" i="8"/>
  <c r="A25" i="8"/>
  <c r="A10" i="8"/>
  <c r="A60" i="8"/>
  <c r="A30" i="8"/>
  <c r="A57" i="8"/>
  <c r="A62" i="8"/>
  <c r="A37" i="8"/>
  <c r="A41" i="8"/>
  <c r="A4" i="8"/>
  <c r="A61" i="8"/>
  <c r="A59" i="8"/>
  <c r="A5" i="8"/>
  <c r="A21" i="8"/>
  <c r="A64" i="8"/>
  <c r="A6" i="8"/>
  <c r="A18" i="8"/>
  <c r="A32" i="8"/>
  <c r="A65" i="8"/>
  <c r="A29" i="8"/>
  <c r="A24" i="8"/>
  <c r="A53" i="8"/>
  <c r="A35" i="8"/>
  <c r="A54" i="8"/>
  <c r="A17" i="8"/>
  <c r="A28" i="8"/>
  <c r="A46" i="8"/>
  <c r="A52" i="8"/>
  <c r="A63" i="8"/>
  <c r="A15" i="8"/>
  <c r="A12" i="8"/>
  <c r="A67" i="8"/>
  <c r="A11" i="8"/>
  <c r="A31" i="8"/>
  <c r="A49" i="8"/>
  <c r="A14" i="8"/>
  <c r="A58" i="8"/>
  <c r="A40" i="8"/>
  <c r="A16" i="8"/>
  <c r="A19" i="8"/>
  <c r="A9" i="8"/>
  <c r="A50" i="8"/>
  <c r="A27" i="8"/>
  <c r="A20" i="8"/>
  <c r="A39" i="8"/>
  <c r="A13" i="8"/>
  <c r="A48" i="8"/>
  <c r="A26" i="8"/>
  <c r="A23" i="8"/>
  <c r="A33" i="8"/>
  <c r="A66" i="8"/>
  <c r="A8" i="8"/>
  <c r="A56" i="8"/>
  <c r="A38" i="8"/>
  <c r="A45" i="8"/>
  <c r="A34" i="8"/>
  <c r="A42" i="8"/>
  <c r="A51" i="8"/>
  <c r="A55" i="8"/>
  <c r="AM28" i="4"/>
  <c r="AM29" i="4" s="1"/>
  <c r="A22" i="6"/>
  <c r="B22" i="6"/>
  <c r="L1" i="4"/>
  <c r="E2" i="7"/>
  <c r="F4" i="7" s="1" a="1"/>
  <c r="C20" i="9"/>
  <c r="L35" i="4"/>
  <c r="M35" i="4" s="1"/>
  <c r="AC35" i="4" s="1"/>
  <c r="L25" i="4"/>
  <c r="M25" i="4" s="1"/>
  <c r="AC25" i="4" s="1"/>
  <c r="L32" i="4"/>
  <c r="M32" i="4" s="1"/>
  <c r="AC32" i="4" s="1"/>
  <c r="L23" i="4"/>
  <c r="M23" i="4" s="1"/>
  <c r="AC23" i="4" s="1"/>
  <c r="L9" i="4"/>
  <c r="M9" i="4" s="1"/>
  <c r="AC9" i="4" s="1"/>
  <c r="L18" i="4"/>
  <c r="M18" i="4" s="1"/>
  <c r="AC18" i="4" s="1"/>
  <c r="L43" i="4"/>
  <c r="M43" i="4" s="1"/>
  <c r="AC43" i="4" s="1"/>
  <c r="L2" i="4"/>
  <c r="M2" i="4" s="1"/>
  <c r="AC2" i="4" s="1"/>
  <c r="L4" i="4"/>
  <c r="M4" i="4" s="1"/>
  <c r="AC4" i="4" s="1"/>
  <c r="L22" i="4"/>
  <c r="M22" i="4" s="1"/>
  <c r="AC22" i="4" s="1"/>
  <c r="L39" i="4"/>
  <c r="M39" i="4" s="1"/>
  <c r="AC39" i="4" s="1"/>
  <c r="L10" i="4"/>
  <c r="M10" i="4" s="1"/>
  <c r="AC10" i="4" s="1"/>
  <c r="L42" i="4"/>
  <c r="M42" i="4" s="1"/>
  <c r="AC42" i="4" s="1"/>
  <c r="L26" i="4"/>
  <c r="M26" i="4" s="1"/>
  <c r="AC26" i="4" s="1"/>
  <c r="L12" i="4"/>
  <c r="M12" i="4" s="1"/>
  <c r="AC12" i="4" s="1"/>
  <c r="L15" i="4"/>
  <c r="M15" i="4" s="1"/>
  <c r="AC15" i="4" s="1"/>
  <c r="L36" i="4"/>
  <c r="M36" i="4" s="1"/>
  <c r="AC36" i="4" s="1"/>
  <c r="L8" i="4"/>
  <c r="M8" i="4" s="1"/>
  <c r="AC8" i="4" s="1"/>
  <c r="L46" i="4"/>
  <c r="M46" i="4" s="1"/>
  <c r="AC46" i="4" s="1"/>
  <c r="L31" i="4"/>
  <c r="M31" i="4" s="1"/>
  <c r="AC31" i="4" s="1"/>
  <c r="L41" i="4"/>
  <c r="M41" i="4" s="1"/>
  <c r="AC41" i="4" s="1"/>
  <c r="L40" i="4"/>
  <c r="M40" i="4" s="1"/>
  <c r="AC40" i="4" s="1"/>
  <c r="L30" i="4"/>
  <c r="M30" i="4" s="1"/>
  <c r="AC30" i="4" s="1"/>
  <c r="L27" i="4"/>
  <c r="M27" i="4" s="1"/>
  <c r="AC27" i="4" s="1"/>
  <c r="L21" i="4"/>
  <c r="M21" i="4" s="1"/>
  <c r="AC21" i="4" s="1"/>
  <c r="L44" i="4"/>
  <c r="M44" i="4" s="1"/>
  <c r="AC44" i="4" s="1"/>
  <c r="L14" i="4"/>
  <c r="M14" i="4" s="1"/>
  <c r="AC14" i="4" s="1"/>
  <c r="L11" i="4"/>
  <c r="M11" i="4" s="1"/>
  <c r="AC11" i="4" s="1"/>
  <c r="L47" i="4"/>
  <c r="M47" i="4" s="1"/>
  <c r="AC47" i="4" s="1"/>
  <c r="L24" i="4"/>
  <c r="M24" i="4" s="1"/>
  <c r="AC24" i="4" s="1"/>
  <c r="L37" i="4"/>
  <c r="M37" i="4" s="1"/>
  <c r="AC37" i="4" s="1"/>
  <c r="L20" i="4"/>
  <c r="M20" i="4" s="1"/>
  <c r="AC20" i="4" s="1"/>
  <c r="L13" i="4"/>
  <c r="M13" i="4" s="1"/>
  <c r="AC13" i="4" s="1"/>
  <c r="L28" i="4"/>
  <c r="M28" i="4" s="1"/>
  <c r="AC28" i="4" s="1"/>
  <c r="L29" i="4"/>
  <c r="M29" i="4" s="1"/>
  <c r="AC29" i="4" s="1"/>
  <c r="L17" i="4"/>
  <c r="M17" i="4" s="1"/>
  <c r="AC17" i="4" s="1"/>
  <c r="L38" i="4"/>
  <c r="M38" i="4" s="1"/>
  <c r="AC38" i="4" s="1"/>
  <c r="L3" i="4"/>
  <c r="M3" i="4" s="1"/>
  <c r="AC3" i="4" s="1"/>
  <c r="L19" i="4"/>
  <c r="M19" i="4" s="1"/>
  <c r="AC19" i="4" s="1"/>
  <c r="L5" i="4"/>
  <c r="M5" i="4" s="1"/>
  <c r="AC5" i="4" s="1"/>
  <c r="L7" i="4"/>
  <c r="M7" i="4" s="1"/>
  <c r="AC7" i="4" s="1"/>
  <c r="L6" i="4"/>
  <c r="M6" i="4" s="1"/>
  <c r="AC6" i="4" s="1"/>
  <c r="L16" i="4"/>
  <c r="M16" i="4" s="1"/>
  <c r="AC16" i="4" s="1"/>
  <c r="L34" i="4"/>
  <c r="M34" i="4" s="1"/>
  <c r="AC34" i="4" s="1"/>
  <c r="L45" i="4"/>
  <c r="M45" i="4" s="1"/>
  <c r="AC45" i="4" s="1"/>
  <c r="L48" i="4"/>
  <c r="M48" i="4" s="1"/>
  <c r="AC48" i="4" s="1"/>
  <c r="L33" i="4"/>
  <c r="M33" i="4" s="1"/>
  <c r="AC33" i="4" s="1"/>
  <c r="F12" i="7" l="1"/>
  <c r="F132" i="7"/>
  <c r="F67" i="7"/>
  <c r="F147" i="7"/>
  <c r="F7" i="7"/>
  <c r="F124" i="7"/>
  <c r="F40" i="7"/>
  <c r="F149" i="7"/>
  <c r="F44" i="7"/>
  <c r="F136" i="7"/>
  <c r="F33" i="7"/>
  <c r="F11" i="7"/>
  <c r="F56" i="7"/>
  <c r="F92" i="7"/>
  <c r="F121" i="7"/>
  <c r="F73" i="7"/>
  <c r="F31" i="7"/>
  <c r="F107" i="7"/>
  <c r="F85" i="7"/>
  <c r="F138" i="7"/>
  <c r="F41" i="7"/>
  <c r="F4" i="7"/>
  <c r="F131" i="7"/>
  <c r="F61" i="7"/>
  <c r="F13" i="7"/>
  <c r="F45" i="7"/>
  <c r="F133" i="7"/>
  <c r="F47" i="7"/>
  <c r="F5" i="7"/>
  <c r="F22" i="7"/>
  <c r="F66" i="7"/>
  <c r="F141" i="7"/>
  <c r="F79" i="7"/>
  <c r="F110" i="7"/>
  <c r="F142" i="7"/>
  <c r="F118" i="7"/>
  <c r="F75" i="7"/>
  <c r="F68" i="7"/>
  <c r="F126" i="7"/>
  <c r="F117" i="7"/>
  <c r="F94" i="7"/>
  <c r="F83" i="7"/>
  <c r="F148" i="7"/>
  <c r="F42" i="7"/>
  <c r="F90" i="7"/>
  <c r="F109" i="7"/>
  <c r="F139" i="7"/>
  <c r="F54" i="7"/>
  <c r="F62" i="7"/>
  <c r="F112" i="7"/>
  <c r="F78" i="7"/>
  <c r="F101" i="7"/>
  <c r="F120" i="7"/>
  <c r="F100" i="7"/>
  <c r="F59" i="7"/>
  <c r="F36" i="7"/>
  <c r="F108" i="7"/>
  <c r="F77" i="7"/>
  <c r="F93" i="7"/>
  <c r="F134" i="7"/>
  <c r="F10" i="7"/>
  <c r="F52" i="7"/>
  <c r="F119" i="7"/>
  <c r="F150" i="7"/>
  <c r="F21" i="7"/>
  <c r="F23" i="7"/>
  <c r="F115" i="7"/>
  <c r="F84" i="7"/>
  <c r="F91" i="7"/>
  <c r="F111" i="7"/>
  <c r="F103" i="7"/>
  <c r="F72" i="7"/>
  <c r="F20" i="7"/>
  <c r="F87" i="7"/>
  <c r="F48" i="7"/>
  <c r="F128" i="7"/>
  <c r="F51" i="7"/>
  <c r="F64" i="7"/>
  <c r="F106" i="7"/>
  <c r="F122" i="7"/>
  <c r="F123" i="7"/>
  <c r="F37" i="7"/>
  <c r="F89" i="7"/>
  <c r="F104" i="7"/>
  <c r="F98" i="7"/>
  <c r="F144" i="7"/>
  <c r="F99" i="7"/>
  <c r="F34" i="7"/>
  <c r="F9" i="7"/>
  <c r="F114" i="7"/>
  <c r="F145" i="7"/>
  <c r="F49" i="7"/>
  <c r="F35" i="7"/>
  <c r="F71" i="7"/>
  <c r="F28" i="7"/>
  <c r="F80" i="7"/>
  <c r="F116" i="7"/>
  <c r="F53" i="7"/>
  <c r="F70" i="7"/>
  <c r="F24" i="7"/>
  <c r="F6" i="7"/>
  <c r="F50" i="7"/>
  <c r="F105" i="7"/>
  <c r="F55" i="7"/>
  <c r="F18" i="7"/>
  <c r="F43" i="7"/>
  <c r="F27" i="7"/>
  <c r="F96" i="7"/>
  <c r="F95" i="7"/>
  <c r="F15" i="7"/>
  <c r="F74" i="7"/>
  <c r="F17" i="7"/>
  <c r="F57" i="7"/>
  <c r="F58" i="7"/>
  <c r="F14" i="7"/>
  <c r="F129" i="7"/>
  <c r="F69" i="7"/>
  <c r="F8" i="7"/>
  <c r="F19" i="7"/>
  <c r="F16" i="7"/>
  <c r="F65" i="7"/>
  <c r="F38" i="7"/>
  <c r="F29" i="7"/>
  <c r="F76" i="7"/>
  <c r="F30" i="7"/>
  <c r="F102" i="7"/>
  <c r="F130" i="7"/>
  <c r="F143" i="7"/>
  <c r="F135" i="7"/>
  <c r="F39" i="7"/>
  <c r="F26" i="7"/>
  <c r="F88" i="7"/>
  <c r="F82" i="7"/>
  <c r="F63" i="7"/>
  <c r="F81" i="7"/>
  <c r="F125" i="7"/>
  <c r="F32" i="7"/>
  <c r="F25" i="7"/>
  <c r="F60" i="7"/>
  <c r="F46" i="7"/>
  <c r="F137" i="7"/>
  <c r="F146" i="7"/>
  <c r="F97" i="7"/>
  <c r="F127" i="7"/>
  <c r="F140" i="7"/>
  <c r="F86" i="7"/>
  <c r="F113" i="7"/>
  <c r="Y55" i="8"/>
  <c r="AA55" i="8" s="1"/>
  <c r="AB55" i="8"/>
  <c r="AD55" i="8" s="1"/>
  <c r="V55" i="8"/>
  <c r="X55" i="8" s="1"/>
  <c r="AF55" i="8"/>
  <c r="AE55" i="8" s="1"/>
  <c r="AG55" i="8"/>
  <c r="AF51" i="8"/>
  <c r="AE51" i="8" s="1"/>
  <c r="AB51" i="8"/>
  <c r="AD51" i="8" s="1"/>
  <c r="V51" i="8"/>
  <c r="X51" i="8" s="1"/>
  <c r="AG51" i="8"/>
  <c r="Y51" i="8"/>
  <c r="AA51" i="8" s="1"/>
  <c r="AG42" i="8"/>
  <c r="AB42" i="8"/>
  <c r="AD42" i="8" s="1"/>
  <c r="AF42" i="8"/>
  <c r="AE42" i="8" s="1"/>
  <c r="Y42" i="8"/>
  <c r="AA42" i="8" s="1"/>
  <c r="V42" i="8"/>
  <c r="X42" i="8" s="1"/>
  <c r="AB34" i="8"/>
  <c r="AD34" i="8" s="1"/>
  <c r="AF34" i="8"/>
  <c r="AE34" i="8" s="1"/>
  <c r="V34" i="8"/>
  <c r="X34" i="8" s="1"/>
  <c r="AG34" i="8"/>
  <c r="Y34" i="8"/>
  <c r="AA34" i="8" s="1"/>
  <c r="AG45" i="8"/>
  <c r="AB45" i="8"/>
  <c r="AD45" i="8" s="1"/>
  <c r="Y45" i="8"/>
  <c r="AA45" i="8" s="1"/>
  <c r="AF45" i="8"/>
  <c r="AE45" i="8" s="1"/>
  <c r="V45" i="8"/>
  <c r="X45" i="8" s="1"/>
  <c r="AB38" i="8"/>
  <c r="AD38" i="8" s="1"/>
  <c r="AF38" i="8"/>
  <c r="AE38" i="8" s="1"/>
  <c r="Y38" i="8"/>
  <c r="AA38" i="8" s="1"/>
  <c r="AG38" i="8"/>
  <c r="V38" i="8"/>
  <c r="X38" i="8" s="1"/>
  <c r="Y56" i="8"/>
  <c r="AA56" i="8" s="1"/>
  <c r="AB56" i="8"/>
  <c r="AD56" i="8" s="1"/>
  <c r="V56" i="8"/>
  <c r="X56" i="8" s="1"/>
  <c r="AG56" i="8"/>
  <c r="AF56" i="8"/>
  <c r="AE56" i="8" s="1"/>
  <c r="V8" i="8"/>
  <c r="X8" i="8" s="1"/>
  <c r="AF66" i="8"/>
  <c r="AE66" i="8" s="1"/>
  <c r="AB66" i="8"/>
  <c r="AD66" i="8" s="1"/>
  <c r="V66" i="8"/>
  <c r="X66" i="8" s="1"/>
  <c r="Y66" i="8"/>
  <c r="AA66" i="8" s="1"/>
  <c r="AG66" i="8"/>
  <c r="AB33" i="8"/>
  <c r="AD33" i="8" s="1"/>
  <c r="AG33" i="8"/>
  <c r="V33" i="8"/>
  <c r="X33" i="8" s="1"/>
  <c r="Y33" i="8"/>
  <c r="AA33" i="8" s="1"/>
  <c r="AF33" i="8"/>
  <c r="AE33" i="8" s="1"/>
  <c r="V23" i="8"/>
  <c r="X23" i="8" s="1"/>
  <c r="V26" i="8"/>
  <c r="X26" i="8" s="1"/>
  <c r="V48" i="8"/>
  <c r="X48" i="8" s="1"/>
  <c r="AG48" i="8"/>
  <c r="Y48" i="8"/>
  <c r="AA48" i="8" s="1"/>
  <c r="AF48" i="8"/>
  <c r="AE48" i="8" s="1"/>
  <c r="AB48" i="8"/>
  <c r="AD48" i="8" s="1"/>
  <c r="V13" i="8"/>
  <c r="X13" i="8" s="1"/>
  <c r="V39" i="8"/>
  <c r="X39" i="8" s="1"/>
  <c r="AG39" i="8"/>
  <c r="Y39" i="8"/>
  <c r="AA39" i="8" s="1"/>
  <c r="AB39" i="8"/>
  <c r="AD39" i="8" s="1"/>
  <c r="AF39" i="8"/>
  <c r="AE39" i="8" s="1"/>
  <c r="V20" i="8"/>
  <c r="X20" i="8" s="1"/>
  <c r="V27" i="8"/>
  <c r="X27" i="8" s="1"/>
  <c r="V50" i="8"/>
  <c r="X50" i="8" s="1"/>
  <c r="AG50" i="8"/>
  <c r="AB50" i="8"/>
  <c r="AD50" i="8" s="1"/>
  <c r="Y50" i="8"/>
  <c r="AA50" i="8" s="1"/>
  <c r="AF50" i="8"/>
  <c r="AE50" i="8" s="1"/>
  <c r="V9" i="8"/>
  <c r="X9" i="8" s="1"/>
  <c r="V19" i="8"/>
  <c r="X19" i="8" s="1"/>
  <c r="V16" i="8"/>
  <c r="X16" i="8" s="1"/>
  <c r="AG40" i="8"/>
  <c r="Y40" i="8"/>
  <c r="AA40" i="8" s="1"/>
  <c r="V40" i="8"/>
  <c r="X40" i="8" s="1"/>
  <c r="AB40" i="8"/>
  <c r="AD40" i="8" s="1"/>
  <c r="AF40" i="8"/>
  <c r="AE40" i="8" s="1"/>
  <c r="V58" i="8"/>
  <c r="X58" i="8" s="1"/>
  <c r="AG58" i="8"/>
  <c r="AF58" i="8"/>
  <c r="AE58" i="8" s="1"/>
  <c r="Y58" i="8"/>
  <c r="AA58" i="8" s="1"/>
  <c r="AB58" i="8"/>
  <c r="AD58" i="8" s="1"/>
  <c r="V14" i="8"/>
  <c r="X14" i="8" s="1"/>
  <c r="AG49" i="8"/>
  <c r="V49" i="8"/>
  <c r="X49" i="8" s="1"/>
  <c r="Y49" i="8"/>
  <c r="AA49" i="8" s="1"/>
  <c r="AF49" i="8"/>
  <c r="AE49" i="8" s="1"/>
  <c r="AB49" i="8"/>
  <c r="AD49" i="8" s="1"/>
  <c r="V31" i="8"/>
  <c r="X31" i="8" s="1"/>
  <c r="V11" i="8"/>
  <c r="X11" i="8" s="1"/>
  <c r="AF67" i="8"/>
  <c r="AE67" i="8" s="1"/>
  <c r="AB67" i="8"/>
  <c r="AD67" i="8" s="1"/>
  <c r="V67" i="8"/>
  <c r="X67" i="8" s="1"/>
  <c r="Y67" i="8"/>
  <c r="AA67" i="8" s="1"/>
  <c r="AG67" i="8"/>
  <c r="V12" i="8"/>
  <c r="X12" i="8" s="1"/>
  <c r="V15" i="8"/>
  <c r="X15" i="8" s="1"/>
  <c r="AG63" i="8"/>
  <c r="AF63" i="8"/>
  <c r="AE63" i="8" s="1"/>
  <c r="V63" i="8"/>
  <c r="X63" i="8" s="1"/>
  <c r="Y63" i="8"/>
  <c r="AA63" i="8" s="1"/>
  <c r="AB63" i="8"/>
  <c r="AD63" i="8" s="1"/>
  <c r="AB52" i="8"/>
  <c r="AD52" i="8" s="1"/>
  <c r="V52" i="8"/>
  <c r="X52" i="8" s="1"/>
  <c r="AG52" i="8"/>
  <c r="Y52" i="8"/>
  <c r="AA52" i="8" s="1"/>
  <c r="AF52" i="8"/>
  <c r="AE52" i="8" s="1"/>
  <c r="AB46" i="8"/>
  <c r="AD46" i="8" s="1"/>
  <c r="Y46" i="8"/>
  <c r="AA46" i="8" s="1"/>
  <c r="AF46" i="8"/>
  <c r="AE46" i="8" s="1"/>
  <c r="V46" i="8"/>
  <c r="X46" i="8" s="1"/>
  <c r="AG46" i="8"/>
  <c r="V28" i="8"/>
  <c r="X28" i="8" s="1"/>
  <c r="V17" i="8"/>
  <c r="X17" i="8" s="1"/>
  <c r="AF54" i="8"/>
  <c r="AE54" i="8" s="1"/>
  <c r="Y54" i="8"/>
  <c r="AA54" i="8" s="1"/>
  <c r="AB54" i="8"/>
  <c r="AD54" i="8" s="1"/>
  <c r="AG54" i="8"/>
  <c r="V54" i="8"/>
  <c r="X54" i="8" s="1"/>
  <c r="AB35" i="8"/>
  <c r="AD35" i="8" s="1"/>
  <c r="Y35" i="8"/>
  <c r="AA35" i="8" s="1"/>
  <c r="AG35" i="8"/>
  <c r="V35" i="8"/>
  <c r="X35" i="8" s="1"/>
  <c r="AF35" i="8"/>
  <c r="AE35" i="8" s="1"/>
  <c r="Y53" i="8"/>
  <c r="AA53" i="8" s="1"/>
  <c r="AF53" i="8"/>
  <c r="AE53" i="8" s="1"/>
  <c r="AB53" i="8"/>
  <c r="AD53" i="8" s="1"/>
  <c r="AG53" i="8"/>
  <c r="V53" i="8"/>
  <c r="X53" i="8" s="1"/>
  <c r="V24" i="8"/>
  <c r="X24" i="8" s="1"/>
  <c r="V29" i="8"/>
  <c r="X29" i="8" s="1"/>
  <c r="AG65" i="8"/>
  <c r="AB65" i="8"/>
  <c r="AD65" i="8" s="1"/>
  <c r="AF65" i="8"/>
  <c r="AE65" i="8" s="1"/>
  <c r="V65" i="8"/>
  <c r="X65" i="8" s="1"/>
  <c r="Y65" i="8"/>
  <c r="AA65" i="8" s="1"/>
  <c r="V32" i="8"/>
  <c r="X32" i="8" s="1"/>
  <c r="V18" i="8"/>
  <c r="X18" i="8" s="1"/>
  <c r="V6" i="8"/>
  <c r="X6" i="8" s="1"/>
  <c r="AB64" i="8"/>
  <c r="AD64" i="8" s="1"/>
  <c r="AF64" i="8"/>
  <c r="AE64" i="8" s="1"/>
  <c r="V64" i="8"/>
  <c r="X64" i="8" s="1"/>
  <c r="Y64" i="8"/>
  <c r="AA64" i="8" s="1"/>
  <c r="AG64" i="8"/>
  <c r="V21" i="8"/>
  <c r="X21" i="8" s="1"/>
  <c r="V5" i="8"/>
  <c r="X5" i="8" s="1"/>
  <c r="Y59" i="8"/>
  <c r="AA59" i="8" s="1"/>
  <c r="AF59" i="8"/>
  <c r="AE59" i="8" s="1"/>
  <c r="V59" i="8"/>
  <c r="X59" i="8" s="1"/>
  <c r="AB59" i="8"/>
  <c r="AD59" i="8" s="1"/>
  <c r="AG59" i="8"/>
  <c r="AF61" i="8"/>
  <c r="AE61" i="8" s="1"/>
  <c r="AG61" i="8"/>
  <c r="V61" i="8"/>
  <c r="X61" i="8" s="1"/>
  <c r="Y61" i="8"/>
  <c r="AA61" i="8" s="1"/>
  <c r="AB61" i="8"/>
  <c r="AD61" i="8" s="1"/>
  <c r="V4" i="8"/>
  <c r="AG41" i="8"/>
  <c r="AB41" i="8"/>
  <c r="AD41" i="8" s="1"/>
  <c r="V41" i="8"/>
  <c r="X41" i="8" s="1"/>
  <c r="Y41" i="8"/>
  <c r="AA41" i="8" s="1"/>
  <c r="AF41" i="8"/>
  <c r="AE41" i="8" s="1"/>
  <c r="AB37" i="8"/>
  <c r="AD37" i="8" s="1"/>
  <c r="AG37" i="8"/>
  <c r="AF37" i="8"/>
  <c r="AE37" i="8" s="1"/>
  <c r="V37" i="8"/>
  <c r="X37" i="8" s="1"/>
  <c r="Y37" i="8"/>
  <c r="AA37" i="8" s="1"/>
  <c r="Y62" i="8"/>
  <c r="AA62" i="8" s="1"/>
  <c r="AB62" i="8"/>
  <c r="AD62" i="8" s="1"/>
  <c r="AG62" i="8"/>
  <c r="V62" i="8"/>
  <c r="X62" i="8" s="1"/>
  <c r="AF62" i="8"/>
  <c r="AE62" i="8" s="1"/>
  <c r="AG57" i="8"/>
  <c r="AB57" i="8"/>
  <c r="AD57" i="8" s="1"/>
  <c r="AF57" i="8"/>
  <c r="AE57" i="8" s="1"/>
  <c r="V57" i="8"/>
  <c r="X57" i="8" s="1"/>
  <c r="Y57" i="8"/>
  <c r="AA57" i="8" s="1"/>
  <c r="V30" i="8"/>
  <c r="X30" i="8" s="1"/>
  <c r="Y60" i="8"/>
  <c r="AA60" i="8" s="1"/>
  <c r="V60" i="8"/>
  <c r="X60" i="8" s="1"/>
  <c r="AG60" i="8"/>
  <c r="AB60" i="8"/>
  <c r="AD60" i="8" s="1"/>
  <c r="AF60" i="8"/>
  <c r="AE60" i="8" s="1"/>
  <c r="V10" i="8"/>
  <c r="X10" i="8" s="1"/>
  <c r="V25" i="8"/>
  <c r="X25" i="8" s="1"/>
  <c r="AG36" i="8"/>
  <c r="Y36" i="8"/>
  <c r="AA36" i="8" s="1"/>
  <c r="V36" i="8"/>
  <c r="X36" i="8" s="1"/>
  <c r="AB36" i="8"/>
  <c r="AD36" i="8" s="1"/>
  <c r="AF36" i="8"/>
  <c r="AE36" i="8" s="1"/>
  <c r="Y47" i="8"/>
  <c r="AA47" i="8" s="1"/>
  <c r="AG47" i="8"/>
  <c r="AB47" i="8"/>
  <c r="AD47" i="8" s="1"/>
  <c r="AF47" i="8"/>
  <c r="AE47" i="8" s="1"/>
  <c r="V47" i="8"/>
  <c r="X47" i="8" s="1"/>
  <c r="G97" i="7"/>
  <c r="G21" i="7"/>
  <c r="G61" i="7"/>
  <c r="G8" i="7"/>
  <c r="G102" i="7"/>
  <c r="G120" i="7"/>
  <c r="G43" i="7"/>
  <c r="G99" i="7"/>
  <c r="G100" i="7"/>
  <c r="G34" i="7"/>
  <c r="G137" i="7"/>
  <c r="G96" i="7"/>
  <c r="G67" i="7"/>
  <c r="G94" i="7"/>
  <c r="G11" i="7"/>
  <c r="G56" i="7"/>
  <c r="G134" i="7"/>
  <c r="G50" i="7"/>
  <c r="G82" i="7"/>
  <c r="G10" i="7"/>
  <c r="G64" i="7"/>
  <c r="G129" i="7"/>
  <c r="G37" i="7"/>
  <c r="G65" i="7"/>
  <c r="G40" i="7"/>
  <c r="G23" i="7"/>
  <c r="G18" i="7"/>
  <c r="G84" i="7"/>
  <c r="G27" i="7"/>
  <c r="G146" i="7"/>
  <c r="G5" i="7"/>
  <c r="G42" i="7"/>
  <c r="G128" i="7"/>
  <c r="G87" i="7"/>
  <c r="G69" i="7"/>
  <c r="G74" i="7"/>
  <c r="G62" i="7"/>
  <c r="G83" i="7"/>
  <c r="G104" i="7"/>
  <c r="G149" i="7"/>
  <c r="G78" i="7"/>
  <c r="G139" i="7"/>
  <c r="G51" i="7"/>
  <c r="G93" i="7"/>
  <c r="G48" i="7"/>
  <c r="G86" i="7"/>
  <c r="G77" i="7"/>
  <c r="G91" i="7"/>
  <c r="G141" i="7"/>
  <c r="G46" i="7"/>
  <c r="G108" i="7"/>
  <c r="G68" i="7"/>
  <c r="G95" i="7"/>
  <c r="G49" i="7"/>
  <c r="G113" i="7"/>
  <c r="G130" i="7"/>
  <c r="G76" i="7"/>
  <c r="G148" i="7"/>
  <c r="G58" i="7"/>
  <c r="G135" i="7"/>
  <c r="G32" i="7"/>
  <c r="G20" i="7"/>
  <c r="G143" i="7"/>
  <c r="G24" i="7"/>
  <c r="G101" i="7"/>
  <c r="G116" i="7"/>
  <c r="G12" i="7"/>
  <c r="G118" i="7"/>
  <c r="G107" i="7"/>
  <c r="G16" i="7"/>
  <c r="G150" i="7"/>
  <c r="G36" i="7"/>
  <c r="G80" i="7"/>
  <c r="G39" i="7"/>
  <c r="G13" i="7"/>
  <c r="G136" i="7"/>
  <c r="G55" i="7"/>
  <c r="G41" i="7"/>
  <c r="G73" i="7"/>
  <c r="G117" i="7"/>
  <c r="G57" i="7"/>
  <c r="G14" i="7"/>
  <c r="G142" i="7"/>
  <c r="G133" i="7"/>
  <c r="G72" i="7"/>
  <c r="G66" i="7"/>
  <c r="G110" i="7"/>
  <c r="G59" i="7"/>
  <c r="G145" i="7"/>
  <c r="G26" i="7"/>
  <c r="G112" i="7"/>
  <c r="G44" i="7"/>
  <c r="G15" i="7"/>
  <c r="G35" i="7"/>
  <c r="G17" i="7"/>
  <c r="G38" i="7"/>
  <c r="G52" i="7"/>
  <c r="G89" i="7"/>
  <c r="G103" i="7"/>
  <c r="G122" i="7"/>
  <c r="G123" i="7"/>
  <c r="G144" i="7"/>
  <c r="G31" i="7"/>
  <c r="G9" i="7"/>
  <c r="G85" i="7"/>
  <c r="G131" i="7"/>
  <c r="G119" i="7"/>
  <c r="G28" i="7"/>
  <c r="G4" i="7"/>
  <c r="G127" i="7"/>
  <c r="G114" i="7"/>
  <c r="G33" i="7"/>
  <c r="G126" i="7"/>
  <c r="G19" i="7"/>
  <c r="G125" i="7"/>
  <c r="G121" i="7"/>
  <c r="G6" i="7"/>
  <c r="G105" i="7"/>
  <c r="G140" i="7"/>
  <c r="G70" i="7"/>
  <c r="G47" i="7"/>
  <c r="G147" i="7"/>
  <c r="G124" i="7"/>
  <c r="G54" i="7"/>
  <c r="G7" i="7"/>
  <c r="G106" i="7"/>
  <c r="G45" i="7"/>
  <c r="G92" i="7"/>
  <c r="G79" i="7"/>
  <c r="G71" i="7"/>
  <c r="G60" i="7"/>
  <c r="G115" i="7"/>
  <c r="G109" i="7"/>
  <c r="G81" i="7"/>
  <c r="G25" i="7"/>
  <c r="G111" i="7"/>
  <c r="G90" i="7"/>
  <c r="G138" i="7"/>
  <c r="G22" i="7"/>
  <c r="G63" i="7"/>
  <c r="G53" i="7"/>
  <c r="G98" i="7"/>
  <c r="G132" i="7"/>
  <c r="G30" i="7"/>
  <c r="G29" i="7"/>
  <c r="G75" i="7"/>
  <c r="G88" i="7"/>
  <c r="V22" i="8"/>
  <c r="X22" i="8" s="1"/>
  <c r="AG44" i="8"/>
  <c r="AF44" i="8"/>
  <c r="AE44" i="8" s="1"/>
  <c r="Y44" i="8"/>
  <c r="AA44" i="8" s="1"/>
  <c r="AB44" i="8"/>
  <c r="AD44" i="8" s="1"/>
  <c r="V44" i="8"/>
  <c r="X44" i="8" s="1"/>
  <c r="AG43" i="8"/>
  <c r="Y43" i="8"/>
  <c r="AA43" i="8" s="1"/>
  <c r="V43" i="8"/>
  <c r="X43" i="8" s="1"/>
  <c r="AB43" i="8"/>
  <c r="AD43" i="8" s="1"/>
  <c r="AF43" i="8"/>
  <c r="AE43" i="8" s="1"/>
  <c r="V7" i="8"/>
  <c r="X7" i="8" s="1"/>
  <c r="I12" i="7"/>
  <c r="I44" i="7"/>
  <c r="I31" i="7"/>
  <c r="I13" i="7"/>
  <c r="I79" i="7"/>
  <c r="I94" i="7"/>
  <c r="I62" i="7"/>
  <c r="I108" i="7"/>
  <c r="I21" i="7"/>
  <c r="I20" i="7"/>
  <c r="I123" i="7"/>
  <c r="I9" i="7"/>
  <c r="I116" i="7"/>
  <c r="I18" i="7"/>
  <c r="I57" i="7"/>
  <c r="I65" i="7"/>
  <c r="I135" i="7"/>
  <c r="I32" i="7"/>
  <c r="I140" i="7"/>
  <c r="AB32" i="8"/>
  <c r="J99" i="7"/>
  <c r="J56" i="7"/>
  <c r="J65" i="7"/>
  <c r="J42" i="7"/>
  <c r="J149" i="7"/>
  <c r="J91" i="7"/>
  <c r="J130" i="7"/>
  <c r="J24" i="7"/>
  <c r="J36" i="7"/>
  <c r="J117" i="7"/>
  <c r="J59" i="7"/>
  <c r="J38" i="7"/>
  <c r="J9" i="7"/>
  <c r="J33" i="7"/>
  <c r="J70" i="7"/>
  <c r="J92" i="7"/>
  <c r="J111" i="7"/>
  <c r="J30" i="7"/>
  <c r="Y5" i="8"/>
  <c r="J100" i="7"/>
  <c r="J134" i="7"/>
  <c r="J128" i="7"/>
  <c r="J78" i="7"/>
  <c r="J141" i="7"/>
  <c r="J76" i="7"/>
  <c r="J101" i="7"/>
  <c r="J80" i="7"/>
  <c r="J57" i="7"/>
  <c r="J52" i="7"/>
  <c r="J85" i="7"/>
  <c r="J126" i="7"/>
  <c r="J47" i="7"/>
  <c r="J79" i="7"/>
  <c r="J90" i="7"/>
  <c r="I67" i="7"/>
  <c r="I85" i="7"/>
  <c r="I142" i="7"/>
  <c r="I148" i="7"/>
  <c r="I93" i="7"/>
  <c r="I115" i="7"/>
  <c r="I89" i="7"/>
  <c r="I145" i="7"/>
  <c r="I27" i="7"/>
  <c r="I29" i="7"/>
  <c r="I60" i="7"/>
  <c r="Y26" i="8"/>
  <c r="J50" i="7"/>
  <c r="J87" i="7"/>
  <c r="J46" i="7"/>
  <c r="J116" i="7"/>
  <c r="J26" i="7"/>
  <c r="J89" i="7"/>
  <c r="J19" i="7"/>
  <c r="J147" i="7"/>
  <c r="J138" i="7"/>
  <c r="I11" i="7"/>
  <c r="I134" i="7"/>
  <c r="I128" i="7"/>
  <c r="I49" i="7"/>
  <c r="I96" i="7"/>
  <c r="I76" i="7"/>
  <c r="I46" i="7"/>
  <c r="J69" i="7"/>
  <c r="J142" i="7"/>
  <c r="J124" i="7"/>
  <c r="I56" i="7"/>
  <c r="I120" i="7"/>
  <c r="I51" i="7"/>
  <c r="I35" i="7"/>
  <c r="I95" i="7"/>
  <c r="I30" i="7"/>
  <c r="I137" i="7"/>
  <c r="Y11" i="8"/>
  <c r="J84" i="7"/>
  <c r="J93" i="7"/>
  <c r="J118" i="7"/>
  <c r="J133" i="7"/>
  <c r="J122" i="7"/>
  <c r="J54" i="7"/>
  <c r="J63" i="7"/>
  <c r="I124" i="7"/>
  <c r="I109" i="7"/>
  <c r="I52" i="7"/>
  <c r="I144" i="7"/>
  <c r="I15" i="7"/>
  <c r="I63" i="7"/>
  <c r="Y24" i="8"/>
  <c r="J102" i="7"/>
  <c r="J64" i="7"/>
  <c r="J48" i="7"/>
  <c r="J107" i="7"/>
  <c r="J15" i="7"/>
  <c r="J7" i="7"/>
  <c r="Y22" i="8"/>
  <c r="I121" i="7"/>
  <c r="I126" i="7"/>
  <c r="I59" i="7"/>
  <c r="I99" i="7"/>
  <c r="I105" i="7"/>
  <c r="I19" i="7"/>
  <c r="I97" i="7"/>
  <c r="Y8" i="8"/>
  <c r="J146" i="7"/>
  <c r="J20" i="7"/>
  <c r="J66" i="7"/>
  <c r="J106" i="7"/>
  <c r="J98" i="7"/>
  <c r="I149" i="7"/>
  <c r="I117" i="7"/>
  <c r="I36" i="7"/>
  <c r="I72" i="7"/>
  <c r="I34" i="7"/>
  <c r="I55" i="7"/>
  <c r="I16" i="7"/>
  <c r="I127" i="7"/>
  <c r="J5" i="7"/>
  <c r="J143" i="7"/>
  <c r="J110" i="7"/>
  <c r="J114" i="7"/>
  <c r="J25" i="7"/>
  <c r="I132" i="7"/>
  <c r="I136" i="7"/>
  <c r="I107" i="7"/>
  <c r="I45" i="7"/>
  <c r="I110" i="7"/>
  <c r="I83" i="7"/>
  <c r="I112" i="7"/>
  <c r="I77" i="7"/>
  <c r="I23" i="7"/>
  <c r="I87" i="7"/>
  <c r="I37" i="7"/>
  <c r="I114" i="7"/>
  <c r="I53" i="7"/>
  <c r="I43" i="7"/>
  <c r="I58" i="7"/>
  <c r="I38" i="7"/>
  <c r="I39" i="7"/>
  <c r="I25" i="7"/>
  <c r="I86" i="7"/>
  <c r="Y9" i="8"/>
  <c r="J97" i="7"/>
  <c r="J40" i="7"/>
  <c r="J145" i="7"/>
  <c r="J29" i="7"/>
  <c r="I33" i="7"/>
  <c r="I133" i="7"/>
  <c r="I78" i="7"/>
  <c r="I48" i="7"/>
  <c r="I70" i="7"/>
  <c r="I14" i="7"/>
  <c r="I26" i="7"/>
  <c r="I113" i="7"/>
  <c r="J21" i="7"/>
  <c r="J23" i="7"/>
  <c r="J139" i="7"/>
  <c r="J148" i="7"/>
  <c r="J14" i="7"/>
  <c r="J131" i="7"/>
  <c r="J71" i="7"/>
  <c r="J75" i="7"/>
  <c r="I147" i="7"/>
  <c r="I47" i="7"/>
  <c r="I118" i="7"/>
  <c r="I42" i="7"/>
  <c r="I101" i="7"/>
  <c r="I84" i="7"/>
  <c r="I104" i="7"/>
  <c r="I24" i="7"/>
  <c r="I129" i="7"/>
  <c r="I88" i="7"/>
  <c r="Y6" i="8"/>
  <c r="J61" i="7"/>
  <c r="J137" i="7"/>
  <c r="J82" i="7"/>
  <c r="J18" i="7"/>
  <c r="J51" i="7"/>
  <c r="J108" i="7"/>
  <c r="J12" i="7"/>
  <c r="J13" i="7"/>
  <c r="J112" i="7"/>
  <c r="J103" i="7"/>
  <c r="J119" i="7"/>
  <c r="J125" i="7"/>
  <c r="J60" i="7"/>
  <c r="J22" i="7"/>
  <c r="I7" i="7"/>
  <c r="I5" i="7"/>
  <c r="I75" i="7"/>
  <c r="I90" i="7"/>
  <c r="I10" i="7"/>
  <c r="I91" i="7"/>
  <c r="I98" i="7"/>
  <c r="I6" i="7"/>
  <c r="I69" i="7"/>
  <c r="I82" i="7"/>
  <c r="J68" i="7"/>
  <c r="J121" i="7"/>
  <c r="I4" i="7"/>
  <c r="I22" i="7"/>
  <c r="I68" i="7"/>
  <c r="I100" i="7"/>
  <c r="I64" i="7"/>
  <c r="I50" i="7"/>
  <c r="I102" i="7"/>
  <c r="J67" i="7"/>
  <c r="J62" i="7"/>
  <c r="J32" i="7"/>
  <c r="J72" i="7"/>
  <c r="J6" i="7"/>
  <c r="J53" i="7"/>
  <c r="I131" i="7"/>
  <c r="I66" i="7"/>
  <c r="I139" i="7"/>
  <c r="I106" i="7"/>
  <c r="I28" i="7"/>
  <c r="I74" i="7"/>
  <c r="I81" i="7"/>
  <c r="Y30" i="8"/>
  <c r="J120" i="7"/>
  <c r="J129" i="7"/>
  <c r="J86" i="7"/>
  <c r="J16" i="7"/>
  <c r="J35" i="7"/>
  <c r="J144" i="7"/>
  <c r="J81" i="7"/>
  <c r="I73" i="7"/>
  <c r="I141" i="7"/>
  <c r="I54" i="7"/>
  <c r="I150" i="7"/>
  <c r="I122" i="7"/>
  <c r="I80" i="7"/>
  <c r="I17" i="7"/>
  <c r="I143" i="7"/>
  <c r="I125" i="7"/>
  <c r="Y14" i="8"/>
  <c r="J11" i="7"/>
  <c r="J104" i="7"/>
  <c r="J150" i="7"/>
  <c r="J17" i="7"/>
  <c r="J45" i="7"/>
  <c r="J132" i="7"/>
  <c r="J34" i="7"/>
  <c r="J39" i="7"/>
  <c r="I138" i="7"/>
  <c r="Y13" i="8"/>
  <c r="J58" i="7"/>
  <c r="I41" i="7"/>
  <c r="J8" i="7"/>
  <c r="J96" i="7"/>
  <c r="J10" i="7"/>
  <c r="J74" i="7"/>
  <c r="J135" i="7"/>
  <c r="J136" i="7"/>
  <c r="J44" i="7"/>
  <c r="J28" i="7"/>
  <c r="J115" i="7"/>
  <c r="I92" i="7"/>
  <c r="I111" i="7"/>
  <c r="I71" i="7"/>
  <c r="I8" i="7"/>
  <c r="I146" i="7"/>
  <c r="J27" i="7"/>
  <c r="J95" i="7"/>
  <c r="J55" i="7"/>
  <c r="J4" i="7"/>
  <c r="J109" i="7"/>
  <c r="I40" i="7"/>
  <c r="I103" i="7"/>
  <c r="I130" i="7"/>
  <c r="Y31" i="8"/>
  <c r="J94" i="7"/>
  <c r="J83" i="7"/>
  <c r="J49" i="7"/>
  <c r="J41" i="7"/>
  <c r="J127" i="7"/>
  <c r="I61" i="7"/>
  <c r="J37" i="7"/>
  <c r="J113" i="7"/>
  <c r="J73" i="7"/>
  <c r="J140" i="7"/>
  <c r="J88" i="7"/>
  <c r="J123" i="7"/>
  <c r="I119" i="7"/>
  <c r="Y17" i="8"/>
  <c r="J43" i="7"/>
  <c r="J31" i="7"/>
  <c r="J105" i="7"/>
  <c r="J77" i="7"/>
  <c r="Y15" i="8"/>
  <c r="Y28" i="8"/>
  <c r="Y32" i="8"/>
  <c r="Y21" i="8"/>
  <c r="Y25" i="8"/>
  <c r="Y23" i="8"/>
  <c r="Y18" i="8"/>
  <c r="Y7" i="8"/>
  <c r="Y29" i="8"/>
  <c r="Y19" i="8"/>
  <c r="Y27" i="8"/>
  <c r="Y16" i="8"/>
  <c r="Y12" i="8"/>
  <c r="Y20" i="8"/>
  <c r="Y10" i="8"/>
  <c r="M99" i="7"/>
  <c r="L99" i="7"/>
  <c r="M56" i="7"/>
  <c r="L56" i="7"/>
  <c r="M65" i="7"/>
  <c r="L65" i="7"/>
  <c r="M42" i="7"/>
  <c r="L42" i="7"/>
  <c r="M149" i="7"/>
  <c r="L149" i="7"/>
  <c r="M91" i="7"/>
  <c r="L91" i="7"/>
  <c r="M130" i="7"/>
  <c r="L130" i="7"/>
  <c r="M24" i="7"/>
  <c r="L24" i="7"/>
  <c r="M36" i="7"/>
  <c r="L36" i="7"/>
  <c r="M117" i="7"/>
  <c r="L117" i="7"/>
  <c r="M59" i="7"/>
  <c r="L59" i="7"/>
  <c r="M38" i="7"/>
  <c r="L38" i="7"/>
  <c r="M9" i="7"/>
  <c r="L9" i="7"/>
  <c r="M33" i="7"/>
  <c r="L33" i="7"/>
  <c r="M70" i="7"/>
  <c r="L70" i="7"/>
  <c r="M92" i="7"/>
  <c r="L92" i="7"/>
  <c r="M111" i="7"/>
  <c r="L111" i="7"/>
  <c r="M30" i="7"/>
  <c r="L30" i="7"/>
  <c r="M100" i="7"/>
  <c r="L100" i="7"/>
  <c r="M134" i="7"/>
  <c r="L134" i="7"/>
  <c r="M128" i="7"/>
  <c r="L128" i="7"/>
  <c r="M78" i="7"/>
  <c r="L78" i="7"/>
  <c r="M141" i="7"/>
  <c r="L141" i="7"/>
  <c r="M76" i="7"/>
  <c r="L76" i="7"/>
  <c r="M101" i="7"/>
  <c r="L101" i="7"/>
  <c r="M80" i="7"/>
  <c r="L80" i="7"/>
  <c r="M57" i="7"/>
  <c r="L57" i="7"/>
  <c r="M52" i="7"/>
  <c r="L52" i="7"/>
  <c r="M85" i="7"/>
  <c r="L85" i="7"/>
  <c r="M126" i="7"/>
  <c r="L126" i="7"/>
  <c r="M47" i="7"/>
  <c r="L47" i="7"/>
  <c r="M79" i="7"/>
  <c r="L79" i="7"/>
  <c r="M90" i="7"/>
  <c r="L90" i="7"/>
  <c r="M50" i="7"/>
  <c r="L50" i="7"/>
  <c r="M87" i="7"/>
  <c r="L87" i="7"/>
  <c r="M46" i="7"/>
  <c r="L46" i="7"/>
  <c r="M116" i="7"/>
  <c r="L116" i="7"/>
  <c r="M26" i="7"/>
  <c r="L26" i="7"/>
  <c r="M89" i="7"/>
  <c r="L89" i="7"/>
  <c r="M19" i="7"/>
  <c r="L19" i="7"/>
  <c r="M147" i="7"/>
  <c r="L147" i="7"/>
  <c r="M138" i="7"/>
  <c r="L138" i="7"/>
  <c r="M69" i="7"/>
  <c r="L69" i="7"/>
  <c r="M142" i="7"/>
  <c r="L142" i="7"/>
  <c r="M124" i="7"/>
  <c r="L124" i="7"/>
  <c r="M84" i="7"/>
  <c r="L84" i="7"/>
  <c r="M93" i="7"/>
  <c r="L93" i="7"/>
  <c r="M118" i="7"/>
  <c r="L118" i="7"/>
  <c r="M133" i="7"/>
  <c r="L133" i="7"/>
  <c r="M122" i="7"/>
  <c r="L122" i="7"/>
  <c r="M54" i="7"/>
  <c r="L54" i="7"/>
  <c r="M63" i="7"/>
  <c r="L63" i="7"/>
  <c r="M102" i="7"/>
  <c r="L102" i="7"/>
  <c r="M64" i="7"/>
  <c r="L64" i="7"/>
  <c r="M48" i="7"/>
  <c r="L48" i="7"/>
  <c r="M107" i="7"/>
  <c r="L107" i="7"/>
  <c r="M15" i="7"/>
  <c r="L15" i="7"/>
  <c r="M7" i="7"/>
  <c r="L7" i="7"/>
  <c r="M146" i="7"/>
  <c r="L146" i="7"/>
  <c r="M20" i="7"/>
  <c r="L20" i="7"/>
  <c r="M66" i="7"/>
  <c r="L66" i="7"/>
  <c r="M106" i="7"/>
  <c r="L106" i="7"/>
  <c r="M98" i="7"/>
  <c r="L98" i="7"/>
  <c r="M5" i="7"/>
  <c r="L5" i="7"/>
  <c r="M143" i="7"/>
  <c r="L143" i="7"/>
  <c r="M110" i="7"/>
  <c r="L110" i="7"/>
  <c r="M114" i="7"/>
  <c r="L114" i="7"/>
  <c r="M25" i="7"/>
  <c r="L25" i="7"/>
  <c r="M97" i="7"/>
  <c r="L97" i="7"/>
  <c r="M40" i="7"/>
  <c r="L40" i="7"/>
  <c r="M145" i="7"/>
  <c r="L145" i="7"/>
  <c r="M29" i="7"/>
  <c r="L29" i="7"/>
  <c r="M21" i="7"/>
  <c r="L21" i="7"/>
  <c r="M23" i="7"/>
  <c r="L23" i="7"/>
  <c r="M139" i="7"/>
  <c r="L139" i="7"/>
  <c r="M148" i="7"/>
  <c r="L148" i="7"/>
  <c r="M14" i="7"/>
  <c r="L14" i="7"/>
  <c r="M131" i="7"/>
  <c r="L131" i="7"/>
  <c r="M71" i="7"/>
  <c r="L71" i="7"/>
  <c r="M75" i="7"/>
  <c r="L75" i="7"/>
  <c r="M61" i="7"/>
  <c r="L61" i="7"/>
  <c r="M137" i="7"/>
  <c r="L137" i="7"/>
  <c r="M82" i="7"/>
  <c r="L82" i="7"/>
  <c r="M18" i="7"/>
  <c r="L18" i="7"/>
  <c r="M51" i="7"/>
  <c r="L51" i="7"/>
  <c r="M108" i="7"/>
  <c r="L108" i="7"/>
  <c r="M12" i="7"/>
  <c r="L12" i="7"/>
  <c r="M13" i="7"/>
  <c r="L13" i="7"/>
  <c r="M112" i="7"/>
  <c r="L112" i="7"/>
  <c r="M103" i="7"/>
  <c r="L103" i="7"/>
  <c r="M119" i="7"/>
  <c r="L119" i="7"/>
  <c r="M125" i="7"/>
  <c r="L125" i="7"/>
  <c r="M60" i="7"/>
  <c r="L60" i="7"/>
  <c r="M22" i="7"/>
  <c r="L22" i="7"/>
  <c r="M68" i="7"/>
  <c r="L68" i="7"/>
  <c r="M121" i="7"/>
  <c r="L121" i="7"/>
  <c r="M67" i="7"/>
  <c r="L67" i="7"/>
  <c r="M62" i="7"/>
  <c r="L62" i="7"/>
  <c r="M32" i="7"/>
  <c r="L32" i="7"/>
  <c r="M72" i="7"/>
  <c r="L72" i="7"/>
  <c r="M6" i="7"/>
  <c r="L6" i="7"/>
  <c r="M53" i="7"/>
  <c r="L53" i="7"/>
  <c r="M120" i="7"/>
  <c r="L120" i="7"/>
  <c r="M129" i="7"/>
  <c r="L129" i="7"/>
  <c r="M86" i="7"/>
  <c r="L86" i="7"/>
  <c r="M16" i="7"/>
  <c r="L16" i="7"/>
  <c r="M35" i="7"/>
  <c r="L35" i="7"/>
  <c r="M144" i="7"/>
  <c r="L144" i="7"/>
  <c r="M81" i="7"/>
  <c r="L81" i="7"/>
  <c r="M11" i="7"/>
  <c r="L11" i="7"/>
  <c r="M104" i="7"/>
  <c r="L104" i="7"/>
  <c r="M150" i="7"/>
  <c r="L150" i="7"/>
  <c r="M17" i="7"/>
  <c r="L17" i="7"/>
  <c r="M45" i="7"/>
  <c r="L45" i="7"/>
  <c r="M132" i="7"/>
  <c r="L132" i="7"/>
  <c r="M34" i="7"/>
  <c r="L34" i="7"/>
  <c r="M39" i="7"/>
  <c r="L39" i="7"/>
  <c r="M58" i="7"/>
  <c r="L58" i="7"/>
  <c r="M8" i="7"/>
  <c r="L8" i="7"/>
  <c r="M96" i="7"/>
  <c r="L96" i="7"/>
  <c r="M10" i="7"/>
  <c r="L10" i="7"/>
  <c r="M74" i="7"/>
  <c r="L74" i="7"/>
  <c r="M135" i="7"/>
  <c r="L135" i="7"/>
  <c r="M136" i="7"/>
  <c r="L136" i="7"/>
  <c r="M44" i="7"/>
  <c r="L44" i="7"/>
  <c r="M28" i="7"/>
  <c r="L28" i="7"/>
  <c r="M115" i="7"/>
  <c r="L115" i="7"/>
  <c r="M27" i="7"/>
  <c r="L27" i="7"/>
  <c r="M95" i="7"/>
  <c r="L95" i="7"/>
  <c r="M55" i="7"/>
  <c r="L55" i="7"/>
  <c r="M4" i="7"/>
  <c r="L4" i="7"/>
  <c r="M109" i="7"/>
  <c r="L109" i="7"/>
  <c r="M94" i="7"/>
  <c r="L94" i="7"/>
  <c r="M83" i="7"/>
  <c r="L83" i="7"/>
  <c r="M49" i="7"/>
  <c r="L49" i="7"/>
  <c r="M41" i="7"/>
  <c r="L41" i="7"/>
  <c r="M127" i="7"/>
  <c r="L127" i="7"/>
  <c r="M37" i="7"/>
  <c r="L37" i="7"/>
  <c r="M113" i="7"/>
  <c r="L113" i="7"/>
  <c r="M73" i="7"/>
  <c r="L73" i="7"/>
  <c r="M140" i="7"/>
  <c r="L140" i="7"/>
  <c r="M88" i="7"/>
  <c r="L88" i="7"/>
  <c r="M123" i="7"/>
  <c r="L123" i="7"/>
  <c r="M43" i="7"/>
  <c r="L43" i="7"/>
  <c r="M31" i="7"/>
  <c r="L31" i="7"/>
  <c r="M105" i="7"/>
  <c r="L105" i="7"/>
  <c r="M77" i="7"/>
  <c r="L77" i="7"/>
  <c r="AA10" i="8" l="1"/>
  <c r="AA20" i="8"/>
  <c r="AA12" i="8"/>
  <c r="AA16" i="8"/>
  <c r="AA27" i="8"/>
  <c r="AA19" i="8"/>
  <c r="AA29" i="8"/>
  <c r="AA7" i="8"/>
  <c r="AA18" i="8"/>
  <c r="AA23" i="8"/>
  <c r="AA25" i="8"/>
  <c r="AA21" i="8"/>
  <c r="AA28" i="8"/>
  <c r="AA15" i="8"/>
  <c r="AA17" i="8"/>
  <c r="AA31" i="8"/>
  <c r="AA13" i="8"/>
  <c r="AA14" i="8"/>
  <c r="AA30" i="8"/>
  <c r="AA6" i="8"/>
  <c r="AA9" i="8"/>
  <c r="AA8" i="8"/>
  <c r="AA22" i="8"/>
  <c r="AA24" i="8"/>
  <c r="AA11" i="8"/>
  <c r="AA26" i="8"/>
  <c r="AA5" i="8"/>
  <c r="AD32" i="8"/>
  <c r="AF32" i="8" s="1"/>
  <c r="H77" i="7"/>
  <c r="H105" i="7"/>
  <c r="H31" i="7"/>
  <c r="H43" i="7"/>
  <c r="R119" i="7"/>
  <c r="S119" i="7" s="1"/>
  <c r="H123" i="7"/>
  <c r="H88" i="7"/>
  <c r="H140" i="7"/>
  <c r="H73" i="7"/>
  <c r="H113" i="7"/>
  <c r="H37" i="7"/>
  <c r="R61" i="7"/>
  <c r="S61" i="7" s="1"/>
  <c r="H127" i="7"/>
  <c r="H41" i="7"/>
  <c r="H49" i="7"/>
  <c r="H83" i="7"/>
  <c r="H94" i="7"/>
  <c r="R130" i="7"/>
  <c r="S130" i="7" s="1"/>
  <c r="R103" i="7"/>
  <c r="S103" i="7" s="1"/>
  <c r="R40" i="7"/>
  <c r="S40" i="7" s="1"/>
  <c r="H109" i="7"/>
  <c r="H4" i="7"/>
  <c r="H55" i="7"/>
  <c r="H95" i="7"/>
  <c r="H27" i="7"/>
  <c r="R146" i="7"/>
  <c r="S146" i="7" s="1"/>
  <c r="R8" i="7"/>
  <c r="S8" i="7" s="1"/>
  <c r="R71" i="7"/>
  <c r="S71" i="7" s="1"/>
  <c r="R111" i="7"/>
  <c r="S111" i="7" s="1"/>
  <c r="R92" i="7"/>
  <c r="S92" i="7" s="1"/>
  <c r="H115" i="7"/>
  <c r="H28" i="7"/>
  <c r="H44" i="7"/>
  <c r="H136" i="7"/>
  <c r="H135" i="7"/>
  <c r="H74" i="7"/>
  <c r="H10" i="7"/>
  <c r="H96" i="7"/>
  <c r="H8" i="7"/>
  <c r="X4" i="8"/>
  <c r="V1" i="8"/>
  <c r="V2" i="8" s="1"/>
  <c r="R41" i="7"/>
  <c r="S41" i="7" s="1"/>
  <c r="H58" i="7"/>
  <c r="R138" i="7"/>
  <c r="S138" i="7" s="1"/>
  <c r="H39" i="7"/>
  <c r="H34" i="7"/>
  <c r="H132" i="7"/>
  <c r="H45" i="7"/>
  <c r="H17" i="7"/>
  <c r="H150" i="7"/>
  <c r="H104" i="7"/>
  <c r="H11" i="7"/>
  <c r="R125" i="7"/>
  <c r="S125" i="7" s="1"/>
  <c r="R143" i="7"/>
  <c r="S143" i="7" s="1"/>
  <c r="R17" i="7"/>
  <c r="S17" i="7" s="1"/>
  <c r="R80" i="7"/>
  <c r="S80" i="7" s="1"/>
  <c r="R122" i="7"/>
  <c r="S122" i="7" s="1"/>
  <c r="R150" i="7"/>
  <c r="S150" i="7" s="1"/>
  <c r="R54" i="7"/>
  <c r="S54" i="7" s="1"/>
  <c r="R141" i="7"/>
  <c r="S141" i="7" s="1"/>
  <c r="R73" i="7"/>
  <c r="S73" i="7" s="1"/>
  <c r="H81" i="7"/>
  <c r="H144" i="7"/>
  <c r="H35" i="7"/>
  <c r="H16" i="7"/>
  <c r="H86" i="7"/>
  <c r="H129" i="7"/>
  <c r="H120" i="7"/>
  <c r="R81" i="7"/>
  <c r="S81" i="7" s="1"/>
  <c r="R74" i="7"/>
  <c r="S74" i="7" s="1"/>
  <c r="R28" i="7"/>
  <c r="S28" i="7" s="1"/>
  <c r="R106" i="7"/>
  <c r="S106" i="7" s="1"/>
  <c r="R139" i="7"/>
  <c r="S139" i="7" s="1"/>
  <c r="R66" i="7"/>
  <c r="S66" i="7" s="1"/>
  <c r="R131" i="7"/>
  <c r="S131" i="7" s="1"/>
  <c r="H53" i="7"/>
  <c r="H6" i="7"/>
  <c r="H72" i="7"/>
  <c r="H32" i="7"/>
  <c r="H62" i="7"/>
  <c r="H67" i="7"/>
  <c r="R102" i="7"/>
  <c r="S102" i="7" s="1"/>
  <c r="R50" i="7"/>
  <c r="S50" i="7" s="1"/>
  <c r="R64" i="7"/>
  <c r="S64" i="7" s="1"/>
  <c r="R100" i="7"/>
  <c r="S100" i="7" s="1"/>
  <c r="R68" i="7"/>
  <c r="S68" i="7" s="1"/>
  <c r="R22" i="7"/>
  <c r="S22" i="7" s="1"/>
  <c r="R4" i="7"/>
  <c r="S4" i="7" s="1"/>
  <c r="H121" i="7"/>
  <c r="H68" i="7"/>
  <c r="R82" i="7"/>
  <c r="S82" i="7" s="1"/>
  <c r="R69" i="7"/>
  <c r="S69" i="7" s="1"/>
  <c r="R6" i="7"/>
  <c r="S6" i="7" s="1"/>
  <c r="R98" i="7"/>
  <c r="S98" i="7" s="1"/>
  <c r="R91" i="7"/>
  <c r="S91" i="7" s="1"/>
  <c r="R10" i="7"/>
  <c r="S10" i="7" s="1"/>
  <c r="R90" i="7"/>
  <c r="S90" i="7" s="1"/>
  <c r="R75" i="7"/>
  <c r="S75" i="7" s="1"/>
  <c r="R5" i="7"/>
  <c r="S5" i="7" s="1"/>
  <c r="R7" i="7"/>
  <c r="S7" i="7" s="1"/>
  <c r="H22" i="7"/>
  <c r="H60" i="7"/>
  <c r="H125" i="7"/>
  <c r="H119" i="7"/>
  <c r="H103" i="7"/>
  <c r="H112" i="7"/>
  <c r="H13" i="7"/>
  <c r="H12" i="7"/>
  <c r="H108" i="7"/>
  <c r="H51" i="7"/>
  <c r="H18" i="7"/>
  <c r="H82" i="7"/>
  <c r="H137" i="7"/>
  <c r="H61" i="7"/>
  <c r="R88" i="7"/>
  <c r="S88" i="7" s="1"/>
  <c r="R129" i="7"/>
  <c r="S129" i="7" s="1"/>
  <c r="R24" i="7"/>
  <c r="S24" i="7" s="1"/>
  <c r="R104" i="7"/>
  <c r="S104" i="7" s="1"/>
  <c r="R84" i="7"/>
  <c r="S84" i="7" s="1"/>
  <c r="R101" i="7"/>
  <c r="S101" i="7" s="1"/>
  <c r="R42" i="7"/>
  <c r="S42" i="7" s="1"/>
  <c r="R118" i="7"/>
  <c r="S118" i="7" s="1"/>
  <c r="R47" i="7"/>
  <c r="S47" i="7" s="1"/>
  <c r="R147" i="7"/>
  <c r="S147" i="7" s="1"/>
  <c r="H75" i="7"/>
  <c r="H71" i="7"/>
  <c r="H131" i="7"/>
  <c r="H14" i="7"/>
  <c r="H148" i="7"/>
  <c r="H139" i="7"/>
  <c r="H23" i="7"/>
  <c r="H21" i="7"/>
  <c r="R113" i="7"/>
  <c r="S113" i="7" s="1"/>
  <c r="R26" i="7"/>
  <c r="S26" i="7" s="1"/>
  <c r="R14" i="7"/>
  <c r="S14" i="7" s="1"/>
  <c r="R70" i="7"/>
  <c r="S70" i="7" s="1"/>
  <c r="R48" i="7"/>
  <c r="S48" i="7" s="1"/>
  <c r="R78" i="7"/>
  <c r="S78" i="7" s="1"/>
  <c r="R133" i="7"/>
  <c r="S133" i="7" s="1"/>
  <c r="R33" i="7"/>
  <c r="S33" i="7" s="1"/>
  <c r="H29" i="7"/>
  <c r="H145" i="7"/>
  <c r="H40" i="7"/>
  <c r="H97" i="7"/>
  <c r="R86" i="7"/>
  <c r="S86" i="7" s="1"/>
  <c r="R25" i="7"/>
  <c r="S25" i="7" s="1"/>
  <c r="R39" i="7"/>
  <c r="S39" i="7" s="1"/>
  <c r="R38" i="7"/>
  <c r="S38" i="7" s="1"/>
  <c r="R58" i="7"/>
  <c r="S58" i="7" s="1"/>
  <c r="R43" i="7"/>
  <c r="S43" i="7" s="1"/>
  <c r="R53" i="7"/>
  <c r="S53" i="7" s="1"/>
  <c r="R114" i="7"/>
  <c r="S114" i="7" s="1"/>
  <c r="R37" i="7"/>
  <c r="S37" i="7" s="1"/>
  <c r="R87" i="7"/>
  <c r="S87" i="7" s="1"/>
  <c r="R23" i="7"/>
  <c r="S23" i="7" s="1"/>
  <c r="R77" i="7"/>
  <c r="S77" i="7" s="1"/>
  <c r="R112" i="7"/>
  <c r="S112" i="7" s="1"/>
  <c r="R83" i="7"/>
  <c r="S83" i="7" s="1"/>
  <c r="R110" i="7"/>
  <c r="S110" i="7" s="1"/>
  <c r="R45" i="7"/>
  <c r="S45" i="7" s="1"/>
  <c r="R107" i="7"/>
  <c r="S107" i="7" s="1"/>
  <c r="R136" i="7"/>
  <c r="S136" i="7" s="1"/>
  <c r="R132" i="7"/>
  <c r="S132" i="7" s="1"/>
  <c r="H25" i="7"/>
  <c r="H114" i="7"/>
  <c r="H110" i="7"/>
  <c r="H143" i="7"/>
  <c r="H5" i="7"/>
  <c r="R127" i="7"/>
  <c r="S127" i="7" s="1"/>
  <c r="R16" i="7"/>
  <c r="S16" i="7" s="1"/>
  <c r="R55" i="7"/>
  <c r="S55" i="7" s="1"/>
  <c r="R34" i="7"/>
  <c r="S34" i="7" s="1"/>
  <c r="R72" i="7"/>
  <c r="S72" i="7" s="1"/>
  <c r="R36" i="7"/>
  <c r="S36" i="7" s="1"/>
  <c r="R117" i="7"/>
  <c r="S117" i="7" s="1"/>
  <c r="R149" i="7"/>
  <c r="S149" i="7" s="1"/>
  <c r="H98" i="7"/>
  <c r="H106" i="7"/>
  <c r="H66" i="7"/>
  <c r="H20" i="7"/>
  <c r="H146" i="7"/>
  <c r="R97" i="7"/>
  <c r="S97" i="7" s="1"/>
  <c r="R19" i="7"/>
  <c r="S19" i="7" s="1"/>
  <c r="R105" i="7"/>
  <c r="S105" i="7" s="1"/>
  <c r="R99" i="7"/>
  <c r="S99" i="7" s="1"/>
  <c r="R59" i="7"/>
  <c r="S59" i="7" s="1"/>
  <c r="R126" i="7"/>
  <c r="S126" i="7" s="1"/>
  <c r="R121" i="7"/>
  <c r="S121" i="7" s="1"/>
  <c r="H7" i="7"/>
  <c r="H15" i="7"/>
  <c r="H107" i="7"/>
  <c r="H48" i="7"/>
  <c r="H64" i="7"/>
  <c r="H102" i="7"/>
  <c r="R63" i="7"/>
  <c r="S63" i="7" s="1"/>
  <c r="R15" i="7"/>
  <c r="S15" i="7" s="1"/>
  <c r="R144" i="7"/>
  <c r="S144" i="7" s="1"/>
  <c r="R52" i="7"/>
  <c r="S52" i="7" s="1"/>
  <c r="R109" i="7"/>
  <c r="S109" i="7" s="1"/>
  <c r="R124" i="7"/>
  <c r="S124" i="7" s="1"/>
  <c r="H63" i="7"/>
  <c r="H54" i="7"/>
  <c r="H122" i="7"/>
  <c r="H133" i="7"/>
  <c r="H118" i="7"/>
  <c r="H93" i="7"/>
  <c r="H84" i="7"/>
  <c r="R137" i="7"/>
  <c r="S137" i="7" s="1"/>
  <c r="R30" i="7"/>
  <c r="S30" i="7" s="1"/>
  <c r="R95" i="7"/>
  <c r="S95" i="7" s="1"/>
  <c r="R35" i="7"/>
  <c r="S35" i="7" s="1"/>
  <c r="R51" i="7"/>
  <c r="S51" i="7" s="1"/>
  <c r="R120" i="7"/>
  <c r="S120" i="7" s="1"/>
  <c r="R56" i="7"/>
  <c r="S56" i="7" s="1"/>
  <c r="H124" i="7"/>
  <c r="H142" i="7"/>
  <c r="H69" i="7"/>
  <c r="R46" i="7"/>
  <c r="S46" i="7" s="1"/>
  <c r="R76" i="7"/>
  <c r="S76" i="7" s="1"/>
  <c r="R96" i="7"/>
  <c r="S96" i="7" s="1"/>
  <c r="R49" i="7"/>
  <c r="S49" i="7" s="1"/>
  <c r="R128" i="7"/>
  <c r="S128" i="7" s="1"/>
  <c r="R134" i="7"/>
  <c r="S134" i="7" s="1"/>
  <c r="R11" i="7"/>
  <c r="S11" i="7" s="1"/>
  <c r="H138" i="7"/>
  <c r="H147" i="7"/>
  <c r="H19" i="7"/>
  <c r="H89" i="7"/>
  <c r="H26" i="7"/>
  <c r="H116" i="7"/>
  <c r="H46" i="7"/>
  <c r="H87" i="7"/>
  <c r="H50" i="7"/>
  <c r="R60" i="7"/>
  <c r="S60" i="7" s="1"/>
  <c r="R29" i="7"/>
  <c r="S29" i="7" s="1"/>
  <c r="R27" i="7"/>
  <c r="S27" i="7" s="1"/>
  <c r="R145" i="7"/>
  <c r="S145" i="7" s="1"/>
  <c r="R89" i="7"/>
  <c r="S89" i="7" s="1"/>
  <c r="R115" i="7"/>
  <c r="S115" i="7" s="1"/>
  <c r="R93" i="7"/>
  <c r="S93" i="7" s="1"/>
  <c r="R148" i="7"/>
  <c r="S148" i="7" s="1"/>
  <c r="R142" i="7"/>
  <c r="S142" i="7" s="1"/>
  <c r="R85" i="7"/>
  <c r="S85" i="7" s="1"/>
  <c r="R67" i="7"/>
  <c r="S67" i="7" s="1"/>
  <c r="H90" i="7"/>
  <c r="H79" i="7"/>
  <c r="H47" i="7"/>
  <c r="H126" i="7"/>
  <c r="H85" i="7"/>
  <c r="H52" i="7"/>
  <c r="H57" i="7"/>
  <c r="H80" i="7"/>
  <c r="H101" i="7"/>
  <c r="H76" i="7"/>
  <c r="H141" i="7"/>
  <c r="H78" i="7"/>
  <c r="H128" i="7"/>
  <c r="H134" i="7"/>
  <c r="H100" i="7"/>
  <c r="H30" i="7"/>
  <c r="H111" i="7"/>
  <c r="H92" i="7"/>
  <c r="H70" i="7"/>
  <c r="H33" i="7"/>
  <c r="H9" i="7"/>
  <c r="H38" i="7"/>
  <c r="H59" i="7"/>
  <c r="H117" i="7"/>
  <c r="H36" i="7"/>
  <c r="H24" i="7"/>
  <c r="H130" i="7"/>
  <c r="H91" i="7"/>
  <c r="H149" i="7"/>
  <c r="H42" i="7"/>
  <c r="H65" i="7"/>
  <c r="H56" i="7"/>
  <c r="H99" i="7"/>
  <c r="R140" i="7"/>
  <c r="S140" i="7" s="1"/>
  <c r="R32" i="7"/>
  <c r="S32" i="7" s="1"/>
  <c r="R135" i="7"/>
  <c r="S135" i="7" s="1"/>
  <c r="R65" i="7"/>
  <c r="S65" i="7" s="1"/>
  <c r="R57" i="7"/>
  <c r="S57" i="7" s="1"/>
  <c r="R18" i="7"/>
  <c r="S18" i="7" s="1"/>
  <c r="R116" i="7"/>
  <c r="S116" i="7" s="1"/>
  <c r="R9" i="7"/>
  <c r="S9" i="7" s="1"/>
  <c r="R123" i="7"/>
  <c r="S123" i="7" s="1"/>
  <c r="R20" i="7"/>
  <c r="S20" i="7" s="1"/>
  <c r="R21" i="7"/>
  <c r="S21" i="7" s="1"/>
  <c r="R108" i="7"/>
  <c r="S108" i="7" s="1"/>
  <c r="R62" i="7"/>
  <c r="S62" i="7" s="1"/>
  <c r="R94" i="7"/>
  <c r="S94" i="7" s="1"/>
  <c r="R79" i="7"/>
  <c r="S79" i="7" s="1"/>
  <c r="R13" i="7"/>
  <c r="S13" i="7" s="1"/>
  <c r="R31" i="7"/>
  <c r="S31" i="7" s="1"/>
  <c r="R44" i="7"/>
  <c r="S44" i="7" s="1"/>
  <c r="R12" i="7"/>
  <c r="S12" i="7" s="1"/>
  <c r="AB10" i="8"/>
  <c r="AB18" i="8"/>
  <c r="AB13" i="8"/>
  <c r="AB11" i="8"/>
  <c r="K127" i="7"/>
  <c r="K109" i="7"/>
  <c r="K10" i="7"/>
  <c r="K39" i="7"/>
  <c r="K6" i="7"/>
  <c r="K22" i="7"/>
  <c r="K108" i="7"/>
  <c r="K75" i="7"/>
  <c r="K29" i="7"/>
  <c r="K114" i="7"/>
  <c r="K146" i="7"/>
  <c r="K7" i="7"/>
  <c r="K118" i="7"/>
  <c r="K26" i="7"/>
  <c r="K90" i="7"/>
  <c r="K101" i="7"/>
  <c r="K111" i="7"/>
  <c r="K36" i="7"/>
  <c r="K99" i="7"/>
  <c r="AB20" i="8"/>
  <c r="AB23" i="8"/>
  <c r="AB14" i="8"/>
  <c r="AB26" i="8"/>
  <c r="K123" i="7"/>
  <c r="K41" i="7"/>
  <c r="K4" i="7"/>
  <c r="K96" i="7"/>
  <c r="K34" i="7"/>
  <c r="K81" i="7"/>
  <c r="K72" i="7"/>
  <c r="K60" i="7"/>
  <c r="K51" i="7"/>
  <c r="K71" i="7"/>
  <c r="K145" i="7"/>
  <c r="K110" i="7"/>
  <c r="K15" i="7"/>
  <c r="K116" i="7"/>
  <c r="K79" i="7"/>
  <c r="K76" i="7"/>
  <c r="K24" i="7"/>
  <c r="AB12" i="8"/>
  <c r="AB30" i="8"/>
  <c r="AB5" i="8"/>
  <c r="K88" i="7"/>
  <c r="K55" i="7"/>
  <c r="K8" i="7"/>
  <c r="K32" i="7"/>
  <c r="K18" i="7"/>
  <c r="K40" i="7"/>
  <c r="K107" i="7"/>
  <c r="K124" i="7"/>
  <c r="K46" i="7"/>
  <c r="K141" i="7"/>
  <c r="K130" i="7"/>
  <c r="AB16" i="8"/>
  <c r="AB6" i="8"/>
  <c r="AG32" i="8"/>
  <c r="K83" i="7"/>
  <c r="K28" i="7"/>
  <c r="K45" i="7"/>
  <c r="K35" i="7"/>
  <c r="K119" i="7"/>
  <c r="K14" i="7"/>
  <c r="K48" i="7"/>
  <c r="K87" i="7"/>
  <c r="K78" i="7"/>
  <c r="K91" i="7"/>
  <c r="AB28" i="8"/>
  <c r="K77" i="7"/>
  <c r="K94" i="7"/>
  <c r="K44" i="7"/>
  <c r="K17" i="7"/>
  <c r="K16" i="7"/>
  <c r="K121" i="7"/>
  <c r="K103" i="7"/>
  <c r="K137" i="7"/>
  <c r="K98" i="7"/>
  <c r="K63" i="7"/>
  <c r="K69" i="7"/>
  <c r="K9" i="7"/>
  <c r="AB15" i="8"/>
  <c r="K113" i="7"/>
  <c r="K150" i="7"/>
  <c r="K68" i="7"/>
  <c r="K54" i="7"/>
  <c r="K52" i="7"/>
  <c r="K42" i="7"/>
  <c r="AB17" i="8"/>
  <c r="K135" i="7"/>
  <c r="K23" i="7"/>
  <c r="K19" i="7"/>
  <c r="K57" i="7"/>
  <c r="K65" i="7"/>
  <c r="AB24" i="8"/>
  <c r="K43" i="7"/>
  <c r="K120" i="7"/>
  <c r="K20" i="7"/>
  <c r="K30" i="7"/>
  <c r="K56" i="7"/>
  <c r="K93" i="7"/>
  <c r="K92" i="7"/>
  <c r="AB25" i="8"/>
  <c r="K49" i="7"/>
  <c r="K115" i="7"/>
  <c r="K132" i="7"/>
  <c r="K144" i="7"/>
  <c r="K125" i="7"/>
  <c r="K131" i="7"/>
  <c r="K143" i="7"/>
  <c r="K84" i="7"/>
  <c r="K47" i="7"/>
  <c r="K70" i="7"/>
  <c r="AB21" i="8"/>
  <c r="K140" i="7"/>
  <c r="K95" i="7"/>
  <c r="K62" i="7"/>
  <c r="K82" i="7"/>
  <c r="K97" i="7"/>
  <c r="K5" i="7"/>
  <c r="K142" i="7"/>
  <c r="K126" i="7"/>
  <c r="K33" i="7"/>
  <c r="AB27" i="8"/>
  <c r="AB9" i="8"/>
  <c r="K73" i="7"/>
  <c r="K27" i="7"/>
  <c r="K148" i="7"/>
  <c r="K50" i="7"/>
  <c r="K128" i="7"/>
  <c r="AB8" i="8"/>
  <c r="K105" i="7"/>
  <c r="K136" i="7"/>
  <c r="K86" i="7"/>
  <c r="K112" i="7"/>
  <c r="K139" i="7"/>
  <c r="K106" i="7"/>
  <c r="K134" i="7"/>
  <c r="AB29" i="8"/>
  <c r="K31" i="7"/>
  <c r="K104" i="7"/>
  <c r="K66" i="7"/>
  <c r="K59" i="7"/>
  <c r="AB31" i="8"/>
  <c r="K74" i="7"/>
  <c r="K12" i="7"/>
  <c r="K117" i="7"/>
  <c r="K67" i="7"/>
  <c r="K64" i="7"/>
  <c r="K138" i="7"/>
  <c r="K85" i="7"/>
  <c r="K149" i="7"/>
  <c r="AB19" i="8"/>
  <c r="K61" i="7"/>
  <c r="K102" i="7"/>
  <c r="K147" i="7"/>
  <c r="K38" i="7"/>
  <c r="AB22" i="8"/>
  <c r="K37" i="7"/>
  <c r="K58" i="7"/>
  <c r="K129" i="7"/>
  <c r="K13" i="7"/>
  <c r="K122" i="7"/>
  <c r="K100" i="7"/>
  <c r="AB7" i="8"/>
  <c r="K11" i="7"/>
  <c r="K53" i="7"/>
  <c r="K21" i="7"/>
  <c r="K25" i="7"/>
  <c r="K133" i="7"/>
  <c r="K89" i="7"/>
  <c r="K80" i="7"/>
  <c r="AD7" i="8" l="1"/>
  <c r="AF7" i="8" s="1"/>
  <c r="AD22" i="8"/>
  <c r="AF22" i="8" s="1"/>
  <c r="AD19" i="8"/>
  <c r="AF19" i="8" s="1"/>
  <c r="AM31" i="8"/>
  <c r="F67" i="4" s="1"/>
  <c r="AD31" i="8"/>
  <c r="AF31" i="8" s="1"/>
  <c r="AD29" i="8"/>
  <c r="AF29" i="8" s="1"/>
  <c r="AD8" i="8"/>
  <c r="AF8" i="8" s="1"/>
  <c r="AD9" i="8"/>
  <c r="AF9" i="8" s="1"/>
  <c r="AD27" i="8"/>
  <c r="AF27" i="8" s="1"/>
  <c r="AD21" i="8"/>
  <c r="AF21" i="8" s="1"/>
  <c r="AD25" i="8"/>
  <c r="AF25" i="8" s="1"/>
  <c r="AD24" i="8"/>
  <c r="AF24" i="8" s="1"/>
  <c r="AD17" i="8"/>
  <c r="AF17" i="8" s="1"/>
  <c r="AD15" i="8"/>
  <c r="AF15" i="8" s="1"/>
  <c r="AD28" i="8"/>
  <c r="AF28" i="8" s="1"/>
  <c r="AD6" i="8"/>
  <c r="AF6" i="8" s="1"/>
  <c r="AD16" i="8"/>
  <c r="AF16" i="8" s="1"/>
  <c r="AD5" i="8"/>
  <c r="AF5" i="8" s="1"/>
  <c r="AD30" i="8"/>
  <c r="AF30" i="8" s="1"/>
  <c r="AD12" i="8"/>
  <c r="AF12" i="8" s="1"/>
  <c r="AD26" i="8"/>
  <c r="AF26" i="8" s="1"/>
  <c r="AD14" i="8"/>
  <c r="AF14" i="8" s="1"/>
  <c r="AD23" i="8"/>
  <c r="AF23" i="8" s="1"/>
  <c r="AD20" i="8"/>
  <c r="AF20" i="8" s="1"/>
  <c r="AM32" i="8"/>
  <c r="AD11" i="8"/>
  <c r="AF11" i="8" s="1"/>
  <c r="AD13" i="8"/>
  <c r="AF13" i="8" s="1"/>
  <c r="AD18" i="8"/>
  <c r="AF18" i="8" s="1"/>
  <c r="AD10" i="8"/>
  <c r="AF10" i="8" s="1"/>
  <c r="X1" i="8"/>
  <c r="X2" i="8" s="1"/>
  <c r="AE32" i="8"/>
  <c r="AG7" i="8"/>
  <c r="AG27" i="8"/>
  <c r="AG16" i="8"/>
  <c r="AG22" i="8"/>
  <c r="AG21" i="8"/>
  <c r="AG5" i="8"/>
  <c r="AG11" i="8"/>
  <c r="AG19" i="8"/>
  <c r="AG25" i="8"/>
  <c r="AG30" i="8"/>
  <c r="AG13" i="8"/>
  <c r="AG24" i="8"/>
  <c r="AG12" i="8"/>
  <c r="AG18" i="8"/>
  <c r="AG31" i="8"/>
  <c r="AG17" i="8"/>
  <c r="AG26" i="8"/>
  <c r="AG10" i="8"/>
  <c r="AG29" i="8"/>
  <c r="AG15" i="8"/>
  <c r="AG14" i="8"/>
  <c r="AG8" i="8"/>
  <c r="AG28" i="8"/>
  <c r="AG23" i="8"/>
  <c r="Y4" i="8"/>
  <c r="AG9" i="8"/>
  <c r="AG6" i="8"/>
  <c r="AG20" i="8"/>
  <c r="AA4" i="8" l="1"/>
  <c r="AE20" i="8"/>
  <c r="AE6" i="8"/>
  <c r="AE9" i="8"/>
  <c r="AE23" i="8"/>
  <c r="AE28" i="8"/>
  <c r="AE8" i="8"/>
  <c r="AE14" i="8"/>
  <c r="AE15" i="8"/>
  <c r="AE29" i="8"/>
  <c r="AE10" i="8"/>
  <c r="AE26" i="8"/>
  <c r="AE17" i="8"/>
  <c r="AE31" i="8"/>
  <c r="AN31" i="8"/>
  <c r="AE18" i="8"/>
  <c r="AE12" i="8"/>
  <c r="AE24" i="8"/>
  <c r="AE13" i="8"/>
  <c r="AE30" i="8"/>
  <c r="AE25" i="8"/>
  <c r="AE19" i="8"/>
  <c r="AE11" i="8"/>
  <c r="AE5" i="8"/>
  <c r="AE21" i="8"/>
  <c r="AE22" i="8"/>
  <c r="AN32" i="8"/>
  <c r="AN34" i="8" s="1"/>
  <c r="AO34" i="8" s="1"/>
  <c r="F62" i="4"/>
  <c r="P62" i="4"/>
  <c r="AE16" i="8"/>
  <c r="AE27" i="8"/>
  <c r="AE7" i="8"/>
  <c r="AB4" i="8"/>
  <c r="AD4" i="8" l="1"/>
  <c r="AF4" i="8" s="1"/>
  <c r="AG4" i="8"/>
  <c r="AE4" i="8" l="1"/>
  <c r="T113" i="7"/>
  <c r="U113" i="7"/>
  <c r="T38" i="7"/>
  <c r="U38" i="7"/>
  <c r="T144" i="7"/>
  <c r="U144" i="7"/>
  <c r="T6" i="7"/>
  <c r="U6" i="7"/>
  <c r="T136" i="7"/>
  <c r="U136" i="7"/>
  <c r="T132" i="7"/>
  <c r="U132" i="7"/>
  <c r="T53" i="7"/>
  <c r="U53" i="7"/>
  <c r="T97" i="7"/>
  <c r="U97" i="7"/>
  <c r="T67" i="7"/>
  <c r="U67" i="7"/>
  <c r="T78" i="7"/>
  <c r="U78" i="7"/>
  <c r="T4" i="7"/>
  <c r="U4" i="7"/>
  <c r="T128" i="7"/>
  <c r="U128" i="7"/>
  <c r="T101" i="7"/>
  <c r="U101" i="7"/>
  <c r="T142" i="7"/>
  <c r="U142" i="7"/>
  <c r="T69" i="7"/>
  <c r="U69" i="7"/>
  <c r="T76" i="7"/>
  <c r="U76" i="7"/>
  <c r="T65" i="7"/>
  <c r="U65" i="7"/>
  <c r="T140" i="7"/>
  <c r="U140" i="7"/>
  <c r="T14" i="7"/>
  <c r="U14" i="7"/>
  <c r="T47" i="7"/>
  <c r="U47" i="7"/>
  <c r="T134" i="7"/>
  <c r="U134" i="7"/>
  <c r="T123" i="7"/>
  <c r="U123" i="7"/>
  <c r="T85" i="7"/>
  <c r="U85" i="7"/>
  <c r="T89" i="7"/>
  <c r="U89" i="7"/>
  <c r="T28" i="7"/>
  <c r="U28" i="7"/>
  <c r="T138" i="7"/>
  <c r="U138" i="7"/>
  <c r="T45" i="7"/>
  <c r="U45" i="7"/>
  <c r="T137" i="7"/>
  <c r="U137" i="7"/>
  <c r="T42" i="7"/>
  <c r="U42" i="7"/>
  <c r="T112" i="7"/>
  <c r="U112" i="7"/>
  <c r="T29" i="7"/>
  <c r="U29" i="7"/>
  <c r="T66" i="7"/>
  <c r="U66" i="7"/>
  <c r="T75" i="7"/>
  <c r="U75" i="7"/>
  <c r="T37" i="7"/>
  <c r="U37" i="7"/>
  <c r="T86" i="7"/>
  <c r="U86" i="7"/>
  <c r="T30" i="7"/>
  <c r="U30" i="7"/>
  <c r="T32" i="7"/>
  <c r="U32" i="7"/>
  <c r="T108" i="7"/>
  <c r="U108" i="7"/>
  <c r="T5" i="7"/>
  <c r="U5" i="7"/>
  <c r="T133" i="7"/>
  <c r="U133" i="7"/>
  <c r="T149" i="7"/>
  <c r="U149" i="7"/>
  <c r="T39" i="7"/>
  <c r="U39" i="7"/>
  <c r="T48" i="7"/>
  <c r="U48" i="7"/>
  <c r="T141" i="7"/>
  <c r="U141" i="7"/>
  <c r="T139" i="7"/>
  <c r="U139" i="7"/>
  <c r="T93" i="7"/>
  <c r="U93" i="7"/>
  <c r="T18" i="7"/>
  <c r="U18" i="7"/>
  <c r="T74" i="7"/>
  <c r="U74" i="7"/>
  <c r="T117" i="7"/>
  <c r="U117" i="7"/>
  <c r="T55" i="7"/>
  <c r="U55" i="7"/>
  <c r="T40" i="7"/>
  <c r="U40" i="7"/>
  <c r="T16" i="7"/>
  <c r="U16" i="7"/>
  <c r="T68" i="7"/>
  <c r="U68" i="7"/>
  <c r="T58" i="7"/>
  <c r="U58" i="7"/>
  <c r="T104" i="7"/>
  <c r="U104" i="7"/>
  <c r="T143" i="7"/>
  <c r="U143" i="7"/>
  <c r="T26" i="7"/>
  <c r="U26" i="7"/>
  <c r="T106" i="7"/>
  <c r="U106" i="7"/>
  <c r="T72" i="7"/>
  <c r="U72" i="7"/>
  <c r="AB1" i="8"/>
  <c r="AB2" i="8"/>
  <c r="T111" i="7"/>
  <c r="U111" i="7"/>
  <c r="T110" i="7"/>
  <c r="U110" i="7"/>
  <c r="T50" i="7"/>
  <c r="U50" i="7"/>
  <c r="T95" i="7"/>
  <c r="U95" i="7"/>
  <c r="T17" i="7"/>
  <c r="U17" i="7"/>
  <c r="T27" i="7"/>
  <c r="U27" i="7"/>
  <c r="T82" i="7"/>
  <c r="U82" i="7"/>
  <c r="T12" i="7"/>
  <c r="U12" i="7"/>
  <c r="T91" i="7"/>
  <c r="U91" i="7"/>
  <c r="T135" i="7"/>
  <c r="U135" i="7"/>
  <c r="T87" i="7"/>
  <c r="U87" i="7"/>
  <c r="T92" i="7"/>
  <c r="U92" i="7"/>
  <c r="T96" i="7"/>
  <c r="U96" i="7"/>
  <c r="T145" i="7"/>
  <c r="U145" i="7"/>
  <c r="T70" i="7"/>
  <c r="U70" i="7"/>
  <c r="T52" i="7"/>
  <c r="U52" i="7"/>
  <c r="T127" i="7"/>
  <c r="U127" i="7"/>
  <c r="T46" i="7"/>
  <c r="U46" i="7"/>
  <c r="T63" i="7"/>
  <c r="U63" i="7"/>
  <c r="T34" i="7"/>
  <c r="U34" i="7"/>
  <c r="T94" i="7"/>
  <c r="U94" i="7"/>
  <c r="T150" i="7"/>
  <c r="U150" i="7"/>
  <c r="T88" i="7"/>
  <c r="U88" i="7"/>
  <c r="T129" i="7"/>
  <c r="U129" i="7"/>
  <c r="T73" i="7"/>
  <c r="U73" i="7"/>
  <c r="T15" i="7"/>
  <c r="U15" i="7"/>
  <c r="T148" i="7"/>
  <c r="U148" i="7"/>
  <c r="T125" i="7"/>
  <c r="U125" i="7"/>
  <c r="T146" i="7"/>
  <c r="U146" i="7"/>
  <c r="T57" i="7"/>
  <c r="U57" i="7"/>
  <c r="T62" i="7"/>
  <c r="U62" i="7"/>
  <c r="T49" i="7"/>
  <c r="U49" i="7"/>
  <c r="T22" i="7"/>
  <c r="U22" i="7"/>
  <c r="T60" i="7"/>
  <c r="U60" i="7"/>
  <c r="T31" i="7"/>
  <c r="U31" i="7"/>
  <c r="T80" i="7"/>
  <c r="U80" i="7"/>
  <c r="T41" i="7"/>
  <c r="U41" i="7"/>
  <c r="T105" i="7"/>
  <c r="U105" i="7"/>
  <c r="T114" i="7"/>
  <c r="U114" i="7"/>
  <c r="T107" i="7"/>
  <c r="U107" i="7"/>
  <c r="T120" i="7"/>
  <c r="U120" i="7"/>
  <c r="T81" i="7"/>
  <c r="U81" i="7"/>
  <c r="T77" i="7"/>
  <c r="U77" i="7"/>
  <c r="AE1" i="8"/>
  <c r="AE2" i="8"/>
  <c r="T19" i="7"/>
  <c r="U19" i="7"/>
  <c r="T126" i="7"/>
  <c r="U126" i="7"/>
  <c r="T61" i="7"/>
  <c r="U61" i="7"/>
  <c r="T24" i="7"/>
  <c r="U24" i="7"/>
  <c r="T83" i="7"/>
  <c r="U83" i="7"/>
  <c r="T100" i="7"/>
  <c r="U100" i="7"/>
  <c r="T20" i="7"/>
  <c r="U20" i="7"/>
  <c r="T51" i="7"/>
  <c r="U51" i="7"/>
  <c r="T35" i="7"/>
  <c r="U35" i="7"/>
  <c r="T43" i="7"/>
  <c r="U43" i="7"/>
  <c r="T44" i="7"/>
  <c r="U44" i="7"/>
  <c r="T131" i="7"/>
  <c r="U131" i="7"/>
  <c r="T124" i="7"/>
  <c r="U124" i="7"/>
  <c r="T109" i="7"/>
  <c r="U109" i="7"/>
  <c r="T21" i="7"/>
  <c r="U21" i="7"/>
  <c r="T147" i="7"/>
  <c r="U147" i="7"/>
  <c r="AD1" i="8"/>
  <c r="AD2" i="8"/>
  <c r="T122" i="7"/>
  <c r="U122" i="7"/>
  <c r="T8" i="7"/>
  <c r="U8" i="7"/>
  <c r="T71" i="7"/>
  <c r="U71" i="7"/>
  <c r="T64" i="7"/>
  <c r="U64" i="7"/>
  <c r="T11" i="7"/>
  <c r="U11" i="7"/>
  <c r="T10" i="7"/>
  <c r="U10" i="7"/>
  <c r="T99" i="7"/>
  <c r="U99" i="7"/>
  <c r="T59" i="7"/>
  <c r="U59" i="7"/>
  <c r="T23" i="7"/>
  <c r="U23" i="7"/>
  <c r="T7" i="7"/>
  <c r="U7" i="7"/>
  <c r="T118" i="7"/>
  <c r="U118" i="7"/>
  <c r="T116" i="7"/>
  <c r="U116" i="7"/>
  <c r="T79" i="7"/>
  <c r="U79" i="7"/>
  <c r="T115" i="7"/>
  <c r="U115" i="7"/>
  <c r="T103" i="7"/>
  <c r="U103" i="7"/>
  <c r="T84" i="7"/>
  <c r="U84" i="7"/>
  <c r="T121" i="7"/>
  <c r="U121" i="7"/>
  <c r="T9" i="7"/>
  <c r="U9" i="7"/>
  <c r="AF1" i="8"/>
  <c r="AF2" i="8"/>
  <c r="T13" i="7"/>
  <c r="U13" i="7"/>
  <c r="T54" i="7"/>
  <c r="U54" i="7"/>
  <c r="T90" i="7"/>
  <c r="U90" i="7"/>
  <c r="T102" i="7"/>
  <c r="U102" i="7"/>
  <c r="T130" i="7"/>
  <c r="U130" i="7"/>
  <c r="T56" i="7"/>
  <c r="U56" i="7"/>
  <c r="T36" i="7"/>
  <c r="U36" i="7"/>
  <c r="T33" i="7"/>
  <c r="U33" i="7"/>
  <c r="T25" i="7"/>
  <c r="U25" i="7"/>
  <c r="T119" i="7"/>
  <c r="U119" i="7"/>
  <c r="T98" i="7"/>
  <c r="U98" i="7"/>
</calcChain>
</file>

<file path=xl/comments1.xml><?xml version="1.0" encoding="utf-8"?>
<comments xmlns="http://schemas.openxmlformats.org/spreadsheetml/2006/main">
  <authors>
    <author>AMETRANO FERDINANDO MARIA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bond for repring column</t>
        </r>
      </text>
    </comment>
  </commentList>
</comments>
</file>

<file path=xl/comments2.xml><?xml version="1.0" encoding="utf-8"?>
<comments xmlns="http://schemas.openxmlformats.org/spreadsheetml/2006/main">
  <authors>
    <author>AMETRANO FERDINANDO MARIA</author>
  </authors>
  <commentList>
    <comment ref="U1" authorId="0">
      <text>
        <r>
          <rPr>
            <b/>
            <sz val="8"/>
            <color indexed="81"/>
            <rFont val="Tahoma"/>
            <family val="2"/>
          </rPr>
          <t>insert DTSIMI2 / Mx contribution password here</t>
        </r>
      </text>
    </comment>
    <comment ref="X1" authorId="0">
      <text>
        <r>
          <rPr>
            <b/>
            <sz val="8"/>
            <color indexed="81"/>
            <rFont val="Tahoma"/>
            <family val="2"/>
          </rPr>
          <t>insert ION / Bloomberg contribution password here</t>
        </r>
      </text>
    </comment>
  </commentList>
</comments>
</file>

<file path=xl/comments3.xml><?xml version="1.0" encoding="utf-8"?>
<comments xmlns="http://schemas.openxmlformats.org/spreadsheetml/2006/main">
  <authors>
    <author>AMETRANO FERDINANDO MARIA</author>
  </authors>
  <commentList>
    <comment ref="C7" authorId="0">
      <text>
        <r>
          <rPr>
            <sz val="8"/>
            <color indexed="81"/>
            <rFont val="Tahoma"/>
            <family val="2"/>
          </rPr>
          <t>Bond description string. Autogenerated if null</t>
        </r>
      </text>
    </comment>
    <comment ref="C8" authorId="0">
      <text>
        <r>
          <rPr>
            <sz val="8"/>
            <color indexed="81"/>
            <rFont val="Tahoma"/>
            <family val="2"/>
          </rPr>
          <t>bond Currency.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settlement days.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payment business day convention.</t>
        </r>
      </text>
    </comment>
    <comment ref="C11" authorId="0">
      <text>
        <r>
          <rPr>
            <sz val="8"/>
            <color indexed="81"/>
            <rFont val="Tahoma"/>
            <family val="2"/>
          </rPr>
          <t>Face nominal amount.</t>
        </r>
      </text>
    </comment>
    <comment ref="C13" authorId="0">
      <text>
        <r>
          <rPr>
            <sz val="8"/>
            <color indexed="81"/>
            <rFont val="Tahoma"/>
            <family val="2"/>
          </rPr>
          <t>fixing days (e.g. 2).</t>
        </r>
      </text>
    </comment>
    <comment ref="C14" authorId="0">
      <text>
        <r>
          <rPr>
            <sz val="8"/>
            <color indexed="81"/>
            <rFont val="Tahoma"/>
            <family val="2"/>
          </rPr>
          <t>TRUE if the fixing is in arrears.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Payment DayCounter ID.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floating rate index.</t>
        </r>
      </text>
    </comment>
    <comment ref="C18" authorId="0">
      <text>
        <r>
          <rPr>
            <sz val="8"/>
            <color indexed="81"/>
            <rFont val="Tahoma"/>
            <family val="2"/>
          </rPr>
          <t>Redemption value.</t>
        </r>
      </text>
    </comment>
  </commentList>
</comments>
</file>

<file path=xl/sharedStrings.xml><?xml version="1.0" encoding="utf-8"?>
<sst xmlns="http://schemas.openxmlformats.org/spreadsheetml/2006/main" count="562" uniqueCount="539">
  <si>
    <t>BID</t>
  </si>
  <si>
    <t>ASK</t>
  </si>
  <si>
    <t>DESCRIZIONE</t>
  </si>
  <si>
    <t>Maturity Date</t>
  </si>
  <si>
    <t>Coupon</t>
  </si>
  <si>
    <t>Redemption</t>
  </si>
  <si>
    <t>yield</t>
  </si>
  <si>
    <t>o/w</t>
  </si>
  <si>
    <t>zc price</t>
  </si>
  <si>
    <t>eff zc price</t>
  </si>
  <si>
    <t>eff yield</t>
  </si>
  <si>
    <t>zero bond</t>
  </si>
  <si>
    <t>Bond Helpers</t>
  </si>
  <si>
    <t>Compounded</t>
  </si>
  <si>
    <t>YieldFrequency</t>
  </si>
  <si>
    <t>YieldCompounding</t>
  </si>
  <si>
    <t>YieldDayCounter</t>
  </si>
  <si>
    <t>Trigger</t>
  </si>
  <si>
    <t>Curve Repricing</t>
  </si>
  <si>
    <t>Used Price</t>
  </si>
  <si>
    <t>Principal Premium Bid</t>
  </si>
  <si>
    <t>Principal Premium Ask</t>
  </si>
  <si>
    <t>AswIndex</t>
  </si>
  <si>
    <t>Euribor6M</t>
  </si>
  <si>
    <t>ParAsw</t>
  </si>
  <si>
    <t>DiscountingCurve</t>
  </si>
  <si>
    <t>Bid Ask Spread</t>
  </si>
  <si>
    <t>Error Check</t>
  </si>
  <si>
    <t>Price</t>
  </si>
  <si>
    <t>Discount Factor</t>
  </si>
  <si>
    <t>DESCRIPTION</t>
  </si>
  <si>
    <t>Used Residue Premium</t>
  </si>
  <si>
    <t>IT0001247136</t>
  </si>
  <si>
    <t>IT0001247144</t>
  </si>
  <si>
    <t>IT0001247151</t>
  </si>
  <si>
    <t>IT0003246318</t>
  </si>
  <si>
    <t>IT0001247177</t>
  </si>
  <si>
    <t>IT0001247185</t>
  </si>
  <si>
    <t>IT0001247219</t>
  </si>
  <si>
    <t>IT0001247227</t>
  </si>
  <si>
    <t>IT0001247235</t>
  </si>
  <si>
    <t>IT0003268585</t>
  </si>
  <si>
    <t>IT0001247243</t>
  </si>
  <si>
    <t>IT0001247250</t>
  </si>
  <si>
    <t>IT0003268635</t>
  </si>
  <si>
    <t>IT0001247268</t>
  </si>
  <si>
    <t>IT0003268676</t>
  </si>
  <si>
    <t>IT0001247276</t>
  </si>
  <si>
    <t>IT0001247284</t>
  </si>
  <si>
    <t>IT0003268726</t>
  </si>
  <si>
    <t>IT0001247292</t>
  </si>
  <si>
    <t>IT0003268742</t>
  </si>
  <si>
    <t>IT0003268775</t>
  </si>
  <si>
    <t>IT0001247318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</si>
  <si>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</si>
  <si>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</si>
  <si>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</si>
  <si>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</si>
  <si>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</si>
  <si>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</si>
  <si>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</si>
  <si>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</si>
  <si>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</si>
  <si>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</si>
  <si>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</si>
  <si>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IT0003268874</t>
  </si>
  <si>
    <t>IT0001247391</t>
  </si>
  <si>
    <t>IT0003268882</t>
  </si>
  <si>
    <t>IT0003268890</t>
  </si>
  <si>
    <t>IT0001312781</t>
  </si>
  <si>
    <t>IT0003268908</t>
  </si>
  <si>
    <t>IT0001312799</t>
  </si>
  <si>
    <t>IT0003268924</t>
  </si>
  <si>
    <t>IT0001312807</t>
  </si>
  <si>
    <t>IT0003268932</t>
  </si>
  <si>
    <t>IT0003268957</t>
  </si>
  <si>
    <t>IT0001464194</t>
  </si>
  <si>
    <t>IT0003268973</t>
  </si>
  <si>
    <t>IT0001464202</t>
  </si>
  <si>
    <t>IT0003268999</t>
  </si>
  <si>
    <t>IT0003269013</t>
  </si>
  <si>
    <t>IT0003269021</t>
  </si>
  <si>
    <t>IT0003269039</t>
  </si>
  <si>
    <t>IT0003540389</t>
  </si>
  <si>
    <t>IT0003540397</t>
  </si>
  <si>
    <t>IT0004002819</t>
  </si>
  <si>
    <t>IT0004002827</t>
  </si>
  <si>
    <t>IT0004002835</t>
  </si>
  <si>
    <t>IT0004002843</t>
  </si>
  <si>
    <t>IT0004288590</t>
  </si>
  <si>
    <t>IT0004288608</t>
  </si>
  <si>
    <t>IT0004288616</t>
  </si>
  <si>
    <t>IT0004288624</t>
  </si>
  <si>
    <t>MATURITY</t>
  </si>
  <si>
    <t>Discount</t>
  </si>
  <si>
    <t>MonotonicLogCubicNaturalSpline</t>
  </si>
  <si>
    <t>YieldCurveTraits</t>
  </si>
  <si>
    <t>YieldCurveInterpolation</t>
  </si>
  <si>
    <t>dirty price</t>
  </si>
  <si>
    <t>eff dirty price</t>
  </si>
  <si>
    <t>BondSettlementDate</t>
  </si>
  <si>
    <t>BTP Quote</t>
  </si>
  <si>
    <t>BTP Set Value</t>
  </si>
  <si>
    <t>ResPrem Set Value</t>
  </si>
  <si>
    <t>Helper Quote</t>
  </si>
  <si>
    <t>BTP ISIN</t>
  </si>
  <si>
    <t>EvaluationDate</t>
  </si>
  <si>
    <t>Bond for BondHelper</t>
  </si>
  <si>
    <t>Bond for repricing</t>
  </si>
  <si>
    <t>BtpCurve</t>
  </si>
  <si>
    <t>Effective Filter</t>
  </si>
  <si>
    <t>Include</t>
  </si>
  <si>
    <t>ReferenceBond</t>
  </si>
  <si>
    <t>MID</t>
  </si>
  <si>
    <t>IgnoreResiduePremium</t>
  </si>
  <si>
    <t>Accrued Amount</t>
  </si>
  <si>
    <t>Exclude March, September</t>
  </si>
  <si>
    <t>IT0004957756</t>
  </si>
  <si>
    <t>BTPSS 0 09/01/14</t>
  </si>
  <si>
    <t>STRIP.IT0004957756</t>
  </si>
  <si>
    <t>IT0004957764</t>
  </si>
  <si>
    <t>BTPSS 0 03/01/15</t>
  </si>
  <si>
    <t>STRIP.IT0004957764</t>
  </si>
  <si>
    <t>IT0004957772</t>
  </si>
  <si>
    <t>BTPSS 0 09/01/15</t>
  </si>
  <si>
    <t>STRIP.IT0004957772</t>
  </si>
  <si>
    <t>IT0004957780</t>
  </si>
  <si>
    <t>BTPSS 0 03/01/16</t>
  </si>
  <si>
    <t>STRIP.IT0004957780</t>
  </si>
  <si>
    <t>IT0004957798</t>
  </si>
  <si>
    <t>BTPSS 0 09/01/16</t>
  </si>
  <si>
    <t>STRIP.IT0004957798</t>
  </si>
  <si>
    <t>IT0004957806</t>
  </si>
  <si>
    <t>BTPSS 0 03/01/17</t>
  </si>
  <si>
    <t>STRIP.IT0004957806</t>
  </si>
  <si>
    <t>IT0004957814</t>
  </si>
  <si>
    <t>BTPSS 0 09/01/17</t>
  </si>
  <si>
    <t>STRIP.IT0004957814</t>
  </si>
  <si>
    <t>IT0004957822</t>
  </si>
  <si>
    <t>BTPSS 0 03/01/18</t>
  </si>
  <si>
    <t>STRIP.IT0004957822</t>
  </si>
  <si>
    <t>IT0004957830</t>
  </si>
  <si>
    <t>BTPSS 0 09/01/18</t>
  </si>
  <si>
    <t>STRIP.IT0004957830</t>
  </si>
  <si>
    <t>IT0004957848</t>
  </si>
  <si>
    <t>BTPSS 0 03/01/19</t>
  </si>
  <si>
    <t>STRIP.IT0004957848</t>
  </si>
  <si>
    <t>IT0004957855</t>
  </si>
  <si>
    <t>BTPSS 0 09/01/19</t>
  </si>
  <si>
    <t>STRIP.IT0004957855</t>
  </si>
  <si>
    <t>IT0004957863</t>
  </si>
  <si>
    <t>BTPSS 0 03/01/20</t>
  </si>
  <si>
    <t>STRIP.IT0004957863</t>
  </si>
  <si>
    <t>IT0004957871</t>
  </si>
  <si>
    <t>BTPSS 0 09/01/20</t>
  </si>
  <si>
    <t>STRIP.IT0004957871</t>
  </si>
  <si>
    <t>IT0004957889</t>
  </si>
  <si>
    <t>BTPSS 0 03/01/21</t>
  </si>
  <si>
    <t>STRIP.IT0004957889</t>
  </si>
  <si>
    <t>IT0004957897</t>
  </si>
  <si>
    <t>BTPSS 0 09/01/21</t>
  </si>
  <si>
    <t>STRIP.IT0004957897</t>
  </si>
  <si>
    <t>IT0004957905</t>
  </si>
  <si>
    <t>BTPSS 0 03/01/22</t>
  </si>
  <si>
    <t>STRIP.IT0004957905</t>
  </si>
  <si>
    <t>IT0004957913</t>
  </si>
  <si>
    <t>BTPSS 0 09/01/22</t>
  </si>
  <si>
    <t>STRIP.IT0004957913</t>
  </si>
  <si>
    <t>IT0004957921</t>
  </si>
  <si>
    <t>BTPSS 0 03/01/23</t>
  </si>
  <si>
    <t>STRIP.IT0004957921</t>
  </si>
  <si>
    <t>IT0004957939</t>
  </si>
  <si>
    <t>BTPSS 0 09/01/23</t>
  </si>
  <si>
    <t>STRIP.IT0004957939</t>
  </si>
  <si>
    <t>IT0004957947</t>
  </si>
  <si>
    <t>BTPSH 0 03/01/24</t>
  </si>
  <si>
    <t>STRIP.IT0004957947</t>
  </si>
  <si>
    <t>IT0004976442</t>
  </si>
  <si>
    <t>BTPSS 0 09/01/24</t>
  </si>
  <si>
    <t>STRIP.IT0004976442</t>
  </si>
  <si>
    <t>IT0004976459</t>
  </si>
  <si>
    <t>BTPSS 0 03/01/25</t>
  </si>
  <si>
    <t>STRIP.IT0004976459</t>
  </si>
  <si>
    <t>IT0004976467</t>
  </si>
  <si>
    <t>BTPSS 0 09/01/25</t>
  </si>
  <si>
    <t>STRIP.IT0004976467</t>
  </si>
  <si>
    <t>IT0004976475</t>
  </si>
  <si>
    <t>BTPSS 0 03/01/26</t>
  </si>
  <si>
    <t>STRIP.IT0004976475</t>
  </si>
  <si>
    <t>IT0004976483</t>
  </si>
  <si>
    <t>BTPSS 0 09/01/26</t>
  </si>
  <si>
    <t>STRIP.IT0004976483</t>
  </si>
  <si>
    <t>IT0004976491</t>
  </si>
  <si>
    <t>BTPSS 0 03/01/27</t>
  </si>
  <si>
    <t>STRIP.IT0004976491</t>
  </si>
  <si>
    <t>IT0004976509</t>
  </si>
  <si>
    <t>BTPSS 0 09/01/27</t>
  </si>
  <si>
    <t>STRIP.IT0004976509</t>
  </si>
  <si>
    <t>IT0004976517</t>
  </si>
  <si>
    <t>BTPSS 0 03/01/28</t>
  </si>
  <si>
    <t>STRIP.IT0004976517</t>
  </si>
  <si>
    <t>IT0004976525</t>
  </si>
  <si>
    <t>BTPSH 0 09/01/28</t>
  </si>
  <si>
    <t>STRIP.IT0004976525</t>
  </si>
  <si>
    <t>IT0004976533</t>
  </si>
  <si>
    <t>BTPSS 0 03/01/29</t>
  </si>
  <si>
    <t>STRIP.IT0004976533</t>
  </si>
  <si>
    <t>IT0004976541</t>
  </si>
  <si>
    <t>BTPSS 0 09/01/29</t>
  </si>
  <si>
    <t>STRIP.IT0004976541</t>
  </si>
  <si>
    <t>IT0004976558</t>
  </si>
  <si>
    <t>BTPSS 0 03/01/30</t>
  </si>
  <si>
    <t>STRIP.IT0004976558</t>
  </si>
  <si>
    <t>IT0004976566</t>
  </si>
  <si>
    <t>BTPSS 0 09/01/30</t>
  </si>
  <si>
    <t>STRIP.IT0004976566</t>
  </si>
  <si>
    <t>IT0004976574</t>
  </si>
  <si>
    <t>BTPSS 0 03/01/31</t>
  </si>
  <si>
    <t>STRIP.IT0004976574</t>
  </si>
  <si>
    <t>IT0004976582</t>
  </si>
  <si>
    <t>BTPSS 0 09/01/31</t>
  </si>
  <si>
    <t>STRIP.IT0004976582</t>
  </si>
  <si>
    <t>IT0004976590</t>
  </si>
  <si>
    <t>BTPSS 0 03/01/32</t>
  </si>
  <si>
    <t>STRIP.IT0004976590</t>
  </si>
  <si>
    <t>IT0004976608</t>
  </si>
  <si>
    <t>BTPSS 0 09/01/32</t>
  </si>
  <si>
    <t>STRIP.IT0004976608</t>
  </si>
  <si>
    <t>IT0004976616</t>
  </si>
  <si>
    <t>BTPSS 0 03/01/33</t>
  </si>
  <si>
    <t>STRIP.IT0004976616</t>
  </si>
  <si>
    <t>IT0004976624</t>
  </si>
  <si>
    <t>BTPSS 0 09/01/33</t>
  </si>
  <si>
    <t>STRIP.IT0004976624</t>
  </si>
  <si>
    <t>IT0004976632</t>
  </si>
  <si>
    <t>BTPSS 0 03/01/34</t>
  </si>
  <si>
    <t>STRIP.IT0004976632</t>
  </si>
  <si>
    <t>IT0004976640</t>
  </si>
  <si>
    <t>BTPSS 0 09/01/34</t>
  </si>
  <si>
    <t>STRIP.IT0004976640</t>
  </si>
  <si>
    <t>IT0004976657</t>
  </si>
  <si>
    <t>BTPSS 0 03/01/35</t>
  </si>
  <si>
    <t>STRIP.IT0004976657</t>
  </si>
  <si>
    <t>IT0004976665</t>
  </si>
  <si>
    <t>BTPSS 0 09/01/35</t>
  </si>
  <si>
    <t>STRIP.IT0004976665</t>
  </si>
  <si>
    <t>IT0004976673</t>
  </si>
  <si>
    <t>BTPSS 0 03/01/36</t>
  </si>
  <si>
    <t>STRIP.IT0004976673</t>
  </si>
  <si>
    <t>IT0004976681</t>
  </si>
  <si>
    <t>BTPSS 0 09/01/36</t>
  </si>
  <si>
    <t>STRIP.IT0004976681</t>
  </si>
  <si>
    <t>IT0004976699</t>
  </si>
  <si>
    <t>BTPSS 0 03/01/37</t>
  </si>
  <si>
    <t>STRIP.IT0004976699</t>
  </si>
  <si>
    <t>IT0004976707</t>
  </si>
  <si>
    <t>BTPSS 0 09/01/37</t>
  </si>
  <si>
    <t>STRIP.IT0004976707</t>
  </si>
  <si>
    <t>IT0004976715</t>
  </si>
  <si>
    <t>BTPSS 0 03/01/38</t>
  </si>
  <si>
    <t>STRIP.IT0004976715</t>
  </si>
  <si>
    <t>IT0004976723</t>
  </si>
  <si>
    <t>BTPSS 0 09/01/38</t>
  </si>
  <si>
    <t>STRIP.IT0004976723</t>
  </si>
  <si>
    <t>IT0004976731</t>
  </si>
  <si>
    <t>BTPSS 0 03/01/39</t>
  </si>
  <si>
    <t>STRIP.IT0004976731</t>
  </si>
  <si>
    <t>IT0004976749</t>
  </si>
  <si>
    <t>BTPSS 0 09/01/39</t>
  </si>
  <si>
    <t>STRIP.IT0004976749</t>
  </si>
  <si>
    <t>IT0004976756</t>
  </si>
  <si>
    <t>BTPSS 0 03/01/40</t>
  </si>
  <si>
    <t>STRIP.IT0004976756</t>
  </si>
  <si>
    <t>IT0004976764</t>
  </si>
  <si>
    <t>BTPSS 0 09/01/40</t>
  </si>
  <si>
    <t>STRIP.IT0004976764</t>
  </si>
  <si>
    <t>IT0004976772</t>
  </si>
  <si>
    <t>BTPSS 0 03/01/41</t>
  </si>
  <si>
    <t>STRIP.IT0004976772</t>
  </si>
  <si>
    <t>IT0004976780</t>
  </si>
  <si>
    <t>BTPSS 0 09/01/41</t>
  </si>
  <si>
    <t>STRIP.IT0004976780</t>
  </si>
  <si>
    <t>IT0004976798</t>
  </si>
  <si>
    <t>BTPSS 0 03/01/42</t>
  </si>
  <si>
    <t>STRIP.IT0004976798</t>
  </si>
  <si>
    <t>IT0004976806</t>
  </si>
  <si>
    <t>BTPSS 0 09/01/42</t>
  </si>
  <si>
    <t>STRIP.IT0004976806</t>
  </si>
  <si>
    <t>IT0004976814</t>
  </si>
  <si>
    <t>BTPSS 0 03/01/43</t>
  </si>
  <si>
    <t>STRIP.IT0004976814</t>
  </si>
  <si>
    <t>IT0004976822</t>
  </si>
  <si>
    <t>BTPSS 0 09/01/43</t>
  </si>
  <si>
    <t>STRIP.IT0004976822</t>
  </si>
  <si>
    <t>IT0004976830</t>
  </si>
  <si>
    <t>BTPSS 0 03/01/44</t>
  </si>
  <si>
    <t>STRIP.IT0004976830</t>
  </si>
  <si>
    <t>IT0004976848</t>
  </si>
  <si>
    <t>BTPSH 0 09/01/44</t>
  </si>
  <si>
    <t>STRIP.IT0004976848</t>
  </si>
  <si>
    <t>BTPSS 0 05/01/14</t>
  </si>
  <si>
    <t>STRIP.IT0001247136</t>
  </si>
  <si>
    <t>IT0004848609</t>
  </si>
  <si>
    <t>BTPSH 0 08/01/14</t>
  </si>
  <si>
    <t>STRIP.IT0004848609</t>
  </si>
  <si>
    <t>BTPSS 0 11/01/14</t>
  </si>
  <si>
    <t>STRIP.IT0001247144</t>
  </si>
  <si>
    <t>IT0004848625</t>
  </si>
  <si>
    <t>BTPSH 0 02/01/15</t>
  </si>
  <si>
    <t>STRIP.IT0004848625</t>
  </si>
  <si>
    <t>BTPSS 0 05/01/15</t>
  </si>
  <si>
    <t>STRIP.IT0001247151</t>
  </si>
  <si>
    <t>IT0004848633</t>
  </si>
  <si>
    <t>BTPSH 0 08/01/15</t>
  </si>
  <si>
    <t>STRIP.IT0004848633</t>
  </si>
  <si>
    <t>IT0004871353</t>
  </si>
  <si>
    <t>BTPSH 0 11/01/15</t>
  </si>
  <si>
    <t>STRIP.IT0004871353</t>
  </si>
  <si>
    <t>BTPSS 0 02/01/16</t>
  </si>
  <si>
    <t>STRIP.IT0003246318</t>
  </si>
  <si>
    <t>BTPSS 0 05/01/16</t>
  </si>
  <si>
    <t>STRIP.IT0001247177</t>
  </si>
  <si>
    <t>IT0004848666</t>
  </si>
  <si>
    <t>BTPSH 0 08/01/16</t>
  </si>
  <si>
    <t>STRIP.IT0004848666</t>
  </si>
  <si>
    <t>BTPSS 0 11/01/16</t>
  </si>
  <si>
    <t>STRIP.IT0001247185</t>
  </si>
  <si>
    <t>IT0004848674</t>
  </si>
  <si>
    <t>BTPSH 0 02/01/17</t>
  </si>
  <si>
    <t>STRIP.IT0004848674</t>
  </si>
  <si>
    <t>IT0004848807</t>
  </si>
  <si>
    <t>BTPSH 0 05/01/17</t>
  </si>
  <si>
    <t>STRIP.IT0004848807</t>
  </si>
  <si>
    <t>IT0004848500</t>
  </si>
  <si>
    <t>BTPSH 0 08/01/17</t>
  </si>
  <si>
    <t>STRIP.IT0004848500</t>
  </si>
  <si>
    <t>IT0004869316</t>
  </si>
  <si>
    <t>BTPSH 0 11/01/17</t>
  </si>
  <si>
    <t>STRIP.IT0004869316</t>
  </si>
  <si>
    <t>IT0004848682</t>
  </si>
  <si>
    <t>BTPSH 0 02/01/18</t>
  </si>
  <si>
    <t>STRIP.IT0004848682</t>
  </si>
  <si>
    <t>BTPSS 0 05/01/18</t>
  </si>
  <si>
    <t>STRIP.IT0001247219</t>
  </si>
  <si>
    <t>IT0004848716</t>
  </si>
  <si>
    <t>BTPSH 0 08/01/18</t>
  </si>
  <si>
    <t>STRIP.IT0004848716</t>
  </si>
  <si>
    <t>BTPSS 0 11/01/18</t>
  </si>
  <si>
    <t>STRIP.IT0001247227</t>
  </si>
  <si>
    <t>IT0004848583</t>
  </si>
  <si>
    <t>BTPSH 0 02/01/19</t>
  </si>
  <si>
    <t>STRIP.IT0004848583</t>
  </si>
  <si>
    <t>BTPSS 0 05/01/19</t>
  </si>
  <si>
    <t>STRIP.IT0001247235</t>
  </si>
  <si>
    <t>BTPSS 0 08/01/19</t>
  </si>
  <si>
    <t>STRIP.IT0003268585</t>
  </si>
  <si>
    <t>BTPSS 0 11/01/19</t>
  </si>
  <si>
    <t>STRIP.IT0001247243</t>
  </si>
  <si>
    <t>IT0004848617</t>
  </si>
  <si>
    <t>BTPSH 0 02/01/20</t>
  </si>
  <si>
    <t>STRIP.IT0004848617</t>
  </si>
  <si>
    <t>BTPSS 0 05/01/20</t>
  </si>
  <si>
    <t>STRIP.IT0001247250</t>
  </si>
  <si>
    <t>BTPSS 0 08/01/20</t>
  </si>
  <si>
    <t>STRIP.IT0003268635</t>
  </si>
  <si>
    <t>BTPSS 0 11/01/20</t>
  </si>
  <si>
    <t>STRIP.IT0001247268</t>
  </si>
  <si>
    <t>BTPSS 0 02/01/21</t>
  </si>
  <si>
    <t>STRIP.IT0003268676</t>
  </si>
  <si>
    <t>BTPSS 0 05/01/21</t>
  </si>
  <si>
    <t>STRIP.IT0001247276</t>
  </si>
  <si>
    <t>IT0004848658</t>
  </si>
  <si>
    <t>BTPSH 0 08/01/21</t>
  </si>
  <si>
    <t>STRIP.IT0004848658</t>
  </si>
  <si>
    <t>BTPSS 0 11/01/21</t>
  </si>
  <si>
    <t>STRIP.IT0001247284</t>
  </si>
  <si>
    <t>BTPSS 0 02/01/22</t>
  </si>
  <si>
    <t>STRIP.IT0003268726</t>
  </si>
  <si>
    <t>BTPSS 0 05/01/22</t>
  </si>
  <si>
    <t>STRIP.IT0001247292</t>
  </si>
  <si>
    <t>BTPSS 0 08/01/22</t>
  </si>
  <si>
    <t>STRIP.IT0003268742</t>
  </si>
  <si>
    <t>IT0004869324</t>
  </si>
  <si>
    <t>BTPSH 0 11/01/22</t>
  </si>
  <si>
    <t>STRIP.IT0004869324</t>
  </si>
  <si>
    <t>BTPSS 0 02/01/23</t>
  </si>
  <si>
    <t>STRIP.IT0003268775</t>
  </si>
  <si>
    <t>BTPSS 0 05/01/23</t>
  </si>
  <si>
    <t>STRIP.IT0001247318</t>
  </si>
  <si>
    <t>IT0004848708</t>
  </si>
  <si>
    <t>BTPSH 0 08/01/23</t>
  </si>
  <si>
    <t>STRIP.IT0004848708</t>
  </si>
  <si>
    <t>IT0004848435</t>
  </si>
  <si>
    <t>BTPSH 0 11/01/23</t>
  </si>
  <si>
    <t>STRIP.IT0004848435</t>
  </si>
  <si>
    <t>BTPSS 0 02/01/24</t>
  </si>
  <si>
    <t>STRIP.IT0003268809</t>
  </si>
  <si>
    <t>BTPSS 0 05/01/24</t>
  </si>
  <si>
    <t>STRIP.IT0001247334</t>
  </si>
  <si>
    <t>BTPSS 0 08/01/24</t>
  </si>
  <si>
    <t>STRIP.IT0003268817</t>
  </si>
  <si>
    <t>BTPSS 0 11/01/24</t>
  </si>
  <si>
    <t>STRIP.IT0001247342</t>
  </si>
  <si>
    <t>BTPSS 0 02/01/25</t>
  </si>
  <si>
    <t>STRIP.IT0003268825</t>
  </si>
  <si>
    <t>BTPSS 0 05/01/25</t>
  </si>
  <si>
    <t>STRIP.IT0001247359</t>
  </si>
  <si>
    <t>BTPSS 0 08/01/25</t>
  </si>
  <si>
    <t>STRIP.IT0003268833</t>
  </si>
  <si>
    <t>BTPSS 0 11/01/25</t>
  </si>
  <si>
    <t>STRIP.IT0001247367</t>
  </si>
  <si>
    <t>BTPSS 0 02/01/26</t>
  </si>
  <si>
    <t>STRIP.IT0003268841</t>
  </si>
  <si>
    <t>BTPSS 0 05/01/26</t>
  </si>
  <si>
    <t>STRIP.IT0001247375</t>
  </si>
  <si>
    <t>BTPSS 0 08/01/26</t>
  </si>
  <si>
    <t>STRIP.IT0003268858</t>
  </si>
  <si>
    <t>IT0004848443</t>
  </si>
  <si>
    <t>BTPSH 0 11/01/26</t>
  </si>
  <si>
    <t>STRIP.IT0004848443</t>
  </si>
  <si>
    <t>BTPSS 0 02/01/27</t>
  </si>
  <si>
    <t>STRIP.IT0003268874</t>
  </si>
  <si>
    <t>BTPSS 0 05/01/27</t>
  </si>
  <si>
    <t>STRIP.IT0001247391</t>
  </si>
  <si>
    <t>BTPSS 0 08/01/27</t>
  </si>
  <si>
    <t>STRIP.IT0003268882</t>
  </si>
  <si>
    <t>IT0004848476</t>
  </si>
  <si>
    <t>BTPSH 0 11/01/27</t>
  </si>
  <si>
    <t>STRIP.IT0004848476</t>
  </si>
  <si>
    <t>BTPSS 0 02/01/28</t>
  </si>
  <si>
    <t>STRIP.IT0003268890</t>
  </si>
  <si>
    <t>BTPSS 0 05/01/28</t>
  </si>
  <si>
    <t>STRIP.IT0001312781</t>
  </si>
  <si>
    <t>BTPSS 0 08/01/28</t>
  </si>
  <si>
    <t>STRIP.IT0003268908</t>
  </si>
  <si>
    <t>BTPSS 0 11/01/28</t>
  </si>
  <si>
    <t>STRIP.IT0001312799</t>
  </si>
  <si>
    <t>BTPSS 0 02/01/29</t>
  </si>
  <si>
    <t>STRIP.IT0003268924</t>
  </si>
  <si>
    <t>BTPSS 0 05/01/29</t>
  </si>
  <si>
    <t>STRIP.IT0001312807</t>
  </si>
  <si>
    <t>BTPSS 0 08/01/29</t>
  </si>
  <si>
    <t>STRIP.IT0003268932</t>
  </si>
  <si>
    <t>IT0004848484</t>
  </si>
  <si>
    <t>BTPSH 0 11/01/29</t>
  </si>
  <si>
    <t>STRIP.IT0004848484</t>
  </si>
  <si>
    <t>BTPSS 0 02/01/30</t>
  </si>
  <si>
    <t>STRIP.IT0003268957</t>
  </si>
  <si>
    <t>BTPSS 0 05/01/30</t>
  </si>
  <si>
    <t>STRIP.IT0001464194</t>
  </si>
  <si>
    <t>BTPSS 0 08/01/30</t>
  </si>
  <si>
    <t>STRIP.IT0003268973</t>
  </si>
  <si>
    <t>BTPSS 0 11/01/30</t>
  </si>
  <si>
    <t>STRIP.IT0001464202</t>
  </si>
  <si>
    <t>BTPSS 0 02/01/31</t>
  </si>
  <si>
    <t>STRIP.IT0003268999</t>
  </si>
  <si>
    <t>IT0004848492</t>
  </si>
  <si>
    <t>BTPSH 0 05/01/31</t>
  </si>
  <si>
    <t>STRIP.IT0004848492</t>
  </si>
  <si>
    <t>BTPSS 0 08/01/31</t>
  </si>
  <si>
    <t>STRIP.IT0003269013</t>
  </si>
  <si>
    <t>BTPSS 0 02/01/32</t>
  </si>
  <si>
    <t>STRIP.IT0003269021</t>
  </si>
  <si>
    <t>BTPSS 0 08/01/32</t>
  </si>
  <si>
    <t>STRIP.IT0003269039</t>
  </si>
  <si>
    <t>IT0004848534</t>
  </si>
  <si>
    <t>BTPSH 0 02/01/33</t>
  </si>
  <si>
    <t>STRIP.IT0004848534</t>
  </si>
  <si>
    <t>BTPSS 0 08/01/33</t>
  </si>
  <si>
    <t>STRIP.IT0003540389</t>
  </si>
  <si>
    <t>BTPSS 0 02/01/34</t>
  </si>
  <si>
    <t>STRIP.IT0003540397</t>
  </si>
  <si>
    <t>IT0004848591</t>
  </si>
  <si>
    <t>BTPSH 0 08/01/34</t>
  </si>
  <si>
    <t>STRIP.IT0004848591</t>
  </si>
  <si>
    <t>BTPSS 0 02/01/35</t>
  </si>
  <si>
    <t>STRIP.IT0004002819</t>
  </si>
  <si>
    <t>BTPSS 0 08/01/35</t>
  </si>
  <si>
    <t>STRIP.IT0004002827</t>
  </si>
  <si>
    <t>BTPSS 0 02/01/36</t>
  </si>
  <si>
    <t>STRIP.IT0004002835</t>
  </si>
  <si>
    <t>BTPSS 0 08/01/36</t>
  </si>
  <si>
    <t>STRIP.IT0004002843</t>
  </si>
  <si>
    <t>IT0004848641</t>
  </si>
  <si>
    <t>BTPSH 0 02/01/37</t>
  </si>
  <si>
    <t>STRIP.IT0004848641</t>
  </si>
  <si>
    <t>BTPSS 0 08/01/37</t>
  </si>
  <si>
    <t>STRIP.IT0004288590</t>
  </si>
  <si>
    <t>BTPSS 0 02/01/38</t>
  </si>
  <si>
    <t>STRIP.IT0004288608</t>
  </si>
  <si>
    <t>BTPSS 0 08/01/38</t>
  </si>
  <si>
    <t>STRIP.IT0004288616</t>
  </si>
  <si>
    <t>BTPSS 0 02/01/39</t>
  </si>
  <si>
    <t>STRIP.IT0004288624</t>
  </si>
  <si>
    <t>IT0004848690</t>
  </si>
  <si>
    <t>BTPSH 0 08/01/39</t>
  </si>
  <si>
    <t>STRIP.IT0004848690</t>
  </si>
  <si>
    <t>Bid</t>
  </si>
  <si>
    <t>Ask</t>
  </si>
  <si>
    <t>Spread</t>
  </si>
  <si>
    <t>DTSIMI2</t>
  </si>
  <si>
    <t>Mx</t>
  </si>
  <si>
    <t>ISIN</t>
  </si>
  <si>
    <t>EUR.PRICING.XLS_STRIPS.</t>
  </si>
  <si>
    <t>BIDYIELD</t>
  </si>
  <si>
    <t>BID BOND</t>
  </si>
  <si>
    <t>MIDYIELD</t>
  </si>
  <si>
    <t>MID BOND</t>
  </si>
  <si>
    <t>ASKYIELD</t>
  </si>
  <si>
    <t>ASK BOND</t>
  </si>
  <si>
    <t>DV01</t>
  </si>
  <si>
    <t>Modified</t>
  </si>
  <si>
    <t>Duration</t>
  </si>
  <si>
    <t>Convexity</t>
  </si>
  <si>
    <t>EUR</t>
  </si>
  <si>
    <t>Following</t>
  </si>
  <si>
    <t>ScheduleID</t>
  </si>
  <si>
    <t>Description</t>
  </si>
  <si>
    <t>Currency</t>
  </si>
  <si>
    <t>SettlementDays</t>
  </si>
  <si>
    <t>PaymentBDC</t>
  </si>
  <si>
    <t>FaceAmount</t>
  </si>
  <si>
    <t>FixingDays</t>
  </si>
  <si>
    <t>IsInArrears</t>
  </si>
  <si>
    <t>DayCounter</t>
  </si>
  <si>
    <t>IborIndex</t>
  </si>
  <si>
    <t>FloatingRateBond</t>
  </si>
  <si>
    <t>Actual/360</t>
  </si>
  <si>
    <t>new CCT</t>
  </si>
  <si>
    <t>RedemptionDate</t>
  </si>
  <si>
    <t>Actual/Actual (ISMA)</t>
  </si>
  <si>
    <t>Annual</t>
  </si>
  <si>
    <t>ION</t>
  </si>
  <si>
    <t>5y</t>
  </si>
  <si>
    <t>SEP28</t>
  </si>
  <si>
    <t>Syntax error in request</t>
  </si>
  <si>
    <t>NOV27</t>
  </si>
  <si>
    <t>BTP 2028-09-01 4.75%</t>
  </si>
  <si>
    <t>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</si>
</sst>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.000%"/>
    <numFmt numFmtId="165" formatCode="0.000"/>
    <numFmt numFmtId="166" formatCode="0.0000%"/>
    <numFmt numFmtId="167" formatCode="0.0000"/>
    <numFmt numFmtId="168" formatCode="ddd\,\ d\-mmm\-yyyy"/>
    <numFmt numFmtId="169" formatCode="ddd\,\ dd\-mmm\-yyyy"/>
    <numFmt numFmtId="170" formatCode="0.000000000"/>
    <numFmt numFmtId="171" formatCode="ddd\,\ dd\-mmm\-yyyy\,\ hh:mm:ss"/>
    <numFmt numFmtId="172" formatCode="[$-409]d\-mmm\-yyyy;@"/>
    <numFmt numFmtId="173" formatCode="0.0"/>
    <numFmt numFmtId="17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62">
    <xf numFmtId="0" fontId="0" fillId="0" borderId="0" xfId="0"/>
    <xf numFmtId="165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168" fontId="4" fillId="0" borderId="0" xfId="1" applyNumberFormat="1" applyFont="1" applyFill="1" applyBorder="1" applyAlignment="1">
      <alignment vertical="center"/>
    </xf>
    <xf numFmtId="10" fontId="4" fillId="0" borderId="0" xfId="1" applyNumberFormat="1" applyFont="1" applyFill="1" applyBorder="1" applyAlignment="1">
      <alignment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1" xfId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>
      <alignment vertical="center"/>
    </xf>
    <xf numFmtId="164" fontId="4" fillId="0" borderId="0" xfId="3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165" fontId="4" fillId="0" borderId="11" xfId="1" applyNumberFormat="1" applyFont="1" applyFill="1" applyBorder="1" applyAlignment="1" applyProtection="1">
      <alignment vertical="center"/>
      <protection locked="0"/>
    </xf>
    <xf numFmtId="165" fontId="4" fillId="0" borderId="11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 applyProtection="1">
      <alignment vertical="center"/>
      <protection locked="0"/>
    </xf>
    <xf numFmtId="2" fontId="4" fillId="0" borderId="12" xfId="1" applyNumberFormat="1" applyFont="1" applyFill="1" applyBorder="1" applyAlignment="1" applyProtection="1">
      <alignment vertical="center"/>
    </xf>
    <xf numFmtId="0" fontId="4" fillId="0" borderId="12" xfId="2" applyFont="1" applyFill="1" applyBorder="1" applyAlignment="1">
      <alignment vertical="center"/>
    </xf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9" fontId="4" fillId="0" borderId="0" xfId="0" applyNumberFormat="1" applyFont="1" applyBorder="1" applyAlignment="1">
      <alignment horizontal="center" vertical="center" wrapText="1"/>
    </xf>
    <xf numFmtId="43" fontId="4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67" fontId="4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Border="1"/>
    <xf numFmtId="164" fontId="4" fillId="0" borderId="0" xfId="3" applyNumberFormat="1" applyFont="1" applyBorder="1"/>
    <xf numFmtId="0" fontId="4" fillId="0" borderId="0" xfId="0" applyFont="1" applyBorder="1"/>
    <xf numFmtId="170" fontId="4" fillId="0" borderId="11" xfId="0" applyNumberFormat="1" applyFont="1" applyBorder="1"/>
    <xf numFmtId="0" fontId="4" fillId="0" borderId="12" xfId="0" applyFont="1" applyBorder="1"/>
    <xf numFmtId="169" fontId="4" fillId="0" borderId="13" xfId="0" applyNumberFormat="1" applyFont="1" applyBorder="1" applyAlignment="1">
      <alignment horizontal="center" vertical="center" wrapText="1"/>
    </xf>
    <xf numFmtId="43" fontId="4" fillId="0" borderId="13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167" fontId="4" fillId="0" borderId="13" xfId="0" applyNumberFormat="1" applyFont="1" applyBorder="1" applyAlignment="1">
      <alignment horizontal="center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/>
    <xf numFmtId="164" fontId="4" fillId="0" borderId="13" xfId="3" applyNumberFormat="1" applyFont="1" applyBorder="1"/>
    <xf numFmtId="0" fontId="4" fillId="0" borderId="14" xfId="0" applyFont="1" applyBorder="1"/>
    <xf numFmtId="43" fontId="4" fillId="0" borderId="11" xfId="0" applyNumberFormat="1" applyFont="1" applyBorder="1" applyAlignment="1">
      <alignment horizontal="center" vertical="center" wrapText="1"/>
    </xf>
    <xf numFmtId="43" fontId="4" fillId="0" borderId="15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/>
    <xf numFmtId="0" fontId="4" fillId="0" borderId="17" xfId="0" applyFont="1" applyBorder="1"/>
    <xf numFmtId="165" fontId="4" fillId="0" borderId="17" xfId="0" applyNumberFormat="1" applyFont="1" applyBorder="1"/>
    <xf numFmtId="165" fontId="4" fillId="0" borderId="18" xfId="0" applyNumberFormat="1" applyFont="1" applyBorder="1"/>
    <xf numFmtId="165" fontId="4" fillId="0" borderId="11" xfId="0" applyNumberFormat="1" applyFont="1" applyBorder="1"/>
    <xf numFmtId="165" fontId="4" fillId="0" borderId="12" xfId="0" applyNumberFormat="1" applyFont="1" applyBorder="1"/>
    <xf numFmtId="165" fontId="4" fillId="0" borderId="15" xfId="0" applyNumberFormat="1" applyFont="1" applyBorder="1"/>
    <xf numFmtId="165" fontId="4" fillId="0" borderId="14" xfId="0" applyNumberFormat="1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1" xfId="0" applyFont="1" applyBorder="1"/>
    <xf numFmtId="164" fontId="4" fillId="0" borderId="11" xfId="3" applyNumberFormat="1" applyFont="1" applyBorder="1"/>
    <xf numFmtId="164" fontId="4" fillId="0" borderId="12" xfId="3" applyNumberFormat="1" applyFont="1" applyBorder="1"/>
    <xf numFmtId="164" fontId="4" fillId="0" borderId="15" xfId="3" applyNumberFormat="1" applyFont="1" applyBorder="1"/>
    <xf numFmtId="164" fontId="4" fillId="0" borderId="14" xfId="3" applyNumberFormat="1" applyFont="1" applyBorder="1"/>
    <xf numFmtId="165" fontId="4" fillId="3" borderId="0" xfId="0" applyNumberFormat="1" applyFont="1" applyFill="1" applyBorder="1"/>
    <xf numFmtId="0" fontId="4" fillId="0" borderId="11" xfId="0" applyNumberFormat="1" applyFont="1" applyBorder="1"/>
    <xf numFmtId="0" fontId="4" fillId="0" borderId="15" xfId="0" applyNumberFormat="1" applyFont="1" applyBorder="1"/>
    <xf numFmtId="169" fontId="4" fillId="0" borderId="17" xfId="0" applyNumberFormat="1" applyFont="1" applyBorder="1"/>
    <xf numFmtId="43" fontId="4" fillId="0" borderId="17" xfId="0" applyNumberFormat="1" applyFont="1" applyBorder="1"/>
    <xf numFmtId="3" fontId="4" fillId="0" borderId="17" xfId="0" applyNumberFormat="1" applyFont="1" applyBorder="1"/>
    <xf numFmtId="0" fontId="4" fillId="0" borderId="17" xfId="0" applyNumberFormat="1" applyFont="1" applyBorder="1"/>
    <xf numFmtId="167" fontId="4" fillId="0" borderId="17" xfId="0" applyNumberFormat="1" applyFont="1" applyBorder="1"/>
    <xf numFmtId="166" fontId="4" fillId="0" borderId="17" xfId="0" applyNumberFormat="1" applyFont="1" applyBorder="1"/>
    <xf numFmtId="9" fontId="4" fillId="0" borderId="17" xfId="0" applyNumberFormat="1" applyFont="1" applyBorder="1"/>
    <xf numFmtId="165" fontId="4" fillId="3" borderId="11" xfId="0" applyNumberFormat="1" applyFont="1" applyFill="1" applyBorder="1"/>
    <xf numFmtId="0" fontId="4" fillId="0" borderId="0" xfId="0" applyFont="1" applyAlignment="1">
      <alignment horizontal="center"/>
    </xf>
    <xf numFmtId="169" fontId="4" fillId="0" borderId="0" xfId="0" applyNumberFormat="1" applyFont="1" applyBorder="1"/>
    <xf numFmtId="0" fontId="4" fillId="0" borderId="15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8" xfId="0" applyFont="1" applyBorder="1"/>
    <xf numFmtId="165" fontId="4" fillId="0" borderId="0" xfId="0" applyNumberFormat="1" applyFont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71" fontId="4" fillId="0" borderId="18" xfId="0" applyNumberFormat="1" applyFont="1" applyBorder="1"/>
    <xf numFmtId="169" fontId="4" fillId="0" borderId="14" xfId="0" applyNumberFormat="1" applyFont="1" applyBorder="1"/>
    <xf numFmtId="169" fontId="4" fillId="0" borderId="18" xfId="0" applyNumberFormat="1" applyFont="1" applyBorder="1"/>
    <xf numFmtId="0" fontId="4" fillId="0" borderId="10" xfId="0" applyFont="1" applyBorder="1"/>
    <xf numFmtId="170" fontId="4" fillId="0" borderId="20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72" fontId="4" fillId="0" borderId="0" xfId="0" applyNumberFormat="1" applyFont="1"/>
    <xf numFmtId="167" fontId="4" fillId="0" borderId="0" xfId="0" applyNumberFormat="1" applyFont="1"/>
    <xf numFmtId="0" fontId="4" fillId="0" borderId="19" xfId="0" applyFont="1" applyBorder="1"/>
    <xf numFmtId="10" fontId="4" fillId="0" borderId="0" xfId="0" applyNumberFormat="1" applyFont="1" applyAlignment="1">
      <alignment horizontal="center"/>
    </xf>
    <xf numFmtId="0" fontId="7" fillId="4" borderId="22" xfId="0" applyFont="1" applyFill="1" applyBorder="1" applyAlignment="1">
      <alignment horizontal="right"/>
    </xf>
    <xf numFmtId="0" fontId="7" fillId="4" borderId="23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2" fillId="5" borderId="23" xfId="0" applyFont="1" applyFill="1" applyBorder="1" applyAlignment="1">
      <alignment horizontal="center"/>
    </xf>
    <xf numFmtId="3" fontId="2" fillId="5" borderId="23" xfId="0" applyNumberFormat="1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166" fontId="8" fillId="5" borderId="23" xfId="0" applyNumberFormat="1" applyFont="1" applyFill="1" applyBorder="1" applyAlignment="1">
      <alignment horizontal="center"/>
    </xf>
    <xf numFmtId="2" fontId="4" fillId="0" borderId="0" xfId="0" applyNumberFormat="1" applyFont="1"/>
    <xf numFmtId="173" fontId="4" fillId="0" borderId="0" xfId="0" applyNumberFormat="1" applyFont="1"/>
    <xf numFmtId="2" fontId="4" fillId="7" borderId="16" xfId="0" applyNumberFormat="1" applyFont="1" applyFill="1" applyBorder="1"/>
    <xf numFmtId="2" fontId="4" fillId="7" borderId="11" xfId="0" applyNumberFormat="1" applyFont="1" applyFill="1" applyBorder="1"/>
    <xf numFmtId="2" fontId="4" fillId="7" borderId="15" xfId="0" applyNumberFormat="1" applyFont="1" applyFill="1" applyBorder="1"/>
    <xf numFmtId="0" fontId="4" fillId="0" borderId="19" xfId="0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8" borderId="19" xfId="0" applyFont="1" applyFill="1" applyBorder="1"/>
    <xf numFmtId="2" fontId="4" fillId="7" borderId="18" xfId="0" applyNumberFormat="1" applyFont="1" applyFill="1" applyBorder="1"/>
    <xf numFmtId="2" fontId="4" fillId="7" borderId="12" xfId="0" applyNumberFormat="1" applyFont="1" applyFill="1" applyBorder="1"/>
    <xf numFmtId="2" fontId="4" fillId="7" borderId="14" xfId="0" applyNumberFormat="1" applyFont="1" applyFill="1" applyBorder="1"/>
    <xf numFmtId="0" fontId="4" fillId="8" borderId="17" xfId="0" applyFont="1" applyFill="1" applyBorder="1"/>
    <xf numFmtId="0" fontId="4" fillId="8" borderId="18" xfId="0" applyFont="1" applyFill="1" applyBorder="1"/>
    <xf numFmtId="0" fontId="4" fillId="8" borderId="0" xfId="0" applyFont="1" applyFill="1" applyBorder="1"/>
    <xf numFmtId="0" fontId="4" fillId="8" borderId="12" xfId="0" applyFont="1" applyFill="1" applyBorder="1"/>
    <xf numFmtId="0" fontId="4" fillId="8" borderId="13" xfId="0" applyFont="1" applyFill="1" applyBorder="1"/>
    <xf numFmtId="0" fontId="4" fillId="8" borderId="14" xfId="0" applyFont="1" applyFill="1" applyBorder="1"/>
    <xf numFmtId="2" fontId="4" fillId="8" borderId="19" xfId="0" applyNumberFormat="1" applyFont="1" applyFill="1" applyBorder="1"/>
    <xf numFmtId="1" fontId="4" fillId="0" borderId="0" xfId="0" applyNumberFormat="1" applyFont="1" applyBorder="1"/>
    <xf numFmtId="1" fontId="4" fillId="0" borderId="17" xfId="0" applyNumberFormat="1" applyFont="1" applyBorder="1"/>
    <xf numFmtId="173" fontId="4" fillId="0" borderId="18" xfId="0" applyNumberFormat="1" applyFont="1" applyBorder="1"/>
    <xf numFmtId="173" fontId="4" fillId="0" borderId="12" xfId="0" applyNumberFormat="1" applyFont="1" applyBorder="1"/>
    <xf numFmtId="0" fontId="4" fillId="0" borderId="13" xfId="0" applyFont="1" applyBorder="1"/>
    <xf numFmtId="2" fontId="4" fillId="0" borderId="17" xfId="1" applyNumberFormat="1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4" fillId="7" borderId="17" xfId="0" applyFont="1" applyFill="1" applyBorder="1"/>
    <xf numFmtId="0" fontId="4" fillId="7" borderId="0" xfId="0" applyFont="1" applyFill="1" applyBorder="1"/>
    <xf numFmtId="0" fontId="4" fillId="7" borderId="13" xfId="0" applyFont="1" applyFill="1" applyBorder="1"/>
    <xf numFmtId="0" fontId="4" fillId="7" borderId="17" xfId="0" applyFont="1" applyFill="1" applyBorder="1" applyAlignment="1">
      <alignment horizontal="center" vertical="center"/>
    </xf>
    <xf numFmtId="0" fontId="4" fillId="7" borderId="20" xfId="0" applyFont="1" applyFill="1" applyBorder="1"/>
    <xf numFmtId="0" fontId="4" fillId="7" borderId="25" xfId="0" applyFont="1" applyFill="1" applyBorder="1"/>
    <xf numFmtId="0" fontId="4" fillId="7" borderId="21" xfId="0" applyFont="1" applyFill="1" applyBorder="1"/>
    <xf numFmtId="165" fontId="4" fillId="0" borderId="0" xfId="0" quotePrefix="1" applyNumberFormat="1" applyFont="1"/>
    <xf numFmtId="173" fontId="1" fillId="0" borderId="0" xfId="0" applyNumberFormat="1" applyFont="1" applyAlignment="1">
      <alignment vertical="center"/>
    </xf>
    <xf numFmtId="173" fontId="4" fillId="0" borderId="0" xfId="1" applyNumberFormat="1" applyFont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73" fontId="4" fillId="0" borderId="19" xfId="1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74" fontId="1" fillId="0" borderId="0" xfId="4" applyNumberFormat="1" applyFont="1" applyAlignment="1">
      <alignment vertical="center"/>
    </xf>
  </cellXfs>
  <cellStyles count="5">
    <cellStyle name="Comma" xfId="4" builtinId="3"/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09:39:09</v>
        <stp/>
        <stp>{B420C41D-9EEC-460E-9390-C51E463EB744}</stp>
        <tr r="U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3"/>
  <sheetViews>
    <sheetView tabSelected="1" workbookViewId="0">
      <selection activeCell="B1" sqref="B1"/>
    </sheetView>
  </sheetViews>
  <sheetFormatPr defaultColWidth="9.140625" defaultRowHeight="11.25" x14ac:dyDescent="0.2"/>
  <cols>
    <col min="1" max="1" width="25.5703125" style="33" bestFit="1" customWidth="1"/>
    <col min="2" max="2" width="31.7109375" style="33" bestFit="1" customWidth="1"/>
    <col min="3" max="3" width="15.42578125" style="33" bestFit="1" customWidth="1"/>
    <col min="4" max="4" width="13.140625" style="33" bestFit="1" customWidth="1"/>
    <col min="5" max="5" width="9.140625" style="33"/>
    <col min="6" max="7" width="15.140625" style="33" bestFit="1" customWidth="1"/>
    <col min="8" max="8" width="23.42578125" style="33" bestFit="1" customWidth="1"/>
    <col min="9" max="16384" width="9.140625" style="33"/>
  </cols>
  <sheetData>
    <row r="1" spans="1:2" x14ac:dyDescent="0.2">
      <c r="A1" s="70" t="s">
        <v>17</v>
      </c>
      <c r="B1" s="99">
        <v>41933.401261574072</v>
      </c>
    </row>
    <row r="2" spans="1:2" x14ac:dyDescent="0.2">
      <c r="A2" s="90" t="s">
        <v>106</v>
      </c>
      <c r="B2" s="100">
        <f>_xll.qlSettingsEvaluationDate(Trigger)</f>
        <v>41933</v>
      </c>
    </row>
    <row r="4" spans="1:2" x14ac:dyDescent="0.2">
      <c r="A4" s="70" t="s">
        <v>100</v>
      </c>
      <c r="B4" s="101">
        <f>_xll.qlCalendarAdvance("TARGET",B2,"2D")</f>
        <v>41935</v>
      </c>
    </row>
    <row r="5" spans="1:2" x14ac:dyDescent="0.2">
      <c r="A5" s="72" t="s">
        <v>16</v>
      </c>
      <c r="B5" s="49" t="s">
        <v>530</v>
      </c>
    </row>
    <row r="6" spans="1:2" x14ac:dyDescent="0.2">
      <c r="A6" s="72" t="s">
        <v>15</v>
      </c>
      <c r="B6" s="49" t="s">
        <v>13</v>
      </c>
    </row>
    <row r="7" spans="1:2" x14ac:dyDescent="0.2">
      <c r="A7" s="90" t="s">
        <v>14</v>
      </c>
      <c r="B7" s="59" t="s">
        <v>531</v>
      </c>
    </row>
    <row r="9" spans="1:2" x14ac:dyDescent="0.2">
      <c r="A9" s="70" t="s">
        <v>22</v>
      </c>
      <c r="B9" s="71" t="s">
        <v>23</v>
      </c>
    </row>
    <row r="10" spans="1:2" x14ac:dyDescent="0.2">
      <c r="A10" s="90" t="s">
        <v>24</v>
      </c>
      <c r="B10" s="59" t="b">
        <v>0</v>
      </c>
    </row>
    <row r="12" spans="1:2" x14ac:dyDescent="0.2">
      <c r="A12" s="94" t="s">
        <v>112</v>
      </c>
      <c r="B12" s="102" t="str">
        <f>VLOOKUP(ReferenceBondDescription,BtpCurve!$B$2:$K$48,10,FALSE)</f>
        <v>obj_00fea#0000</v>
      </c>
    </row>
    <row r="14" spans="1:2" x14ac:dyDescent="0.2">
      <c r="A14" s="94" t="s">
        <v>25</v>
      </c>
      <c r="B14" s="102" t="s">
        <v>538</v>
      </c>
    </row>
    <row r="16" spans="1:2" x14ac:dyDescent="0.2">
      <c r="A16" s="70" t="s">
        <v>96</v>
      </c>
      <c r="B16" s="71" t="s">
        <v>94</v>
      </c>
    </row>
    <row r="17" spans="1:3" x14ac:dyDescent="0.2">
      <c r="A17" s="90" t="s">
        <v>97</v>
      </c>
      <c r="B17" s="59" t="s">
        <v>95</v>
      </c>
    </row>
    <row r="18" spans="1:3" x14ac:dyDescent="0.2">
      <c r="A18" s="47"/>
      <c r="B18" s="47"/>
    </row>
    <row r="19" spans="1:3" x14ac:dyDescent="0.2">
      <c r="A19" s="94" t="s">
        <v>116</v>
      </c>
      <c r="B19" s="102" t="b">
        <v>0</v>
      </c>
    </row>
    <row r="20" spans="1:3" x14ac:dyDescent="0.2">
      <c r="A20" s="94" t="s">
        <v>114</v>
      </c>
      <c r="B20" s="102" t="b">
        <v>1</v>
      </c>
    </row>
    <row r="21" spans="1:3" x14ac:dyDescent="0.2">
      <c r="A21" s="94" t="s">
        <v>109</v>
      </c>
      <c r="B21" s="102" t="str">
        <f>_xll.qlPiecewiseYieldCurve(,2,"TARGET",_xll.ohFilter(BtpCurve!J2:J50,BtpCurve!AB2:AB50),,,,,YieldCurveTraits,YieldCurveInterpolation)</f>
        <v>obj_01037#0000</v>
      </c>
    </row>
    <row r="22" spans="1:3" x14ac:dyDescent="0.2">
      <c r="A22" s="33" t="str">
        <f>_xll.ohRangeRetrieveError(BtpCurve)</f>
        <v/>
      </c>
      <c r="B22" s="33" t="b">
        <f>_xll.qlExtrapolatorEnableExtrapolation(BtpCurve,C22)</f>
        <v>1</v>
      </c>
      <c r="C22" s="33" t="b">
        <v>1</v>
      </c>
    </row>
    <row r="23" spans="1:3" x14ac:dyDescent="0.2">
      <c r="B23" s="33">
        <f ca="1">_xll.ohTrigger(BtpCurve!N2:O41,PriceSelector)</f>
        <v>3</v>
      </c>
    </row>
  </sheetData>
  <phoneticPr fontId="2" type="noConversion"/>
  <dataValidations count="5">
    <dataValidation type="list" allowBlank="1" showInputMessage="1" showErrorMessage="1" sqref="B16">
      <formula1>"Discount,ZeroYield,ForwardRate"</formula1>
    </dataValidation>
    <dataValidation type="list" allowBlank="1" showInputMessage="1" showErrorMessage="1" sqref="B17:B18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  <dataValidation type="list" allowBlank="1" showInputMessage="1" showErrorMessage="1" sqref="B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B6">
      <formula1>"Simple,Compounded,Continuous,SimpleThenCompounded"</formula1>
    </dataValidation>
    <dataValidation type="list" allowBlank="1" showInputMessage="1" showErrorMessage="1" sqref="B7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75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8" defaultRowHeight="11.25" outlineLevelCol="1" x14ac:dyDescent="0.2"/>
  <cols>
    <col min="1" max="1" width="2.28515625" style="2" customWidth="1"/>
    <col min="2" max="2" width="22.42578125" style="2" bestFit="1" customWidth="1"/>
    <col min="3" max="3" width="13.140625" style="2" bestFit="1" customWidth="1"/>
    <col min="4" max="4" width="17.28515625" style="2" customWidth="1"/>
    <col min="5" max="5" width="8" style="2" hidden="1" customWidth="1" outlineLevel="1"/>
    <col min="6" max="6" width="11" style="2" hidden="1" customWidth="1" outlineLevel="1"/>
    <col min="7" max="8" width="19.28515625" style="2" hidden="1" customWidth="1" outlineLevel="1"/>
    <col min="9" max="12" width="15.140625" style="2" hidden="1" customWidth="1" outlineLevel="1"/>
    <col min="13" max="13" width="10" style="2" hidden="1" customWidth="1" outlineLevel="1"/>
    <col min="14" max="15" width="8.140625" style="2" hidden="1" customWidth="1" outlineLevel="1"/>
    <col min="16" max="16" width="9" style="2" bestFit="1" customWidth="1" collapsed="1"/>
    <col min="17" max="17" width="8" style="2" bestFit="1" customWidth="1"/>
    <col min="18" max="18" width="7" style="2" bestFit="1" customWidth="1"/>
    <col min="19" max="20" width="10" style="2" hidden="1" customWidth="1" outlineLevel="1"/>
    <col min="21" max="21" width="12" style="2" hidden="1" customWidth="1" outlineLevel="1"/>
    <col min="22" max="25" width="8.140625" style="2" hidden="1" customWidth="1" outlineLevel="1"/>
    <col min="26" max="26" width="10" style="2" bestFit="1" customWidth="1" collapsed="1"/>
    <col min="27" max="27" width="8" style="2" customWidth="1"/>
    <col min="28" max="28" width="9.7109375" style="2" customWidth="1"/>
    <col min="29" max="29" width="8" style="2" bestFit="1" customWidth="1"/>
    <col min="30" max="30" width="6.85546875" style="2" customWidth="1"/>
    <col min="31" max="31" width="8" style="2" bestFit="1" customWidth="1"/>
    <col min="32" max="32" width="21.42578125" style="2" bestFit="1" customWidth="1"/>
    <col min="33" max="33" width="6" style="2" bestFit="1" customWidth="1"/>
    <col min="34" max="35" width="5.7109375" style="2" customWidth="1"/>
    <col min="36" max="36" width="7" style="2" customWidth="1"/>
    <col min="37" max="37" width="8" style="2" customWidth="1"/>
    <col min="38" max="38" width="8.42578125" style="2" customWidth="1"/>
    <col min="39" max="39" width="13.140625" style="2" bestFit="1" customWidth="1"/>
    <col min="40" max="16384" width="8" style="2"/>
  </cols>
  <sheetData>
    <row r="1" spans="1:38" ht="33.75" x14ac:dyDescent="0.2">
      <c r="A1" s="3"/>
      <c r="B1" s="13" t="s">
        <v>2</v>
      </c>
      <c r="C1" s="14" t="s">
        <v>105</v>
      </c>
      <c r="D1" s="14" t="s">
        <v>3</v>
      </c>
      <c r="E1" s="14" t="s">
        <v>4</v>
      </c>
      <c r="F1" s="15" t="s">
        <v>5</v>
      </c>
      <c r="G1" s="14" t="s">
        <v>101</v>
      </c>
      <c r="H1" s="13" t="s">
        <v>104</v>
      </c>
      <c r="I1" s="93" t="s">
        <v>107</v>
      </c>
      <c r="J1" s="20" t="s">
        <v>12</v>
      </c>
      <c r="K1" s="21" t="s">
        <v>108</v>
      </c>
      <c r="L1" s="14" t="str">
        <f>_xll.qlBondEngine(,'General Settings'!B21)</f>
        <v>obj_01038#0000</v>
      </c>
      <c r="M1" s="14" t="s">
        <v>18</v>
      </c>
      <c r="N1" s="13" t="s">
        <v>102</v>
      </c>
      <c r="O1" s="15" t="s">
        <v>103</v>
      </c>
      <c r="P1" s="13" t="s">
        <v>19</v>
      </c>
      <c r="Q1" s="14" t="s">
        <v>31</v>
      </c>
      <c r="R1" s="15" t="s">
        <v>26</v>
      </c>
      <c r="S1" s="13" t="s">
        <v>20</v>
      </c>
      <c r="T1" s="14" t="s">
        <v>21</v>
      </c>
      <c r="U1" s="14" t="str">
        <f>_xll.RData(U2:U50,V1:W1,"RTFEED:IDN",,,V2)</f>
        <v>Updated at 09:39:09</v>
      </c>
      <c r="V1" s="14" t="s">
        <v>0</v>
      </c>
      <c r="W1" s="14" t="s">
        <v>1</v>
      </c>
      <c r="X1" s="14" t="s">
        <v>497</v>
      </c>
      <c r="Y1" s="15" t="s">
        <v>498</v>
      </c>
      <c r="Z1" s="14" t="s">
        <v>6</v>
      </c>
      <c r="AA1" s="14" t="s">
        <v>111</v>
      </c>
      <c r="AB1" s="14" t="s">
        <v>110</v>
      </c>
      <c r="AC1" s="15" t="s">
        <v>27</v>
      </c>
      <c r="AD1" s="10"/>
      <c r="AF1" s="34"/>
      <c r="AG1" s="34"/>
      <c r="AH1" s="34"/>
      <c r="AI1" s="34"/>
      <c r="AJ1" s="34"/>
      <c r="AK1" s="34"/>
    </row>
    <row r="2" spans="1:38" x14ac:dyDescent="0.2">
      <c r="A2" s="4"/>
      <c r="B2" s="22" t="str">
        <f>IF(ISNA(C2),NA(),_xll.qlBondDescription(C2,Trigger))</f>
        <v>BTP 2015-02-01 4.25%</v>
      </c>
      <c r="C2" s="16" t="str">
        <f t="array" ref="C2:C50">_xll.qlBondAlive(_xll.ohGroupList("StrippableBTPs",Trigger))</f>
        <v>IT0003719918</v>
      </c>
      <c r="D2" s="18">
        <f>IF(ISNA(C2),NA(),_xll.qlBondMaturityDate(C2,Trigger))</f>
        <v>42036</v>
      </c>
      <c r="E2" s="19">
        <f>IF(ISNA(C2),NA(),_xll.qlBondNextCouponRate(C2,BondSettlementDate))</f>
        <v>4.2500000000000003E-2</v>
      </c>
      <c r="F2" s="30">
        <f>IF(ISNA(C2),NA(),_xll.qlBondRedemptionAmount(C2,Trigger))</f>
        <v>100</v>
      </c>
      <c r="G2" s="17" t="str">
        <f>$C2&amp;"_Quote"</f>
        <v>IT0003719918_Quote</v>
      </c>
      <c r="H2" s="27" t="str">
        <f>G2</f>
        <v>IT0003719918_Quote</v>
      </c>
      <c r="I2" s="16" t="str">
        <f>IF(LEFT(B2,3)="BTP",_xll.qlBTP2(,B2,D2,E2,F2,,,,Trigger),_xll.qlCCTEU(,B2,D2,E2,F2,,,,Trigger))</f>
        <v>obj_00fa7#0000</v>
      </c>
      <c r="J2" s="31" t="str">
        <f>_xll.qlBondHelper(,H2,I2)</f>
        <v>obj_01036#0000</v>
      </c>
      <c r="K2" s="26" t="str">
        <f>_xll.qlBTP2(,B2,D2,E2,F2,,,,Trigger)</f>
        <v>obj_00fc8#0000</v>
      </c>
      <c r="L2" s="26" t="b">
        <f>_xll.qlInstrumentSetPricingEngine(K2,BondPricingEngine)</f>
        <v>1</v>
      </c>
      <c r="M2" s="23">
        <f ca="1">_xll.qlBondCleanPrice(K2,AND(ISERROR(L2),ISERROR(N2)))</f>
        <v>101.07749978260871</v>
      </c>
      <c r="N2" s="27">
        <f ca="1">_xll.qlSimpleQuoteSetValue(G2,P2)</f>
        <v>0</v>
      </c>
      <c r="O2" s="29" t="e">
        <f>_xll.qlSimpleQuoteSetValue(#REF!,Q2)</f>
        <v>#VALUE!</v>
      </c>
      <c r="P2" s="27">
        <f t="shared" ref="P2:P33" ca="1" si="0">IF(ISNA(C2),NA(),IF(ISERROR((X2+Y2)/2),IF(PriceSelector="MID",(V2+W2)/2,IF(PriceSelector="BID",V2,W2)),IF(PriceSelector="MID",(X2+Y2)/2,IF(PriceSelector="BID",X2,Y2))))</f>
        <v>101.0775</v>
      </c>
      <c r="Q2" s="23">
        <f t="shared" ref="Q2:Q33" si="1">IF(ISNA(C2),NA(),IF(IgnoreResiduePremium,0,(S2+T2)/2))</f>
        <v>0</v>
      </c>
      <c r="R2" s="24">
        <f t="shared" ref="R2:R33" si="2">IF(ISNA(C2),NA(),W2-V2)</f>
        <v>3.1000000000005912E-2</v>
      </c>
      <c r="S2" s="28" t="e">
        <f t="shared" ref="S2:S20" ca="1" si="3">AG2-AJ2</f>
        <v>#NAME?</v>
      </c>
      <c r="T2" s="23" t="e">
        <f ca="1">AI2-AK2</f>
        <v>#VALUE!</v>
      </c>
      <c r="U2" s="26" t="str">
        <f>"IT"&amp;(LEFT(RIGHT(C2,7),6)*1)&amp;"=TT"</f>
        <v>IT371991=TT</v>
      </c>
      <c r="V2" s="23">
        <v>101.062</v>
      </c>
      <c r="W2" s="23">
        <v>101.093</v>
      </c>
      <c r="X2" s="17" t="e">
        <f ca="1">_xll.MKV("EUR.PRICING.XLS_GOVIES."&amp;$C2,X$1)</f>
        <v>#NAME?</v>
      </c>
      <c r="Y2" s="17" t="e">
        <f ca="1">_xll.MKV("EUR.PRICING.XLS_GOVIES."&amp;$C2,Y$1)</f>
        <v>#NAME?</v>
      </c>
      <c r="Z2" s="25">
        <f ca="1">IF(ISNA(C2),NA(),_xll.qlBondYieldFromCleanPrice(C2,P2,YieldDayCounter,YieldCompounding,YieldFrequency))</f>
        <v>3.1478495479747696E-3</v>
      </c>
      <c r="AA2" s="19" t="b">
        <v>1</v>
      </c>
      <c r="AB2" s="26" t="b">
        <f t="shared" ref="AB2:AB33" si="4">IF(ISNA(C2),FALSE,IF(OR(LEFT(B2,3)="CCT",ExcludeMarchSeptember,AND(NOT(IgnoreResiduePremium),Q2=0)),FALSE,IF((AA2),TRUE,FALSE)))</f>
        <v>1</v>
      </c>
      <c r="AC2" s="24">
        <f ca="1">IF(ISNA(C2),NA(),M2-_xll.qlQuoteValue(H2))</f>
        <v>-2.1739128897024784E-7</v>
      </c>
      <c r="AD2" s="11"/>
      <c r="AE2" s="1"/>
      <c r="AF2" s="70" t="str">
        <f t="shared" ref="AF2:AF48" si="5">+B2</f>
        <v>BTP 2015-02-01 4.25%</v>
      </c>
      <c r="AG2" s="140" t="e">
        <f ca="1">_xll.BDP(C2&amp;" Corp", "days to mty")</f>
        <v>#NAME?</v>
      </c>
      <c r="AH2" s="144" t="e">
        <f ca="1">IF(ISNA(ROUND(VLOOKUP(AG2,Contribution!C:J,8,FALSE),2)),"",ROUND(VLOOKUP(AG2,Contribution!C:J,8,FALSE),2))</f>
        <v>#NAME?</v>
      </c>
      <c r="AI2" s="141" t="str">
        <f ca="1">IFERROR((AH2-Z2*100)*100,"")</f>
        <v/>
      </c>
      <c r="AJ2" s="1"/>
      <c r="AK2" s="1"/>
      <c r="AL2" s="1"/>
    </row>
    <row r="3" spans="1:38" x14ac:dyDescent="0.2">
      <c r="A3" s="4"/>
      <c r="B3" s="22" t="str">
        <f>IF(ISNA(C3),NA(),_xll.qlBondDescription(C3,Trigger))</f>
        <v>BTP 2015-08-01 3.75%</v>
      </c>
      <c r="C3" s="16" t="str">
        <v>IT0003844534</v>
      </c>
      <c r="D3" s="18">
        <f>IF(ISNA(C3),NA(),_xll.qlBondMaturityDate(C3,Trigger))</f>
        <v>42217</v>
      </c>
      <c r="E3" s="19">
        <f>IF(ISNA(C3),NA(),_xll.qlBondNextCouponRate(C3,BondSettlementDate))</f>
        <v>3.7499999999999999E-2</v>
      </c>
      <c r="F3" s="30">
        <f>IF(ISNA(C3),NA(),_xll.qlBondRedemptionAmount(C3,Trigger))</f>
        <v>100</v>
      </c>
      <c r="G3" s="17" t="str">
        <f t="shared" ref="G3:G50" si="6">$C3&amp;"_Quote"</f>
        <v>IT0003844534_Quote</v>
      </c>
      <c r="H3" s="27" t="str">
        <f t="shared" ref="H3:H50" si="7">G3</f>
        <v>IT0003844534_Quote</v>
      </c>
      <c r="I3" s="16" t="str">
        <f>IF(LEFT(B3,3)="BTP",_xll.qlBTP2(,B3,D3,E3,F3,,,,Trigger),_xll.qlCCTEU(,B3,D3,E3,F3,,,,Trigger))</f>
        <v>obj_00fc2#0000</v>
      </c>
      <c r="J3" s="31" t="str">
        <f>_xll.qlBondHelper(,H3,I3)</f>
        <v>obj_00ff8#0000</v>
      </c>
      <c r="K3" s="26" t="str">
        <f>_xll.qlBTP2(,B3,D3,E3,F3,,,,Trigger)</f>
        <v>obj_00fe6#0000</v>
      </c>
      <c r="L3" s="26" t="b">
        <f>_xll.qlInstrumentSetPricingEngine(K3,BondPricingEngine)</f>
        <v>1</v>
      </c>
      <c r="M3" s="23">
        <f ca="1">_xll.qlBondCleanPrice(K3,AND(ISERROR(L3),ISERROR(N3)))</f>
        <v>102.52449804347826</v>
      </c>
      <c r="N3" s="27">
        <f ca="1">_xll.qlSimpleQuoteSetValue(G3,P3)</f>
        <v>0</v>
      </c>
      <c r="O3" s="29" t="e">
        <f>_xll.qlSimpleQuoteSetValue(#REF!,Q3)</f>
        <v>#VALUE!</v>
      </c>
      <c r="P3" s="27">
        <f t="shared" ca="1" si="0"/>
        <v>102.5245</v>
      </c>
      <c r="Q3" s="23">
        <f t="shared" si="1"/>
        <v>0</v>
      </c>
      <c r="R3" s="24">
        <f t="shared" si="2"/>
        <v>4.9000000000006594E-2</v>
      </c>
      <c r="S3" s="28" t="e">
        <f t="shared" ca="1" si="3"/>
        <v>#NAME?</v>
      </c>
      <c r="T3" s="23" t="e">
        <f t="shared" ref="T3:T41" ca="1" si="8">AI3-AK3</f>
        <v>#VALUE!</v>
      </c>
      <c r="U3" s="26" t="str">
        <f t="shared" ref="U3:U50" si="9">"IT"&amp;(LEFT(RIGHT(C3,7),6)*1)&amp;"=TT"</f>
        <v>IT384453=TT</v>
      </c>
      <c r="V3" s="23">
        <v>102.5</v>
      </c>
      <c r="W3" s="23">
        <v>102.54900000000001</v>
      </c>
      <c r="X3" s="17" t="e">
        <f ca="1">_xll.MKV("EUR.PRICING.XLS_GOVIES."&amp;$C3,X$1)</f>
        <v>#NAME?</v>
      </c>
      <c r="Y3" s="17" t="e">
        <f ca="1">_xll.MKV("EUR.PRICING.XLS_GOVIES."&amp;$C3,Y$1)</f>
        <v>#NAME?</v>
      </c>
      <c r="Z3" s="25">
        <f ca="1">IF(ISNA(C3),NA(),_xll.qlBondYieldFromCleanPrice(C3,P3,YieldDayCounter,YieldCompounding,YieldFrequency))</f>
        <v>4.768191157095137E-3</v>
      </c>
      <c r="AA3" s="19" t="b">
        <v>1</v>
      </c>
      <c r="AB3" s="26" t="b">
        <f t="shared" si="4"/>
        <v>1</v>
      </c>
      <c r="AC3" s="24">
        <f ca="1">IF(ISNA(C3),NA(),M3-_xll.qlQuoteValue(H3))</f>
        <v>-1.9565217428407777E-6</v>
      </c>
      <c r="AD3" s="11"/>
      <c r="AE3" s="1"/>
      <c r="AF3" s="72" t="str">
        <f t="shared" si="5"/>
        <v>BTP 2015-08-01 3.75%</v>
      </c>
      <c r="AG3" s="139" t="e">
        <f ca="1">_xll.BDP(C3&amp;" Corp", "days to mty")</f>
        <v>#NAME?</v>
      </c>
      <c r="AH3" s="145" t="e">
        <f ca="1">IF(ISNA(ROUND(VLOOKUP(AG3,Contribution!C:J,8,FALSE),2)),"",ROUND(VLOOKUP(AG3,Contribution!C:J,8,FALSE),2))</f>
        <v>#NAME?</v>
      </c>
      <c r="AI3" s="142" t="str">
        <f t="shared" ref="AI3:AI48" ca="1" si="10">IFERROR((AH3-Z3*100)*100,"")</f>
        <v/>
      </c>
      <c r="AJ3" s="1"/>
      <c r="AK3" s="1"/>
      <c r="AL3" s="1"/>
    </row>
    <row r="4" spans="1:38" x14ac:dyDescent="0.2">
      <c r="A4" s="4"/>
      <c r="B4" s="22" t="str">
        <f>IF(ISNA(C4),NA(),_xll.qlBondDescription(C4,Trigger))</f>
        <v>BTP 2015-11-01 3%</v>
      </c>
      <c r="C4" s="16" t="str">
        <v>IT0004656275</v>
      </c>
      <c r="D4" s="18">
        <f>IF(ISNA(C4),NA(),_xll.qlBondMaturityDate(C4,Trigger))</f>
        <v>42309</v>
      </c>
      <c r="E4" s="19">
        <f>IF(ISNA(C4),NA(),_xll.qlBondNextCouponRate(C4,BondSettlementDate))</f>
        <v>0.03</v>
      </c>
      <c r="F4" s="30">
        <f>IF(ISNA(C4),NA(),_xll.qlBondRedemptionAmount(C4,Trigger))</f>
        <v>100</v>
      </c>
      <c r="G4" s="17" t="str">
        <f t="shared" si="6"/>
        <v>IT0004656275_Quote</v>
      </c>
      <c r="H4" s="27" t="str">
        <f t="shared" si="7"/>
        <v>IT0004656275_Quote</v>
      </c>
      <c r="I4" s="16" t="str">
        <f>IF(LEFT(B4,3)="BTP",_xll.qlBTP2(,B4,D4,E4,F4,,,,Trigger),_xll.qlCCTEU(,B4,D4,E4,F4,,,,Trigger))</f>
        <v>obj_00fb3#0000</v>
      </c>
      <c r="J4" s="31" t="str">
        <f>_xll.qlBondHelper(,H4,I4)</f>
        <v>obj_01017#0000</v>
      </c>
      <c r="K4" s="26" t="str">
        <f>_xll.qlBTP2(,B4,D4,E4,F4,,,,Trigger)</f>
        <v>obj_00fdf#0000</v>
      </c>
      <c r="L4" s="26" t="b">
        <f>_xll.qlInstrumentSetPricingEngine(K4,BondPricingEngine)</f>
        <v>1</v>
      </c>
      <c r="M4" s="23">
        <f ca="1">_xll.qlBondCleanPrice(K4,AND(ISERROR(L4),ISERROR(N4)))</f>
        <v>102.53900043486217</v>
      </c>
      <c r="N4" s="27">
        <f ca="1">_xll.qlSimpleQuoteSetValue(G4,P4)</f>
        <v>0</v>
      </c>
      <c r="O4" s="29" t="e">
        <f>_xll.qlSimpleQuoteSetValue(#REF!,Q4)</f>
        <v>#VALUE!</v>
      </c>
      <c r="P4" s="27">
        <f t="shared" ca="1" si="0"/>
        <v>102.539</v>
      </c>
      <c r="Q4" s="23">
        <f t="shared" si="1"/>
        <v>0</v>
      </c>
      <c r="R4" s="24">
        <f t="shared" si="2"/>
        <v>5.7999999999992724E-2</v>
      </c>
      <c r="S4" s="28" t="e">
        <f t="shared" ca="1" si="3"/>
        <v>#NAME?</v>
      </c>
      <c r="T4" s="23" t="e">
        <f t="shared" ca="1" si="8"/>
        <v>#VALUE!</v>
      </c>
      <c r="U4" s="26" t="str">
        <f t="shared" si="9"/>
        <v>IT465627=TT</v>
      </c>
      <c r="V4" s="23">
        <v>102.51</v>
      </c>
      <c r="W4" s="23">
        <v>102.568</v>
      </c>
      <c r="X4" s="17" t="e">
        <f ca="1">_xll.MKV("EUR.PRICING.XLS_GOVIES."&amp;$C4,X$1)</f>
        <v>#NAME?</v>
      </c>
      <c r="Y4" s="17" t="e">
        <f ca="1">_xll.MKV("EUR.PRICING.XLS_GOVIES."&amp;$C4,Y$1)</f>
        <v>#NAME?</v>
      </c>
      <c r="Z4" s="25">
        <f ca="1">IF(ISNA(C4),NA(),_xll.qlBondYieldFromCleanPrice(C4,P4,YieldDayCounter,YieldCompounding,YieldFrequency))</f>
        <v>5.1104323255643288E-3</v>
      </c>
      <c r="AA4" s="19" t="b">
        <v>1</v>
      </c>
      <c r="AB4" s="26" t="b">
        <f t="shared" si="4"/>
        <v>1</v>
      </c>
      <c r="AC4" s="24">
        <f ca="1">IF(ISNA(C4),NA(),M4-_xll.qlQuoteValue(H4))</f>
        <v>4.3486217293775553E-7</v>
      </c>
      <c r="AD4" s="11"/>
      <c r="AE4" s="1"/>
      <c r="AF4" s="72" t="str">
        <f t="shared" si="5"/>
        <v>BTP 2015-11-01 3%</v>
      </c>
      <c r="AG4" s="139" t="e">
        <f ca="1">_xll.BDP(C4&amp;" Corp", "days to mty")</f>
        <v>#NAME?</v>
      </c>
      <c r="AH4" s="145" t="e">
        <f ca="1">IF(ISNA(ROUND(VLOOKUP(AG4,Contribution!C:J,8,FALSE),2)),"",ROUND(VLOOKUP(AG4,Contribution!C:J,8,FALSE),2))</f>
        <v>#NAME?</v>
      </c>
      <c r="AI4" s="142" t="str">
        <f t="shared" ca="1" si="10"/>
        <v/>
      </c>
      <c r="AJ4" s="1"/>
      <c r="AK4" s="1"/>
      <c r="AL4" s="1"/>
    </row>
    <row r="5" spans="1:38" x14ac:dyDescent="0.2">
      <c r="A5" s="4"/>
      <c r="B5" s="22" t="str">
        <f>IF(ISNA(C5),NA(),_xll.qlBondDescription(C5,Trigger))</f>
        <v>BTP 2016-04-15 3.75%</v>
      </c>
      <c r="C5" s="16" t="str">
        <v>IT0004712748</v>
      </c>
      <c r="D5" s="18">
        <f>IF(ISNA(C5),NA(),_xll.qlBondMaturityDate(C5,Trigger))</f>
        <v>42475</v>
      </c>
      <c r="E5" s="19">
        <f>IF(ISNA(C5),NA(),_xll.qlBondNextCouponRate(C5,BondSettlementDate))</f>
        <v>3.7499999999999999E-2</v>
      </c>
      <c r="F5" s="30">
        <f>IF(ISNA(C5),NA(),_xll.qlBondRedemptionAmount(C5,Trigger))</f>
        <v>100</v>
      </c>
      <c r="G5" s="17" t="str">
        <f t="shared" si="6"/>
        <v>IT0004712748_Quote</v>
      </c>
      <c r="H5" s="27" t="str">
        <f t="shared" si="7"/>
        <v>IT0004712748_Quote</v>
      </c>
      <c r="I5" s="16" t="str">
        <f>IF(LEFT(B5,3)="BTP",_xll.qlBTP2(,B5,D5,E5,F5,,,,Trigger),_xll.qlCCTEU(,B5,D5,E5,F5,,,,Trigger))</f>
        <v>obj_00fe2#0000</v>
      </c>
      <c r="J5" s="31" t="str">
        <f>_xll.qlBondHelper(,H5,I5)</f>
        <v>obj_0101d#0000</v>
      </c>
      <c r="K5" s="26" t="str">
        <f>_xll.qlBTP2(,B5,D5,E5,F5,,,,Trigger)</f>
        <v>obj_00fa3#0000</v>
      </c>
      <c r="L5" s="26" t="b">
        <f>_xll.qlInstrumentSetPricingEngine(K5,BondPricingEngine)</f>
        <v>1</v>
      </c>
      <c r="M5" s="23">
        <f ca="1">_xll.qlBondCleanPrice(K5,AND(ISERROR(L5),ISERROR(N5)))</f>
        <v>104.58449758236712</v>
      </c>
      <c r="N5" s="27">
        <f ca="1">_xll.qlSimpleQuoteSetValue(G5,P5)</f>
        <v>0</v>
      </c>
      <c r="O5" s="29" t="e">
        <f>_xll.qlSimpleQuoteSetValue(#REF!,Q5)</f>
        <v>#VALUE!</v>
      </c>
      <c r="P5" s="27">
        <f t="shared" ca="1" si="0"/>
        <v>104.58450000000001</v>
      </c>
      <c r="Q5" s="23">
        <f t="shared" si="1"/>
        <v>0</v>
      </c>
      <c r="R5" s="24">
        <f t="shared" si="2"/>
        <v>8.8999999999998636E-2</v>
      </c>
      <c r="S5" s="28" t="e">
        <f t="shared" ca="1" si="3"/>
        <v>#NAME?</v>
      </c>
      <c r="T5" s="23" t="e">
        <f t="shared" ca="1" si="8"/>
        <v>#VALUE!</v>
      </c>
      <c r="U5" s="26" t="str">
        <f t="shared" si="9"/>
        <v>IT471274=TT</v>
      </c>
      <c r="V5" s="23">
        <v>104.54</v>
      </c>
      <c r="W5" s="23">
        <v>104.629</v>
      </c>
      <c r="X5" s="17" t="e">
        <f ca="1">_xll.MKV("EUR.PRICING.XLS_GOVIES."&amp;$C5,X$1)</f>
        <v>#NAME?</v>
      </c>
      <c r="Y5" s="17" t="e">
        <f ca="1">_xll.MKV("EUR.PRICING.XLS_GOVIES."&amp;$C5,Y$1)</f>
        <v>#NAME?</v>
      </c>
      <c r="Z5" s="25">
        <f ca="1">IF(ISNA(C5),NA(),_xll.qlBondYieldFromCleanPrice(C5,P5,YieldDayCounter,YieldCompounding,YieldFrequency))</f>
        <v>6.2981194641341482E-3</v>
      </c>
      <c r="AA5" s="19" t="b">
        <v>1</v>
      </c>
      <c r="AB5" s="26" t="b">
        <f t="shared" si="4"/>
        <v>1</v>
      </c>
      <c r="AC5" s="24">
        <f ca="1">IF(ISNA(C5),NA(),M5-_xll.qlQuoteValue(H5))</f>
        <v>-2.4176328849989659E-6</v>
      </c>
      <c r="AD5" s="11"/>
      <c r="AE5" s="1"/>
      <c r="AF5" s="72" t="str">
        <f t="shared" si="5"/>
        <v>BTP 2016-04-15 3.75%</v>
      </c>
      <c r="AG5" s="139" t="e">
        <f ca="1">_xll.BDP(C5&amp;" Corp", "days to mty")</f>
        <v>#NAME?</v>
      </c>
      <c r="AH5" s="145" t="e">
        <f ca="1">IF(ISNA(ROUND(VLOOKUP(AG5,Contribution!C:J,8,FALSE),2)),"",ROUND(VLOOKUP(AG5,Contribution!C:J,8,FALSE),2))</f>
        <v>#NAME?</v>
      </c>
      <c r="AI5" s="142" t="str">
        <f t="shared" ca="1" si="10"/>
        <v/>
      </c>
      <c r="AJ5" s="1"/>
      <c r="AK5" s="1"/>
      <c r="AL5" s="1"/>
    </row>
    <row r="6" spans="1:38" x14ac:dyDescent="0.2">
      <c r="A6" s="4"/>
      <c r="B6" s="22" t="str">
        <f>IF(ISNA(C6),NA(),_xll.qlBondDescription(C6,Trigger))</f>
        <v>BTP 2016-08-01 3.75%</v>
      </c>
      <c r="C6" s="16" t="str">
        <v>IT0004019581</v>
      </c>
      <c r="D6" s="18">
        <f>IF(ISNA(C6),NA(),_xll.qlBondMaturityDate(C6,Trigger))</f>
        <v>42583</v>
      </c>
      <c r="E6" s="19">
        <f>IF(ISNA(C6),NA(),_xll.qlBondNextCouponRate(C6,BondSettlementDate))</f>
        <v>3.7499999999999999E-2</v>
      </c>
      <c r="F6" s="30">
        <f>IF(ISNA(C6),NA(),_xll.qlBondRedemptionAmount(C6,Trigger))</f>
        <v>100</v>
      </c>
      <c r="G6" s="17" t="str">
        <f t="shared" si="6"/>
        <v>IT0004019581_Quote</v>
      </c>
      <c r="H6" s="27" t="str">
        <f t="shared" si="7"/>
        <v>IT0004019581_Quote</v>
      </c>
      <c r="I6" s="16" t="str">
        <f>IF(LEFT(B6,3)="BTP",_xll.qlBTP2(,B6,D6,E6,F6,,,,Trigger),_xll.qlCCTEU(,B6,D6,E6,F6,,,,Trigger))</f>
        <v>obj_00fd4#0000</v>
      </c>
      <c r="J6" s="31" t="str">
        <f>_xll.qlBondHelper(,H6,I6)</f>
        <v>obj_01015#0000</v>
      </c>
      <c r="K6" s="26" t="str">
        <f>_xll.qlBTP2(,B6,D6,E6,F6,,,,Trigger)</f>
        <v>obj_00f9d#0000</v>
      </c>
      <c r="L6" s="26" t="b">
        <f>_xll.qlInstrumentSetPricingEngine(K6,BondPricingEngine)</f>
        <v>1</v>
      </c>
      <c r="M6" s="23">
        <f ca="1">_xll.qlBondCleanPrice(K6,AND(ISERROR(L6),ISERROR(N6)))</f>
        <v>105.35499804350493</v>
      </c>
      <c r="N6" s="27">
        <f ca="1">_xll.qlSimpleQuoteSetValue(G6,P6)</f>
        <v>0</v>
      </c>
      <c r="O6" s="29" t="e">
        <f>_xll.qlSimpleQuoteSetValue(#REF!,Q6)</f>
        <v>#VALUE!</v>
      </c>
      <c r="P6" s="27">
        <f t="shared" ca="1" si="0"/>
        <v>105.35499999999999</v>
      </c>
      <c r="Q6" s="23">
        <f t="shared" si="1"/>
        <v>0</v>
      </c>
      <c r="R6" s="24">
        <f t="shared" si="2"/>
        <v>0.10999999999999943</v>
      </c>
      <c r="S6" s="28" t="e">
        <f t="shared" ca="1" si="3"/>
        <v>#NAME?</v>
      </c>
      <c r="T6" s="23" t="e">
        <f t="shared" ca="1" si="8"/>
        <v>#VALUE!</v>
      </c>
      <c r="U6" s="26" t="str">
        <f t="shared" si="9"/>
        <v>IT401958=TT</v>
      </c>
      <c r="V6" s="23">
        <v>105.3</v>
      </c>
      <c r="W6" s="23">
        <v>105.41</v>
      </c>
      <c r="X6" s="17" t="e">
        <f ca="1">_xll.MKV("EUR.PRICING.XLS_GOVIES."&amp;$C6,X$1)</f>
        <v>#NAME?</v>
      </c>
      <c r="Y6" s="17" t="e">
        <f ca="1">_xll.MKV("EUR.PRICING.XLS_GOVIES."&amp;$C6,Y$1)</f>
        <v>#NAME?</v>
      </c>
      <c r="Z6" s="25">
        <f ca="1">IF(ISNA(C6),NA(),_xll.qlBondYieldFromCleanPrice(C6,P6,YieldDayCounter,YieldCompounding,YieldFrequency))</f>
        <v>7.0858552157506364E-3</v>
      </c>
      <c r="AA6" s="19" t="b">
        <v>1</v>
      </c>
      <c r="AB6" s="26" t="b">
        <f t="shared" si="4"/>
        <v>1</v>
      </c>
      <c r="AC6" s="24">
        <f ca="1">IF(ISNA(C6),NA(),M6-_xll.qlQuoteValue(H6))</f>
        <v>-1.9564950548556226E-6</v>
      </c>
      <c r="AD6" s="11"/>
      <c r="AE6" s="1"/>
      <c r="AF6" s="72" t="str">
        <f t="shared" si="5"/>
        <v>BTP 2016-08-01 3.75%</v>
      </c>
      <c r="AG6" s="139" t="e">
        <f ca="1">_xll.BDP(C6&amp;" Corp", "days to mty")</f>
        <v>#NAME?</v>
      </c>
      <c r="AH6" s="145" t="e">
        <f ca="1">IF(ISNA(ROUND(VLOOKUP(AG6,Contribution!C:J,8,FALSE),2)),"",ROUND(VLOOKUP(AG6,Contribution!C:J,8,FALSE),2))</f>
        <v>#NAME?</v>
      </c>
      <c r="AI6" s="142" t="str">
        <f t="shared" ca="1" si="10"/>
        <v/>
      </c>
      <c r="AJ6" s="1"/>
      <c r="AK6" s="1"/>
      <c r="AL6" s="1"/>
    </row>
    <row r="7" spans="1:38" x14ac:dyDescent="0.2">
      <c r="A7" s="4"/>
      <c r="B7" s="22" t="str">
        <f>IF(ISNA(C7),NA(),_xll.qlBondDescription(C7,Trigger))</f>
        <v>BTP 2016-09-15 4.75%</v>
      </c>
      <c r="C7" s="16" t="str">
        <v>IT0004761950</v>
      </c>
      <c r="D7" s="18">
        <f>IF(ISNA(C7),NA(),_xll.qlBondMaturityDate(C7,Trigger))</f>
        <v>42628</v>
      </c>
      <c r="E7" s="19">
        <f>IF(ISNA(C7),NA(),_xll.qlBondNextCouponRate(C7,BondSettlementDate))</f>
        <v>4.7500000000000001E-2</v>
      </c>
      <c r="F7" s="30">
        <f>IF(ISNA(C7),NA(),_xll.qlBondRedemptionAmount(C7,Trigger))</f>
        <v>100</v>
      </c>
      <c r="G7" s="17" t="str">
        <f t="shared" si="6"/>
        <v>IT0004761950_Quote</v>
      </c>
      <c r="H7" s="27" t="str">
        <f t="shared" si="7"/>
        <v>IT0004761950_Quote</v>
      </c>
      <c r="I7" s="16" t="str">
        <f>IF(LEFT(B7,3)="BTP",_xll.qlBTP2(,B7,D7,E7,F7,,,,Trigger),_xll.qlCCTEU(,B7,D7,E7,F7,,,,Trigger))</f>
        <v>obj_00fa9#0000</v>
      </c>
      <c r="J7" s="31" t="str">
        <f>_xll.qlBondHelper(,H7,I7)</f>
        <v>obj_01031#0000</v>
      </c>
      <c r="K7" s="26" t="str">
        <f>_xll.qlBTP2(,B7,D7,E7,F7,,,,Trigger)</f>
        <v>obj_00fb1#0000</v>
      </c>
      <c r="L7" s="26" t="b">
        <f>_xll.qlInstrumentSetPricingEngine(K7,BondPricingEngine)</f>
        <v>1</v>
      </c>
      <c r="M7" s="23">
        <f ca="1">_xll.qlBondCleanPrice(K7,AND(ISERROR(L7),ISERROR(N7)))</f>
        <v>107.48499878454625</v>
      </c>
      <c r="N7" s="27">
        <f ca="1">_xll.qlSimpleQuoteSetValue(G7,P7)</f>
        <v>0</v>
      </c>
      <c r="O7" s="29" t="e">
        <f>_xll.qlSimpleQuoteSetValue(#REF!,Q7)</f>
        <v>#VALUE!</v>
      </c>
      <c r="P7" s="27">
        <f t="shared" ca="1" si="0"/>
        <v>107.48500000000001</v>
      </c>
      <c r="Q7" s="23">
        <f t="shared" si="1"/>
        <v>0</v>
      </c>
      <c r="R7" s="24">
        <f t="shared" si="2"/>
        <v>0.10999999999999943</v>
      </c>
      <c r="S7" s="28" t="e">
        <f t="shared" ca="1" si="3"/>
        <v>#NAME?</v>
      </c>
      <c r="T7" s="23" t="e">
        <f t="shared" ca="1" si="8"/>
        <v>#VALUE!</v>
      </c>
      <c r="U7" s="26" t="str">
        <f t="shared" si="9"/>
        <v>IT476195=TT</v>
      </c>
      <c r="V7" s="23">
        <v>107.43</v>
      </c>
      <c r="W7" s="23">
        <v>107.54</v>
      </c>
      <c r="X7" s="17" t="e">
        <f ca="1">_xll.MKV("EUR.PRICING.XLS_GOVIES."&amp;$C7,X$1)</f>
        <v>#NAME?</v>
      </c>
      <c r="Y7" s="17" t="e">
        <f ca="1">_xll.MKV("EUR.PRICING.XLS_GOVIES."&amp;$C7,Y$1)</f>
        <v>#NAME?</v>
      </c>
      <c r="Z7" s="25">
        <f ca="1">IF(ISNA(C7),NA(),_xll.qlBondYieldFromCleanPrice(C7,P7,YieldDayCounter,YieldCompounding,YieldFrequency))</f>
        <v>7.6503975243493935E-3</v>
      </c>
      <c r="AA7" s="19" t="b">
        <v>1</v>
      </c>
      <c r="AB7" s="26" t="b">
        <f t="shared" si="4"/>
        <v>1</v>
      </c>
      <c r="AC7" s="24">
        <f ca="1">IF(ISNA(C7),NA(),M7-_xll.qlQuoteValue(H7))</f>
        <v>-1.2154537643027652E-6</v>
      </c>
      <c r="AD7" s="11"/>
      <c r="AE7" s="1"/>
      <c r="AF7" s="72" t="str">
        <f t="shared" si="5"/>
        <v>BTP 2016-09-15 4.75%</v>
      </c>
      <c r="AG7" s="139" t="e">
        <f ca="1">_xll.BDP(C7&amp;" Corp", "days to mty")</f>
        <v>#NAME?</v>
      </c>
      <c r="AH7" s="145" t="e">
        <f ca="1">IF(ISNA(ROUND(VLOOKUP(AG7,Contribution!C:J,8,FALSE),2)),"",ROUND(VLOOKUP(AG7,Contribution!C:J,8,FALSE),2))</f>
        <v>#NAME?</v>
      </c>
      <c r="AI7" s="142" t="str">
        <f t="shared" ca="1" si="10"/>
        <v/>
      </c>
      <c r="AJ7" s="1"/>
      <c r="AK7" s="1"/>
      <c r="AL7" s="1"/>
    </row>
    <row r="8" spans="1:38" x14ac:dyDescent="0.2">
      <c r="A8" s="4"/>
      <c r="B8" s="22" t="str">
        <f>IF(ISNA(C8),NA(),_xll.qlBondDescription(C8,Trigger))</f>
        <v>BTP 2017-02-01 4%</v>
      </c>
      <c r="C8" s="16" t="str">
        <v>IT0004164775</v>
      </c>
      <c r="D8" s="18">
        <f>IF(ISNA(C8),NA(),_xll.qlBondMaturityDate(C8,Trigger))</f>
        <v>42767</v>
      </c>
      <c r="E8" s="19">
        <f>IF(ISNA(C8),NA(),_xll.qlBondNextCouponRate(C8,BondSettlementDate))</f>
        <v>0.04</v>
      </c>
      <c r="F8" s="30">
        <f>IF(ISNA(C8),NA(),_xll.qlBondRedemptionAmount(C8,Trigger))</f>
        <v>100</v>
      </c>
      <c r="G8" s="17" t="str">
        <f t="shared" si="6"/>
        <v>IT0004164775_Quote</v>
      </c>
      <c r="H8" s="27" t="str">
        <f t="shared" si="7"/>
        <v>IT0004164775_Quote</v>
      </c>
      <c r="I8" s="16" t="str">
        <f>IF(LEFT(B8,3)="BTP",_xll.qlBTP2(,B8,D8,E8,F8,,,,Trigger),_xll.qlCCTEU(,B8,D8,E8,F8,,,,Trigger))</f>
        <v>obj_00f99#0000</v>
      </c>
      <c r="J8" s="31" t="str">
        <f>_xll.qlBondHelper(,H8,I8)</f>
        <v>obj_01024#0000</v>
      </c>
      <c r="K8" s="26" t="str">
        <f>_xll.qlBTP2(,B8,D8,E8,F8,,,,Trigger)</f>
        <v>obj_00fe1#0000</v>
      </c>
      <c r="L8" s="26" t="b">
        <f>_xll.qlInstrumentSetPricingEngine(K8,BondPricingEngine)</f>
        <v>1</v>
      </c>
      <c r="M8" s="23">
        <f ca="1">_xll.qlBondCleanPrice(K8,AND(ISERROR(L8),ISERROR(N8)))</f>
        <v>107.15500391306574</v>
      </c>
      <c r="N8" s="27">
        <f ca="1">_xll.qlSimpleQuoteSetValue(G8,P8)</f>
        <v>0</v>
      </c>
      <c r="O8" s="29" t="e">
        <f>_xll.qlSimpleQuoteSetValue(#REF!,Q8)</f>
        <v>#VALUE!</v>
      </c>
      <c r="P8" s="27">
        <f t="shared" ca="1" si="0"/>
        <v>107.155</v>
      </c>
      <c r="Q8" s="23">
        <f t="shared" si="1"/>
        <v>0</v>
      </c>
      <c r="R8" s="24">
        <f t="shared" si="2"/>
        <v>9.0000000000003411E-2</v>
      </c>
      <c r="S8" s="28" t="e">
        <f t="shared" ca="1" si="3"/>
        <v>#NAME?</v>
      </c>
      <c r="T8" s="23" t="e">
        <f t="shared" ca="1" si="8"/>
        <v>#VALUE!</v>
      </c>
      <c r="U8" s="26" t="str">
        <f t="shared" si="9"/>
        <v>IT416477=TT</v>
      </c>
      <c r="V8" s="23">
        <v>107.11</v>
      </c>
      <c r="W8" s="23">
        <v>107.2</v>
      </c>
      <c r="X8" s="17" t="e">
        <f ca="1">_xll.MKV("EUR.PRICING.XLS_GOVIES."&amp;$C8,X$1)</f>
        <v>#NAME?</v>
      </c>
      <c r="Y8" s="17" t="e">
        <f ca="1">_xll.MKV("EUR.PRICING.XLS_GOVIES."&amp;$C8,Y$1)</f>
        <v>#NAME?</v>
      </c>
      <c r="Z8" s="25">
        <f ca="1">IF(ISNA(C8),NA(),_xll.qlBondYieldFromCleanPrice(C8,P8,YieldDayCounter,YieldCompounding,YieldFrequency))</f>
        <v>8.1957994483712864E-3</v>
      </c>
      <c r="AA8" s="19" t="b">
        <v>1</v>
      </c>
      <c r="AB8" s="26" t="b">
        <f t="shared" si="4"/>
        <v>1</v>
      </c>
      <c r="AC8" s="24">
        <f ca="1">IF(ISNA(C8),NA(),M8-_xll.qlQuoteValue(H8))</f>
        <v>3.9130657398800395E-6</v>
      </c>
      <c r="AD8" s="11"/>
      <c r="AE8" s="1"/>
      <c r="AF8" s="72" t="str">
        <f t="shared" si="5"/>
        <v>BTP 2017-02-01 4%</v>
      </c>
      <c r="AG8" s="139" t="e">
        <f ca="1">_xll.BDP(C8&amp;" Corp", "days to mty")</f>
        <v>#NAME?</v>
      </c>
      <c r="AH8" s="145" t="e">
        <f ca="1">IF(ISNA(ROUND(VLOOKUP(AG8,Contribution!C:J,8,FALSE),2)),"",ROUND(VLOOKUP(AG8,Contribution!C:J,8,FALSE),2))</f>
        <v>#NAME?</v>
      </c>
      <c r="AI8" s="142" t="str">
        <f t="shared" ca="1" si="10"/>
        <v/>
      </c>
      <c r="AJ8" s="1"/>
      <c r="AK8" s="1"/>
      <c r="AL8" s="1"/>
    </row>
    <row r="9" spans="1:38" x14ac:dyDescent="0.2">
      <c r="A9" s="4"/>
      <c r="B9" s="22" t="str">
        <f>IF(ISNA(C9),NA(),_xll.qlBondDescription(C9,Trigger))</f>
        <v>BTP 2017-05-01 4.75%</v>
      </c>
      <c r="C9" s="16" t="str">
        <v>IT0004793474</v>
      </c>
      <c r="D9" s="18">
        <f>IF(ISNA(C9),NA(),_xll.qlBondMaturityDate(C9,Trigger))</f>
        <v>42856</v>
      </c>
      <c r="E9" s="19">
        <f>IF(ISNA(C9),NA(),_xll.qlBondNextCouponRate(C9,BondSettlementDate))</f>
        <v>4.7500000000000001E-2</v>
      </c>
      <c r="F9" s="30">
        <f>IF(ISNA(C9),NA(),_xll.qlBondRedemptionAmount(C9,Trigger))</f>
        <v>100</v>
      </c>
      <c r="G9" s="17" t="str">
        <f t="shared" si="6"/>
        <v>IT0004793474_Quote</v>
      </c>
      <c r="H9" s="27" t="str">
        <f t="shared" si="7"/>
        <v>IT0004793474_Quote</v>
      </c>
      <c r="I9" s="16" t="str">
        <f>IF(LEFT(B9,3)="BTP",_xll.qlBTP2(,B9,D9,E9,F9,,,,Trigger),_xll.qlCCTEU(,B9,D9,E9,F9,,,,Trigger))</f>
        <v>obj_00fd9#0000</v>
      </c>
      <c r="J9" s="31" t="str">
        <f>_xll.qlBondHelper(,H9,I9)</f>
        <v>obj_01021#0000</v>
      </c>
      <c r="K9" s="26" t="str">
        <f>_xll.qlBTP2(,B9,D9,E9,F9,,,,Trigger)</f>
        <v>obj_00f98#0000</v>
      </c>
      <c r="L9" s="26" t="b">
        <f>_xll.qlInstrumentSetPricingEngine(K9,BondPricingEngine)</f>
        <v>1</v>
      </c>
      <c r="M9" s="23">
        <f ca="1">_xll.qlBondCleanPrice(K9,AND(ISERROR(L9),ISERROR(N9)))</f>
        <v>109.63500152173755</v>
      </c>
      <c r="N9" s="27">
        <f ca="1">_xll.qlSimpleQuoteSetValue(G9,P9)</f>
        <v>0</v>
      </c>
      <c r="O9" s="29" t="e">
        <f>_xll.qlSimpleQuoteSetValue(#REF!,Q9)</f>
        <v>#VALUE!</v>
      </c>
      <c r="P9" s="27">
        <f t="shared" ca="1" si="0"/>
        <v>109.63499999999999</v>
      </c>
      <c r="Q9" s="23">
        <f t="shared" si="1"/>
        <v>0</v>
      </c>
      <c r="R9" s="24">
        <f t="shared" si="2"/>
        <v>0.10999999999999943</v>
      </c>
      <c r="S9" s="28" t="e">
        <f t="shared" ca="1" si="3"/>
        <v>#NAME?</v>
      </c>
      <c r="T9" s="23" t="e">
        <f t="shared" ca="1" si="8"/>
        <v>#VALUE!</v>
      </c>
      <c r="U9" s="26" t="str">
        <f t="shared" si="9"/>
        <v>IT479347=TT</v>
      </c>
      <c r="V9" s="23">
        <v>109.58</v>
      </c>
      <c r="W9" s="23">
        <v>109.69</v>
      </c>
      <c r="X9" s="17" t="e">
        <f ca="1">_xll.MKV("EUR.PRICING.XLS_GOVIES."&amp;$C9,X$1)</f>
        <v>#NAME?</v>
      </c>
      <c r="Y9" s="17" t="e">
        <f ca="1">_xll.MKV("EUR.PRICING.XLS_GOVIES."&amp;$C9,Y$1)</f>
        <v>#NAME?</v>
      </c>
      <c r="Z9" s="25">
        <f ca="1">IF(ISNA(C9),NA(),_xll.qlBondYieldFromCleanPrice(C9,P9,YieldDayCounter,YieldCompounding,YieldFrequency))</f>
        <v>8.8305522548166992E-3</v>
      </c>
      <c r="AA9" s="19" t="b">
        <v>1</v>
      </c>
      <c r="AB9" s="26" t="b">
        <f t="shared" si="4"/>
        <v>1</v>
      </c>
      <c r="AC9" s="24">
        <f ca="1">IF(ISNA(C9),NA(),M9-_xll.qlQuoteValue(H9))</f>
        <v>1.5217375590736992E-6</v>
      </c>
      <c r="AD9" s="11"/>
      <c r="AE9" s="1"/>
      <c r="AF9" s="72" t="str">
        <f t="shared" si="5"/>
        <v>BTP 2017-05-01 4.75%</v>
      </c>
      <c r="AG9" s="139" t="e">
        <f ca="1">_xll.BDP(C9&amp;" Corp", "days to mty")</f>
        <v>#NAME?</v>
      </c>
      <c r="AH9" s="145" t="e">
        <f ca="1">IF(ISNA(ROUND(VLOOKUP(AG9,Contribution!C:J,8,FALSE),2)),"",ROUND(VLOOKUP(AG9,Contribution!C:J,8,FALSE),2))</f>
        <v>#NAME?</v>
      </c>
      <c r="AI9" s="142" t="str">
        <f t="shared" ca="1" si="10"/>
        <v/>
      </c>
      <c r="AJ9" s="1"/>
      <c r="AK9" s="1"/>
      <c r="AL9" s="1"/>
    </row>
    <row r="10" spans="1:38" x14ac:dyDescent="0.2">
      <c r="A10" s="4"/>
      <c r="B10" s="22" t="str">
        <f>IF(ISNA(C10),NA(),_xll.qlBondDescription(C10,Trigger))</f>
        <v>BTP 2017-06-01 4.75%</v>
      </c>
      <c r="C10" s="16" t="str">
        <v>IT0004820426</v>
      </c>
      <c r="D10" s="18">
        <f>IF(ISNA(C10),NA(),_xll.qlBondMaturityDate(C10,Trigger))</f>
        <v>42887</v>
      </c>
      <c r="E10" s="19">
        <f>IF(ISNA(C10),NA(),_xll.qlBondNextCouponRate(C10,BondSettlementDate))</f>
        <v>4.7500000000000001E-2</v>
      </c>
      <c r="F10" s="30">
        <f>IF(ISNA(C10),NA(),_xll.qlBondRedemptionAmount(C10,Trigger))</f>
        <v>100</v>
      </c>
      <c r="G10" s="17" t="str">
        <f t="shared" si="6"/>
        <v>IT0004820426_Quote</v>
      </c>
      <c r="H10" s="27" t="str">
        <f t="shared" si="7"/>
        <v>IT0004820426_Quote</v>
      </c>
      <c r="I10" s="16" t="str">
        <f>IF(LEFT(B10,3)="BTP",_xll.qlBTP2(,B10,D10,E10,F10,,,,Trigger),_xll.qlCCTEU(,B10,D10,E10,F10,,,,Trigger))</f>
        <v>obj_00fdc#0000</v>
      </c>
      <c r="J10" s="31" t="str">
        <f>_xll.qlBondHelper(,H10,I10)</f>
        <v>obj_01034#0000</v>
      </c>
      <c r="K10" s="26" t="str">
        <f>_xll.qlBTP2(,B10,D10,E10,F10,,,,Trigger)</f>
        <v>obj_00f8e#0000</v>
      </c>
      <c r="L10" s="26" t="b">
        <f>_xll.qlInstrumentSetPricingEngine(K10,BondPricingEngine)</f>
        <v>1</v>
      </c>
      <c r="M10" s="23">
        <f ca="1">_xll.qlBondCleanPrice(K10,AND(ISERROR(L10),ISERROR(N10)))</f>
        <v>109.92500245902012</v>
      </c>
      <c r="N10" s="27">
        <f ca="1">_xll.qlSimpleQuoteSetValue(G10,P10)</f>
        <v>0</v>
      </c>
      <c r="O10" s="29" t="e">
        <f>_xll.qlSimpleQuoteSetValue(#REF!,Q10)</f>
        <v>#VALUE!</v>
      </c>
      <c r="P10" s="27">
        <f t="shared" ca="1" si="0"/>
        <v>109.92500000000001</v>
      </c>
      <c r="Q10" s="23">
        <f t="shared" si="1"/>
        <v>0</v>
      </c>
      <c r="R10" s="24">
        <f t="shared" si="2"/>
        <v>0.10999999999999943</v>
      </c>
      <c r="S10" s="28" t="e">
        <f t="shared" ca="1" si="3"/>
        <v>#NAME?</v>
      </c>
      <c r="T10" s="23" t="e">
        <f t="shared" ca="1" si="8"/>
        <v>#VALUE!</v>
      </c>
      <c r="U10" s="26" t="str">
        <f t="shared" si="9"/>
        <v>IT482042=TT</v>
      </c>
      <c r="V10" s="23">
        <v>109.87</v>
      </c>
      <c r="W10" s="23">
        <v>109.98</v>
      </c>
      <c r="X10" s="17" t="e">
        <f ca="1">_xll.MKV("EUR.PRICING.XLS_GOVIES."&amp;$C10,X$1)</f>
        <v>#NAME?</v>
      </c>
      <c r="Y10" s="17" t="e">
        <f ca="1">_xll.MKV("EUR.PRICING.XLS_GOVIES."&amp;$C10,Y$1)</f>
        <v>#NAME?</v>
      </c>
      <c r="Z10" s="25">
        <f ca="1">IF(ISNA(C10),NA(),_xll.qlBondYieldFromCleanPrice(C10,P10,YieldDayCounter,YieldCompounding,YieldFrequency))</f>
        <v>8.9117469887062921E-3</v>
      </c>
      <c r="AA10" s="19" t="b">
        <v>1</v>
      </c>
      <c r="AB10" s="26" t="b">
        <f t="shared" si="4"/>
        <v>1</v>
      </c>
      <c r="AC10" s="24">
        <f ca="1">IF(ISNA(C10),NA(),M10-_xll.qlQuoteValue(H10))</f>
        <v>2.4590201093133146E-6</v>
      </c>
      <c r="AD10" s="11"/>
      <c r="AE10" s="1"/>
      <c r="AF10" s="72" t="str">
        <f t="shared" si="5"/>
        <v>BTP 2017-06-01 4.75%</v>
      </c>
      <c r="AG10" s="139" t="e">
        <f ca="1">_xll.BDP(C10&amp;" Corp", "days to mty")</f>
        <v>#NAME?</v>
      </c>
      <c r="AH10" s="145" t="e">
        <f ca="1">IF(ISNA(ROUND(VLOOKUP(AG10,Contribution!C:J,8,FALSE),2)),"",ROUND(VLOOKUP(AG10,Contribution!C:J,8,FALSE),2))</f>
        <v>#NAME?</v>
      </c>
      <c r="AI10" s="142" t="str">
        <f t="shared" ca="1" si="10"/>
        <v/>
      </c>
      <c r="AJ10" s="1"/>
      <c r="AK10" s="1"/>
      <c r="AL10" s="1"/>
    </row>
    <row r="11" spans="1:38" x14ac:dyDescent="0.2">
      <c r="A11" s="4"/>
      <c r="B11" s="22" t="str">
        <f>IF(ISNA(C11),NA(),_xll.qlBondDescription(C11,Trigger))</f>
        <v>BTP 2017-08-01 5.25%</v>
      </c>
      <c r="C11" s="16" t="str">
        <v>IT0003242747</v>
      </c>
      <c r="D11" s="18">
        <f>IF(ISNA(C11),NA(),_xll.qlBondMaturityDate(C11,Trigger))</f>
        <v>42948</v>
      </c>
      <c r="E11" s="19">
        <f>IF(ISNA(C11),NA(),_xll.qlBondNextCouponRate(C11,BondSettlementDate))</f>
        <v>5.2499999999999998E-2</v>
      </c>
      <c r="F11" s="30">
        <f>IF(ISNA(C11),NA(),_xll.qlBondRedemptionAmount(C11,Trigger))</f>
        <v>100</v>
      </c>
      <c r="G11" s="17" t="str">
        <f t="shared" si="6"/>
        <v>IT0003242747_Quote</v>
      </c>
      <c r="H11" s="27" t="str">
        <f t="shared" si="7"/>
        <v>IT0003242747_Quote</v>
      </c>
      <c r="I11" s="16" t="str">
        <f>IF(LEFT(B11,3)="BTP",_xll.qlBTP2(,B11,D11,E11,F11,,,,Trigger),_xll.qlCCTEU(,B11,D11,E11,F11,,,,Trigger))</f>
        <v>obj_00fca#0000</v>
      </c>
      <c r="J11" s="31" t="str">
        <f>_xll.qlBondHelper(,H11,I11)</f>
        <v>obj_0102d#0000</v>
      </c>
      <c r="K11" s="26" t="str">
        <f>_xll.qlBTP2(,B11,D11,E11,F11,,,,Trigger)</f>
        <v>obj_00fd8#0000</v>
      </c>
      <c r="L11" s="26" t="b">
        <f>_xll.qlInstrumentSetPricingEngine(K11,BondPricingEngine)</f>
        <v>1</v>
      </c>
      <c r="M11" s="23">
        <f ca="1">_xll.qlBondCleanPrice(K11,AND(ISERROR(L11),ISERROR(N11)))</f>
        <v>111.87500326089655</v>
      </c>
      <c r="N11" s="27">
        <f ca="1">_xll.qlSimpleQuoteSetValue(G11,P11)</f>
        <v>0</v>
      </c>
      <c r="O11" s="29" t="e">
        <f>_xll.qlSimpleQuoteSetValue(#REF!,Q11)</f>
        <v>#VALUE!</v>
      </c>
      <c r="P11" s="27">
        <f t="shared" ca="1" si="0"/>
        <v>111.875</v>
      </c>
      <c r="Q11" s="23">
        <f t="shared" si="1"/>
        <v>0</v>
      </c>
      <c r="R11" s="24">
        <f t="shared" si="2"/>
        <v>0.11000000000001364</v>
      </c>
      <c r="S11" s="28" t="e">
        <f t="shared" ca="1" si="3"/>
        <v>#NAME?</v>
      </c>
      <c r="T11" s="23" t="e">
        <f t="shared" ca="1" si="8"/>
        <v>#VALUE!</v>
      </c>
      <c r="U11" s="26" t="str">
        <f t="shared" si="9"/>
        <v>IT324274=TT</v>
      </c>
      <c r="V11" s="23">
        <v>111.82</v>
      </c>
      <c r="W11" s="23">
        <v>111.93</v>
      </c>
      <c r="X11" s="17" t="e">
        <f ca="1">_xll.MKV("EUR.PRICING.XLS_GOVIES."&amp;$C11,X$1)</f>
        <v>#NAME?</v>
      </c>
      <c r="Y11" s="17" t="e">
        <f ca="1">_xll.MKV("EUR.PRICING.XLS_GOVIES."&amp;$C11,Y$1)</f>
        <v>#NAME?</v>
      </c>
      <c r="Z11" s="25">
        <f ca="1">IF(ISNA(C11),NA(),_xll.qlBondYieldFromCleanPrice(C11,P11,YieldDayCounter,YieldCompounding,YieldFrequency))</f>
        <v>9.0764874568209086E-3</v>
      </c>
      <c r="AA11" s="19" t="b">
        <v>1</v>
      </c>
      <c r="AB11" s="26" t="b">
        <f t="shared" si="4"/>
        <v>1</v>
      </c>
      <c r="AC11" s="24">
        <f ca="1">IF(ISNA(C11),NA(),M11-_xll.qlQuoteValue(H11))</f>
        <v>3.2608965483404972E-6</v>
      </c>
      <c r="AD11" s="11"/>
      <c r="AE11" s="1"/>
      <c r="AF11" s="72" t="str">
        <f t="shared" si="5"/>
        <v>BTP 2017-08-01 5.25%</v>
      </c>
      <c r="AG11" s="139" t="e">
        <f ca="1">_xll.BDP(C11&amp;" Corp", "days to mty")</f>
        <v>#NAME?</v>
      </c>
      <c r="AH11" s="145" t="e">
        <f ca="1">IF(ISNA(ROUND(VLOOKUP(AG11,Contribution!C:J,8,FALSE),2)),"",ROUND(VLOOKUP(AG11,Contribution!C:J,8,FALSE),2))</f>
        <v>#NAME?</v>
      </c>
      <c r="AI11" s="142" t="str">
        <f t="shared" ca="1" si="10"/>
        <v/>
      </c>
      <c r="AJ11" s="1"/>
      <c r="AK11" s="1"/>
      <c r="AL11" s="1"/>
    </row>
    <row r="12" spans="1:38" x14ac:dyDescent="0.2">
      <c r="A12" s="4"/>
      <c r="B12" s="22" t="str">
        <f>IF(ISNA(C12),NA(),_xll.qlBondDescription(C12,Trigger))</f>
        <v>BTP 2017-11-01 3.5%</v>
      </c>
      <c r="C12" s="16" t="str">
        <v>IT0004867070</v>
      </c>
      <c r="D12" s="18">
        <f>IF(ISNA(C12),NA(),_xll.qlBondMaturityDate(C12,Trigger))</f>
        <v>43040</v>
      </c>
      <c r="E12" s="19">
        <f>IF(ISNA(C12),NA(),_xll.qlBondNextCouponRate(C12,BondSettlementDate))</f>
        <v>3.5000000000000003E-2</v>
      </c>
      <c r="F12" s="30">
        <f>IF(ISNA(C12),NA(),_xll.qlBondRedemptionAmount(C12,Trigger))</f>
        <v>100</v>
      </c>
      <c r="G12" s="17" t="str">
        <f t="shared" si="6"/>
        <v>IT0004867070_Quote</v>
      </c>
      <c r="H12" s="27" t="str">
        <f t="shared" si="7"/>
        <v>IT0004867070_Quote</v>
      </c>
      <c r="I12" s="16" t="str">
        <f>IF(LEFT(B12,3)="BTP",_xll.qlBTP2(,B12,D12,E12,F12,,,,Trigger),_xll.qlCCTEU(,B12,D12,E12,F12,,,,Trigger))</f>
        <v>obj_00fbe#0000</v>
      </c>
      <c r="J12" s="31" t="str">
        <f>_xll.qlBondHelper(,H12,I12)</f>
        <v>obj_01000#0000</v>
      </c>
      <c r="K12" s="26" t="str">
        <f>_xll.qlBTP2(,B12,D12,E12,F12,,,,Trigger)</f>
        <v>obj_00fd3#0000</v>
      </c>
      <c r="L12" s="26" t="b">
        <f>_xll.qlInstrumentSetPricingEngine(K12,BondPricingEngine)</f>
        <v>1</v>
      </c>
      <c r="M12" s="23">
        <f ca="1">_xll.qlBondCleanPrice(K12,AND(ISERROR(L12),ISERROR(N12)))</f>
        <v>107.61500217391219</v>
      </c>
      <c r="N12" s="27">
        <f ca="1">_xll.qlSimpleQuoteSetValue(G12,P12)</f>
        <v>0</v>
      </c>
      <c r="O12" s="29" t="e">
        <f>_xll.qlSimpleQuoteSetValue(#REF!,Q12)</f>
        <v>#VALUE!</v>
      </c>
      <c r="P12" s="27">
        <f t="shared" ca="1" si="0"/>
        <v>107.61500000000001</v>
      </c>
      <c r="Q12" s="23">
        <f t="shared" si="1"/>
        <v>0</v>
      </c>
      <c r="R12" s="24">
        <f t="shared" si="2"/>
        <v>0.10999999999999943</v>
      </c>
      <c r="S12" s="28" t="e">
        <f t="shared" ca="1" si="3"/>
        <v>#NAME?</v>
      </c>
      <c r="T12" s="23" t="e">
        <f t="shared" ca="1" si="8"/>
        <v>#VALUE!</v>
      </c>
      <c r="U12" s="26" t="str">
        <f t="shared" si="9"/>
        <v>IT486707=TT</v>
      </c>
      <c r="V12" s="23">
        <v>107.56</v>
      </c>
      <c r="W12" s="23">
        <v>107.67</v>
      </c>
      <c r="X12" s="17" t="e">
        <f ca="1">_xll.MKV("EUR.PRICING.XLS_GOVIES."&amp;$C12,X$1)</f>
        <v>#NAME?</v>
      </c>
      <c r="Y12" s="17" t="e">
        <f ca="1">_xll.MKV("EUR.PRICING.XLS_GOVIES."&amp;$C12,Y$1)</f>
        <v>#NAME?</v>
      </c>
      <c r="Z12" s="25">
        <f ca="1">IF(ISNA(C12),NA(),_xll.qlBondYieldFromCleanPrice(C12,P12,YieldDayCounter,YieldCompounding,YieldFrequency))</f>
        <v>9.4234096469357626E-3</v>
      </c>
      <c r="AA12" s="19" t="b">
        <v>1</v>
      </c>
      <c r="AB12" s="26" t="b">
        <f t="shared" si="4"/>
        <v>1</v>
      </c>
      <c r="AC12" s="24">
        <f ca="1">IF(ISNA(C12),NA(),M12-_xll.qlQuoteValue(H12))</f>
        <v>2.1739121791597427E-6</v>
      </c>
      <c r="AD12" s="11"/>
      <c r="AE12" s="1"/>
      <c r="AF12" s="72" t="str">
        <f t="shared" si="5"/>
        <v>BTP 2017-11-01 3.5%</v>
      </c>
      <c r="AG12" s="139" t="e">
        <f ca="1">_xll.BDP(C12&amp;" Corp", "days to mty")</f>
        <v>#NAME?</v>
      </c>
      <c r="AH12" s="145" t="e">
        <f ca="1">IF(ISNA(ROUND(VLOOKUP(AG12,Contribution!C:J,8,FALSE),2)),"",ROUND(VLOOKUP(AG12,Contribution!C:J,8,FALSE),2))</f>
        <v>#NAME?</v>
      </c>
      <c r="AI12" s="142" t="str">
        <f t="shared" ca="1" si="10"/>
        <v/>
      </c>
      <c r="AJ12" s="1"/>
      <c r="AK12" s="1"/>
      <c r="AL12" s="1"/>
    </row>
    <row r="13" spans="1:38" x14ac:dyDescent="0.2">
      <c r="A13" s="4"/>
      <c r="B13" s="22" t="str">
        <f>IF(ISNA(C13),NA(),_xll.qlBondDescription(C13,Trigger))</f>
        <v>BTP 2018-02-01 4.5%</v>
      </c>
      <c r="C13" s="16" t="str">
        <v>IT0004273493</v>
      </c>
      <c r="D13" s="18">
        <f>IF(ISNA(C13),NA(),_xll.qlBondMaturityDate(C13,Trigger))</f>
        <v>43132</v>
      </c>
      <c r="E13" s="19">
        <f>IF(ISNA(C13),NA(),_xll.qlBondNextCouponRate(C13,BondSettlementDate))</f>
        <v>4.4999999999999998E-2</v>
      </c>
      <c r="F13" s="30">
        <f>IF(ISNA(C13),NA(),_xll.qlBondRedemptionAmount(C13,Trigger))</f>
        <v>100</v>
      </c>
      <c r="G13" s="17" t="str">
        <f t="shared" si="6"/>
        <v>IT0004273493_Quote</v>
      </c>
      <c r="H13" s="27" t="str">
        <f t="shared" si="7"/>
        <v>IT0004273493_Quote</v>
      </c>
      <c r="I13" s="16" t="str">
        <f>IF(LEFT(B13,3)="BTP",_xll.qlBTP2(,B13,D13,E13,F13,,,,Trigger),_xll.qlCCTEU(,B13,D13,E13,F13,,,,Trigger))</f>
        <v>obj_00f92#0000</v>
      </c>
      <c r="J13" s="31" t="str">
        <f>_xll.qlBondHelper(,H13,I13)</f>
        <v>obj_0100b#0000</v>
      </c>
      <c r="K13" s="26" t="str">
        <f>_xll.qlBTP2(,B13,D13,E13,F13,,,,Trigger)</f>
        <v>obj_00f9f#0000</v>
      </c>
      <c r="L13" s="26" t="b">
        <f>_xll.qlInstrumentSetPricingEngine(K13,BondPricingEngine)</f>
        <v>1</v>
      </c>
      <c r="M13" s="23">
        <f ca="1">_xll.qlBondCleanPrice(K13,AND(ISERROR(L13),ISERROR(N13)))</f>
        <v>111.16499565219709</v>
      </c>
      <c r="N13" s="27">
        <f ca="1">_xll.qlSimpleQuoteSetValue(G13,P13)</f>
        <v>0</v>
      </c>
      <c r="O13" s="29" t="e">
        <f>_xll.qlSimpleQuoteSetValue(#REF!,Q13)</f>
        <v>#VALUE!</v>
      </c>
      <c r="P13" s="27">
        <f t="shared" ca="1" si="0"/>
        <v>111.16499999999999</v>
      </c>
      <c r="Q13" s="23">
        <f t="shared" si="1"/>
        <v>0</v>
      </c>
      <c r="R13" s="24">
        <f t="shared" si="2"/>
        <v>0.10999999999999943</v>
      </c>
      <c r="S13" s="28" t="e">
        <f t="shared" ca="1" si="3"/>
        <v>#NAME?</v>
      </c>
      <c r="T13" s="23" t="e">
        <f t="shared" ca="1" si="8"/>
        <v>#VALUE!</v>
      </c>
      <c r="U13" s="26" t="str">
        <f t="shared" si="9"/>
        <v>IT427349=TT</v>
      </c>
      <c r="V13" s="23">
        <v>111.11</v>
      </c>
      <c r="W13" s="23">
        <v>111.22</v>
      </c>
      <c r="X13" s="17" t="e">
        <f ca="1">_xll.MKV("EUR.PRICING.XLS_GOVIES."&amp;$C13,X$1)</f>
        <v>#NAME?</v>
      </c>
      <c r="Y13" s="17" t="e">
        <f ca="1">_xll.MKV("EUR.PRICING.XLS_GOVIES."&amp;$C13,Y$1)</f>
        <v>#NAME?</v>
      </c>
      <c r="Z13" s="25">
        <f ca="1">IF(ISNA(C13),NA(),_xll.qlBondYieldFromCleanPrice(C13,P13,YieldDayCounter,YieldCompounding,YieldFrequency))</f>
        <v>1.026212458390743E-2</v>
      </c>
      <c r="AA13" s="19" t="b">
        <v>1</v>
      </c>
      <c r="AB13" s="26" t="b">
        <f t="shared" si="4"/>
        <v>1</v>
      </c>
      <c r="AC13" s="24">
        <f ca="1">IF(ISNA(C13),NA(),M13-_xll.qlQuoteValue(H13))</f>
        <v>-4.3478028999288654E-6</v>
      </c>
      <c r="AD13" s="11"/>
      <c r="AE13" s="1"/>
      <c r="AF13" s="72" t="str">
        <f t="shared" si="5"/>
        <v>BTP 2018-02-01 4.5%</v>
      </c>
      <c r="AG13" s="139" t="e">
        <f ca="1">_xll.BDP(C13&amp;" Corp", "days to mty")</f>
        <v>#NAME?</v>
      </c>
      <c r="AH13" s="145" t="e">
        <f ca="1">IF(ISNA(ROUND(VLOOKUP(AG13,Contribution!C:J,8,FALSE),2)),"",ROUND(VLOOKUP(AG13,Contribution!C:J,8,FALSE),2))</f>
        <v>#NAME?</v>
      </c>
      <c r="AI13" s="142" t="str">
        <f t="shared" ca="1" si="10"/>
        <v/>
      </c>
      <c r="AJ13" s="1"/>
      <c r="AK13" s="1"/>
      <c r="AL13" s="1"/>
    </row>
    <row r="14" spans="1:38" s="9" customFormat="1" x14ac:dyDescent="0.2">
      <c r="A14" s="96"/>
      <c r="B14" s="22" t="str">
        <f>IF(ISNA(C14),NA(),_xll.qlBondDescription(C14,Trigger))</f>
        <v>BTP 2018-06-01 3.5%</v>
      </c>
      <c r="C14" s="16" t="str">
        <v>IT0004907843</v>
      </c>
      <c r="D14" s="18">
        <f>IF(ISNA(C14),NA(),_xll.qlBondMaturityDate(C14,Trigger))</f>
        <v>43252</v>
      </c>
      <c r="E14" s="19">
        <f>IF(ISNA(C14),NA(),_xll.qlBondNextCouponRate(C14,BondSettlementDate))</f>
        <v>3.5000000000000003E-2</v>
      </c>
      <c r="F14" s="30">
        <f>IF(ISNA(C14),NA(),_xll.qlBondRedemptionAmount(C14,Trigger))</f>
        <v>100</v>
      </c>
      <c r="G14" s="17" t="str">
        <f t="shared" si="6"/>
        <v>IT0004907843_Quote</v>
      </c>
      <c r="H14" s="27" t="str">
        <f t="shared" si="7"/>
        <v>IT0004907843_Quote</v>
      </c>
      <c r="I14" s="16" t="str">
        <f>IF(LEFT(B14,3)="BTP",_xll.qlBTP2(,B14,D14,E14,F14,,,,Trigger),_xll.qlCCTEU(,B14,D14,E14,F14,,,,Trigger))</f>
        <v>obj_00fd2#0000</v>
      </c>
      <c r="J14" s="31" t="str">
        <f>_xll.qlBondHelper(,H14,I14)</f>
        <v>obj_01018#0000</v>
      </c>
      <c r="K14" s="26" t="str">
        <f>_xll.qlBTP2(,B14,D14,E14,F14,,,,Trigger)</f>
        <v>obj_00fe5#0000</v>
      </c>
      <c r="L14" s="26" t="b">
        <f>_xll.qlInstrumentSetPricingEngine(K14,BondPricingEngine)</f>
        <v>1</v>
      </c>
      <c r="M14" s="23">
        <f ca="1">_xll.qlBondCleanPrice(K14,AND(ISERROR(L14),ISERROR(N14)))</f>
        <v>108.4849991803581</v>
      </c>
      <c r="N14" s="27">
        <f ca="1">_xll.qlSimpleQuoteSetValue(G14,P14)</f>
        <v>0</v>
      </c>
      <c r="O14" s="29" t="e">
        <f>_xll.qlSimpleQuoteSetValue(#REF!,Q14)</f>
        <v>#VALUE!</v>
      </c>
      <c r="P14" s="27">
        <f t="shared" ca="1" si="0"/>
        <v>108.485</v>
      </c>
      <c r="Q14" s="23">
        <f t="shared" si="1"/>
        <v>0</v>
      </c>
      <c r="R14" s="24">
        <f t="shared" si="2"/>
        <v>9.0000000000003411E-2</v>
      </c>
      <c r="S14" s="28" t="e">
        <f t="shared" ca="1" si="3"/>
        <v>#NAME?</v>
      </c>
      <c r="T14" s="23" t="e">
        <f t="shared" ca="1" si="8"/>
        <v>#VALUE!</v>
      </c>
      <c r="U14" s="26" t="str">
        <f t="shared" si="9"/>
        <v>IT490784=TT</v>
      </c>
      <c r="V14" s="23">
        <v>108.44</v>
      </c>
      <c r="W14" s="23">
        <v>108.53</v>
      </c>
      <c r="X14" s="17" t="e">
        <f ca="1">_xll.MKV("EUR.PRICING.XLS_GOVIES."&amp;$C14,X$1)</f>
        <v>#NAME?</v>
      </c>
      <c r="Y14" s="17" t="e">
        <f ca="1">_xll.MKV("EUR.PRICING.XLS_GOVIES."&amp;$C14,Y$1)</f>
        <v>#NAME?</v>
      </c>
      <c r="Z14" s="25">
        <f ca="1">IF(ISNA(C14),NA(),_xll.qlBondYieldFromCleanPrice(C14,P14,YieldDayCounter,YieldCompounding,YieldFrequency))</f>
        <v>1.096961049932987E-2</v>
      </c>
      <c r="AA14" s="19" t="b">
        <v>1</v>
      </c>
      <c r="AB14" s="26" t="b">
        <f t="shared" si="4"/>
        <v>1</v>
      </c>
      <c r="AC14" s="24">
        <f ca="1">IF(ISNA(C14),NA(),M14-_xll.qlQuoteValue(H14))</f>
        <v>-8.1964189746486227E-7</v>
      </c>
      <c r="AD14" s="97"/>
      <c r="AE14" s="1"/>
      <c r="AF14" s="72" t="str">
        <f t="shared" si="5"/>
        <v>BTP 2018-06-01 3.5%</v>
      </c>
      <c r="AG14" s="139" t="e">
        <f ca="1">_xll.BDP(C14&amp;" Corp", "days to mty")</f>
        <v>#NAME?</v>
      </c>
      <c r="AH14" s="145" t="e">
        <f ca="1">IF(ISNA(ROUND(VLOOKUP(AG14,Contribution!C:J,8,FALSE),2)),"",ROUND(VLOOKUP(AG14,Contribution!C:J,8,FALSE),2))</f>
        <v>#NAME?</v>
      </c>
      <c r="AI14" s="142" t="str">
        <f t="shared" ca="1" si="10"/>
        <v/>
      </c>
      <c r="AJ14" s="98"/>
      <c r="AK14" s="98"/>
      <c r="AL14" s="1"/>
    </row>
    <row r="15" spans="1:38" x14ac:dyDescent="0.2">
      <c r="A15" s="4"/>
      <c r="B15" s="22" t="str">
        <f>IF(ISNA(C15),NA(),_xll.qlBondDescription(C15,Trigger))</f>
        <v>BTP 2018-08-01 4.5%</v>
      </c>
      <c r="C15" s="16" t="str">
        <v>IT0004361041</v>
      </c>
      <c r="D15" s="18">
        <f>IF(ISNA(C15),NA(),_xll.qlBondMaturityDate(C15,Trigger))</f>
        <v>43313</v>
      </c>
      <c r="E15" s="19">
        <f>IF(ISNA(C15),NA(),_xll.qlBondNextCouponRate(C15,BondSettlementDate))</f>
        <v>4.4999999999999998E-2</v>
      </c>
      <c r="F15" s="30">
        <f>IF(ISNA(C15),NA(),_xll.qlBondRedemptionAmount(C15,Trigger))</f>
        <v>100</v>
      </c>
      <c r="G15" s="17" t="str">
        <f t="shared" si="6"/>
        <v>IT0004361041_Quote</v>
      </c>
      <c r="H15" s="27" t="str">
        <f t="shared" si="7"/>
        <v>IT0004361041_Quote</v>
      </c>
      <c r="I15" s="16" t="str">
        <f>IF(LEFT(B15,3)="BTP",_xll.qlBTP2(,B15,D15,E15,F15,,,,Trigger),_xll.qlCCTEU(,B15,D15,E15,F15,,,,Trigger))</f>
        <v>obj_00fe0#0000</v>
      </c>
      <c r="J15" s="31" t="str">
        <f>_xll.qlBondHelper(,H15,I15)</f>
        <v>obj_0102b#0000</v>
      </c>
      <c r="K15" s="26" t="str">
        <f>_xll.qlBTP2(,B15,D15,E15,F15,,,,Trigger)</f>
        <v>obj_00fd0#0000</v>
      </c>
      <c r="L15" s="26" t="b">
        <f>_xll.qlInstrumentSetPricingEngine(K15,BondPricingEngine)</f>
        <v>1</v>
      </c>
      <c r="M15" s="23">
        <f ca="1">_xll.qlBondCleanPrice(K15,AND(ISERROR(L15),ISERROR(N15)))</f>
        <v>112.47999565219719</v>
      </c>
      <c r="N15" s="27">
        <f ca="1">_xll.qlSimpleQuoteSetValue(G15,P15)</f>
        <v>0</v>
      </c>
      <c r="O15" s="29" t="e">
        <f>_xll.qlSimpleQuoteSetValue(#REF!,Q15)</f>
        <v>#VALUE!</v>
      </c>
      <c r="P15" s="27">
        <f t="shared" ca="1" si="0"/>
        <v>112.48</v>
      </c>
      <c r="Q15" s="23">
        <f t="shared" si="1"/>
        <v>0</v>
      </c>
      <c r="R15" s="24">
        <f t="shared" si="2"/>
        <v>0.12000000000000455</v>
      </c>
      <c r="S15" s="28" t="e">
        <f t="shared" ca="1" si="3"/>
        <v>#NAME?</v>
      </c>
      <c r="T15" s="23" t="e">
        <f t="shared" ca="1" si="8"/>
        <v>#VALUE!</v>
      </c>
      <c r="U15" s="26" t="str">
        <f t="shared" si="9"/>
        <v>IT436104=TT</v>
      </c>
      <c r="V15" s="23">
        <v>112.42</v>
      </c>
      <c r="W15" s="23">
        <v>112.54</v>
      </c>
      <c r="X15" s="17" t="e">
        <f ca="1">_xll.MKV("EUR.PRICING.XLS_GOVIES."&amp;$C15,X$1)</f>
        <v>#NAME?</v>
      </c>
      <c r="Y15" s="17" t="e">
        <f ca="1">_xll.MKV("EUR.PRICING.XLS_GOVIES."&amp;$C15,Y$1)</f>
        <v>#NAME?</v>
      </c>
      <c r="Z15" s="25">
        <f ca="1">IF(ISNA(C15),NA(),_xll.qlBondYieldFromCleanPrice(C15,P15,YieldDayCounter,YieldCompounding,YieldFrequency))</f>
        <v>1.1169977442882957E-2</v>
      </c>
      <c r="AA15" s="19" t="b">
        <v>1</v>
      </c>
      <c r="AB15" s="26" t="b">
        <f t="shared" si="4"/>
        <v>1</v>
      </c>
      <c r="AC15" s="24">
        <f ca="1">IF(ISNA(C15),NA(),M15-_xll.qlQuoteValue(H15))</f>
        <v>-4.3478028146637371E-6</v>
      </c>
      <c r="AD15" s="11"/>
      <c r="AE15" s="1"/>
      <c r="AF15" s="72" t="str">
        <f t="shared" si="5"/>
        <v>BTP 2018-08-01 4.5%</v>
      </c>
      <c r="AG15" s="139" t="e">
        <f ca="1">_xll.BDP(C15&amp;" Corp", "days to mty")</f>
        <v>#NAME?</v>
      </c>
      <c r="AH15" s="145" t="e">
        <f ca="1">IF(ISNA(ROUND(VLOOKUP(AG15,Contribution!C:J,8,FALSE),2)),"",ROUND(VLOOKUP(AG15,Contribution!C:J,8,FALSE),2))</f>
        <v>#NAME?</v>
      </c>
      <c r="AI15" s="142" t="str">
        <f t="shared" ca="1" si="10"/>
        <v/>
      </c>
      <c r="AJ15" s="1"/>
      <c r="AK15" s="1"/>
      <c r="AL15" s="1"/>
    </row>
    <row r="16" spans="1:38" x14ac:dyDescent="0.2">
      <c r="A16" s="4"/>
      <c r="B16" s="22" t="str">
        <f>IF(ISNA(C16),NA(),_xll.qlBondDescription(C16,Trigger))</f>
        <v>BTP 2018-12-01 3.5%</v>
      </c>
      <c r="C16" s="16" t="str">
        <v>IT0004957574</v>
      </c>
      <c r="D16" s="18">
        <f>IF(ISNA(C16),NA(),_xll.qlBondMaturityDate(C16,Trigger))</f>
        <v>43435</v>
      </c>
      <c r="E16" s="19">
        <f>IF(ISNA(C16),NA(),_xll.qlBondNextCouponRate(C16,BondSettlementDate))</f>
        <v>3.5000000000000003E-2</v>
      </c>
      <c r="F16" s="30">
        <f>IF(ISNA(C16),NA(),_xll.qlBondRedemptionAmount(C16,Trigger))</f>
        <v>100</v>
      </c>
      <c r="G16" s="17" t="str">
        <f t="shared" si="6"/>
        <v>IT0004957574_Quote</v>
      </c>
      <c r="H16" s="27" t="str">
        <f t="shared" si="7"/>
        <v>IT0004957574_Quote</v>
      </c>
      <c r="I16" s="16" t="str">
        <f>IF(LEFT(B16,3)="BTP",_xll.qlBTP2(,B16,D16,E16,F16,,,,Trigger),_xll.qlCCTEU(,B16,D16,E16,F16,,,,Trigger))</f>
        <v>obj_00fc1#0000</v>
      </c>
      <c r="J16" s="31" t="str">
        <f>_xll.qlBondHelper(,H16,I16)</f>
        <v>obj_01028#0000</v>
      </c>
      <c r="K16" s="26" t="str">
        <f>_xll.qlBTP2(,B16,D16,E16,F16,,,,Trigger)</f>
        <v>obj_00faf#0000</v>
      </c>
      <c r="L16" s="26" t="b">
        <f>_xll.qlInstrumentSetPricingEngine(K16,BondPricingEngine)</f>
        <v>1</v>
      </c>
      <c r="M16" s="23">
        <f ca="1">_xll.qlBondCleanPrice(K16,AND(ISERROR(L16),ISERROR(N16)))</f>
        <v>109.45999918034406</v>
      </c>
      <c r="N16" s="27">
        <f ca="1">_xll.qlSimpleQuoteSetValue(G16,P16)</f>
        <v>0</v>
      </c>
      <c r="O16" s="29" t="e">
        <f>_xll.qlSimpleQuoteSetValue(#REF!,Q16)</f>
        <v>#VALUE!</v>
      </c>
      <c r="P16" s="27">
        <f t="shared" ca="1" si="0"/>
        <v>109.46000000000001</v>
      </c>
      <c r="Q16" s="23">
        <f t="shared" si="1"/>
        <v>0</v>
      </c>
      <c r="R16" s="24">
        <f t="shared" si="2"/>
        <v>0.11999999999999034</v>
      </c>
      <c r="S16" s="28" t="e">
        <f t="shared" ca="1" si="3"/>
        <v>#NAME?</v>
      </c>
      <c r="T16" s="23" t="e">
        <f t="shared" ca="1" si="8"/>
        <v>#VALUE!</v>
      </c>
      <c r="U16" s="26" t="str">
        <f t="shared" si="9"/>
        <v>IT495757=TT</v>
      </c>
      <c r="V16" s="23">
        <v>109.4</v>
      </c>
      <c r="W16" s="23">
        <v>109.52</v>
      </c>
      <c r="X16" s="17" t="e">
        <f ca="1">_xll.MKV("EUR.PRICING.XLS_GOVIES."&amp;$C16,X$1)</f>
        <v>#NAME?</v>
      </c>
      <c r="Y16" s="17" t="e">
        <f ca="1">_xll.MKV("EUR.PRICING.XLS_GOVIES."&amp;$C16,Y$1)</f>
        <v>#NAME?</v>
      </c>
      <c r="Z16" s="25">
        <f ca="1">IF(ISNA(C16),NA(),_xll.qlBondYieldFromCleanPrice(C16,P16,YieldDayCounter,YieldCompounding,YieldFrequency))</f>
        <v>1.1372848832048477E-2</v>
      </c>
      <c r="AA16" s="19" t="b">
        <v>1</v>
      </c>
      <c r="AB16" s="26" t="b">
        <f t="shared" si="4"/>
        <v>1</v>
      </c>
      <c r="AC16" s="24">
        <f ca="1">IF(ISNA(C16),NA(),M16-_xll.qlQuoteValue(H16))</f>
        <v>-8.196559520001756E-7</v>
      </c>
      <c r="AD16" s="11"/>
      <c r="AE16" s="1"/>
      <c r="AF16" s="72" t="str">
        <f t="shared" si="5"/>
        <v>BTP 2018-12-01 3.5%</v>
      </c>
      <c r="AG16" s="139" t="e">
        <f ca="1">_xll.BDP(C16&amp;" Corp", "days to mty")</f>
        <v>#NAME?</v>
      </c>
      <c r="AH16" s="145" t="e">
        <f ca="1">IF(ISNA(ROUND(VLOOKUP(AG16,Contribution!C:J,8,FALSE),2)),"",ROUND(VLOOKUP(AG16,Contribution!C:J,8,FALSE),2))</f>
        <v>#NAME?</v>
      </c>
      <c r="AI16" s="142" t="str">
        <f t="shared" ca="1" si="10"/>
        <v/>
      </c>
      <c r="AJ16" s="1"/>
      <c r="AK16" s="1"/>
      <c r="AL16" s="1"/>
    </row>
    <row r="17" spans="1:39" x14ac:dyDescent="0.2">
      <c r="A17" s="4"/>
      <c r="B17" s="22" t="str">
        <f>IF(ISNA(C17),NA(),_xll.qlBondDescription(C17,Trigger))</f>
        <v>BTP 2019-02-01 4.25%</v>
      </c>
      <c r="C17" s="16" t="str">
        <v>IT0003493258</v>
      </c>
      <c r="D17" s="18">
        <f>IF(ISNA(C17),NA(),_xll.qlBondMaturityDate(C17,Trigger))</f>
        <v>43497</v>
      </c>
      <c r="E17" s="19">
        <f>IF(ISNA(C17),NA(),_xll.qlBondNextCouponRate(C17,BondSettlementDate))</f>
        <v>4.2500000000000003E-2</v>
      </c>
      <c r="F17" s="30">
        <f>IF(ISNA(C17),NA(),_xll.qlBondRedemptionAmount(C17,Trigger))</f>
        <v>100</v>
      </c>
      <c r="G17" s="17" t="str">
        <f t="shared" si="6"/>
        <v>IT0003493258_Quote</v>
      </c>
      <c r="H17" s="27" t="str">
        <f t="shared" si="7"/>
        <v>IT0003493258_Quote</v>
      </c>
      <c r="I17" s="16" t="str">
        <f>IF(LEFT(B17,3)="BTP",_xll.qlBTP2(,B17,D17,E17,F17,,,,Trigger),_xll.qlCCTEU(,B17,D17,E17,F17,,,,Trigger))</f>
        <v>obj_00f93#0000</v>
      </c>
      <c r="J17" s="31" t="str">
        <f>_xll.qlBondHelper(,H17,I17)</f>
        <v>obj_01014#0000</v>
      </c>
      <c r="K17" s="26" t="str">
        <f>_xll.qlBTP2(,B17,D17,E17,F17,,,,Trigger)</f>
        <v>obj_00fcf#0000</v>
      </c>
      <c r="L17" s="26" t="b">
        <f>_xll.qlInstrumentSetPricingEngine(K17,BondPricingEngine)</f>
        <v>1</v>
      </c>
      <c r="M17" s="23">
        <f ca="1">_xll.qlBondCleanPrice(K17,AND(ISERROR(L17),ISERROR(N17)))</f>
        <v>112.78499978261051</v>
      </c>
      <c r="N17" s="27">
        <f ca="1">_xll.qlSimpleQuoteSetValue(G17,P17)</f>
        <v>4.9999999999954525E-3</v>
      </c>
      <c r="O17" s="29" t="e">
        <f>_xll.qlSimpleQuoteSetValue(#REF!,Q17)</f>
        <v>#VALUE!</v>
      </c>
      <c r="P17" s="27">
        <f t="shared" ca="1" si="0"/>
        <v>112.785</v>
      </c>
      <c r="Q17" s="23">
        <f t="shared" si="1"/>
        <v>0</v>
      </c>
      <c r="R17" s="24">
        <f t="shared" si="2"/>
        <v>0.12999999999999545</v>
      </c>
      <c r="S17" s="28" t="e">
        <f t="shared" ca="1" si="3"/>
        <v>#NAME?</v>
      </c>
      <c r="T17" s="23" t="e">
        <f t="shared" ca="1" si="8"/>
        <v>#VALUE!</v>
      </c>
      <c r="U17" s="26" t="str">
        <f t="shared" si="9"/>
        <v>IT349325=TT</v>
      </c>
      <c r="V17" s="23">
        <v>112.72</v>
      </c>
      <c r="W17" s="23">
        <v>112.85</v>
      </c>
      <c r="X17" s="17" t="e">
        <f ca="1">_xll.MKV("EUR.PRICING.XLS_GOVIES."&amp;$C17,X$1)</f>
        <v>#NAME?</v>
      </c>
      <c r="Y17" s="17" t="e">
        <f ca="1">_xll.MKV("EUR.PRICING.XLS_GOVIES."&amp;$C17,Y$1)</f>
        <v>#NAME?</v>
      </c>
      <c r="Z17" s="25">
        <f ca="1">IF(ISNA(C17),NA(),_xll.qlBondYieldFromCleanPrice(C17,P17,YieldDayCounter,YieldCompounding,YieldFrequency))</f>
        <v>1.1775521127320828E-2</v>
      </c>
      <c r="AA17" s="19" t="b">
        <v>1</v>
      </c>
      <c r="AB17" s="26" t="b">
        <f t="shared" si="4"/>
        <v>1</v>
      </c>
      <c r="AC17" s="24">
        <f ca="1">IF(ISNA(C17),NA(),M17-_xll.qlQuoteValue(H17))</f>
        <v>-2.1738948419169901E-7</v>
      </c>
      <c r="AD17" s="11"/>
      <c r="AE17" s="1"/>
      <c r="AF17" s="72" t="str">
        <f t="shared" si="5"/>
        <v>BTP 2019-02-01 4.25%</v>
      </c>
      <c r="AG17" s="139" t="e">
        <f ca="1">_xll.BDP(C17&amp;" Corp", "days to mty")</f>
        <v>#NAME?</v>
      </c>
      <c r="AH17" s="145" t="e">
        <f ca="1">IF(ISNA(ROUND(VLOOKUP(AG17,Contribution!C:J,8,FALSE),2)),"",ROUND(VLOOKUP(AG17,Contribution!C:J,8,FALSE),2))</f>
        <v>#NAME?</v>
      </c>
      <c r="AI17" s="142" t="str">
        <f t="shared" ca="1" si="10"/>
        <v/>
      </c>
      <c r="AJ17" s="1"/>
      <c r="AK17" s="1"/>
      <c r="AL17" s="1"/>
    </row>
    <row r="18" spans="1:39" x14ac:dyDescent="0.2">
      <c r="A18" s="4"/>
      <c r="B18" s="22" t="str">
        <f>IF(ISNA(C18),NA(),_xll.qlBondDescription(C18,Trigger))</f>
        <v>BTP 2019-03-01 4.5%</v>
      </c>
      <c r="C18" s="16" t="str">
        <v>IT0004423957</v>
      </c>
      <c r="D18" s="18">
        <f>IF(ISNA(C18),NA(),_xll.qlBondMaturityDate(C18,Trigger))</f>
        <v>43525</v>
      </c>
      <c r="E18" s="19">
        <f>IF(ISNA(C18),NA(),_xll.qlBondNextCouponRate(C18,BondSettlementDate))</f>
        <v>4.4999999999999998E-2</v>
      </c>
      <c r="F18" s="30">
        <f>IF(ISNA(C18),NA(),_xll.qlBondRedemptionAmount(C18,Trigger))</f>
        <v>100</v>
      </c>
      <c r="G18" s="17" t="str">
        <f t="shared" si="6"/>
        <v>IT0004423957_Quote</v>
      </c>
      <c r="H18" s="27" t="str">
        <f t="shared" si="7"/>
        <v>IT0004423957_Quote</v>
      </c>
      <c r="I18" s="16" t="str">
        <f>IF(LEFT(B18,3)="BTP",_xll.qlBTP2(,B18,D18,E18,F18,,,,Trigger),_xll.qlCCTEU(,B18,D18,E18,F18,,,,Trigger))</f>
        <v>obj_00fde#0000</v>
      </c>
      <c r="J18" s="31" t="str">
        <f>_xll.qlBondHelper(,H18,I18)</f>
        <v>obj_0102c#0000</v>
      </c>
      <c r="K18" s="26" t="str">
        <f>_xll.qlBTP2(,B18,D18,E18,F18,,,,Trigger)</f>
        <v>obj_00fd6#0000</v>
      </c>
      <c r="L18" s="26" t="b">
        <f>_xll.qlInstrumentSetPricingEngine(K18,BondPricingEngine)</f>
        <v>1</v>
      </c>
      <c r="M18" s="23">
        <f ca="1">_xll.qlBondCleanPrice(K18,AND(ISERROR(L18),ISERROR(N18)))</f>
        <v>114.04999883978714</v>
      </c>
      <c r="N18" s="27">
        <f ca="1">_xll.qlSimpleQuoteSetValue(G18,P18)</f>
        <v>0</v>
      </c>
      <c r="O18" s="29" t="e">
        <f>_xll.qlSimpleQuoteSetValue(#REF!,Q18)</f>
        <v>#VALUE!</v>
      </c>
      <c r="P18" s="27">
        <f t="shared" ca="1" si="0"/>
        <v>114.05</v>
      </c>
      <c r="Q18" s="23">
        <f t="shared" si="1"/>
        <v>0</v>
      </c>
      <c r="R18" s="24">
        <f t="shared" si="2"/>
        <v>0.12000000000000455</v>
      </c>
      <c r="S18" s="28" t="e">
        <f t="shared" ca="1" si="3"/>
        <v>#NAME?</v>
      </c>
      <c r="T18" s="23" t="e">
        <f t="shared" ca="1" si="8"/>
        <v>#VALUE!</v>
      </c>
      <c r="U18" s="26" t="str">
        <f t="shared" si="9"/>
        <v>IT442395=TT</v>
      </c>
      <c r="V18" s="23">
        <v>113.99</v>
      </c>
      <c r="W18" s="23">
        <v>114.11</v>
      </c>
      <c r="X18" s="17" t="e">
        <f ca="1">_xll.MKV("EUR.PRICING.XLS_GOVIES."&amp;$C18,X$1)</f>
        <v>#NAME?</v>
      </c>
      <c r="Y18" s="17" t="e">
        <f ca="1">_xll.MKV("EUR.PRICING.XLS_GOVIES."&amp;$C18,Y$1)</f>
        <v>#NAME?</v>
      </c>
      <c r="Z18" s="25">
        <f ca="1">IF(ISNA(C18),NA(),_xll.qlBondYieldFromCleanPrice(C18,P18,YieldDayCounter,YieldCompounding,YieldFrequency))</f>
        <v>1.1847362541072076E-2</v>
      </c>
      <c r="AA18" s="19" t="b">
        <v>1</v>
      </c>
      <c r="AB18" s="26" t="b">
        <f t="shared" si="4"/>
        <v>1</v>
      </c>
      <c r="AC18" s="24">
        <f ca="1">IF(ISNA(C18),NA(),M18-_xll.qlQuoteValue(H18))</f>
        <v>-1.1602128608956264E-6</v>
      </c>
      <c r="AD18" s="11"/>
      <c r="AE18" s="1"/>
      <c r="AF18" s="72" t="str">
        <f t="shared" si="5"/>
        <v>BTP 2019-03-01 4.5%</v>
      </c>
      <c r="AG18" s="139" t="e">
        <f ca="1">_xll.BDP(C18&amp;" Corp", "days to mty")</f>
        <v>#NAME?</v>
      </c>
      <c r="AH18" s="145" t="e">
        <f ca="1">IF(ISNA(ROUND(VLOOKUP(AG18,Contribution!C:J,8,FALSE),2)),"",ROUND(VLOOKUP(AG18,Contribution!C:J,8,FALSE),2))</f>
        <v>#NAME?</v>
      </c>
      <c r="AI18" s="142" t="str">
        <f t="shared" ca="1" si="10"/>
        <v/>
      </c>
      <c r="AJ18" s="1"/>
      <c r="AK18" s="1"/>
      <c r="AL18" s="1"/>
    </row>
    <row r="19" spans="1:39" x14ac:dyDescent="0.2">
      <c r="A19" s="4"/>
      <c r="B19" s="22" t="str">
        <f>IF(ISNA(C19),NA(),_xll.qlBondDescription(C19,Trigger))</f>
        <v>BTP 2019-09-01 4.25%</v>
      </c>
      <c r="C19" s="16" t="str">
        <v>IT0004489610</v>
      </c>
      <c r="D19" s="18">
        <f>IF(ISNA(C19),NA(),_xll.qlBondMaturityDate(C19,Trigger))</f>
        <v>43709</v>
      </c>
      <c r="E19" s="19">
        <f>IF(ISNA(C19),NA(),_xll.qlBondNextCouponRate(C19,BondSettlementDate))</f>
        <v>4.2500000000000003E-2</v>
      </c>
      <c r="F19" s="30">
        <f>IF(ISNA(C19),NA(),_xll.qlBondRedemptionAmount(C19,Trigger))</f>
        <v>100</v>
      </c>
      <c r="G19" s="17" t="str">
        <f t="shared" si="6"/>
        <v>IT0004489610_Quote</v>
      </c>
      <c r="H19" s="27" t="str">
        <f t="shared" si="7"/>
        <v>IT0004489610_Quote</v>
      </c>
      <c r="I19" s="16" t="str">
        <f>IF(LEFT(B19,3)="BTP",_xll.qlBTP2(,B19,D19,E19,F19,,,,Trigger),_xll.qlCCTEU(,B19,D19,E19,F19,,,,Trigger))</f>
        <v>obj_00fe3#0000</v>
      </c>
      <c r="J19" s="31" t="str">
        <f>_xll.qlBondHelper(,H19,I19)</f>
        <v>obj_00fed#0000</v>
      </c>
      <c r="K19" s="26" t="str">
        <f>_xll.qlBTP2(,B19,D19,E19,F19,,,,Trigger)</f>
        <v>obj_00fb5#0000</v>
      </c>
      <c r="L19" s="26" t="b">
        <f>_xll.qlInstrumentSetPricingEngine(K19,BondPricingEngine)</f>
        <v>1</v>
      </c>
      <c r="M19" s="23">
        <f ca="1">_xll.qlBondCleanPrice(K19,AND(ISERROR(L19),ISERROR(N19)))</f>
        <v>113.81499723756563</v>
      </c>
      <c r="N19" s="27">
        <f ca="1">_xll.qlSimpleQuoteSetValue(G19,P19)</f>
        <v>0</v>
      </c>
      <c r="O19" s="29" t="e">
        <f>_xll.qlSimpleQuoteSetValue(#REF!,Q19)</f>
        <v>#VALUE!</v>
      </c>
      <c r="P19" s="27">
        <f t="shared" ca="1" si="0"/>
        <v>113.815</v>
      </c>
      <c r="Q19" s="23">
        <f t="shared" si="1"/>
        <v>0</v>
      </c>
      <c r="R19" s="24">
        <f t="shared" si="2"/>
        <v>0.12999999999999545</v>
      </c>
      <c r="S19" s="28" t="e">
        <f t="shared" ca="1" si="3"/>
        <v>#NAME?</v>
      </c>
      <c r="T19" s="23" t="e">
        <f t="shared" ca="1" si="8"/>
        <v>#VALUE!</v>
      </c>
      <c r="U19" s="26" t="str">
        <f t="shared" si="9"/>
        <v>IT448961=TT</v>
      </c>
      <c r="V19" s="23">
        <v>113.75</v>
      </c>
      <c r="W19" s="23">
        <v>113.88</v>
      </c>
      <c r="X19" s="17" t="e">
        <f ca="1">_xll.MKV("EUR.PRICING.XLS_GOVIES."&amp;$C19,X$1)</f>
        <v>#NAME?</v>
      </c>
      <c r="Y19" s="17" t="e">
        <f ca="1">_xll.MKV("EUR.PRICING.XLS_GOVIES."&amp;$C19,Y$1)</f>
        <v>#NAME?</v>
      </c>
      <c r="Z19" s="25">
        <f ca="1">IF(ISNA(C19),NA(),_xll.qlBondYieldFromCleanPrice(C19,P19,YieldDayCounter,YieldCompounding,YieldFrequency))</f>
        <v>1.3081664974950259E-2</v>
      </c>
      <c r="AA19" s="19" t="b">
        <v>1</v>
      </c>
      <c r="AB19" s="26" t="b">
        <f t="shared" si="4"/>
        <v>1</v>
      </c>
      <c r="AC19" s="24">
        <f ca="1">IF(ISNA(C19),NA(),M19-_xll.qlQuoteValue(H19))</f>
        <v>-2.7624343630350268E-6</v>
      </c>
      <c r="AD19" s="11"/>
      <c r="AE19" s="1"/>
      <c r="AF19" s="72" t="str">
        <f t="shared" si="5"/>
        <v>BTP 2019-09-01 4.25%</v>
      </c>
      <c r="AG19" s="139" t="e">
        <f ca="1">_xll.BDP(C19&amp;" Corp", "days to mty")</f>
        <v>#NAME?</v>
      </c>
      <c r="AH19" s="145" t="e">
        <f ca="1">IF(ISNA(ROUND(VLOOKUP(AG19,Contribution!C:J,8,FALSE),2)),"",ROUND(VLOOKUP(AG19,Contribution!C:J,8,FALSE),2))</f>
        <v>#NAME?</v>
      </c>
      <c r="AI19" s="142" t="str">
        <f t="shared" ca="1" si="10"/>
        <v/>
      </c>
      <c r="AJ19" s="1"/>
      <c r="AK19" s="1"/>
      <c r="AL19" s="1"/>
    </row>
    <row r="20" spans="1:39" x14ac:dyDescent="0.2">
      <c r="A20" s="4"/>
      <c r="B20" s="22" t="str">
        <f>IF(ISNA(C20),NA(),_xll.qlBondDescription(C20,Trigger))</f>
        <v>BTP 2020-02-01 4.5%</v>
      </c>
      <c r="C20" s="16" t="str">
        <v>IT0003644769</v>
      </c>
      <c r="D20" s="18">
        <f>IF(ISNA(C20),NA(),_xll.qlBondMaturityDate(C20,Trigger))</f>
        <v>43862</v>
      </c>
      <c r="E20" s="19">
        <f>IF(ISNA(C20),NA(),_xll.qlBondNextCouponRate(C20,BondSettlementDate))</f>
        <v>4.4999999999999998E-2</v>
      </c>
      <c r="F20" s="30">
        <f>IF(ISNA(C20),NA(),_xll.qlBondRedemptionAmount(C20,Trigger))</f>
        <v>100</v>
      </c>
      <c r="G20" s="17" t="str">
        <f t="shared" si="6"/>
        <v>IT0003644769_Quote</v>
      </c>
      <c r="H20" s="27" t="str">
        <f t="shared" si="7"/>
        <v>IT0003644769_Quote</v>
      </c>
      <c r="I20" s="16" t="str">
        <f>IF(LEFT(B20,3)="BTP",_xll.qlBTP2(,B20,D20,E20,F20,,,,Trigger),_xll.qlCCTEU(,B20,D20,E20,F20,,,,Trigger))</f>
        <v>obj_00fcc#0000</v>
      </c>
      <c r="J20" s="31" t="str">
        <f>_xll.qlBondHelper(,H20,I20)</f>
        <v>obj_01027#0000</v>
      </c>
      <c r="K20" s="26" t="str">
        <f>_xll.qlBTP2(,B20,D20,E20,F20,,,,Trigger)</f>
        <v>obj_00fe7#0000</v>
      </c>
      <c r="L20" s="26" t="b">
        <f>_xll.qlInstrumentSetPricingEngine(K20,BondPricingEngine)</f>
        <v>1</v>
      </c>
      <c r="M20" s="23">
        <f ca="1">_xll.qlBondCleanPrice(K20,AND(ISERROR(L20),ISERROR(N20)))</f>
        <v>115.52999565218353</v>
      </c>
      <c r="N20" s="27">
        <f ca="1">_xll.qlSimpleQuoteSetValue(G20,P20)</f>
        <v>0</v>
      </c>
      <c r="O20" s="29" t="e">
        <f>_xll.qlSimpleQuoteSetValue(#REF!,Q20)</f>
        <v>#VALUE!</v>
      </c>
      <c r="P20" s="27">
        <f t="shared" ca="1" si="0"/>
        <v>115.53</v>
      </c>
      <c r="Q20" s="23">
        <f t="shared" si="1"/>
        <v>0</v>
      </c>
      <c r="R20" s="24">
        <f t="shared" si="2"/>
        <v>7.9999999999998295E-2</v>
      </c>
      <c r="S20" s="28" t="e">
        <f t="shared" ca="1" si="3"/>
        <v>#NAME?</v>
      </c>
      <c r="T20" s="23" t="e">
        <f t="shared" ca="1" si="8"/>
        <v>#VALUE!</v>
      </c>
      <c r="U20" s="26" t="str">
        <f t="shared" si="9"/>
        <v>IT364476=TT</v>
      </c>
      <c r="V20" s="23">
        <v>115.49</v>
      </c>
      <c r="W20" s="23">
        <v>115.57</v>
      </c>
      <c r="X20" s="17" t="e">
        <f ca="1">_xll.MKV("EUR.PRICING.XLS_GOVIES."&amp;$C20,X$1)</f>
        <v>#NAME?</v>
      </c>
      <c r="Y20" s="17" t="e">
        <f ca="1">_xll.MKV("EUR.PRICING.XLS_GOVIES."&amp;$C20,Y$1)</f>
        <v>#NAME?</v>
      </c>
      <c r="Z20" s="25">
        <f ca="1">IF(ISNA(C20),NA(),_xll.qlBondYieldFromCleanPrice(C20,P20,YieldDayCounter,YieldCompounding,YieldFrequency))</f>
        <v>1.4358212160530619E-2</v>
      </c>
      <c r="AA20" s="19" t="b">
        <v>1</v>
      </c>
      <c r="AB20" s="26" t="b">
        <f t="shared" si="4"/>
        <v>1</v>
      </c>
      <c r="AC20" s="24">
        <f ca="1">IF(ISNA(C20),NA(),M20-_xll.qlQuoteValue(H20))</f>
        <v>-4.3478164712951184E-6</v>
      </c>
      <c r="AD20" s="11"/>
      <c r="AE20" s="1"/>
      <c r="AF20" s="72" t="str">
        <f t="shared" si="5"/>
        <v>BTP 2020-02-01 4.5%</v>
      </c>
      <c r="AG20" s="139" t="e">
        <f ca="1">_xll.BDP(C20&amp;" Corp", "days to mty")</f>
        <v>#NAME?</v>
      </c>
      <c r="AH20" s="145" t="e">
        <f ca="1">IF(ISNA(ROUND(VLOOKUP(AG20,Contribution!C:J,8,FALSE),2)),"",ROUND(VLOOKUP(AG20,Contribution!C:J,8,FALSE),2))</f>
        <v>#NAME?</v>
      </c>
      <c r="AI20" s="142" t="str">
        <f t="shared" ca="1" si="10"/>
        <v/>
      </c>
      <c r="AJ20" s="1"/>
      <c r="AK20" s="1"/>
      <c r="AL20" s="1"/>
    </row>
    <row r="21" spans="1:39" x14ac:dyDescent="0.2">
      <c r="A21" s="4"/>
      <c r="B21" s="22" t="str">
        <f>IF(ISNA(C21),NA(),_xll.qlBondDescription(C21,Trigger))</f>
        <v>BTP 2020-03-01 4.25%</v>
      </c>
      <c r="C21" s="16" t="str">
        <v>IT0004536949</v>
      </c>
      <c r="D21" s="18">
        <f>IF(ISNA(C21),NA(),_xll.qlBondMaturityDate(C21,Trigger))</f>
        <v>43891</v>
      </c>
      <c r="E21" s="19">
        <f>IF(ISNA(C21),NA(),_xll.qlBondNextCouponRate(C21,BondSettlementDate))</f>
        <v>4.2500000000000003E-2</v>
      </c>
      <c r="F21" s="30">
        <f>IF(ISNA(C21),NA(),_xll.qlBondRedemptionAmount(C21,Trigger))</f>
        <v>100</v>
      </c>
      <c r="G21" s="17" t="str">
        <f t="shared" si="6"/>
        <v>IT0004536949_Quote</v>
      </c>
      <c r="H21" s="27" t="str">
        <f t="shared" si="7"/>
        <v>IT0004536949_Quote</v>
      </c>
      <c r="I21" s="16" t="str">
        <f>IF(LEFT(B21,3)="BTP",_xll.qlBTP2(,B21,D21,E21,F21,,,,Trigger),_xll.qlCCTEU(,B21,D21,E21,F21,,,,Trigger))</f>
        <v>obj_00f94#0000</v>
      </c>
      <c r="J21" s="31" t="str">
        <f>_xll.qlBondHelper(,H21,I21)</f>
        <v>obj_01006#0000</v>
      </c>
      <c r="K21" s="26" t="str">
        <f>_xll.qlBTP2(,B21,D21,E21,F21,,,,Trigger)</f>
        <v>obj_00f9e#0000</v>
      </c>
      <c r="L21" s="26" t="b">
        <f>_xll.qlInstrumentSetPricingEngine(K21,BondPricingEngine)</f>
        <v>1</v>
      </c>
      <c r="M21" s="23">
        <f ca="1">_xll.qlBondCleanPrice(K21,AND(ISERROR(L21),ISERROR(N21)))</f>
        <v>114.45499723756907</v>
      </c>
      <c r="N21" s="27">
        <f ca="1">_xll.qlSimpleQuoteSetValue(G21,P21)</f>
        <v>0</v>
      </c>
      <c r="O21" s="29" t="e">
        <f>_xll.qlSimpleQuoteSetValue(#REF!,Q21)</f>
        <v>#VALUE!</v>
      </c>
      <c r="P21" s="27">
        <f t="shared" ca="1" si="0"/>
        <v>114.455</v>
      </c>
      <c r="Q21" s="23">
        <f t="shared" si="1"/>
        <v>0</v>
      </c>
      <c r="R21" s="24">
        <f t="shared" si="2"/>
        <v>0.12999999999999545</v>
      </c>
      <c r="S21" s="28">
        <v>0</v>
      </c>
      <c r="T21" s="23">
        <v>0</v>
      </c>
      <c r="U21" s="26" t="str">
        <f t="shared" si="9"/>
        <v>IT453694=TT</v>
      </c>
      <c r="V21" s="23">
        <v>114.39</v>
      </c>
      <c r="W21" s="23">
        <v>114.52</v>
      </c>
      <c r="X21" s="17" t="e">
        <f ca="1">_xll.MKV("EUR.PRICING.XLS_GOVIES."&amp;$C21,X$1)</f>
        <v>#NAME?</v>
      </c>
      <c r="Y21" s="17" t="e">
        <f ca="1">_xll.MKV("EUR.PRICING.XLS_GOVIES."&amp;$C21,Y$1)</f>
        <v>#NAME?</v>
      </c>
      <c r="Z21" s="25">
        <f ca="1">IF(ISNA(C21),NA(),_xll.qlBondYieldFromCleanPrice(C21,P21,YieldDayCounter,YieldCompounding,YieldFrequency))</f>
        <v>1.4406573340408509E-2</v>
      </c>
      <c r="AA21" s="19" t="b">
        <v>1</v>
      </c>
      <c r="AB21" s="26" t="b">
        <f t="shared" si="4"/>
        <v>1</v>
      </c>
      <c r="AC21" s="24">
        <f ca="1">IF(ISNA(C21),NA(),M21-_xll.qlQuoteValue(H21))</f>
        <v>-2.7624309240081857E-6</v>
      </c>
      <c r="AD21" s="11"/>
      <c r="AE21" s="1"/>
      <c r="AF21" s="72" t="str">
        <f t="shared" si="5"/>
        <v>BTP 2020-03-01 4.25%</v>
      </c>
      <c r="AG21" s="139" t="e">
        <f ca="1">_xll.BDP(C21&amp;" Corp", "days to mty")</f>
        <v>#NAME?</v>
      </c>
      <c r="AH21" s="145" t="e">
        <f ca="1">IF(ISNA(ROUND(VLOOKUP(AG21,Contribution!C:J,8,FALSE),2)),"",ROUND(VLOOKUP(AG21,Contribution!C:J,8,FALSE),2))</f>
        <v>#NAME?</v>
      </c>
      <c r="AI21" s="142" t="str">
        <f t="shared" ca="1" si="10"/>
        <v/>
      </c>
      <c r="AJ21" s="1"/>
      <c r="AK21" s="1"/>
      <c r="AL21" s="1"/>
    </row>
    <row r="22" spans="1:39" x14ac:dyDescent="0.2">
      <c r="A22" s="4"/>
      <c r="B22" s="22" t="str">
        <f>IF(ISNA(C22),NA(),_xll.qlBondDescription(C22,Trigger))</f>
        <v>BTP 2020-09-01 4%</v>
      </c>
      <c r="C22" s="16" t="str">
        <v>IT0004594930</v>
      </c>
      <c r="D22" s="18">
        <f>IF(ISNA(C22),NA(),_xll.qlBondMaturityDate(C22,Trigger))</f>
        <v>44075</v>
      </c>
      <c r="E22" s="19">
        <f>IF(ISNA(C22),NA(),_xll.qlBondNextCouponRate(C22,BondSettlementDate))</f>
        <v>0.04</v>
      </c>
      <c r="F22" s="30">
        <f>IF(ISNA(C22),NA(),_xll.qlBondRedemptionAmount(C22,Trigger))</f>
        <v>100</v>
      </c>
      <c r="G22" s="17" t="str">
        <f t="shared" si="6"/>
        <v>IT0004594930_Quote</v>
      </c>
      <c r="H22" s="27" t="str">
        <f t="shared" si="7"/>
        <v>IT0004594930_Quote</v>
      </c>
      <c r="I22" s="16" t="str">
        <f>IF(LEFT(B22,3)="BTP",_xll.qlBTP2(,B22,D22,E22,F22,,,,Trigger),_xll.qlCCTEU(,B22,D22,E22,F22,,,,Trigger))</f>
        <v>obj_00f9b#0000</v>
      </c>
      <c r="J22" s="31" t="str">
        <f>_xll.qlBondHelper(,H22,I22)</f>
        <v>obj_00ff6#0000</v>
      </c>
      <c r="K22" s="26" t="str">
        <f>_xll.qlBTP2(,B22,D22,E22,F22,,,,Trigger)</f>
        <v>obj_00fd1#0000</v>
      </c>
      <c r="L22" s="26" t="b">
        <f>_xll.qlInstrumentSetPricingEngine(K22,BondPricingEngine)</f>
        <v>1</v>
      </c>
      <c r="M22" s="23">
        <f ca="1">_xll.qlBondCleanPrice(K22,AND(ISERROR(L22),ISERROR(N22)))</f>
        <v>113.40999563535911</v>
      </c>
      <c r="N22" s="27">
        <f ca="1">_xll.qlSimpleQuoteSetValue(G22,P22)</f>
        <v>0</v>
      </c>
      <c r="O22" s="29" t="e">
        <f>_xll.qlSimpleQuoteSetValue(#REF!,Q22)</f>
        <v>#VALUE!</v>
      </c>
      <c r="P22" s="27">
        <f t="shared" ca="1" si="0"/>
        <v>113.41</v>
      </c>
      <c r="Q22" s="23">
        <f t="shared" si="1"/>
        <v>0</v>
      </c>
      <c r="R22" s="24">
        <f t="shared" si="2"/>
        <v>0.12000000000000455</v>
      </c>
      <c r="S22" s="28" t="e">
        <f t="shared" ref="S22:S48" ca="1" si="11">AG22-AJ22</f>
        <v>#NAME?</v>
      </c>
      <c r="T22" s="23" t="e">
        <f t="shared" ca="1" si="8"/>
        <v>#VALUE!</v>
      </c>
      <c r="U22" s="26" t="str">
        <f t="shared" si="9"/>
        <v>IT459493=TT</v>
      </c>
      <c r="V22" s="23">
        <v>113.35</v>
      </c>
      <c r="W22" s="23">
        <v>113.47</v>
      </c>
      <c r="X22" s="17" t="e">
        <f ca="1">_xll.MKV("EUR.PRICING.XLS_GOVIES."&amp;$C22,X$1)</f>
        <v>#NAME?</v>
      </c>
      <c r="Y22" s="17" t="e">
        <f ca="1">_xll.MKV("EUR.PRICING.XLS_GOVIES."&amp;$C22,Y$1)</f>
        <v>#NAME?</v>
      </c>
      <c r="Z22" s="25">
        <f ca="1">IF(ISNA(C22),NA(),_xll.qlBondYieldFromCleanPrice(C22,P22,YieldDayCounter,YieldCompounding,YieldFrequency))</f>
        <v>1.5986330141033137E-2</v>
      </c>
      <c r="AA22" s="19" t="b">
        <v>1</v>
      </c>
      <c r="AB22" s="26" t="b">
        <f t="shared" si="4"/>
        <v>1</v>
      </c>
      <c r="AC22" s="24">
        <f ca="1">IF(ISNA(C22),NA(),M22-_xll.qlQuoteValue(H22))</f>
        <v>-4.3646408869335573E-6</v>
      </c>
      <c r="AD22" s="11"/>
      <c r="AE22" s="1"/>
      <c r="AF22" s="72" t="str">
        <f t="shared" si="5"/>
        <v>BTP 2020-09-01 4%</v>
      </c>
      <c r="AG22" s="139" t="e">
        <f ca="1">_xll.BDP(C22&amp;" Corp", "days to mty")</f>
        <v>#NAME?</v>
      </c>
      <c r="AH22" s="145" t="e">
        <f ca="1">IF(ISNA(ROUND(VLOOKUP(AG22,Contribution!C:J,8,FALSE),2)),"",ROUND(VLOOKUP(AG22,Contribution!C:J,8,FALSE),2))</f>
        <v>#NAME?</v>
      </c>
      <c r="AI22" s="142" t="str">
        <f t="shared" ca="1" si="10"/>
        <v/>
      </c>
      <c r="AJ22" s="1"/>
      <c r="AK22" s="1"/>
      <c r="AL22" s="1"/>
    </row>
    <row r="23" spans="1:39" x14ac:dyDescent="0.2">
      <c r="A23" s="4"/>
      <c r="B23" s="22" t="str">
        <f>IF(ISNA(C23),NA(),_xll.qlBondDescription(C23,Trigger))</f>
        <v>BTP 2021-03-01 3.75%</v>
      </c>
      <c r="C23" s="16" t="str">
        <v>IT0004634132</v>
      </c>
      <c r="D23" s="18">
        <f>IF(ISNA(C23),NA(),_xll.qlBondMaturityDate(C23,Trigger))</f>
        <v>44256</v>
      </c>
      <c r="E23" s="19">
        <f>IF(ISNA(C23),NA(),_xll.qlBondNextCouponRate(C23,BondSettlementDate))</f>
        <v>3.7499999999999999E-2</v>
      </c>
      <c r="F23" s="30">
        <f>IF(ISNA(C23),NA(),_xll.qlBondRedemptionAmount(C23,Trigger))</f>
        <v>100</v>
      </c>
      <c r="G23" s="17" t="str">
        <f t="shared" si="6"/>
        <v>IT0004634132_Quote</v>
      </c>
      <c r="H23" s="27" t="str">
        <f t="shared" si="7"/>
        <v>IT0004634132_Quote</v>
      </c>
      <c r="I23" s="16" t="str">
        <f>IF(LEFT(B23,3)="BTP",_xll.qlBTP2(,B23,D23,E23,F23,,,,Trigger),_xll.qlCCTEU(,B23,D23,E23,F23,,,,Trigger))</f>
        <v>obj_00fb7#0000</v>
      </c>
      <c r="J23" s="31" t="str">
        <f>_xll.qlBondHelper(,H23,I23)</f>
        <v>obj_01023#0000</v>
      </c>
      <c r="K23" s="26" t="str">
        <f>_xll.qlBTP2(,B23,D23,E23,F23,,,,Trigger)</f>
        <v>obj_00fb4#0000</v>
      </c>
      <c r="L23" s="26" t="b">
        <f>_xll.qlInstrumentSetPricingEngine(K23,BondPricingEngine)</f>
        <v>1</v>
      </c>
      <c r="M23" s="23">
        <f ca="1">_xll.qlBondCleanPrice(K23,AND(ISERROR(L23),ISERROR(N23)))</f>
        <v>111.9300040331492</v>
      </c>
      <c r="N23" s="27">
        <f ca="1">_xll.qlSimpleQuoteSetValue(G23,P23)</f>
        <v>0</v>
      </c>
      <c r="O23" s="29" t="e">
        <f>_xll.qlSimpleQuoteSetValue(#REF!,Q23)</f>
        <v>#VALUE!</v>
      </c>
      <c r="P23" s="27">
        <f t="shared" ca="1" si="0"/>
        <v>111.93</v>
      </c>
      <c r="Q23" s="23">
        <f t="shared" si="1"/>
        <v>0</v>
      </c>
      <c r="R23" s="24">
        <f t="shared" si="2"/>
        <v>0.10000000000000853</v>
      </c>
      <c r="S23" s="28" t="e">
        <f t="shared" ca="1" si="11"/>
        <v>#NAME?</v>
      </c>
      <c r="T23" s="23" t="e">
        <f t="shared" ca="1" si="8"/>
        <v>#VALUE!</v>
      </c>
      <c r="U23" s="26" t="str">
        <f t="shared" si="9"/>
        <v>IT463413=TT</v>
      </c>
      <c r="V23" s="23">
        <v>111.88</v>
      </c>
      <c r="W23" s="23">
        <v>111.98</v>
      </c>
      <c r="X23" s="17" t="e">
        <f ca="1">_xll.MKV("EUR.PRICING.XLS_GOVIES."&amp;$C23,X$1)</f>
        <v>#NAME?</v>
      </c>
      <c r="Y23" s="17" t="e">
        <f ca="1">_xll.MKV("EUR.PRICING.XLS_GOVIES."&amp;$C23,Y$1)</f>
        <v>#NAME?</v>
      </c>
      <c r="Z23" s="25">
        <f ca="1">IF(ISNA(C23),NA(),_xll.qlBondYieldFromCleanPrice(C23,P23,YieldDayCounter,YieldCompounding,YieldFrequency))</f>
        <v>1.7654825090244419E-2</v>
      </c>
      <c r="AA23" s="19" t="b">
        <v>1</v>
      </c>
      <c r="AB23" s="26" t="b">
        <f t="shared" si="4"/>
        <v>1</v>
      </c>
      <c r="AC23" s="24">
        <f ca="1">IF(ISNA(C23),NA(),M23-_xll.qlQuoteValue(H23))</f>
        <v>4.0331491959477717E-6</v>
      </c>
      <c r="AD23" s="11"/>
      <c r="AE23" s="1"/>
      <c r="AF23" s="72" t="str">
        <f t="shared" si="5"/>
        <v>BTP 2021-03-01 3.75%</v>
      </c>
      <c r="AG23" s="139" t="e">
        <f ca="1">_xll.BDP(C23&amp;" Corp", "days to mty")</f>
        <v>#NAME?</v>
      </c>
      <c r="AH23" s="145" t="e">
        <f ca="1">IF(ISNA(ROUND(VLOOKUP(AG23,Contribution!C:J,8,FALSE),2)),"",ROUND(VLOOKUP(AG23,Contribution!C:J,8,FALSE),2))</f>
        <v>#NAME?</v>
      </c>
      <c r="AI23" s="142" t="str">
        <f t="shared" ca="1" si="10"/>
        <v/>
      </c>
      <c r="AJ23" s="1"/>
      <c r="AK23" s="1"/>
      <c r="AL23" s="1"/>
    </row>
    <row r="24" spans="1:39" x14ac:dyDescent="0.2">
      <c r="A24" s="4"/>
      <c r="B24" s="22" t="str">
        <f>IF(ISNA(C24),NA(),_xll.qlBondDescription(C24,Trigger))</f>
        <v>BTP 2021-05-01 3.75%</v>
      </c>
      <c r="C24" s="16" t="str">
        <v>IT0004966401</v>
      </c>
      <c r="D24" s="18">
        <f>IF(ISNA(C24),NA(),_xll.qlBondMaturityDate(C24,Trigger))</f>
        <v>44317</v>
      </c>
      <c r="E24" s="19">
        <f>IF(ISNA(C24),NA(),_xll.qlBondNextCouponRate(C24,BondSettlementDate))</f>
        <v>3.7499999999999999E-2</v>
      </c>
      <c r="F24" s="30">
        <f>IF(ISNA(C24),NA(),_xll.qlBondRedemptionAmount(C24,Trigger))</f>
        <v>100</v>
      </c>
      <c r="G24" s="17" t="str">
        <f t="shared" si="6"/>
        <v>IT0004966401_Quote</v>
      </c>
      <c r="H24" s="27" t="str">
        <f t="shared" si="7"/>
        <v>IT0004966401_Quote</v>
      </c>
      <c r="I24" s="16" t="str">
        <f>IF(LEFT(B24,3)="BTP",_xll.qlBTP2(,B24,D24,E24,F24,,,,Trigger),_xll.qlCCTEU(,B24,D24,E24,F24,,,,Trigger))</f>
        <v>obj_00fc0#0000</v>
      </c>
      <c r="J24" s="31" t="str">
        <f>_xll.qlBondHelper(,H24,I24)</f>
        <v>obj_00ffe#0000</v>
      </c>
      <c r="K24" s="26" t="str">
        <f>_xll.qlBTP2(,B24,D24,E24,F24,,,,Trigger)</f>
        <v>obj_00fdd#0000</v>
      </c>
      <c r="L24" s="26" t="b">
        <f>_xll.qlInstrumentSetPricingEngine(K24,BondPricingEngine)</f>
        <v>1</v>
      </c>
      <c r="M24" s="23">
        <f ca="1">_xll.qlBondCleanPrice(K24,AND(ISERROR(L24),ISERROR(N24)))</f>
        <v>111.60999804353155</v>
      </c>
      <c r="N24" s="27">
        <f ca="1">_xll.qlSimpleQuoteSetValue(G24,P24)</f>
        <v>0</v>
      </c>
      <c r="O24" s="29" t="e">
        <f>_xll.qlSimpleQuoteSetValue(#REF!,Q24)</f>
        <v>#VALUE!</v>
      </c>
      <c r="P24" s="27">
        <f t="shared" ca="1" si="0"/>
        <v>111.61</v>
      </c>
      <c r="Q24" s="23">
        <f t="shared" si="1"/>
        <v>0</v>
      </c>
      <c r="R24" s="24">
        <f t="shared" si="2"/>
        <v>8.0000000000012506E-2</v>
      </c>
      <c r="S24" s="28" t="e">
        <f t="shared" ca="1" si="11"/>
        <v>#NAME?</v>
      </c>
      <c r="T24" s="23" t="e">
        <f t="shared" ca="1" si="8"/>
        <v>#VALUE!</v>
      </c>
      <c r="U24" s="26" t="str">
        <f t="shared" si="9"/>
        <v>IT496640=TT</v>
      </c>
      <c r="V24" s="23">
        <v>111.57</v>
      </c>
      <c r="W24" s="23">
        <v>111.65</v>
      </c>
      <c r="X24" s="17" t="e">
        <f ca="1">_xll.MKV("EUR.PRICING.XLS_GOVIES."&amp;$C24,X$1)</f>
        <v>#NAME?</v>
      </c>
      <c r="Y24" s="17" t="e">
        <f ca="1">_xll.MKV("EUR.PRICING.XLS_GOVIES."&amp;$C24,Y$1)</f>
        <v>#NAME?</v>
      </c>
      <c r="Z24" s="25">
        <f ca="1">IF(ISNA(C24),NA(),_xll.qlBondYieldFromCleanPrice(C24,P24,YieldDayCounter,YieldCompounding,YieldFrequency))</f>
        <v>1.8595342631265523E-2</v>
      </c>
      <c r="AA24" s="19" t="b">
        <v>1</v>
      </c>
      <c r="AB24" s="26" t="b">
        <f t="shared" si="4"/>
        <v>1</v>
      </c>
      <c r="AC24" s="24">
        <f ca="1">IF(ISNA(C24),NA(),M24-_xll.qlQuoteValue(H24))</f>
        <v>-1.9564684521355957E-6</v>
      </c>
      <c r="AD24" s="11"/>
      <c r="AE24" s="1"/>
      <c r="AF24" s="72" t="str">
        <f t="shared" si="5"/>
        <v>BTP 2021-05-01 3.75%</v>
      </c>
      <c r="AG24" s="139" t="e">
        <f ca="1">_xll.BDP(C24&amp;" Corp", "days to mty")</f>
        <v>#NAME?</v>
      </c>
      <c r="AH24" s="145" t="e">
        <f ca="1">IF(ISNA(ROUND(VLOOKUP(AG24,Contribution!C:J,8,FALSE),2)),"",ROUND(VLOOKUP(AG24,Contribution!C:J,8,FALSE),2))</f>
        <v>#NAME?</v>
      </c>
      <c r="AI24" s="142" t="str">
        <f t="shared" ca="1" si="10"/>
        <v/>
      </c>
      <c r="AJ24" s="1"/>
      <c r="AK24" s="1"/>
      <c r="AL24" s="1"/>
    </row>
    <row r="25" spans="1:39" x14ac:dyDescent="0.2">
      <c r="A25" s="4"/>
      <c r="B25" s="22" t="str">
        <f>IF(ISNA(C25),NA(),_xll.qlBondDescription(C25,Trigger))</f>
        <v>BTP 2021-08-01 3.75%</v>
      </c>
      <c r="C25" s="16" t="str">
        <v>IT0004009673</v>
      </c>
      <c r="D25" s="18">
        <f>IF(ISNA(C25),NA(),_xll.qlBondMaturityDate(C25,Trigger))</f>
        <v>44409</v>
      </c>
      <c r="E25" s="19">
        <f>IF(ISNA(C25),NA(),_xll.qlBondNextCouponRate(C25,BondSettlementDate))</f>
        <v>3.7499999999999999E-2</v>
      </c>
      <c r="F25" s="30">
        <f>IF(ISNA(C25),NA(),_xll.qlBondRedemptionAmount(C25,Trigger))</f>
        <v>100</v>
      </c>
      <c r="G25" s="17" t="str">
        <f t="shared" si="6"/>
        <v>IT0004009673_Quote</v>
      </c>
      <c r="H25" s="27" t="str">
        <f t="shared" si="7"/>
        <v>IT0004009673_Quote</v>
      </c>
      <c r="I25" s="16" t="str">
        <f>IF(LEFT(B25,3)="BTP",_xll.qlBTP2(,B25,D25,E25,F25,,,,Trigger),_xll.qlCCTEU(,B25,D25,E25,F25,,,,Trigger))</f>
        <v>obj_00f90#0000</v>
      </c>
      <c r="J25" s="31" t="str">
        <f>_xll.qlBondHelper(,H25,I25)</f>
        <v>obj_01030#0000</v>
      </c>
      <c r="K25" s="26" t="str">
        <f>_xll.qlBTP2(,B25,D25,E25,F25,,,,Trigger)</f>
        <v>obj_00f8f#0000</v>
      </c>
      <c r="L25" s="26" t="b">
        <f>_xll.qlInstrumentSetPricingEngine(K25,BondPricingEngine)</f>
        <v>1</v>
      </c>
      <c r="M25" s="23">
        <f ca="1">_xll.qlBondCleanPrice(K25,AND(ISERROR(L25),ISERROR(N25)))</f>
        <v>111.58999804352473</v>
      </c>
      <c r="N25" s="27">
        <f ca="1">_xll.qlSimpleQuoteSetValue(G25,P25)</f>
        <v>0</v>
      </c>
      <c r="O25" s="29" t="e">
        <f>_xll.qlSimpleQuoteSetValue(#REF!,Q25)</f>
        <v>#VALUE!</v>
      </c>
      <c r="P25" s="27">
        <f t="shared" ca="1" si="0"/>
        <v>111.59</v>
      </c>
      <c r="Q25" s="23">
        <f t="shared" si="1"/>
        <v>0</v>
      </c>
      <c r="R25" s="24">
        <f t="shared" si="2"/>
        <v>9.9999999999994316E-2</v>
      </c>
      <c r="S25" s="28" t="e">
        <f t="shared" ca="1" si="11"/>
        <v>#NAME?</v>
      </c>
      <c r="T25" s="23" t="e">
        <f t="shared" ca="1" si="8"/>
        <v>#VALUE!</v>
      </c>
      <c r="U25" s="26" t="str">
        <f t="shared" si="9"/>
        <v>IT400967=TT</v>
      </c>
      <c r="V25" s="23">
        <v>111.54</v>
      </c>
      <c r="W25" s="23">
        <v>111.64</v>
      </c>
      <c r="X25" s="17" t="e">
        <f ca="1">_xll.MKV("EUR.PRICING.XLS_GOVIES."&amp;$C25,X$1)</f>
        <v>#NAME?</v>
      </c>
      <c r="Y25" s="17" t="e">
        <f ca="1">_xll.MKV("EUR.PRICING.XLS_GOVIES."&amp;$C25,Y$1)</f>
        <v>#NAME?</v>
      </c>
      <c r="Z25" s="25">
        <f ca="1">IF(ISNA(C25),NA(),_xll.qlBondYieldFromCleanPrice(C25,P25,YieldDayCounter,YieldCompounding,YieldFrequency))</f>
        <v>1.9255307868495591E-2</v>
      </c>
      <c r="AA25" s="19" t="b">
        <v>1</v>
      </c>
      <c r="AB25" s="26" t="b">
        <f t="shared" si="4"/>
        <v>1</v>
      </c>
      <c r="AC25" s="24">
        <f ca="1">IF(ISNA(C25),NA(),M25-_xll.qlQuoteValue(H25))</f>
        <v>-1.956475273345859E-6</v>
      </c>
      <c r="AD25" s="11"/>
      <c r="AE25" s="1"/>
      <c r="AF25" s="72" t="str">
        <f t="shared" si="5"/>
        <v>BTP 2021-08-01 3.75%</v>
      </c>
      <c r="AG25" s="139" t="e">
        <f ca="1">_xll.BDP(C25&amp;" Corp", "days to mty")</f>
        <v>#NAME?</v>
      </c>
      <c r="AH25" s="145" t="e">
        <f ca="1">IF(ISNA(ROUND(VLOOKUP(AG25,Contribution!C:J,8,FALSE),2)),"",ROUND(VLOOKUP(AG25,Contribution!C:J,8,FALSE),2))</f>
        <v>#NAME?</v>
      </c>
      <c r="AI25" s="142" t="str">
        <f t="shared" ca="1" si="10"/>
        <v/>
      </c>
      <c r="AJ25" s="1"/>
      <c r="AK25" s="1"/>
      <c r="AL25" s="1"/>
    </row>
    <row r="26" spans="1:39" x14ac:dyDescent="0.2">
      <c r="A26" s="4"/>
      <c r="B26" s="22" t="str">
        <f>IF(ISNA(C26),NA(),_xll.qlBondDescription(C26,Trigger))</f>
        <v>BTP 2021-09-01 4.75%</v>
      </c>
      <c r="C26" s="16" t="str">
        <v>IT0004695075</v>
      </c>
      <c r="D26" s="18">
        <f>IF(ISNA(C26),NA(),_xll.qlBondMaturityDate(C26,Trigger))</f>
        <v>44440</v>
      </c>
      <c r="E26" s="19">
        <f>IF(ISNA(C26),NA(),_xll.qlBondNextCouponRate(C26,BondSettlementDate))</f>
        <v>4.7500000000000001E-2</v>
      </c>
      <c r="F26" s="30">
        <f>IF(ISNA(C26),NA(),_xll.qlBondRedemptionAmount(C26,Trigger))</f>
        <v>100</v>
      </c>
      <c r="G26" s="17" t="str">
        <f t="shared" si="6"/>
        <v>IT0004695075_Quote</v>
      </c>
      <c r="H26" s="27" t="str">
        <f t="shared" si="7"/>
        <v>IT0004695075_Quote</v>
      </c>
      <c r="I26" s="16" t="str">
        <f>IF(LEFT(B26,3)="BTP",_xll.qlBTP2(,B26,D26,E26,F26,,,,Trigger),_xll.qlCCTEU(,B26,D26,E26,F26,,,,Trigger))</f>
        <v>obj_00f8d#0000</v>
      </c>
      <c r="J26" s="31" t="str">
        <f>_xll.qlBondHelper(,H26,I26)</f>
        <v>obj_00ffc#0000</v>
      </c>
      <c r="K26" s="26" t="str">
        <f>_xll.qlBTP2(,B26,D26,E26,F26,,,,Trigger)</f>
        <v>obj_00f95#0000</v>
      </c>
      <c r="L26" s="26" t="b">
        <f>_xll.qlInstrumentSetPricingEngine(K26,BondPricingEngine)</f>
        <v>1</v>
      </c>
      <c r="M26" s="23">
        <f ca="1">_xll.qlBondCleanPrice(K26,AND(ISERROR(L26),ISERROR(N26)))</f>
        <v>117.98500044198897</v>
      </c>
      <c r="N26" s="27">
        <f ca="1">_xll.qlSimpleQuoteSetValue(G26,P26)</f>
        <v>0</v>
      </c>
      <c r="O26" s="29" t="e">
        <f>_xll.qlSimpleQuoteSetValue(#REF!,Q26)</f>
        <v>#VALUE!</v>
      </c>
      <c r="P26" s="27">
        <f t="shared" ca="1" si="0"/>
        <v>117.98500000000001</v>
      </c>
      <c r="Q26" s="23">
        <f t="shared" si="1"/>
        <v>0</v>
      </c>
      <c r="R26" s="24">
        <f t="shared" si="2"/>
        <v>0.10999999999999943</v>
      </c>
      <c r="S26" s="28" t="e">
        <f t="shared" ca="1" si="11"/>
        <v>#NAME?</v>
      </c>
      <c r="T26" s="23" t="e">
        <f t="shared" ca="1" si="8"/>
        <v>#VALUE!</v>
      </c>
      <c r="U26" s="26" t="str">
        <f t="shared" si="9"/>
        <v>IT469507=TT</v>
      </c>
      <c r="V26" s="23">
        <v>117.93</v>
      </c>
      <c r="W26" s="23">
        <v>118.04</v>
      </c>
      <c r="X26" s="17" t="e">
        <f ca="1">_xll.MKV("EUR.PRICING.XLS_GOVIES."&amp;$C26,X$1)</f>
        <v>#NAME?</v>
      </c>
      <c r="Y26" s="17" t="e">
        <f ca="1">_xll.MKV("EUR.PRICING.XLS_GOVIES."&amp;$C26,Y$1)</f>
        <v>#NAME?</v>
      </c>
      <c r="Z26" s="25">
        <f ca="1">IF(ISNA(C26),NA(),_xll.qlBondYieldFromCleanPrice(C26,P26,YieldDayCounter,YieldCompounding,YieldFrequency))</f>
        <v>1.9452104031667115E-2</v>
      </c>
      <c r="AA26" s="19" t="b">
        <v>1</v>
      </c>
      <c r="AB26" s="26" t="b">
        <f t="shared" si="4"/>
        <v>1</v>
      </c>
      <c r="AC26" s="24">
        <f ca="1">IF(ISNA(C26),NA(),M26-_xll.qlQuoteValue(H26))</f>
        <v>4.4198895920999348E-7</v>
      </c>
      <c r="AD26" s="11"/>
      <c r="AE26" s="1"/>
      <c r="AF26" s="72" t="str">
        <f t="shared" si="5"/>
        <v>BTP 2021-09-01 4.75%</v>
      </c>
      <c r="AG26" s="139" t="e">
        <f ca="1">_xll.BDP(C26&amp;" Corp", "days to mty")</f>
        <v>#NAME?</v>
      </c>
      <c r="AH26" s="145" t="e">
        <f ca="1">IF(ISNA(ROUND(VLOOKUP(AG26,Contribution!C:J,8,FALSE),2)),"",ROUND(VLOOKUP(AG26,Contribution!C:J,8,FALSE),2))</f>
        <v>#NAME?</v>
      </c>
      <c r="AI26" s="142" t="str">
        <f t="shared" ca="1" si="10"/>
        <v/>
      </c>
      <c r="AJ26" s="1"/>
      <c r="AK26" s="1"/>
      <c r="AL26" s="1"/>
    </row>
    <row r="27" spans="1:39" x14ac:dyDescent="0.2">
      <c r="A27" s="4"/>
      <c r="B27" s="22" t="str">
        <f>IF(ISNA(C27),NA(),_xll.qlBondDescription(C27,Trigger))</f>
        <v>BTP 2022-03-01 5%</v>
      </c>
      <c r="C27" s="16" t="str">
        <v>IT0004759673</v>
      </c>
      <c r="D27" s="18">
        <f>IF(ISNA(C27),NA(),_xll.qlBondMaturityDate(C27,Trigger))</f>
        <v>44621</v>
      </c>
      <c r="E27" s="19">
        <f>IF(ISNA(C27),NA(),_xll.qlBondNextCouponRate(C27,BondSettlementDate))</f>
        <v>0.05</v>
      </c>
      <c r="F27" s="30">
        <f>IF(ISNA(C27),NA(),_xll.qlBondRedemptionAmount(C27,Trigger))</f>
        <v>100</v>
      </c>
      <c r="G27" s="17" t="str">
        <f t="shared" si="6"/>
        <v>IT0004759673_Quote</v>
      </c>
      <c r="H27" s="27" t="str">
        <f t="shared" si="7"/>
        <v>IT0004759673_Quote</v>
      </c>
      <c r="I27" s="16" t="str">
        <f>IF(LEFT(B27,3)="BTP",_xll.qlBTP2(,B27,D27,E27,F27,,,,Trigger),_xll.qlCCTEU(,B27,D27,E27,F27,,,,Trigger))</f>
        <v>obj_00fe9#0000</v>
      </c>
      <c r="J27" s="31" t="str">
        <f>_xll.qlBondHelper(,H27,I27)</f>
        <v>obj_00ffb#0000</v>
      </c>
      <c r="K27" s="26" t="str">
        <f>_xll.qlBTP2(,B27,D27,E27,F27,,,,Trigger)</f>
        <v>obj_00fcd#0000</v>
      </c>
      <c r="L27" s="26" t="b">
        <f>_xll.qlInstrumentSetPricingEngine(K27,BondPricingEngine)</f>
        <v>1</v>
      </c>
      <c r="M27" s="23">
        <f ca="1">_xll.qlBondCleanPrice(K27,AND(ISERROR(L27),ISERROR(N27)))</f>
        <v>119.69000204419889</v>
      </c>
      <c r="N27" s="27">
        <f ca="1">_xll.qlSimpleQuoteSetValue(G27,P27)</f>
        <v>0</v>
      </c>
      <c r="O27" s="29" t="e">
        <f>_xll.qlSimpleQuoteSetValue(#REF!,Q27)</f>
        <v>#VALUE!</v>
      </c>
      <c r="P27" s="27">
        <f t="shared" ca="1" si="0"/>
        <v>119.69</v>
      </c>
      <c r="Q27" s="23">
        <f t="shared" si="1"/>
        <v>0</v>
      </c>
      <c r="R27" s="24">
        <f t="shared" si="2"/>
        <v>9.9999999999994316E-2</v>
      </c>
      <c r="S27" s="28" t="e">
        <f t="shared" ca="1" si="11"/>
        <v>#NAME?</v>
      </c>
      <c r="T27" s="23" t="e">
        <f t="shared" ca="1" si="8"/>
        <v>#VALUE!</v>
      </c>
      <c r="U27" s="26" t="str">
        <f t="shared" si="9"/>
        <v>IT475967=TT</v>
      </c>
      <c r="V27" s="23">
        <v>119.64</v>
      </c>
      <c r="W27" s="23">
        <v>119.74</v>
      </c>
      <c r="X27" s="17" t="e">
        <f ca="1">_xll.MKV("EUR.PRICING.XLS_GOVIES."&amp;$C27,X$1)</f>
        <v>#NAME?</v>
      </c>
      <c r="Y27" s="17" t="e">
        <f ca="1">_xll.MKV("EUR.PRICING.XLS_GOVIES."&amp;$C27,Y$1)</f>
        <v>#NAME?</v>
      </c>
      <c r="Z27" s="25">
        <f ca="1">IF(ISNA(C27),NA(),_xll.qlBondYieldFromCleanPrice(C27,P27,YieldDayCounter,YieldCompounding,YieldFrequency))</f>
        <v>2.1081537395343197E-2</v>
      </c>
      <c r="AA27" s="19" t="b">
        <v>1</v>
      </c>
      <c r="AB27" s="26" t="b">
        <f t="shared" si="4"/>
        <v>1</v>
      </c>
      <c r="AC27" s="24">
        <f ca="1">IF(ISNA(C27),NA(),M27-_xll.qlQuoteValue(H27))</f>
        <v>2.0441988937136557E-6</v>
      </c>
      <c r="AD27" s="11"/>
      <c r="AE27" s="1"/>
      <c r="AF27" s="72" t="str">
        <f t="shared" si="5"/>
        <v>BTP 2022-03-01 5%</v>
      </c>
      <c r="AG27" s="139" t="e">
        <f ca="1">_xll.BDP(C27&amp;" Corp", "days to mty")</f>
        <v>#NAME?</v>
      </c>
      <c r="AH27" s="145" t="e">
        <f ca="1">IF(ISNA(ROUND(VLOOKUP(AG27,Contribution!C:J,8,FALSE),2)),"",ROUND(VLOOKUP(AG27,Contribution!C:J,8,FALSE),2))</f>
        <v>#NAME?</v>
      </c>
      <c r="AI27" s="142" t="str">
        <f t="shared" ca="1" si="10"/>
        <v/>
      </c>
      <c r="AJ27" s="1"/>
      <c r="AK27" s="1"/>
      <c r="AL27" s="1"/>
    </row>
    <row r="28" spans="1:39" x14ac:dyDescent="0.2">
      <c r="A28" s="4"/>
      <c r="B28" s="22" t="str">
        <f>IF(ISNA(C28),NA(),_xll.qlBondDescription(C28,Trigger))</f>
        <v>BTP 2022-09-01 5.5%</v>
      </c>
      <c r="C28" s="16" t="str">
        <v>IT0004801541</v>
      </c>
      <c r="D28" s="18">
        <f>IF(ISNA(C28),NA(),_xll.qlBondMaturityDate(C28,Trigger))</f>
        <v>44805</v>
      </c>
      <c r="E28" s="19">
        <f>IF(ISNA(C28),NA(),_xll.qlBondNextCouponRate(C28,BondSettlementDate))</f>
        <v>5.5E-2</v>
      </c>
      <c r="F28" s="30">
        <f>IF(ISNA(C28),NA(),_xll.qlBondRedemptionAmount(C28,Trigger))</f>
        <v>100</v>
      </c>
      <c r="G28" s="17" t="str">
        <f t="shared" si="6"/>
        <v>IT0004801541_Quote</v>
      </c>
      <c r="H28" s="27" t="str">
        <f t="shared" si="7"/>
        <v>IT0004801541_Quote</v>
      </c>
      <c r="I28" s="16" t="str">
        <f>IF(LEFT(B28,3)="BTP",_xll.qlBTP2(,B28,D28,E28,F28,,,,Trigger),_xll.qlCCTEU(,B28,D28,E28,F28,,,,Trigger))</f>
        <v>obj_00fa6#0000</v>
      </c>
      <c r="J28" s="31" t="str">
        <f>_xll.qlBondHelper(,H28,I28)</f>
        <v>obj_01035#0000</v>
      </c>
      <c r="K28" s="26" t="str">
        <f>_xll.qlBTP2(,B28,D28,E28,F28,,,,Trigger)</f>
        <v>obj_00fb0#0000</v>
      </c>
      <c r="L28" s="26" t="b">
        <f>_xll.qlInstrumentSetPricingEngine(K28,BondPricingEngine)</f>
        <v>1</v>
      </c>
      <c r="M28" s="23">
        <f ca="1">_xll.qlBondCleanPrice(K28,AND(ISERROR(L28),ISERROR(N28)))</f>
        <v>123.38999524861879</v>
      </c>
      <c r="N28" s="27">
        <f ca="1">_xll.qlSimpleQuoteSetValue(G28,P28)</f>
        <v>0</v>
      </c>
      <c r="O28" s="29" t="e">
        <f>_xll.qlSimpleQuoteSetValue(#REF!,Q28)</f>
        <v>#VALUE!</v>
      </c>
      <c r="P28" s="27">
        <f t="shared" ca="1" si="0"/>
        <v>123.39</v>
      </c>
      <c r="Q28" s="23">
        <f t="shared" si="1"/>
        <v>0</v>
      </c>
      <c r="R28" s="24">
        <f t="shared" si="2"/>
        <v>0.12000000000000455</v>
      </c>
      <c r="S28" s="28" t="e">
        <f t="shared" ca="1" si="11"/>
        <v>#NAME?</v>
      </c>
      <c r="T28" s="23" t="e">
        <f t="shared" ca="1" si="8"/>
        <v>#VALUE!</v>
      </c>
      <c r="U28" s="26" t="str">
        <f t="shared" si="9"/>
        <v>IT480154=TT</v>
      </c>
      <c r="V28" s="23">
        <v>123.33</v>
      </c>
      <c r="W28" s="23">
        <v>123.45</v>
      </c>
      <c r="X28" s="17" t="e">
        <f ca="1">_xll.MKV("EUR.PRICING.XLS_GOVIES."&amp;$C28,X$1)</f>
        <v>#NAME?</v>
      </c>
      <c r="Y28" s="17" t="e">
        <f ca="1">_xll.MKV("EUR.PRICING.XLS_GOVIES."&amp;$C28,Y$1)</f>
        <v>#NAME?</v>
      </c>
      <c r="Z28" s="25">
        <f ca="1">IF(ISNA(C28),NA(),_xll.qlBondYieldFromCleanPrice(C28,P28,YieldDayCounter,YieldCompounding,YieldFrequency))</f>
        <v>2.2489686305448415E-2</v>
      </c>
      <c r="AA28" s="19" t="b">
        <v>1</v>
      </c>
      <c r="AB28" s="26" t="b">
        <f t="shared" si="4"/>
        <v>1</v>
      </c>
      <c r="AC28" s="24">
        <f ca="1">IF(ISNA(C28),NA(),M28-_xll.qlQuoteValue(H28))</f>
        <v>-4.7513812120314469E-6</v>
      </c>
      <c r="AD28" s="11"/>
      <c r="AE28" s="1"/>
      <c r="AF28" s="72" t="str">
        <f t="shared" si="5"/>
        <v>BTP 2022-09-01 5.5%</v>
      </c>
      <c r="AG28" s="139" t="e">
        <f ca="1">_xll.BDP(C28&amp;" Corp", "days to mty")</f>
        <v>#NAME?</v>
      </c>
      <c r="AH28" s="145" t="e">
        <f ca="1">IF(ISNA(ROUND(VLOOKUP(AG28,Contribution!C:J,8,FALSE),2)),"",ROUND(VLOOKUP(AG28,Contribution!C:J,8,FALSE),2))</f>
        <v>#NAME?</v>
      </c>
      <c r="AI28" s="142" t="str">
        <f t="shared" ca="1" si="10"/>
        <v/>
      </c>
      <c r="AJ28" s="1"/>
      <c r="AK28" s="1"/>
      <c r="AL28" s="1"/>
      <c r="AM28" s="103">
        <f>_xll.qlYieldTSDiscount(BtpCurve,BondSettlementDate,,ISERROR(#REF!))</f>
        <v>1</v>
      </c>
    </row>
    <row r="29" spans="1:39" x14ac:dyDescent="0.2">
      <c r="A29" s="4"/>
      <c r="B29" s="22" t="str">
        <f>IF(ISNA(C29),NA(),_xll.qlBondDescription(C29,Trigger))</f>
        <v>BTP 2022-11-01 5.5%</v>
      </c>
      <c r="C29" s="16" t="str">
        <v>IT0004848831</v>
      </c>
      <c r="D29" s="18">
        <f>IF(ISNA(C29),NA(),_xll.qlBondMaturityDate(C29,Trigger))</f>
        <v>44866</v>
      </c>
      <c r="E29" s="19">
        <f>IF(ISNA(C29),NA(),_xll.qlBondNextCouponRate(C29,BondSettlementDate))</f>
        <v>5.5E-2</v>
      </c>
      <c r="F29" s="30">
        <f>IF(ISNA(C29),NA(),_xll.qlBondRedemptionAmount(C29,Trigger))</f>
        <v>100</v>
      </c>
      <c r="G29" s="17" t="str">
        <f t="shared" si="6"/>
        <v>IT0004848831_Quote</v>
      </c>
      <c r="H29" s="27" t="str">
        <f t="shared" si="7"/>
        <v>IT0004848831_Quote</v>
      </c>
      <c r="I29" s="16" t="str">
        <f>IF(LEFT(B29,3)="BTP",_xll.qlBTP2(,B29,D29,E29,F29,,,,Trigger),_xll.qlCCTEU(,B29,D29,E29,F29,,,,Trigger))</f>
        <v>obj_00fe8#0000</v>
      </c>
      <c r="J29" s="31" t="str">
        <f>_xll.qlBondHelper(,H29,I29)</f>
        <v>obj_0100d#0000</v>
      </c>
      <c r="K29" s="26" t="str">
        <f>_xll.qlBTP2(,B29,D29,E29,F29,,,,Trigger)</f>
        <v>obj_00fd5#0000</v>
      </c>
      <c r="L29" s="26" t="b">
        <f>_xll.qlInstrumentSetPricingEngine(K29,BondPricingEngine)</f>
        <v>1</v>
      </c>
      <c r="M29" s="23">
        <f ca="1">_xll.qlBondCleanPrice(K29,AND(ISERROR(L29),ISERROR(N29)))</f>
        <v>123.27999913045124</v>
      </c>
      <c r="N29" s="27">
        <f ca="1">_xll.qlSimpleQuoteSetValue(G29,P29)</f>
        <v>-4.9999999999954525E-3</v>
      </c>
      <c r="O29" s="29" t="e">
        <f>_xll.qlSimpleQuoteSetValue(#REF!,Q29)</f>
        <v>#VALUE!</v>
      </c>
      <c r="P29" s="27">
        <f t="shared" ca="1" si="0"/>
        <v>123.28</v>
      </c>
      <c r="Q29" s="23">
        <f t="shared" si="1"/>
        <v>0</v>
      </c>
      <c r="R29" s="24">
        <f t="shared" si="2"/>
        <v>0.12000000000000455</v>
      </c>
      <c r="S29" s="28" t="e">
        <f t="shared" ca="1" si="11"/>
        <v>#NAME?</v>
      </c>
      <c r="T29" s="23" t="e">
        <f t="shared" ca="1" si="8"/>
        <v>#VALUE!</v>
      </c>
      <c r="U29" s="26" t="str">
        <f t="shared" si="9"/>
        <v>IT484883=TT</v>
      </c>
      <c r="V29" s="23">
        <v>123.22</v>
      </c>
      <c r="W29" s="23">
        <v>123.34</v>
      </c>
      <c r="X29" s="17" t="e">
        <f ca="1">_xll.MKV("EUR.PRICING.XLS_GOVIES."&amp;$C29,X$1)</f>
        <v>#NAME?</v>
      </c>
      <c r="Y29" s="17" t="e">
        <f ca="1">_xll.MKV("EUR.PRICING.XLS_GOVIES."&amp;$C29,Y$1)</f>
        <v>#NAME?</v>
      </c>
      <c r="Z29" s="25">
        <f ca="1">IF(ISNA(C29),NA(),_xll.qlBondYieldFromCleanPrice(C29,P29,YieldDayCounter,YieldCompounding,YieldFrequency))</f>
        <v>2.3184521887078886E-2</v>
      </c>
      <c r="AA29" s="19" t="b">
        <v>1</v>
      </c>
      <c r="AB29" s="26" t="b">
        <f t="shared" si="4"/>
        <v>1</v>
      </c>
      <c r="AC29" s="24">
        <f ca="1">IF(ISNA(C29),NA(),M29-_xll.qlQuoteValue(H29))</f>
        <v>-8.6954875655465003E-7</v>
      </c>
      <c r="AD29" s="11"/>
      <c r="AE29" s="1"/>
      <c r="AF29" s="72" t="str">
        <f t="shared" si="5"/>
        <v>BTP 2022-11-01 5.5%</v>
      </c>
      <c r="AG29" s="139" t="e">
        <f ca="1">_xll.BDP(C29&amp;" Corp", "days to mty")</f>
        <v>#NAME?</v>
      </c>
      <c r="AH29" s="145" t="e">
        <f ca="1">IF(ISNA(ROUND(VLOOKUP(AG29,Contribution!C:J,8,FALSE),2)),"",ROUND(VLOOKUP(AG29,Contribution!C:J,8,FALSE),2))</f>
        <v>#NAME?</v>
      </c>
      <c r="AI29" s="142" t="str">
        <f t="shared" ca="1" si="10"/>
        <v/>
      </c>
      <c r="AJ29" s="1"/>
      <c r="AK29" s="1"/>
      <c r="AL29" s="1"/>
      <c r="AM29" s="104" t="str">
        <f>_xll.ohRangeRetrieveError(AM28)</f>
        <v/>
      </c>
    </row>
    <row r="30" spans="1:39" x14ac:dyDescent="0.2">
      <c r="A30" s="4"/>
      <c r="B30" s="22" t="str">
        <f>IF(ISNA(C30),NA(),_xll.qlBondDescription(C30,Trigger))</f>
        <v>BTP 2023-05-01 4.5%</v>
      </c>
      <c r="C30" s="16" t="str">
        <v>IT0004898034</v>
      </c>
      <c r="D30" s="18">
        <f>IF(ISNA(C30),NA(),_xll.qlBondMaturityDate(C30,Trigger))</f>
        <v>45047</v>
      </c>
      <c r="E30" s="19">
        <f>IF(ISNA(C30),NA(),_xll.qlBondNextCouponRate(C30,BondSettlementDate))</f>
        <v>4.4999999999999998E-2</v>
      </c>
      <c r="F30" s="30">
        <f>IF(ISNA(C30),NA(),_xll.qlBondRedemptionAmount(C30,Trigger))</f>
        <v>100</v>
      </c>
      <c r="G30" s="17" t="str">
        <f t="shared" si="6"/>
        <v>IT0004898034_Quote</v>
      </c>
      <c r="H30" s="27" t="str">
        <f t="shared" si="7"/>
        <v>IT0004898034_Quote</v>
      </c>
      <c r="I30" s="16" t="str">
        <f>IF(LEFT(B30,3)="BTP",_xll.qlBTP2(,B30,D30,E30,F30,,,,Trigger),_xll.qlCCTEU(,B30,D30,E30,F30,,,,Trigger))</f>
        <v>obj_00fa4#0000</v>
      </c>
      <c r="J30" s="31" t="str">
        <f>_xll.qlBondHelper(,H30,I30)</f>
        <v>obj_00fee#0000</v>
      </c>
      <c r="K30" s="26" t="str">
        <f>_xll.qlBTP2(,B30,D30,E30,F30,,,,Trigger)</f>
        <v>obj_00faa#0000</v>
      </c>
      <c r="L30" s="26" t="b">
        <f>_xll.qlInstrumentSetPricingEngine(K30,BondPricingEngine)</f>
        <v>1</v>
      </c>
      <c r="M30" s="23">
        <f ca="1">_xll.qlBondCleanPrice(K30,AND(ISERROR(L30),ISERROR(N30)))</f>
        <v>116.19999565217302</v>
      </c>
      <c r="N30" s="27">
        <f ca="1">_xll.qlSimpleQuoteSetValue(G30,P30)</f>
        <v>0</v>
      </c>
      <c r="O30" s="29" t="e">
        <f>_xll.qlSimpleQuoteSetValue(#REF!,Q30)</f>
        <v>#VALUE!</v>
      </c>
      <c r="P30" s="27">
        <f t="shared" ca="1" si="0"/>
        <v>116.19999999999999</v>
      </c>
      <c r="Q30" s="23">
        <f t="shared" si="1"/>
        <v>0</v>
      </c>
      <c r="R30" s="24">
        <f t="shared" si="2"/>
        <v>0.14000000000000057</v>
      </c>
      <c r="S30" s="28" t="e">
        <f t="shared" ca="1" si="11"/>
        <v>#NAME?</v>
      </c>
      <c r="T30" s="23" t="e">
        <f t="shared" ca="1" si="8"/>
        <v>#VALUE!</v>
      </c>
      <c r="U30" s="26" t="str">
        <f t="shared" si="9"/>
        <v>IT489803=TT</v>
      </c>
      <c r="V30" s="23">
        <v>116.13</v>
      </c>
      <c r="W30" s="23">
        <v>116.27</v>
      </c>
      <c r="X30" s="17" t="e">
        <f ca="1">_xll.MKV("EUR.PRICING.XLS_GOVIES."&amp;$C30,X$1)</f>
        <v>#NAME?</v>
      </c>
      <c r="Y30" s="17" t="e">
        <f ca="1">_xll.MKV("EUR.PRICING.XLS_GOVIES."&amp;$C30,Y$1)</f>
        <v>#NAME?</v>
      </c>
      <c r="Z30" s="25">
        <f ca="1">IF(ISNA(C30),NA(),_xll.qlBondYieldFromCleanPrice(C30,P30,YieldDayCounter,YieldCompounding,YieldFrequency))</f>
        <v>2.4015454885736112E-2</v>
      </c>
      <c r="AA30" s="19" t="b">
        <v>1</v>
      </c>
      <c r="AB30" s="26" t="b">
        <f t="shared" si="4"/>
        <v>1</v>
      </c>
      <c r="AC30" s="24">
        <f ca="1">IF(ISNA(C30),NA(),M30-_xll.qlQuoteValue(H30))</f>
        <v>-4.3478269731167529E-6</v>
      </c>
      <c r="AD30" s="11"/>
      <c r="AE30" s="1"/>
      <c r="AF30" s="72" t="str">
        <f t="shared" si="5"/>
        <v>BTP 2023-05-01 4.5%</v>
      </c>
      <c r="AG30" s="139" t="e">
        <f ca="1">_xll.BDP(C30&amp;" Corp", "days to mty")</f>
        <v>#NAME?</v>
      </c>
      <c r="AH30" s="145" t="e">
        <f ca="1">IF(ISNA(ROUND(VLOOKUP(AG30,Contribution!C:J,8,FALSE),2)),"",ROUND(VLOOKUP(AG30,Contribution!C:J,8,FALSE),2))</f>
        <v>#NAME?</v>
      </c>
      <c r="AI30" s="142" t="str">
        <f t="shared" ca="1" si="10"/>
        <v/>
      </c>
      <c r="AJ30" s="1"/>
      <c r="AK30" s="1"/>
      <c r="AL30" s="1"/>
    </row>
    <row r="31" spans="1:39" x14ac:dyDescent="0.2">
      <c r="A31" s="4"/>
      <c r="B31" s="22" t="str">
        <f>IF(ISNA(C31),NA(),_xll.qlBondDescription(C31,Trigger))</f>
        <v>BTP 2023-08-01 4.75%</v>
      </c>
      <c r="C31" s="16" t="str">
        <v>IT0004356843</v>
      </c>
      <c r="D31" s="18">
        <f>IF(ISNA(C31),NA(),_xll.qlBondMaturityDate(C31,Trigger))</f>
        <v>45139</v>
      </c>
      <c r="E31" s="19">
        <f>IF(ISNA(C31),NA(),_xll.qlBondNextCouponRate(C31,BondSettlementDate))</f>
        <v>4.7500000000000001E-2</v>
      </c>
      <c r="F31" s="30">
        <f>IF(ISNA(C31),NA(),_xll.qlBondRedemptionAmount(C31,Trigger))</f>
        <v>100</v>
      </c>
      <c r="G31" s="17" t="str">
        <f t="shared" si="6"/>
        <v>IT0004356843_Quote</v>
      </c>
      <c r="H31" s="27" t="str">
        <f t="shared" si="7"/>
        <v>IT0004356843_Quote</v>
      </c>
      <c r="I31" s="16" t="str">
        <f>IF(LEFT(B31,3)="BTP",_xll.qlBTP2(,B31,D31,E31,F31,,,,Trigger),_xll.qlCCTEU(,B31,D31,E31,F31,,,,Trigger))</f>
        <v>obj_00fab#0000</v>
      </c>
      <c r="J31" s="31" t="str">
        <f>_xll.qlBondHelper(,H31,I31)</f>
        <v>obj_0102e#0000</v>
      </c>
      <c r="K31" s="26" t="str">
        <f>_xll.qlBTP2(,B31,D31,E31,F31,,,,Trigger)</f>
        <v>obj_00fbb#0000</v>
      </c>
      <c r="L31" s="26" t="b">
        <f>_xll.qlInstrumentSetPricingEngine(K31,BondPricingEngine)</f>
        <v>1</v>
      </c>
      <c r="M31" s="23">
        <f ca="1">_xll.qlBondCleanPrice(K31,AND(ISERROR(L31),ISERROR(N31)))</f>
        <v>118.37500152173715</v>
      </c>
      <c r="N31" s="27">
        <f ca="1">_xll.qlSimpleQuoteSetValue(G31,P31)</f>
        <v>4.9999999999954525E-3</v>
      </c>
      <c r="O31" s="29" t="e">
        <f>_xll.qlSimpleQuoteSetValue(#REF!,Q31)</f>
        <v>#VALUE!</v>
      </c>
      <c r="P31" s="27">
        <f t="shared" ca="1" si="0"/>
        <v>118.375</v>
      </c>
      <c r="Q31" s="23">
        <f t="shared" si="1"/>
        <v>0</v>
      </c>
      <c r="R31" s="24">
        <f t="shared" si="2"/>
        <v>0.12999999999999545</v>
      </c>
      <c r="S31" s="28" t="e">
        <f t="shared" ca="1" si="11"/>
        <v>#NAME?</v>
      </c>
      <c r="T31" s="23" t="e">
        <f t="shared" ca="1" si="8"/>
        <v>#VALUE!</v>
      </c>
      <c r="U31" s="26" t="str">
        <f t="shared" si="9"/>
        <v>IT435684=TT</v>
      </c>
      <c r="V31" s="23">
        <v>118.31</v>
      </c>
      <c r="W31" s="23">
        <v>118.44</v>
      </c>
      <c r="X31" s="17" t="e">
        <f ca="1">_xll.MKV("EUR.PRICING.XLS_GOVIES."&amp;$C31,X$1)</f>
        <v>#NAME?</v>
      </c>
      <c r="Y31" s="17" t="e">
        <f ca="1">_xll.MKV("EUR.PRICING.XLS_GOVIES."&amp;$C31,Y$1)</f>
        <v>#NAME?</v>
      </c>
      <c r="Z31" s="25">
        <f ca="1">IF(ISNA(C31),NA(),_xll.qlBondYieldFromCleanPrice(C31,P31,YieldDayCounter,YieldCompounding,YieldFrequency))</f>
        <v>2.4277287308499221E-2</v>
      </c>
      <c r="AA31" s="19" t="b">
        <v>1</v>
      </c>
      <c r="AB31" s="26" t="b">
        <f t="shared" si="4"/>
        <v>1</v>
      </c>
      <c r="AC31" s="24">
        <f ca="1">IF(ISNA(C31),NA(),M31-_xll.qlQuoteValue(H31))</f>
        <v>1.5217371469589125E-6</v>
      </c>
      <c r="AD31" s="11"/>
      <c r="AE31" s="1"/>
      <c r="AF31" s="72" t="str">
        <f t="shared" si="5"/>
        <v>BTP 2023-08-01 4.75%</v>
      </c>
      <c r="AG31" s="139" t="e">
        <f ca="1">_xll.BDP(C31&amp;" Corp", "days to mty")</f>
        <v>#NAME?</v>
      </c>
      <c r="AH31" s="145" t="e">
        <f ca="1">IF(ISNA(ROUND(VLOOKUP(AG31,Contribution!C:J,8,FALSE),2)),"",ROUND(VLOOKUP(AG31,Contribution!C:J,8,FALSE),2))</f>
        <v>#NAME?</v>
      </c>
      <c r="AI31" s="142" t="str">
        <f t="shared" ca="1" si="10"/>
        <v/>
      </c>
      <c r="AJ31" s="1"/>
      <c r="AK31" s="1"/>
      <c r="AL31" s="1"/>
    </row>
    <row r="32" spans="1:39" x14ac:dyDescent="0.2">
      <c r="A32" s="4"/>
      <c r="B32" s="22" t="str">
        <f>IF(ISNA(C32),NA(),_xll.qlBondDescription(C32,Trigger))</f>
        <v>BTP 2023-11-01 9%</v>
      </c>
      <c r="C32" s="16" t="str">
        <v>IT0000366655</v>
      </c>
      <c r="D32" s="18">
        <f>IF(ISNA(C32),NA(),_xll.qlBondMaturityDate(C32,Trigger))</f>
        <v>45231</v>
      </c>
      <c r="E32" s="19">
        <f>IF(ISNA(C32),NA(),_xll.qlBondNextCouponRate(C32,BondSettlementDate))</f>
        <v>0.09</v>
      </c>
      <c r="F32" s="30">
        <f>IF(ISNA(C32),NA(),_xll.qlBondRedemptionAmount(C32,Trigger))</f>
        <v>99.909000000000006</v>
      </c>
      <c r="G32" s="17" t="str">
        <f t="shared" si="6"/>
        <v>IT0000366655_Quote</v>
      </c>
      <c r="H32" s="27" t="str">
        <f t="shared" si="7"/>
        <v>IT0000366655_Quote</v>
      </c>
      <c r="I32" s="16" t="str">
        <f>IF(LEFT(B32,3)="BTP",_xll.qlBTP2(,B32,D32,E32,F32,,,,Trigger),_xll.qlCCTEU(,B32,D32,E32,F32,,,,Trigger))</f>
        <v>obj_00fbf#0000</v>
      </c>
      <c r="J32" s="31" t="str">
        <f>_xll.qlBondHelper(,H32,I32)</f>
        <v>obj_00ff3#0000</v>
      </c>
      <c r="K32" s="26" t="str">
        <f>_xll.qlBTP2(,B32,D32,E32,F32,,,,Trigger)</f>
        <v>obj_00f96#0000</v>
      </c>
      <c r="L32" s="26" t="b">
        <f>_xll.qlInstrumentSetPricingEngine(K32,BondPricingEngine)</f>
        <v>1</v>
      </c>
      <c r="M32" s="23">
        <f ca="1">_xll.qlBondCleanPrice(K32,AND(ISERROR(L32),ISERROR(N32)))</f>
        <v>153.67500130434783</v>
      </c>
      <c r="N32" s="27">
        <f ca="1">_xll.qlSimpleQuoteSetValue(G32,P32)</f>
        <v>4.9999999999954525E-3</v>
      </c>
      <c r="O32" s="29" t="e">
        <f>_xll.qlSimpleQuoteSetValue(#REF!,Q32)</f>
        <v>#VALUE!</v>
      </c>
      <c r="P32" s="27">
        <f t="shared" ca="1" si="0"/>
        <v>153.67500000000001</v>
      </c>
      <c r="Q32" s="23">
        <f t="shared" si="1"/>
        <v>0</v>
      </c>
      <c r="R32" s="24">
        <f t="shared" si="2"/>
        <v>0.25</v>
      </c>
      <c r="S32" s="28" t="e">
        <f t="shared" ca="1" si="11"/>
        <v>#NAME?</v>
      </c>
      <c r="T32" s="23" t="e">
        <f t="shared" ca="1" si="8"/>
        <v>#VALUE!</v>
      </c>
      <c r="U32" s="26" t="str">
        <f t="shared" si="9"/>
        <v>IT36665=TT</v>
      </c>
      <c r="V32" s="23">
        <v>153.55000000000001</v>
      </c>
      <c r="W32" s="23">
        <v>153.80000000000001</v>
      </c>
      <c r="X32" s="17" t="e">
        <f ca="1">_xll.MKV("EUR.PRICING.XLS_GOVIES."&amp;$C32,X$1)</f>
        <v>#NAME?</v>
      </c>
      <c r="Y32" s="17" t="e">
        <f ca="1">_xll.MKV("EUR.PRICING.XLS_GOVIES."&amp;$C32,Y$1)</f>
        <v>#NAME?</v>
      </c>
      <c r="Z32" s="25">
        <f ca="1">IF(ISNA(C32),NA(),_xll.qlBondYieldFromCleanPrice(C32,P32,YieldDayCounter,YieldCompounding,YieldFrequency))</f>
        <v>2.3674765667691829E-2</v>
      </c>
      <c r="AA32" s="19" t="b">
        <v>1</v>
      </c>
      <c r="AB32" s="26" t="b">
        <f t="shared" si="4"/>
        <v>1</v>
      </c>
      <c r="AC32" s="24">
        <f ca="1">IF(ISNA(C32),NA(),M32-_xll.qlQuoteValue(H32))</f>
        <v>1.3043478190866153E-6</v>
      </c>
      <c r="AD32" s="11"/>
      <c r="AE32" s="1"/>
      <c r="AF32" s="72" t="str">
        <f t="shared" si="5"/>
        <v>BTP 2023-11-01 9%</v>
      </c>
      <c r="AG32" s="139" t="e">
        <f ca="1">_xll.BDP(C32&amp;" Corp", "days to mty")</f>
        <v>#NAME?</v>
      </c>
      <c r="AH32" s="145" t="e">
        <f ca="1">IF(ISNA(ROUND(VLOOKUP(AG32,Contribution!C:J,8,FALSE),2)),"",ROUND(VLOOKUP(AG32,Contribution!C:J,8,FALSE),2))</f>
        <v>#NAME?</v>
      </c>
      <c r="AI32" s="142" t="str">
        <f t="shared" ca="1" si="10"/>
        <v/>
      </c>
      <c r="AJ32" s="1"/>
      <c r="AK32" s="1"/>
      <c r="AL32" s="1"/>
    </row>
    <row r="33" spans="1:38" x14ac:dyDescent="0.2">
      <c r="A33" s="4"/>
      <c r="B33" s="22" t="str">
        <f>IF(ISNA(C33),NA(),_xll.qlBondDescription(C33,Trigger))</f>
        <v>BTP 2024-03-01 4.5%</v>
      </c>
      <c r="C33" s="16" t="str">
        <v>IT0004953417</v>
      </c>
      <c r="D33" s="18">
        <f>IF(ISNA(C33),NA(),_xll.qlBondMaturityDate(C33,Trigger))</f>
        <v>45352</v>
      </c>
      <c r="E33" s="19">
        <f>IF(ISNA(C33),NA(),_xll.qlBondNextCouponRate(C33,BondSettlementDate))</f>
        <v>4.4999999999999998E-2</v>
      </c>
      <c r="F33" s="30">
        <f>IF(ISNA(C33),NA(),_xll.qlBondRedemptionAmount(C33,Trigger))</f>
        <v>100</v>
      </c>
      <c r="G33" s="17" t="str">
        <f t="shared" si="6"/>
        <v>IT0004953417_Quote</v>
      </c>
      <c r="H33" s="27" t="str">
        <f t="shared" si="7"/>
        <v>IT0004953417_Quote</v>
      </c>
      <c r="I33" s="16" t="str">
        <f>IF(LEFT(B33,3)="BTP",_xll.qlBTP2(,B33,D33,E33,F33,,,,Trigger),_xll.qlCCTEU(,B33,D33,E33,F33,,,,Trigger))</f>
        <v>obj_00fba#0000</v>
      </c>
      <c r="J33" s="31" t="str">
        <f>_xll.qlBondHelper(,H33,I33)</f>
        <v>obj_0101a#0000</v>
      </c>
      <c r="K33" s="26" t="str">
        <f>_xll.qlBTP2(,B33,D33,E33,F33,,,,Trigger)</f>
        <v>obj_00fc5#0000</v>
      </c>
      <c r="L33" s="26" t="b">
        <f>_xll.qlInstrumentSetPricingEngine(K33,BondPricingEngine)</f>
        <v>1</v>
      </c>
      <c r="M33" s="23">
        <f ca="1">_xll.qlBondCleanPrice(K33,AND(ISERROR(L33),ISERROR(N33)))</f>
        <v>116.53499883977918</v>
      </c>
      <c r="N33" s="27">
        <f ca="1">_xll.qlSimpleQuoteSetValue(G33,P33)</f>
        <v>0</v>
      </c>
      <c r="O33" s="29" t="e">
        <f>_xll.qlSimpleQuoteSetValue(#REF!,Q33)</f>
        <v>#VALUE!</v>
      </c>
      <c r="P33" s="27">
        <f t="shared" ca="1" si="0"/>
        <v>116.535</v>
      </c>
      <c r="Q33" s="23">
        <f t="shared" si="1"/>
        <v>0</v>
      </c>
      <c r="R33" s="24">
        <f t="shared" si="2"/>
        <v>0.10999999999999943</v>
      </c>
      <c r="S33" s="28" t="e">
        <f t="shared" ca="1" si="11"/>
        <v>#NAME?</v>
      </c>
      <c r="T33" s="23" t="e">
        <f t="shared" ca="1" si="8"/>
        <v>#VALUE!</v>
      </c>
      <c r="U33" s="26" t="str">
        <f t="shared" si="9"/>
        <v>IT495341=TT</v>
      </c>
      <c r="V33" s="23">
        <v>116.48</v>
      </c>
      <c r="W33" s="23">
        <v>116.59</v>
      </c>
      <c r="X33" s="17" t="e">
        <f ca="1">_xll.MKV("EUR.PRICING.XLS_GOVIES."&amp;$C33,X$1)</f>
        <v>#NAME?</v>
      </c>
      <c r="Y33" s="17" t="e">
        <f ca="1">_xll.MKV("EUR.PRICING.XLS_GOVIES."&amp;$C33,Y$1)</f>
        <v>#NAME?</v>
      </c>
      <c r="Z33" s="25">
        <f ca="1">IF(ISNA(C33),NA(),_xll.qlBondYieldFromCleanPrice(C33,P33,YieldDayCounter,YieldCompounding,YieldFrequency))</f>
        <v>2.5217466012761005E-2</v>
      </c>
      <c r="AA33" s="19" t="b">
        <v>1</v>
      </c>
      <c r="AB33" s="26" t="b">
        <f t="shared" si="4"/>
        <v>1</v>
      </c>
      <c r="AC33" s="24">
        <f ca="1">IF(ISNA(C33),NA(),M33-_xll.qlQuoteValue(H33))</f>
        <v>-1.1602208189742669E-6</v>
      </c>
      <c r="AD33" s="11"/>
      <c r="AE33" s="1"/>
      <c r="AF33" s="72" t="str">
        <f t="shared" si="5"/>
        <v>BTP 2024-03-01 4.5%</v>
      </c>
      <c r="AG33" s="139" t="e">
        <f ca="1">_xll.BDP(C33&amp;" Corp", "days to mty")</f>
        <v>#NAME?</v>
      </c>
      <c r="AH33" s="145" t="e">
        <f ca="1">IF(ISNA(ROUND(VLOOKUP(AG33,Contribution!C:J,8,FALSE),2)),"",ROUND(VLOOKUP(AG33,Contribution!C:J,8,FALSE),2))</f>
        <v>#NAME?</v>
      </c>
      <c r="AI33" s="142" t="str">
        <f t="shared" ca="1" si="10"/>
        <v/>
      </c>
      <c r="AJ33" s="1"/>
      <c r="AK33" s="1"/>
      <c r="AL33" s="1"/>
    </row>
    <row r="34" spans="1:38" x14ac:dyDescent="0.2">
      <c r="A34" s="4"/>
      <c r="B34" s="22" t="str">
        <f>IF(ISNA(C34),NA(),_xll.qlBondDescription(C34,Trigger))</f>
        <v>BTP 2024-09-01 3.75%</v>
      </c>
      <c r="C34" s="16" t="str">
        <v>IT0005001547</v>
      </c>
      <c r="D34" s="18">
        <f>IF(ISNA(C34),NA(),_xll.qlBondMaturityDate(C34,Trigger))</f>
        <v>45536</v>
      </c>
      <c r="E34" s="19">
        <f>IF(ISNA(C34),NA(),_xll.qlBondNextCouponRate(C34,BondSettlementDate))</f>
        <v>3.7499999999999999E-2</v>
      </c>
      <c r="F34" s="30">
        <f>IF(ISNA(C34),NA(),_xll.qlBondRedemptionAmount(C34,Trigger))</f>
        <v>100</v>
      </c>
      <c r="G34" s="17" t="str">
        <f t="shared" si="6"/>
        <v>IT0005001547_Quote</v>
      </c>
      <c r="H34" s="27" t="str">
        <f t="shared" si="7"/>
        <v>IT0005001547_Quote</v>
      </c>
      <c r="I34" s="16" t="str">
        <f>IF(LEFT(B34,3)="BTP",_xll.qlBTP2(,B34,D34,E34,F34,,,,Trigger),_xll.qlCCTEU(,B34,D34,E34,F34,,,,Trigger))</f>
        <v>obj_00fb9#0000</v>
      </c>
      <c r="J34" s="31" t="str">
        <f>_xll.qlBondHelper(,H34,I34)</f>
        <v>obj_01026#0000</v>
      </c>
      <c r="K34" s="26" t="str">
        <f>_xll.qlBTP2(,B34,D34,E34,F34,,,,Trigger)</f>
        <v>obj_00fa0#0000</v>
      </c>
      <c r="L34" s="26" t="b">
        <f>_xll.qlInstrumentSetPricingEngine(K34,BondPricingEngine)</f>
        <v>1</v>
      </c>
      <c r="M34" s="23">
        <f ca="1">_xll.qlBondCleanPrice(K34,AND(ISERROR(L34),ISERROR(N34)))</f>
        <v>109.90000403308156</v>
      </c>
      <c r="N34" s="27">
        <f ca="1">_xll.qlSimpleQuoteSetValue(G34,P34)</f>
        <v>0</v>
      </c>
      <c r="O34" s="29" t="e">
        <f>_xll.qlSimpleQuoteSetValue(#REF!,Q34)</f>
        <v>#VALUE!</v>
      </c>
      <c r="P34" s="27">
        <f t="shared" ref="P34:P50" ca="1" si="12">IF(ISNA(C34),NA(),IF(ISERROR((X34+Y34)/2),IF(PriceSelector="MID",(V34+W34)/2,IF(PriceSelector="BID",V34,W34)),IF(PriceSelector="MID",(X34+Y34)/2,IF(PriceSelector="BID",X34,Y34))))</f>
        <v>109.9</v>
      </c>
      <c r="Q34" s="23">
        <f t="shared" ref="Q34:Q50" si="13">IF(ISNA(C34),NA(),IF(IgnoreResiduePremium,0,(S34+T34)/2))</f>
        <v>0</v>
      </c>
      <c r="R34" s="24">
        <f t="shared" ref="R34:R50" si="14">IF(ISNA(C34),NA(),W34-V34)</f>
        <v>0.11999999999999034</v>
      </c>
      <c r="S34" s="28" t="e">
        <f t="shared" ca="1" si="11"/>
        <v>#NAME?</v>
      </c>
      <c r="T34" s="23" t="e">
        <f t="shared" ca="1" si="8"/>
        <v>#VALUE!</v>
      </c>
      <c r="U34" s="26" t="str">
        <f t="shared" si="9"/>
        <v>IT500154=TT</v>
      </c>
      <c r="V34" s="23">
        <v>109.84</v>
      </c>
      <c r="W34" s="23">
        <v>109.96</v>
      </c>
      <c r="X34" s="17" t="e">
        <f ca="1">_xll.MKV("EUR.PRICING.XLS_GOVIES."&amp;$C34,X$1)</f>
        <v>#NAME?</v>
      </c>
      <c r="Y34" s="17" t="e">
        <f ca="1">_xll.MKV("EUR.PRICING.XLS_GOVIES."&amp;$C34,Y$1)</f>
        <v>#NAME?</v>
      </c>
      <c r="Z34" s="25">
        <f ca="1">IF(ISNA(C34),NA(),_xll.qlBondYieldFromCleanPrice(C34,P34,YieldDayCounter,YieldCompounding,YieldFrequency))</f>
        <v>2.6206331692881026E-2</v>
      </c>
      <c r="AA34" s="19" t="b">
        <v>1</v>
      </c>
      <c r="AB34" s="26" t="b">
        <f t="shared" ref="AB34:AB50" si="15">IF(ISNA(C34),FALSE,IF(OR(LEFT(B34,3)="CCT",ExcludeMarchSeptember,AND(NOT(IgnoreResiduePremium),Q34=0)),FALSE,IF((AA34),TRUE,FALSE)))</f>
        <v>1</v>
      </c>
      <c r="AC34" s="24">
        <f ca="1">IF(ISNA(C34),NA(),M34-_xll.qlQuoteValue(H34))</f>
        <v>4.0330815522793273E-6</v>
      </c>
      <c r="AD34" s="11"/>
      <c r="AE34" s="1"/>
      <c r="AF34" s="72" t="str">
        <f t="shared" si="5"/>
        <v>BTP 2024-09-01 3.75%</v>
      </c>
      <c r="AG34" s="139" t="e">
        <f ca="1">_xll.BDP(C34&amp;" Corp", "days to mty")</f>
        <v>#NAME?</v>
      </c>
      <c r="AH34" s="145" t="e">
        <f ca="1">IF(ISNA(ROUND(VLOOKUP(AG34,Contribution!C:J,8,FALSE),2)),"",ROUND(VLOOKUP(AG34,Contribution!C:J,8,FALSE),2))</f>
        <v>#NAME?</v>
      </c>
      <c r="AI34" s="142" t="str">
        <f t="shared" ca="1" si="10"/>
        <v/>
      </c>
      <c r="AJ34" s="1"/>
      <c r="AK34" s="1"/>
      <c r="AL34" s="1"/>
    </row>
    <row r="35" spans="1:38" x14ac:dyDescent="0.2">
      <c r="A35" s="4"/>
      <c r="B35" s="22" t="str">
        <f>IF(ISNA(C35),NA(),_xll.qlBondDescription(C35,Trigger))</f>
        <v>BTP 2024-12-01 2.5%</v>
      </c>
      <c r="C35" s="16" t="str">
        <v>IT0005045270</v>
      </c>
      <c r="D35" s="18">
        <f>IF(ISNA(C35),NA(),_xll.qlBondMaturityDate(C35,Trigger))</f>
        <v>45627</v>
      </c>
      <c r="E35" s="19">
        <f>IF(ISNA(C35),NA(),_xll.qlBondNextCouponRate(C35,BondSettlementDate))</f>
        <v>2.5000000000000001E-2</v>
      </c>
      <c r="F35" s="30">
        <f>IF(ISNA(C35),NA(),_xll.qlBondRedemptionAmount(C35,Trigger))</f>
        <v>100</v>
      </c>
      <c r="G35" s="17" t="str">
        <f>$C35&amp;"_Quote"</f>
        <v>IT0005045270_Quote</v>
      </c>
      <c r="H35" s="27" t="str">
        <f t="shared" si="7"/>
        <v>IT0005045270_Quote</v>
      </c>
      <c r="I35" s="16" t="str">
        <f>IF(LEFT(B35,3)="BTP",_xll.qlBTP2(,B35,D35,E35,F35,,,,Trigger),_xll.qlCCTEU(,B35,D35,E35,F35,,,,Trigger))</f>
        <v>obj_00fa2#0000</v>
      </c>
      <c r="J35" s="31" t="str">
        <f>_xll.qlBondHelper(,H35,I35)</f>
        <v>obj_01003#0000</v>
      </c>
      <c r="K35" s="26" t="str">
        <f>_xll.qlBTP2(,B35,D35,E35,F35,,,,Trigger)</f>
        <v>obj_00fc3#0000</v>
      </c>
      <c r="L35" s="26" t="b">
        <f>_xll.qlInstrumentSetPricingEngine(K35,BondPricingEngine)</f>
        <v>1</v>
      </c>
      <c r="M35" s="23">
        <f ca="1">_xll.qlBondCleanPrice(K35,AND(ISERROR(L35),ISERROR(N35)))</f>
        <v>99.569996557322725</v>
      </c>
      <c r="N35" s="27">
        <f ca="1">_xll.qlSimpleQuoteSetValue(G35,P35)</f>
        <v>4.9999999999954525E-3</v>
      </c>
      <c r="O35" s="29" t="e">
        <f>_xll.qlSimpleQuoteSetValue(#REF!,Q35)</f>
        <v>#VALUE!</v>
      </c>
      <c r="P35" s="27">
        <f t="shared" ca="1" si="12"/>
        <v>99.57</v>
      </c>
      <c r="Q35" s="23">
        <f t="shared" si="13"/>
        <v>0</v>
      </c>
      <c r="R35" s="24">
        <f t="shared" si="14"/>
        <v>0.11999999999999034</v>
      </c>
      <c r="S35" s="28" t="e">
        <f t="shared" ca="1" si="11"/>
        <v>#NAME?</v>
      </c>
      <c r="T35" s="23" t="e">
        <f t="shared" ca="1" si="8"/>
        <v>#VALUE!</v>
      </c>
      <c r="U35" s="26" t="str">
        <f t="shared" si="9"/>
        <v>IT504527=TT</v>
      </c>
      <c r="V35" s="23">
        <v>99.51</v>
      </c>
      <c r="W35" s="23">
        <v>99.63</v>
      </c>
      <c r="X35" s="17" t="e">
        <f ca="1">_xll.MKV("EUR.PRICING.XLS_GOVIES."&amp;$C35,X$1)</f>
        <v>#NAME?</v>
      </c>
      <c r="Y35" s="17" t="e">
        <f ca="1">_xll.MKV("EUR.PRICING.XLS_GOVIES."&amp;$C35,Y$1)</f>
        <v>#NAME?</v>
      </c>
      <c r="Z35" s="25">
        <f ca="1">IF(ISNA(C35),NA(),_xll.qlBondYieldFromCleanPrice(C35,P35,YieldDayCounter,YieldCompounding,YieldFrequency))</f>
        <v>2.5641248681768779E-2</v>
      </c>
      <c r="AA35" s="19" t="b">
        <v>1</v>
      </c>
      <c r="AB35" s="26" t="b">
        <f t="shared" si="15"/>
        <v>1</v>
      </c>
      <c r="AC35" s="24">
        <f ca="1">IF(ISNA(C35),NA(),M35-_xll.qlQuoteValue(H35))</f>
        <v>-3.4426772685947071E-6</v>
      </c>
      <c r="AD35" s="11"/>
      <c r="AE35" s="1"/>
      <c r="AF35" s="72" t="str">
        <f t="shared" si="5"/>
        <v>BTP 2024-12-01 2.5%</v>
      </c>
      <c r="AG35" s="139" t="e">
        <f ca="1">_xll.BDP(C35&amp;" Corp", "days to mty")</f>
        <v>#NAME?</v>
      </c>
      <c r="AH35" s="145" t="e">
        <f ca="1">IF(ISNA(ROUND(VLOOKUP(AG35,Contribution!C:J,8,FALSE),2)),"",ROUND(VLOOKUP(AG35,Contribution!C:J,8,FALSE),2))</f>
        <v>#NAME?</v>
      </c>
      <c r="AI35" s="142" t="str">
        <f t="shared" ca="1" si="10"/>
        <v/>
      </c>
      <c r="AJ35" s="1"/>
      <c r="AK35" s="1"/>
      <c r="AL35" s="1"/>
    </row>
    <row r="36" spans="1:38" x14ac:dyDescent="0.2">
      <c r="A36" s="4"/>
      <c r="B36" s="22" t="str">
        <f>IF(ISNA(C36),NA(),_xll.qlBondDescription(C36,Trigger))</f>
        <v>BTP 2025-03-01 5%</v>
      </c>
      <c r="C36" s="16" t="str">
        <v>IT0004513641</v>
      </c>
      <c r="D36" s="18">
        <f>IF(ISNA(C36),NA(),_xll.qlBondMaturityDate(C36,Trigger))</f>
        <v>45717</v>
      </c>
      <c r="E36" s="19">
        <f>IF(ISNA(C36),NA(),_xll.qlBondNextCouponRate(C36,BondSettlementDate))</f>
        <v>0.05</v>
      </c>
      <c r="F36" s="30">
        <f>IF(ISNA(C36),NA(),_xll.qlBondRedemptionAmount(C36,Trigger))</f>
        <v>100</v>
      </c>
      <c r="G36" s="17" t="str">
        <f t="shared" si="6"/>
        <v>IT0004513641_Quote</v>
      </c>
      <c r="H36" s="27" t="str">
        <f t="shared" si="7"/>
        <v>IT0004513641_Quote</v>
      </c>
      <c r="I36" s="16" t="str">
        <f>IF(LEFT(B36,3)="BTP",_xll.qlBTP2(,B36,D36,E36,F36,,,,Trigger),_xll.qlCCTEU(,B36,D36,E36,F36,,,,Trigger))</f>
        <v>obj_00fbd#0000</v>
      </c>
      <c r="J36" s="31" t="str">
        <f>_xll.qlBondHelper(,H36,I36)</f>
        <v>obj_00ff2#0000</v>
      </c>
      <c r="K36" s="26" t="str">
        <f>_xll.qlBTP2(,B36,D36,E36,F36,,,,Trigger)</f>
        <v>obj_00f9a#0000</v>
      </c>
      <c r="L36" s="26" t="b">
        <f>_xll.qlInstrumentSetPricingEngine(K36,BondPricingEngine)</f>
        <v>1</v>
      </c>
      <c r="M36" s="23">
        <f ca="1">_xll.qlBondCleanPrice(K36,AND(ISERROR(L36),ISERROR(N36)))</f>
        <v>120.57500204410698</v>
      </c>
      <c r="N36" s="27">
        <f ca="1">_xll.qlSimpleQuoteSetValue(G36,P36)</f>
        <v>0</v>
      </c>
      <c r="O36" s="29" t="e">
        <f>_xll.qlSimpleQuoteSetValue(#REF!,Q36)</f>
        <v>#VALUE!</v>
      </c>
      <c r="P36" s="27">
        <f t="shared" ca="1" si="12"/>
        <v>120.575</v>
      </c>
      <c r="Q36" s="23">
        <f t="shared" si="13"/>
        <v>0</v>
      </c>
      <c r="R36" s="24">
        <f t="shared" si="14"/>
        <v>0.12999999999999545</v>
      </c>
      <c r="S36" s="28" t="e">
        <f t="shared" ca="1" si="11"/>
        <v>#NAME?</v>
      </c>
      <c r="T36" s="23" t="e">
        <f t="shared" ca="1" si="8"/>
        <v>#VALUE!</v>
      </c>
      <c r="U36" s="26" t="str">
        <f t="shared" si="9"/>
        <v>IT451364=TT</v>
      </c>
      <c r="V36" s="23">
        <v>120.51</v>
      </c>
      <c r="W36" s="23">
        <v>120.64</v>
      </c>
      <c r="X36" s="17" t="e">
        <f ca="1">_xll.MKV("EUR.PRICING.XLS_GOVIES."&amp;$C36,X$1)</f>
        <v>#NAME?</v>
      </c>
      <c r="Y36" s="17" t="e">
        <f ca="1">_xll.MKV("EUR.PRICING.XLS_GOVIES."&amp;$C36,Y$1)</f>
        <v>#NAME?</v>
      </c>
      <c r="Z36" s="25">
        <f ca="1">IF(ISNA(C36),NA(),_xll.qlBondYieldFromCleanPrice(C36,P36,YieldDayCounter,YieldCompounding,YieldFrequency))</f>
        <v>2.7250812814012176E-2</v>
      </c>
      <c r="AA36" s="19" t="b">
        <v>1</v>
      </c>
      <c r="AB36" s="26" t="b">
        <f t="shared" si="15"/>
        <v>1</v>
      </c>
      <c r="AC36" s="24">
        <f ca="1">IF(ISNA(C36),NA(),M36-_xll.qlQuoteValue(H36))</f>
        <v>2.0441069779053578E-6</v>
      </c>
      <c r="AD36" s="11"/>
      <c r="AE36" s="1"/>
      <c r="AF36" s="72" t="str">
        <f t="shared" si="5"/>
        <v>BTP 2025-03-01 5%</v>
      </c>
      <c r="AG36" s="139" t="e">
        <f ca="1">_xll.BDP(C36&amp;" Corp", "days to mty")</f>
        <v>#NAME?</v>
      </c>
      <c r="AH36" s="145" t="e">
        <f ca="1">IF(ISNA(ROUND(VLOOKUP(AG36,Contribution!C:J,8,FALSE),2)),"",ROUND(VLOOKUP(AG36,Contribution!C:J,8,FALSE),2))</f>
        <v>#NAME?</v>
      </c>
      <c r="AI36" s="142" t="str">
        <f t="shared" ca="1" si="10"/>
        <v/>
      </c>
      <c r="AJ36" s="1"/>
      <c r="AK36" s="1"/>
      <c r="AL36" s="1"/>
    </row>
    <row r="37" spans="1:38" x14ac:dyDescent="0.2">
      <c r="A37" s="4"/>
      <c r="B37" s="22" t="str">
        <f>IF(ISNA(C37),NA(),_xll.qlBondDescription(C37,Trigger))</f>
        <v>BTP 2026-03-01 4.5%</v>
      </c>
      <c r="C37" s="16" t="str">
        <v>IT0004644735</v>
      </c>
      <c r="D37" s="18">
        <f>IF(ISNA(C37),NA(),_xll.qlBondMaturityDate(C37,Trigger))</f>
        <v>46082</v>
      </c>
      <c r="E37" s="19">
        <f>IF(ISNA(C37),NA(),_xll.qlBondNextCouponRate(C37,BondSettlementDate))</f>
        <v>4.4999999999999998E-2</v>
      </c>
      <c r="F37" s="30">
        <f>IF(ISNA(C37),NA(),_xll.qlBondRedemptionAmount(C37,Trigger))</f>
        <v>100</v>
      </c>
      <c r="G37" s="17" t="str">
        <f t="shared" si="6"/>
        <v>IT0004644735_Quote</v>
      </c>
      <c r="H37" s="27" t="str">
        <f t="shared" si="7"/>
        <v>IT0004644735_Quote</v>
      </c>
      <c r="I37" s="16" t="str">
        <f>IF(LEFT(B37,3)="BTP",_xll.qlBTP2(,B37,D37,E37,F37,,,,Trigger),_xll.qlCCTEU(,B37,D37,E37,F37,,,,Trigger))</f>
        <v>obj_00fe4#0000</v>
      </c>
      <c r="J37" s="31" t="str">
        <f>_xll.qlBondHelper(,H37,I37)</f>
        <v>obj_00ffa#0000</v>
      </c>
      <c r="K37" s="26" t="str">
        <f>_xll.qlBTP2(,B37,D37,E37,F37,,,,Trigger)</f>
        <v>obj_00fc6#0000</v>
      </c>
      <c r="L37" s="26" t="b">
        <f>_xll.qlInstrumentSetPricingEngine(K37,BondPricingEngine)</f>
        <v>1</v>
      </c>
      <c r="M37" s="23">
        <f ca="1">_xll.qlBondCleanPrice(K37,AND(ISERROR(L37),ISERROR(N37)))</f>
        <v>115.86499883979654</v>
      </c>
      <c r="N37" s="27">
        <f ca="1">_xll.qlSimpleQuoteSetValue(G37,P37)</f>
        <v>0</v>
      </c>
      <c r="O37" s="29" t="e">
        <f>_xll.qlSimpleQuoteSetValue(#REF!,Q37)</f>
        <v>#VALUE!</v>
      </c>
      <c r="P37" s="27">
        <f t="shared" ca="1" si="12"/>
        <v>115.86500000000001</v>
      </c>
      <c r="Q37" s="23">
        <f t="shared" si="13"/>
        <v>0</v>
      </c>
      <c r="R37" s="24">
        <f t="shared" si="14"/>
        <v>0.14999999999999147</v>
      </c>
      <c r="S37" s="28" t="e">
        <f t="shared" ca="1" si="11"/>
        <v>#NAME?</v>
      </c>
      <c r="T37" s="23" t="e">
        <f t="shared" ca="1" si="8"/>
        <v>#VALUE!</v>
      </c>
      <c r="U37" s="26" t="str">
        <f t="shared" si="9"/>
        <v>IT464473=TT</v>
      </c>
      <c r="V37" s="23">
        <v>115.79</v>
      </c>
      <c r="W37" s="23">
        <v>115.94</v>
      </c>
      <c r="X37" s="17" t="e">
        <f ca="1">_xll.MKV("EUR.PRICING.XLS_GOVIES."&amp;$C37,X$1)</f>
        <v>#NAME?</v>
      </c>
      <c r="Y37" s="17" t="e">
        <f ca="1">_xll.MKV("EUR.PRICING.XLS_GOVIES."&amp;$C37,Y$1)</f>
        <v>#NAME?</v>
      </c>
      <c r="Z37" s="25">
        <f ca="1">IF(ISNA(C37),NA(),_xll.qlBondYieldFromCleanPrice(C37,P37,YieldDayCounter,YieldCompounding,YieldFrequency))</f>
        <v>2.8738729261234403E-2</v>
      </c>
      <c r="AA37" s="19" t="b">
        <v>1</v>
      </c>
      <c r="AB37" s="26" t="b">
        <f t="shared" si="15"/>
        <v>1</v>
      </c>
      <c r="AC37" s="24">
        <f ca="1">IF(ISNA(C37),NA(),M37-_xll.qlQuoteValue(H37))</f>
        <v>-1.1602034675206596E-6</v>
      </c>
      <c r="AD37" s="11"/>
      <c r="AE37" s="1"/>
      <c r="AF37" s="72" t="str">
        <f t="shared" si="5"/>
        <v>BTP 2026-03-01 4.5%</v>
      </c>
      <c r="AG37" s="139" t="e">
        <f ca="1">_xll.BDP(C37&amp;" Corp", "days to mty")</f>
        <v>#NAME?</v>
      </c>
      <c r="AH37" s="145" t="e">
        <f ca="1">IF(ISNA(ROUND(VLOOKUP(AG37,Contribution!C:J,8,FALSE),2)),"",ROUND(VLOOKUP(AG37,Contribution!C:J,8,FALSE),2))</f>
        <v>#NAME?</v>
      </c>
      <c r="AI37" s="142" t="str">
        <f t="shared" ca="1" si="10"/>
        <v/>
      </c>
      <c r="AJ37" s="1"/>
      <c r="AK37" s="1"/>
      <c r="AL37" s="1"/>
    </row>
    <row r="38" spans="1:38" x14ac:dyDescent="0.2">
      <c r="A38" s="4"/>
      <c r="B38" s="22" t="str">
        <f>IF(ISNA(C38),NA(),_xll.qlBondDescription(C38,Trigger))</f>
        <v>BTP 2026-11-01 7.25%</v>
      </c>
      <c r="C38" s="16" t="str">
        <v>IT0001086567</v>
      </c>
      <c r="D38" s="18">
        <f>IF(ISNA(C38),NA(),_xll.qlBondMaturityDate(C38,Trigger))</f>
        <v>46327</v>
      </c>
      <c r="E38" s="19">
        <f>IF(ISNA(C38),NA(),_xll.qlBondNextCouponRate(C38,BondSettlementDate))</f>
        <v>7.2499999999999995E-2</v>
      </c>
      <c r="F38" s="30">
        <f>IF(ISNA(C38),NA(),_xll.qlBondRedemptionAmount(C38,Trigger))</f>
        <v>99.999000000000009</v>
      </c>
      <c r="G38" s="17" t="str">
        <f t="shared" si="6"/>
        <v>IT0001086567_Quote</v>
      </c>
      <c r="H38" s="27" t="str">
        <f t="shared" si="7"/>
        <v>IT0001086567_Quote</v>
      </c>
      <c r="I38" s="16" t="str">
        <f>IF(LEFT(B38,3)="BTP",_xll.qlBTP2(,B38,D38,E38,F38,,,,Trigger),_xll.qlCCTEU(,B38,D38,E38,F38,,,,Trigger))</f>
        <v>obj_00fb6#0000</v>
      </c>
      <c r="J38" s="31" t="str">
        <f>_xll.qlBondHelper(,H38,I38)</f>
        <v>obj_0100f#0000</v>
      </c>
      <c r="K38" s="26" t="str">
        <f>_xll.qlBTP2(,B38,D38,E38,F38,,,,Trigger)</f>
        <v>obj_00fb8#0000</v>
      </c>
      <c r="L38" s="26" t="b">
        <f>_xll.qlInstrumentSetPricingEngine(K38,BondPricingEngine)</f>
        <v>1</v>
      </c>
      <c r="M38" s="23">
        <f ca="1">_xll.qlBondCleanPrice(K38,AND(ISERROR(L38),ISERROR(N38)))</f>
        <v>144.17000021739014</v>
      </c>
      <c r="N38" s="27">
        <f ca="1">_xll.qlSimpleQuoteSetValue(G38,P38)</f>
        <v>0</v>
      </c>
      <c r="O38" s="29" t="e">
        <f>_xll.qlSimpleQuoteSetValue(#REF!,Q38)</f>
        <v>#VALUE!</v>
      </c>
      <c r="P38" s="27">
        <f t="shared" ca="1" si="12"/>
        <v>144.17000000000002</v>
      </c>
      <c r="Q38" s="23">
        <f t="shared" si="13"/>
        <v>0</v>
      </c>
      <c r="R38" s="24">
        <f t="shared" si="14"/>
        <v>0.28000000000000114</v>
      </c>
      <c r="S38" s="28" t="e">
        <f t="shared" ca="1" si="11"/>
        <v>#NAME?</v>
      </c>
      <c r="T38" s="23" t="e">
        <f t="shared" ca="1" si="8"/>
        <v>#VALUE!</v>
      </c>
      <c r="U38" s="26" t="str">
        <f t="shared" si="9"/>
        <v>IT108656=TT</v>
      </c>
      <c r="V38" s="23">
        <v>144.03</v>
      </c>
      <c r="W38" s="23">
        <v>144.31</v>
      </c>
      <c r="X38" s="17" t="e">
        <f ca="1">_xll.MKV("EUR.PRICING.XLS_GOVIES."&amp;$C38,X$1)</f>
        <v>#NAME?</v>
      </c>
      <c r="Y38" s="17" t="e">
        <f ca="1">_xll.MKV("EUR.PRICING.XLS_GOVIES."&amp;$C38,Y$1)</f>
        <v>#NAME?</v>
      </c>
      <c r="Z38" s="25">
        <f ca="1">IF(ISNA(C38),NA(),_xll.qlBondYieldFromCleanPrice(C38,P38,YieldDayCounter,YieldCompounding,YieldFrequency))</f>
        <v>2.8978922149506564E-2</v>
      </c>
      <c r="AA38" s="19" t="b">
        <v>1</v>
      </c>
      <c r="AB38" s="26" t="b">
        <f t="shared" si="15"/>
        <v>1</v>
      </c>
      <c r="AC38" s="24">
        <f ca="1">IF(ISNA(C38),NA(),M38-_xll.qlQuoteValue(H38))</f>
        <v>2.173901236801612E-7</v>
      </c>
      <c r="AD38" s="11"/>
      <c r="AE38" s="1"/>
      <c r="AF38" s="72" t="str">
        <f t="shared" si="5"/>
        <v>BTP 2026-11-01 7.25%</v>
      </c>
      <c r="AG38" s="139" t="e">
        <f ca="1">_xll.BDP(C38&amp;" Corp", "days to mty")</f>
        <v>#NAME?</v>
      </c>
      <c r="AH38" s="145" t="e">
        <f ca="1">IF(ISNA(ROUND(VLOOKUP(AG38,Contribution!C:J,8,FALSE),2)),"",ROUND(VLOOKUP(AG38,Contribution!C:J,8,FALSE),2))</f>
        <v>#NAME?</v>
      </c>
      <c r="AI38" s="142" t="str">
        <f t="shared" ca="1" si="10"/>
        <v/>
      </c>
      <c r="AJ38" s="1"/>
      <c r="AK38" s="1"/>
      <c r="AL38" s="1"/>
    </row>
    <row r="39" spans="1:38" x14ac:dyDescent="0.2">
      <c r="A39" s="4"/>
      <c r="B39" s="22" t="str">
        <f>IF(ISNA(C39),NA(),_xll.qlBondDescription(C39,Trigger))</f>
        <v>BTP 2027-11-01 6.5%</v>
      </c>
      <c r="C39" s="16" t="str">
        <v>IT0001174611</v>
      </c>
      <c r="D39" s="18">
        <f>IF(ISNA(C39),NA(),_xll.qlBondMaturityDate(C39,Trigger))</f>
        <v>46692</v>
      </c>
      <c r="E39" s="19">
        <f>IF(ISNA(C39),NA(),_xll.qlBondNextCouponRate(C39,BondSettlementDate))</f>
        <v>6.5000000000000002E-2</v>
      </c>
      <c r="F39" s="30">
        <f>IF(ISNA(C39),NA(),_xll.qlBondRedemptionAmount(C39,Trigger))</f>
        <v>100</v>
      </c>
      <c r="G39" s="17" t="str">
        <f t="shared" si="6"/>
        <v>IT0001174611_Quote</v>
      </c>
      <c r="H39" s="27" t="str">
        <f t="shared" si="7"/>
        <v>IT0001174611_Quote</v>
      </c>
      <c r="I39" s="16" t="str">
        <f>IF(LEFT(B39,3)="BTP",_xll.qlBTP2(,B39,D39,E39,F39,,,,Trigger),_xll.qlCCTEU(,B39,D39,E39,F39,,,,Trigger))</f>
        <v>obj_00fce#0000</v>
      </c>
      <c r="J39" s="31" t="str">
        <f>_xll.qlBondHelper(,H39,I39)</f>
        <v>obj_0100c#0000</v>
      </c>
      <c r="K39" s="26" t="str">
        <f>_xll.qlBTP2(,B39,D39,E39,F39,,,,Trigger)</f>
        <v>obj_00fcb#0000</v>
      </c>
      <c r="L39" s="26" t="b">
        <f>_xll.qlInstrumentSetPricingEngine(K39,BondPricingEngine)</f>
        <v>1</v>
      </c>
      <c r="M39" s="23">
        <f ca="1">_xll.qlBondCleanPrice(K39,AND(ISERROR(L39),ISERROR(N39)))</f>
        <v>136.90500260870908</v>
      </c>
      <c r="N39" s="27">
        <f ca="1">_xll.qlSimpleQuoteSetValue(G39,P39)</f>
        <v>0</v>
      </c>
      <c r="O39" s="29" t="e">
        <f>_xll.qlSimpleQuoteSetValue(#REF!,Q39)</f>
        <v>#VALUE!</v>
      </c>
      <c r="P39" s="27">
        <f t="shared" ca="1" si="12"/>
        <v>136.905</v>
      </c>
      <c r="Q39" s="23">
        <f t="shared" si="13"/>
        <v>0</v>
      </c>
      <c r="R39" s="24">
        <f t="shared" si="14"/>
        <v>0.26999999999998181</v>
      </c>
      <c r="S39" s="28" t="e">
        <f t="shared" ca="1" si="11"/>
        <v>#NAME?</v>
      </c>
      <c r="T39" s="23" t="e">
        <f t="shared" ca="1" si="8"/>
        <v>#VALUE!</v>
      </c>
      <c r="U39" s="26" t="str">
        <f t="shared" si="9"/>
        <v>IT117461=TT</v>
      </c>
      <c r="V39" s="23">
        <v>136.77000000000001</v>
      </c>
      <c r="W39" s="23">
        <v>137.04</v>
      </c>
      <c r="X39" s="17" t="e">
        <f ca="1">_xll.MKV("EUR.PRICING.XLS_GOVIES."&amp;$C39,X$1)</f>
        <v>#NAME?</v>
      </c>
      <c r="Y39" s="17" t="e">
        <f ca="1">_xll.MKV("EUR.PRICING.XLS_GOVIES."&amp;$C39,Y$1)</f>
        <v>#NAME?</v>
      </c>
      <c r="Z39" s="25">
        <f ca="1">IF(ISNA(C39),NA(),_xll.qlBondYieldFromCleanPrice(C39,P39,YieldDayCounter,YieldCompounding,YieldFrequency))</f>
        <v>3.0687104214355356E-2</v>
      </c>
      <c r="AA39" s="19" t="b">
        <v>1</v>
      </c>
      <c r="AB39" s="26" t="b">
        <f t="shared" si="15"/>
        <v>1</v>
      </c>
      <c r="AC39" s="24">
        <f ca="1">IF(ISNA(C39),NA(),M39-_xll.qlQuoteValue(H39))</f>
        <v>2.6087090816417913E-6</v>
      </c>
      <c r="AD39" s="11"/>
      <c r="AE39" s="1"/>
      <c r="AF39" s="72" t="str">
        <f t="shared" si="5"/>
        <v>BTP 2027-11-01 6.5%</v>
      </c>
      <c r="AG39" s="139" t="e">
        <f ca="1">_xll.BDP(C39&amp;" Corp", "days to mty")</f>
        <v>#NAME?</v>
      </c>
      <c r="AH39" s="145" t="e">
        <f ca="1">IF(ISNA(ROUND(VLOOKUP(AG39,Contribution!C:J,8,FALSE),2)),"",ROUND(VLOOKUP(AG39,Contribution!C:J,8,FALSE),2))</f>
        <v>#NAME?</v>
      </c>
      <c r="AI39" s="142" t="str">
        <f t="shared" ca="1" si="10"/>
        <v/>
      </c>
      <c r="AJ39" s="1"/>
      <c r="AK39" s="1"/>
      <c r="AL39" s="1"/>
    </row>
    <row r="40" spans="1:38" x14ac:dyDescent="0.2">
      <c r="A40" s="4"/>
      <c r="B40" s="22" t="str">
        <f>IF(ISNA(C40),NA(),_xll.qlBondDescription(C40,Trigger))</f>
        <v>BTP 2028-09-01 4.75%</v>
      </c>
      <c r="C40" s="16" t="str">
        <v>IT0004889033</v>
      </c>
      <c r="D40" s="18">
        <f>IF(ISNA(C40),NA(),_xll.qlBondMaturityDate(C40,Trigger))</f>
        <v>46997</v>
      </c>
      <c r="E40" s="19">
        <f>IF(ISNA(C40),NA(),_xll.qlBondNextCouponRate(C40,BondSettlementDate))</f>
        <v>4.7500000000000001E-2</v>
      </c>
      <c r="F40" s="30">
        <f>IF(ISNA(C40),NA(),_xll.qlBondRedemptionAmount(C40,Trigger))</f>
        <v>100</v>
      </c>
      <c r="G40" s="17" t="str">
        <f t="shared" si="6"/>
        <v>IT0004889033_Quote</v>
      </c>
      <c r="H40" s="27" t="str">
        <f t="shared" si="7"/>
        <v>IT0004889033_Quote</v>
      </c>
      <c r="I40" s="16" t="str">
        <f>IF(LEFT(B40,3)="BTP",_xll.qlBTP2(,B40,D40,E40,F40,,,,Trigger),_xll.qlCCTEU(,B40,D40,E40,F40,,,,Trigger))</f>
        <v>obj_00fad#0000</v>
      </c>
      <c r="J40" s="31" t="str">
        <f>_xll.qlBondHelper(,H40,I40)</f>
        <v>obj_00ff1#0000</v>
      </c>
      <c r="K40" s="26" t="str">
        <f>_xll.qlBTP2(,B40,D40,E40,F40,,,,Trigger)</f>
        <v>obj_00fea#0000</v>
      </c>
      <c r="L40" s="26" t="b">
        <f>_xll.qlInstrumentSetPricingEngine(K40,BondPricingEngine)</f>
        <v>1</v>
      </c>
      <c r="M40" s="23">
        <f ca="1">_xll.qlBondCleanPrice(K40,AND(ISERROR(L40),ISERROR(N40)))</f>
        <v>117.78000044203829</v>
      </c>
      <c r="N40" s="27">
        <f ca="1">_xll.qlSimpleQuoteSetValue(G40,P40)</f>
        <v>0</v>
      </c>
      <c r="O40" s="29" t="e">
        <f>_xll.qlSimpleQuoteSetValue(#REF!,Q40)</f>
        <v>#VALUE!</v>
      </c>
      <c r="P40" s="27">
        <f t="shared" ca="1" si="12"/>
        <v>117.78</v>
      </c>
      <c r="Q40" s="23">
        <f t="shared" si="13"/>
        <v>0</v>
      </c>
      <c r="R40" s="24">
        <f t="shared" si="14"/>
        <v>0.19999999999998863</v>
      </c>
      <c r="S40" s="28" t="e">
        <f t="shared" ca="1" si="11"/>
        <v>#NAME?</v>
      </c>
      <c r="T40" s="23" t="e">
        <f t="shared" ca="1" si="8"/>
        <v>#VALUE!</v>
      </c>
      <c r="U40" s="26" t="str">
        <f t="shared" si="9"/>
        <v>IT488903=TT</v>
      </c>
      <c r="V40" s="23">
        <v>117.68</v>
      </c>
      <c r="W40" s="23">
        <v>117.88</v>
      </c>
      <c r="X40" s="17" t="e">
        <f ca="1">_xll.MKV("EUR.PRICING.XLS_GOVIES."&amp;$C40,X$1)</f>
        <v>#NAME?</v>
      </c>
      <c r="Y40" s="17" t="e">
        <f ca="1">_xll.MKV("EUR.PRICING.XLS_GOVIES."&amp;$C40,Y$1)</f>
        <v>#NAME?</v>
      </c>
      <c r="Z40" s="25">
        <f ca="1">IF(ISNA(C40),NA(),_xll.qlBondYieldFromCleanPrice(C40,P40,YieldDayCounter,YieldCompounding,YieldFrequency))</f>
        <v>3.1804108992591493E-2</v>
      </c>
      <c r="AA40" s="19" t="b">
        <v>1</v>
      </c>
      <c r="AB40" s="26" t="b">
        <f t="shared" si="15"/>
        <v>1</v>
      </c>
      <c r="AC40" s="24">
        <f ca="1">IF(ISNA(C40),NA(),M40-_xll.qlQuoteValue(H40))</f>
        <v>4.4203828508670995E-7</v>
      </c>
      <c r="AD40" s="11"/>
      <c r="AE40" s="1"/>
      <c r="AF40" s="72" t="str">
        <f t="shared" si="5"/>
        <v>BTP 2028-09-01 4.75%</v>
      </c>
      <c r="AG40" s="139" t="e">
        <f ca="1">_xll.BDP(C40&amp;" Corp", "days to mty")</f>
        <v>#NAME?</v>
      </c>
      <c r="AH40" s="145" t="e">
        <f ca="1">IF(ISNA(ROUND(VLOOKUP(AG40,Contribution!C:J,8,FALSE),2)),"",ROUND(VLOOKUP(AG40,Contribution!C:J,8,FALSE),2))</f>
        <v>#NAME?</v>
      </c>
      <c r="AI40" s="142" t="str">
        <f t="shared" ca="1" si="10"/>
        <v/>
      </c>
      <c r="AJ40" s="1"/>
      <c r="AK40" s="1"/>
      <c r="AL40" s="1"/>
    </row>
    <row r="41" spans="1:38" x14ac:dyDescent="0.2">
      <c r="A41" s="4"/>
      <c r="B41" s="22" t="str">
        <f>IF(ISNA(C41),NA(),_xll.qlBondDescription(C41,Trigger))</f>
        <v>BTP 2029-11-01 5.25%</v>
      </c>
      <c r="C41" s="16" t="str">
        <v>IT0001278511</v>
      </c>
      <c r="D41" s="18">
        <f>IF(ISNA(C41),NA(),_xll.qlBondMaturityDate(C41,Trigger))</f>
        <v>47423</v>
      </c>
      <c r="E41" s="19">
        <f>IF(ISNA(C41),NA(),_xll.qlBondNextCouponRate(C41,BondSettlementDate))</f>
        <v>5.2499999999999998E-2</v>
      </c>
      <c r="F41" s="30">
        <f>IF(ISNA(C41),NA(),_xll.qlBondRedemptionAmount(C41,Trigger))</f>
        <v>100</v>
      </c>
      <c r="G41" s="17" t="str">
        <f t="shared" si="6"/>
        <v>IT0001278511_Quote</v>
      </c>
      <c r="H41" s="27" t="str">
        <f t="shared" si="7"/>
        <v>IT0001278511_Quote</v>
      </c>
      <c r="I41" s="16" t="str">
        <f>IF(LEFT(B41,3)="BTP",_xll.qlBTP2(,B41,D41,E41,F41,,,,Trigger),_xll.qlCCTEU(,B41,D41,E41,F41,,,,Trigger))</f>
        <v>obj_00fdb#0000</v>
      </c>
      <c r="J41" s="31" t="str">
        <f>_xll.qlBondHelper(,H41,I41)</f>
        <v>obj_01005#0000</v>
      </c>
      <c r="K41" s="26" t="str">
        <f>_xll.qlBTP2(,B41,D41,E41,F41,,,,Trigger)</f>
        <v>obj_00fb2#0000</v>
      </c>
      <c r="L41" s="26" t="b">
        <f>_xll.qlInstrumentSetPricingEngine(K41,BondPricingEngine)</f>
        <v>1</v>
      </c>
      <c r="M41" s="23">
        <f ca="1">_xll.qlBondCleanPrice(K41,AND(ISERROR(L41),ISERROR(N41)))</f>
        <v>124.10000326086538</v>
      </c>
      <c r="N41" s="27">
        <f ca="1">_xll.qlSimpleQuoteSetValue(G41,P41)</f>
        <v>0</v>
      </c>
      <c r="O41" s="29" t="e">
        <f>_xll.qlSimpleQuoteSetValue(#REF!,Q41)</f>
        <v>#VALUE!</v>
      </c>
      <c r="P41" s="27">
        <f t="shared" ca="1" si="12"/>
        <v>124.1</v>
      </c>
      <c r="Q41" s="23">
        <f t="shared" si="13"/>
        <v>0</v>
      </c>
      <c r="R41" s="24">
        <f t="shared" si="14"/>
        <v>0.28000000000000114</v>
      </c>
      <c r="S41" s="28" t="e">
        <f t="shared" ca="1" si="11"/>
        <v>#NAME?</v>
      </c>
      <c r="T41" s="23" t="e">
        <f t="shared" ca="1" si="8"/>
        <v>#VALUE!</v>
      </c>
      <c r="U41" s="26" t="str">
        <f t="shared" si="9"/>
        <v>IT127851=TT</v>
      </c>
      <c r="V41" s="23">
        <v>123.96</v>
      </c>
      <c r="W41" s="23">
        <v>124.24</v>
      </c>
      <c r="X41" s="17" t="e">
        <f ca="1">_xll.MKV("EUR.PRICING.XLS_GOVIES."&amp;$C41,X$1)</f>
        <v>#NAME?</v>
      </c>
      <c r="Y41" s="17" t="e">
        <f ca="1">_xll.MKV("EUR.PRICING.XLS_GOVIES."&amp;$C41,Y$1)</f>
        <v>#NAME?</v>
      </c>
      <c r="Z41" s="25">
        <f ca="1">IF(ISNA(C41),NA(),_xll.qlBondYieldFromCleanPrice(C41,P41,YieldDayCounter,YieldCompounding,YieldFrequency))</f>
        <v>3.2402268440648918E-2</v>
      </c>
      <c r="AA41" s="19" t="b">
        <v>1</v>
      </c>
      <c r="AB41" s="26" t="b">
        <f t="shared" si="15"/>
        <v>1</v>
      </c>
      <c r="AC41" s="24">
        <f ca="1">IF(ISNA(C41),NA(),M41-_xll.qlQuoteValue(H41))</f>
        <v>3.2608653839361068E-6</v>
      </c>
      <c r="AD41" s="11"/>
      <c r="AE41" s="1"/>
      <c r="AF41" s="72" t="str">
        <f t="shared" si="5"/>
        <v>BTP 2029-11-01 5.25%</v>
      </c>
      <c r="AG41" s="139" t="e">
        <f ca="1">_xll.BDP(C41&amp;" Corp", "days to mty")</f>
        <v>#NAME?</v>
      </c>
      <c r="AH41" s="145" t="e">
        <f ca="1">IF(ISNA(ROUND(VLOOKUP(AG41,Contribution!C:J,8,FALSE),2)),"",ROUND(VLOOKUP(AG41,Contribution!C:J,8,FALSE),2))</f>
        <v>#NAME?</v>
      </c>
      <c r="AI41" s="142" t="str">
        <f t="shared" ca="1" si="10"/>
        <v/>
      </c>
      <c r="AJ41" s="1"/>
      <c r="AK41" s="1"/>
      <c r="AL41" s="1"/>
    </row>
    <row r="42" spans="1:38" x14ac:dyDescent="0.2">
      <c r="A42" s="4"/>
      <c r="B42" s="22" t="str">
        <f>IF(ISNA(C42),NA(),_xll.qlBondDescription(C42,Trigger))</f>
        <v>BTP 2031-05-01 6%</v>
      </c>
      <c r="C42" s="16" t="str">
        <v>IT0001444378</v>
      </c>
      <c r="D42" s="18">
        <f>IF(ISNA(C42),NA(),_xll.qlBondMaturityDate(C42,Trigger))</f>
        <v>47969</v>
      </c>
      <c r="E42" s="19">
        <f>IF(ISNA(C42),NA(),_xll.qlBondNextCouponRate(C42,BondSettlementDate))</f>
        <v>0.06</v>
      </c>
      <c r="F42" s="30">
        <f>IF(ISNA(C42),NA(),_xll.qlBondRedemptionAmount(C42,Trigger))</f>
        <v>100</v>
      </c>
      <c r="G42" s="17" t="str">
        <f t="shared" si="6"/>
        <v>IT0001444378_Quote</v>
      </c>
      <c r="H42" s="27" t="str">
        <f t="shared" si="7"/>
        <v>IT0001444378_Quote</v>
      </c>
      <c r="I42" s="16" t="str">
        <f>IF(LEFT(B42,3)="BTP",_xll.qlBTP2(,B42,D42,E42,F42,,,,Trigger),_xll.qlCCTEU(,B42,D42,E42,F42,,,,Trigger))</f>
        <v>obj_00fa8#0000</v>
      </c>
      <c r="J42" s="31" t="str">
        <f>_xll.qlBondHelper(,H42,I42)</f>
        <v>obj_00fff#0000</v>
      </c>
      <c r="K42" s="26" t="str">
        <f>_xll.qlBTP2(,B42,D42,E42,F42,,,,Trigger)</f>
        <v>obj_00f91#0000</v>
      </c>
      <c r="L42" s="26" t="b">
        <f>_xll.qlInstrumentSetPricingEngine(K42,BondPricingEngine)</f>
        <v>1</v>
      </c>
      <c r="M42" s="23">
        <f ca="1">_xll.qlBondCleanPrice(K42,AND(ISERROR(L42),ISERROR(N42)))</f>
        <v>134.48500086957588</v>
      </c>
      <c r="N42" s="27">
        <f ca="1">_xll.qlSimpleQuoteSetValue(G42,P42)</f>
        <v>0</v>
      </c>
      <c r="O42" s="29" t="e">
        <f>_xll.qlSimpleQuoteSetValue(#REF!,Q42)</f>
        <v>#VALUE!</v>
      </c>
      <c r="P42" s="27">
        <f t="shared" ca="1" si="12"/>
        <v>134.48500000000001</v>
      </c>
      <c r="Q42" s="23">
        <f t="shared" si="13"/>
        <v>0</v>
      </c>
      <c r="R42" s="24">
        <f t="shared" si="14"/>
        <v>0.25</v>
      </c>
      <c r="S42" s="28" t="e">
        <f t="shared" ca="1" si="11"/>
        <v>#NAME?</v>
      </c>
      <c r="T42" s="23" t="e">
        <f t="shared" ref="T42:T50" ca="1" si="16">AI42-AK42</f>
        <v>#VALUE!</v>
      </c>
      <c r="U42" s="26" t="str">
        <f t="shared" si="9"/>
        <v>IT144437=TT</v>
      </c>
      <c r="V42" s="23">
        <v>134.36000000000001</v>
      </c>
      <c r="W42" s="23">
        <v>134.61000000000001</v>
      </c>
      <c r="X42" s="17" t="e">
        <f ca="1">_xll.MKV("EUR.PRICING.XLS_GOVIES."&amp;$C42,X$1)</f>
        <v>#NAME?</v>
      </c>
      <c r="Y42" s="17" t="e">
        <f ca="1">_xll.MKV("EUR.PRICING.XLS_GOVIES."&amp;$C42,Y$1)</f>
        <v>#NAME?</v>
      </c>
      <c r="Z42" s="25">
        <f ca="1">IF(ISNA(C42),NA(),_xll.qlBondYieldFromCleanPrice(C42,P42,YieldDayCounter,YieldCompounding,YieldFrequency))</f>
        <v>3.3060642686240989E-2</v>
      </c>
      <c r="AA42" s="19" t="b">
        <v>1</v>
      </c>
      <c r="AB42" s="26" t="b">
        <f t="shared" si="15"/>
        <v>1</v>
      </c>
      <c r="AC42" s="24">
        <f ca="1">IF(ISNA(C42),NA(),M42-_xll.qlQuoteValue(H42))</f>
        <v>8.6957587086544663E-7</v>
      </c>
      <c r="AD42" s="11"/>
      <c r="AE42" s="1"/>
      <c r="AF42" s="72" t="str">
        <f t="shared" si="5"/>
        <v>BTP 2031-05-01 6%</v>
      </c>
      <c r="AG42" s="139" t="e">
        <f ca="1">_xll.BDP(C42&amp;" Corp", "days to mty")</f>
        <v>#NAME?</v>
      </c>
      <c r="AH42" s="145" t="e">
        <f ca="1">IF(ISNA(ROUND(VLOOKUP(AG42,Contribution!C:J,8,FALSE),2)),"",ROUND(VLOOKUP(AG42,Contribution!C:J,8,FALSE),2))</f>
        <v>#NAME?</v>
      </c>
      <c r="AI42" s="142" t="str">
        <f t="shared" ca="1" si="10"/>
        <v/>
      </c>
      <c r="AJ42" s="1"/>
      <c r="AK42" s="1"/>
      <c r="AL42" s="1"/>
    </row>
    <row r="43" spans="1:38" x14ac:dyDescent="0.2">
      <c r="A43" s="4"/>
      <c r="B43" s="22" t="str">
        <f>IF(ISNA(C43),NA(),_xll.qlBondDescription(C43,Trigger))</f>
        <v>BTP 2033-02-01 5.75%</v>
      </c>
      <c r="C43" s="16" t="str">
        <v>IT0003256820</v>
      </c>
      <c r="D43" s="18">
        <f>IF(ISNA(C43),NA(),_xll.qlBondMaturityDate(C43,Trigger))</f>
        <v>48611</v>
      </c>
      <c r="E43" s="19">
        <f>IF(ISNA(C43),NA(),_xll.qlBondNextCouponRate(C43,BondSettlementDate))</f>
        <v>5.7500000000000002E-2</v>
      </c>
      <c r="F43" s="30">
        <f>IF(ISNA(C43),NA(),_xll.qlBondRedemptionAmount(C43,Trigger))</f>
        <v>100</v>
      </c>
      <c r="G43" s="17" t="str">
        <f t="shared" si="6"/>
        <v>IT0003256820_Quote</v>
      </c>
      <c r="H43" s="27" t="str">
        <f t="shared" si="7"/>
        <v>IT0003256820_Quote</v>
      </c>
      <c r="I43" s="16" t="str">
        <f>IF(LEFT(B43,3)="BTP",_xll.qlBTP2(,B43,D43,E43,F43,,,,Trigger),_xll.qlCCTEU(,B43,D43,E43,F43,,,,Trigger))</f>
        <v>obj_00f97#0000</v>
      </c>
      <c r="J43" s="31" t="str">
        <f>_xll.qlBondHelper(,H43,I43)</f>
        <v>obj_01007#0000</v>
      </c>
      <c r="K43" s="26" t="str">
        <f>_xll.qlBTP2(,B43,D43,E43,F43,,,,Trigger)</f>
        <v>obj_00f9c#0000</v>
      </c>
      <c r="L43" s="26" t="b">
        <f>_xll.qlInstrumentSetPricingEngine(K43,BondPricingEngine)</f>
        <v>1</v>
      </c>
      <c r="M43" s="23">
        <f ca="1">_xll.qlBondCleanPrice(K43,AND(ISERROR(L43),ISERROR(N43)))</f>
        <v>131.85000499999697</v>
      </c>
      <c r="N43" s="27">
        <f ca="1">_xll.qlSimpleQuoteSetValue(G43,P43)</f>
        <v>0</v>
      </c>
      <c r="O43" s="29" t="e">
        <f>_xll.qlSimpleQuoteSetValue(#REF!,Q43)</f>
        <v>#VALUE!</v>
      </c>
      <c r="P43" s="27">
        <f t="shared" ca="1" si="12"/>
        <v>131.85000000000002</v>
      </c>
      <c r="Q43" s="23">
        <f t="shared" si="13"/>
        <v>0</v>
      </c>
      <c r="R43" s="24">
        <f t="shared" si="14"/>
        <v>0.34000000000000341</v>
      </c>
      <c r="S43" s="28" t="e">
        <f t="shared" ca="1" si="11"/>
        <v>#NAME?</v>
      </c>
      <c r="T43" s="23" t="e">
        <f t="shared" ca="1" si="16"/>
        <v>#VALUE!</v>
      </c>
      <c r="U43" s="26" t="str">
        <f t="shared" si="9"/>
        <v>IT325682=TT</v>
      </c>
      <c r="V43" s="23">
        <v>131.68</v>
      </c>
      <c r="W43" s="23">
        <v>132.02000000000001</v>
      </c>
      <c r="X43" s="17" t="e">
        <f ca="1">_xll.MKV("EUR.PRICING.XLS_GOVIES."&amp;$C43,X$1)</f>
        <v>#NAME?</v>
      </c>
      <c r="Y43" s="17" t="e">
        <f ca="1">_xll.MKV("EUR.PRICING.XLS_GOVIES."&amp;$C43,Y$1)</f>
        <v>#NAME?</v>
      </c>
      <c r="Z43" s="25">
        <f ca="1">IF(ISNA(C43),NA(),_xll.qlBondYieldFromCleanPrice(C43,P43,YieldDayCounter,YieldCompounding,YieldFrequency))</f>
        <v>3.4246067868545657E-2</v>
      </c>
      <c r="AA43" s="19" t="b">
        <v>1</v>
      </c>
      <c r="AB43" s="26" t="b">
        <f t="shared" si="15"/>
        <v>1</v>
      </c>
      <c r="AC43" s="24">
        <f ca="1">IF(ISNA(C43),NA(),M43-_xll.qlQuoteValue(H43))</f>
        <v>4.9999969462533045E-6</v>
      </c>
      <c r="AD43" s="11"/>
      <c r="AE43" s="1"/>
      <c r="AF43" s="72" t="str">
        <f t="shared" si="5"/>
        <v>BTP 2033-02-01 5.75%</v>
      </c>
      <c r="AG43" s="139" t="e">
        <f ca="1">_xll.BDP(C43&amp;" Corp", "days to mty")</f>
        <v>#NAME?</v>
      </c>
      <c r="AH43" s="145" t="e">
        <f ca="1">IF(ISNA(ROUND(VLOOKUP(AG43,Contribution!C:J,8,FALSE),2)),"",ROUND(VLOOKUP(AG43,Contribution!C:J,8,FALSE),2))</f>
        <v>#NAME?</v>
      </c>
      <c r="AI43" s="142" t="str">
        <f t="shared" ca="1" si="10"/>
        <v/>
      </c>
      <c r="AJ43" s="1"/>
      <c r="AK43" s="1"/>
      <c r="AL43" s="1"/>
    </row>
    <row r="44" spans="1:38" x14ac:dyDescent="0.2">
      <c r="A44" s="4"/>
      <c r="B44" s="22" t="str">
        <f>IF(ISNA(C44),NA(),_xll.qlBondDescription(C44,Trigger))</f>
        <v>BTP 2034-08-01 5%</v>
      </c>
      <c r="C44" s="16" t="str">
        <v>IT0003535157</v>
      </c>
      <c r="D44" s="18">
        <f>IF(ISNA(C44),NA(),_xll.qlBondMaturityDate(C44,Trigger))</f>
        <v>49157</v>
      </c>
      <c r="E44" s="19">
        <f>IF(ISNA(C44),NA(),_xll.qlBondNextCouponRate(C44,BondSettlementDate))</f>
        <v>0.05</v>
      </c>
      <c r="F44" s="30">
        <f>IF(ISNA(C44),NA(),_xll.qlBondRedemptionAmount(C44,Trigger))</f>
        <v>100</v>
      </c>
      <c r="G44" s="17" t="str">
        <f t="shared" si="6"/>
        <v>IT0003535157_Quote</v>
      </c>
      <c r="H44" s="27" t="str">
        <f t="shared" si="7"/>
        <v>IT0003535157_Quote</v>
      </c>
      <c r="I44" s="16" t="str">
        <f>IF(LEFT(B44,3)="BTP",_xll.qlBTP2(,B44,D44,E44,F44,,,,Trigger),_xll.qlCCTEU(,B44,D44,E44,F44,,,,Trigger))</f>
        <v>obj_00fbc#0000</v>
      </c>
      <c r="J44" s="31" t="str">
        <f>_xll.qlBondHelper(,H44,I44)</f>
        <v>obj_0101c#0000</v>
      </c>
      <c r="K44" s="26" t="str">
        <f>_xll.qlBTP2(,B44,D44,E44,F44,,,,Trigger)</f>
        <v>obj_00fa5#0000</v>
      </c>
      <c r="L44" s="26" t="b">
        <f>_xll.qlInstrumentSetPricingEngine(K44,BondPricingEngine)</f>
        <v>1</v>
      </c>
      <c r="M44" s="23">
        <f ca="1">_xll.qlBondCleanPrice(K44,AND(ISERROR(L44),ISERROR(N44)))</f>
        <v>121.08499739128901</v>
      </c>
      <c r="N44" s="27">
        <f ca="1">_xll.qlSimpleQuoteSetValue(G44,P44)</f>
        <v>0</v>
      </c>
      <c r="O44" s="29" t="e">
        <f>_xll.qlSimpleQuoteSetValue(#REF!,Q44)</f>
        <v>#VALUE!</v>
      </c>
      <c r="P44" s="27">
        <f t="shared" ca="1" si="12"/>
        <v>121.08500000000001</v>
      </c>
      <c r="Q44" s="23">
        <f t="shared" si="13"/>
        <v>0</v>
      </c>
      <c r="R44" s="24">
        <f t="shared" si="14"/>
        <v>0.29000000000000625</v>
      </c>
      <c r="S44" s="28" t="e">
        <f t="shared" ca="1" si="11"/>
        <v>#NAME?</v>
      </c>
      <c r="T44" s="23" t="e">
        <f t="shared" ca="1" si="16"/>
        <v>#VALUE!</v>
      </c>
      <c r="U44" s="26" t="str">
        <f t="shared" si="9"/>
        <v>IT353515=TT</v>
      </c>
      <c r="V44" s="23">
        <v>120.94</v>
      </c>
      <c r="W44" s="23">
        <v>121.23</v>
      </c>
      <c r="X44" s="17" t="e">
        <f ca="1">_xll.MKV("EUR.PRICING.XLS_GOVIES."&amp;$C44,X$1)</f>
        <v>#NAME?</v>
      </c>
      <c r="Y44" s="17" t="e">
        <f ca="1">_xll.MKV("EUR.PRICING.XLS_GOVIES."&amp;$C44,Y$1)</f>
        <v>#NAME?</v>
      </c>
      <c r="Z44" s="25">
        <f ca="1">IF(ISNA(C44),NA(),_xll.qlBondYieldFromCleanPrice(C44,P44,YieldDayCounter,YieldCompounding,YieldFrequency))</f>
        <v>3.5422804996743801E-2</v>
      </c>
      <c r="AA44" s="19" t="b">
        <v>1</v>
      </c>
      <c r="AB44" s="26" t="b">
        <f t="shared" si="15"/>
        <v>1</v>
      </c>
      <c r="AC44" s="24">
        <f ca="1">IF(ISNA(C44),NA(),M44-_xll.qlQuoteValue(H44))</f>
        <v>-2.6087110001071778E-6</v>
      </c>
      <c r="AD44" s="11"/>
      <c r="AE44" s="1"/>
      <c r="AF44" s="72" t="str">
        <f t="shared" si="5"/>
        <v>BTP 2034-08-01 5%</v>
      </c>
      <c r="AG44" s="139" t="e">
        <f ca="1">_xll.BDP(C44&amp;" Corp", "days to mty")</f>
        <v>#NAME?</v>
      </c>
      <c r="AH44" s="145" t="e">
        <f ca="1">IF(ISNA(ROUND(VLOOKUP(AG44,Contribution!C:J,8,FALSE),2)),"",ROUND(VLOOKUP(AG44,Contribution!C:J,8,FALSE),2))</f>
        <v>#NAME?</v>
      </c>
      <c r="AI44" s="142" t="str">
        <f t="shared" ca="1" si="10"/>
        <v/>
      </c>
      <c r="AJ44" s="1"/>
      <c r="AK44" s="1"/>
      <c r="AL44" s="1"/>
    </row>
    <row r="45" spans="1:38" x14ac:dyDescent="0.2">
      <c r="A45" s="4"/>
      <c r="B45" s="22" t="str">
        <f>IF(ISNA(C45),NA(),_xll.qlBondDescription(C45,Trigger))</f>
        <v>BTP 2037-02-01 4%</v>
      </c>
      <c r="C45" s="16" t="str">
        <v>IT0003934657</v>
      </c>
      <c r="D45" s="18">
        <f>IF(ISNA(C45),NA(),_xll.qlBondMaturityDate(C45,Trigger))</f>
        <v>50072</v>
      </c>
      <c r="E45" s="19">
        <f>IF(ISNA(C45),NA(),_xll.qlBondNextCouponRate(C45,BondSettlementDate))</f>
        <v>0.04</v>
      </c>
      <c r="F45" s="30">
        <f>IF(ISNA(C45),NA(),_xll.qlBondRedemptionAmount(C45,Trigger))</f>
        <v>100</v>
      </c>
      <c r="G45" s="17" t="str">
        <f t="shared" si="6"/>
        <v>IT0003934657_Quote</v>
      </c>
      <c r="H45" s="27" t="str">
        <f t="shared" si="7"/>
        <v>IT0003934657_Quote</v>
      </c>
      <c r="I45" s="16" t="str">
        <f>IF(LEFT(B45,3)="BTP",_xll.qlBTP2(,B45,D45,E45,F45,,,,Trigger),_xll.qlCCTEU(,B45,D45,E45,F45,,,,Trigger))</f>
        <v>obj_00fac#0000</v>
      </c>
      <c r="J45" s="31" t="str">
        <f>_xll.qlBondHelper(,H45,I45)</f>
        <v>obj_01001#0000</v>
      </c>
      <c r="K45" s="26" t="str">
        <f>_xll.qlBTP2(,B45,D45,E45,F45,,,,Trigger)</f>
        <v>obj_00fc4#0000</v>
      </c>
      <c r="L45" s="26" t="b">
        <f>_xll.qlInstrumentSetPricingEngine(K45,BondPricingEngine)</f>
        <v>1</v>
      </c>
      <c r="M45" s="23">
        <f ca="1">_xll.qlBondCleanPrice(K45,AND(ISERROR(L45),ISERROR(N45)))</f>
        <v>106.27000391308137</v>
      </c>
      <c r="N45" s="27">
        <f ca="1">_xll.qlSimpleQuoteSetValue(G45,P45)</f>
        <v>0</v>
      </c>
      <c r="O45" s="29" t="e">
        <f>_xll.qlSimpleQuoteSetValue(#REF!,Q45)</f>
        <v>#VALUE!</v>
      </c>
      <c r="P45" s="27">
        <f t="shared" ca="1" si="12"/>
        <v>106.27</v>
      </c>
      <c r="Q45" s="23">
        <f t="shared" si="13"/>
        <v>0</v>
      </c>
      <c r="R45" s="24">
        <f t="shared" si="14"/>
        <v>0.15999999999999659</v>
      </c>
      <c r="S45" s="28" t="e">
        <f t="shared" ca="1" si="11"/>
        <v>#NAME?</v>
      </c>
      <c r="T45" s="23" t="e">
        <f t="shared" ca="1" si="16"/>
        <v>#VALUE!</v>
      </c>
      <c r="U45" s="26" t="str">
        <f t="shared" si="9"/>
        <v>IT393465=TT</v>
      </c>
      <c r="V45" s="23">
        <v>106.19</v>
      </c>
      <c r="W45" s="23">
        <v>106.35</v>
      </c>
      <c r="X45" s="17" t="e">
        <f ca="1">_xll.MKV("EUR.PRICING.XLS_GOVIES."&amp;$C45,X$1)</f>
        <v>#NAME?</v>
      </c>
      <c r="Y45" s="17" t="e">
        <f ca="1">_xll.MKV("EUR.PRICING.XLS_GOVIES."&amp;$C45,Y$1)</f>
        <v>#NAME?</v>
      </c>
      <c r="Z45" s="25">
        <f ca="1">IF(ISNA(C45),NA(),_xll.qlBondYieldFromCleanPrice(C45,P45,YieldDayCounter,YieldCompounding,YieldFrequency))</f>
        <v>3.6202417341742593E-2</v>
      </c>
      <c r="AA45" s="19" t="b">
        <v>1</v>
      </c>
      <c r="AB45" s="26" t="b">
        <f t="shared" si="15"/>
        <v>1</v>
      </c>
      <c r="AC45" s="24">
        <f ca="1">IF(ISNA(C45),NA(),M45-_xll.qlQuoteValue(H45))</f>
        <v>3.9130813718202262E-6</v>
      </c>
      <c r="AD45" s="11"/>
      <c r="AE45" s="1"/>
      <c r="AF45" s="72" t="str">
        <f t="shared" si="5"/>
        <v>BTP 2037-02-01 4%</v>
      </c>
      <c r="AG45" s="139" t="e">
        <f ca="1">_xll.BDP(C45&amp;" Corp", "days to mty")</f>
        <v>#NAME?</v>
      </c>
      <c r="AH45" s="145" t="e">
        <f ca="1">IF(ISNA(ROUND(VLOOKUP(AG45,Contribution!C:J,8,FALSE),2)),"",ROUND(VLOOKUP(AG45,Contribution!C:J,8,FALSE),2))</f>
        <v>#NAME?</v>
      </c>
      <c r="AI45" s="142" t="str">
        <f t="shared" ca="1" si="10"/>
        <v/>
      </c>
      <c r="AJ45" s="1"/>
      <c r="AK45" s="1"/>
      <c r="AL45" s="1"/>
    </row>
    <row r="46" spans="1:38" x14ac:dyDescent="0.2">
      <c r="A46" s="4"/>
      <c r="B46" s="22" t="str">
        <f>IF(ISNA(C46),NA(),_xll.qlBondDescription(C46,Trigger))</f>
        <v>BTP 2039-08-01 5%</v>
      </c>
      <c r="C46" s="16" t="str">
        <v>IT0004286966</v>
      </c>
      <c r="D46" s="18">
        <f>IF(ISNA(C46),NA(),_xll.qlBondMaturityDate(C46,Trigger))</f>
        <v>50983</v>
      </c>
      <c r="E46" s="19">
        <f>IF(ISNA(C46),NA(),_xll.qlBondNextCouponRate(C46,BondSettlementDate))</f>
        <v>0.05</v>
      </c>
      <c r="F46" s="30">
        <f>IF(ISNA(C46),NA(),_xll.qlBondRedemptionAmount(C46,Trigger))</f>
        <v>100</v>
      </c>
      <c r="G46" s="17" t="str">
        <f t="shared" si="6"/>
        <v>IT0004286966_Quote</v>
      </c>
      <c r="H46" s="27" t="str">
        <f t="shared" si="7"/>
        <v>IT0004286966_Quote</v>
      </c>
      <c r="I46" s="16" t="str">
        <f>IF(LEFT(B46,3)="BTP",_xll.qlBTP2(,B46,D46,E46,F46,,,,Trigger),_xll.qlCCTEU(,B46,D46,E46,F46,,,,Trigger))</f>
        <v>obj_00fa1#0000</v>
      </c>
      <c r="J46" s="31" t="str">
        <f>_xll.qlBondHelper(,H46,I46)</f>
        <v>obj_01020#0000</v>
      </c>
      <c r="K46" s="26" t="str">
        <f>_xll.qlBTP2(,B46,D46,E46,F46,,,,Trigger)</f>
        <v>obj_00fc7#0000</v>
      </c>
      <c r="L46" s="26" t="b">
        <f>_xll.qlInstrumentSetPricingEngine(K46,BondPricingEngine)</f>
        <v>1</v>
      </c>
      <c r="M46" s="23">
        <f ca="1">_xll.qlBondCleanPrice(K46,AND(ISERROR(L46),ISERROR(N46)))</f>
        <v>119.99999739130924</v>
      </c>
      <c r="N46" s="27">
        <f ca="1">_xll.qlSimpleQuoteSetValue(G46,P46)</f>
        <v>0</v>
      </c>
      <c r="O46" s="29" t="e">
        <f>_xll.qlSimpleQuoteSetValue(#REF!,Q46)</f>
        <v>#VALUE!</v>
      </c>
      <c r="P46" s="27">
        <f t="shared" ca="1" si="12"/>
        <v>120</v>
      </c>
      <c r="Q46" s="23">
        <f t="shared" si="13"/>
        <v>0</v>
      </c>
      <c r="R46" s="24">
        <f t="shared" si="14"/>
        <v>0.31999999999999318</v>
      </c>
      <c r="S46" s="28" t="e">
        <f t="shared" ca="1" si="11"/>
        <v>#NAME?</v>
      </c>
      <c r="T46" s="23" t="e">
        <f t="shared" ca="1" si="16"/>
        <v>#VALUE!</v>
      </c>
      <c r="U46" s="26" t="str">
        <f t="shared" si="9"/>
        <v>IT428696=TT</v>
      </c>
      <c r="V46" s="23">
        <v>119.84</v>
      </c>
      <c r="W46" s="23">
        <v>120.16</v>
      </c>
      <c r="X46" s="17" t="e">
        <f ca="1">_xll.MKV("EUR.PRICING.XLS_GOVIES."&amp;$C46,X$1)</f>
        <v>#NAME?</v>
      </c>
      <c r="Y46" s="17" t="e">
        <f ca="1">_xll.MKV("EUR.PRICING.XLS_GOVIES."&amp;$C46,Y$1)</f>
        <v>#NAME?</v>
      </c>
      <c r="Z46" s="25">
        <f ca="1">IF(ISNA(C46),NA(),_xll.qlBondYieldFromCleanPrice(C46,P46,YieldDayCounter,YieldCompounding,YieldFrequency))</f>
        <v>3.7877202875912203E-2</v>
      </c>
      <c r="AA46" s="19" t="b">
        <v>1</v>
      </c>
      <c r="AB46" s="26" t="b">
        <f t="shared" si="15"/>
        <v>1</v>
      </c>
      <c r="AC46" s="24">
        <f ca="1">IF(ISNA(C46),NA(),M46-_xll.qlQuoteValue(H46))</f>
        <v>-2.6086907638500634E-6</v>
      </c>
      <c r="AD46" s="11"/>
      <c r="AE46" s="1"/>
      <c r="AF46" s="72" t="str">
        <f t="shared" si="5"/>
        <v>BTP 2039-08-01 5%</v>
      </c>
      <c r="AG46" s="139" t="e">
        <f ca="1">_xll.BDP(C46&amp;" Corp", "days to mty")</f>
        <v>#NAME?</v>
      </c>
      <c r="AH46" s="145" t="e">
        <f ca="1">IF(ISNA(ROUND(VLOOKUP(AG46,Contribution!C:J,8,FALSE),2)),"",ROUND(VLOOKUP(AG46,Contribution!C:J,8,FALSE),2))</f>
        <v>#NAME?</v>
      </c>
      <c r="AI46" s="142" t="str">
        <f t="shared" ca="1" si="10"/>
        <v/>
      </c>
      <c r="AJ46" s="1"/>
      <c r="AK46" s="1"/>
      <c r="AL46" s="1"/>
    </row>
    <row r="47" spans="1:38" x14ac:dyDescent="0.2">
      <c r="A47" s="4"/>
      <c r="B47" s="22" t="str">
        <f>IF(ISNA(C47),NA(),_xll.qlBondDescription(C47,Trigger))</f>
        <v>BTP 2040-09-01 5%</v>
      </c>
      <c r="C47" s="16" t="str">
        <v>IT0004532559</v>
      </c>
      <c r="D47" s="18">
        <f>IF(ISNA(C47),NA(),_xll.qlBondMaturityDate(C47,Trigger))</f>
        <v>51380</v>
      </c>
      <c r="E47" s="19">
        <f>IF(ISNA(C47),NA(),_xll.qlBondNextCouponRate(C47,BondSettlementDate))</f>
        <v>0.05</v>
      </c>
      <c r="F47" s="30">
        <f>IF(ISNA(C47),NA(),_xll.qlBondRedemptionAmount(C47,Trigger))</f>
        <v>100</v>
      </c>
      <c r="G47" s="17" t="str">
        <f t="shared" si="6"/>
        <v>IT0004532559_Quote</v>
      </c>
      <c r="H47" s="27" t="str">
        <f t="shared" si="7"/>
        <v>IT0004532559_Quote</v>
      </c>
      <c r="I47" s="16" t="str">
        <f>IF(LEFT(B47,3)="BTP",_xll.qlBTP2(,B47,D47,E47,F47,,,,Trigger),_xll.qlCCTEU(,B47,D47,E47,F47,,,,Trigger))</f>
        <v>obj_00fae#0000</v>
      </c>
      <c r="J47" s="31" t="str">
        <f>_xll.qlBondHelper(,H47,I47)</f>
        <v>obj_01032#0000</v>
      </c>
      <c r="K47" s="26" t="str">
        <f>_xll.qlBTP2(,B47,D47,E47,F47,,,,Trigger)</f>
        <v>obj_00fc9#0000</v>
      </c>
      <c r="L47" s="26" t="b">
        <f>_xll.qlInstrumentSetPricingEngine(K47,BondPricingEngine)</f>
        <v>1</v>
      </c>
      <c r="M47" s="23">
        <f ca="1">_xll.qlBondCleanPrice(K47,AND(ISERROR(L47),ISERROR(N47)))</f>
        <v>119.04500204419321</v>
      </c>
      <c r="N47" s="27">
        <f ca="1">_xll.qlSimpleQuoteSetValue(G47,P47)</f>
        <v>5.0000000000096634E-3</v>
      </c>
      <c r="O47" s="29" t="e">
        <f>_xll.qlSimpleQuoteSetValue(#REF!,Q47)</f>
        <v>#VALUE!</v>
      </c>
      <c r="P47" s="27">
        <f t="shared" ca="1" si="12"/>
        <v>119.045</v>
      </c>
      <c r="Q47" s="23">
        <f t="shared" si="13"/>
        <v>0</v>
      </c>
      <c r="R47" s="24">
        <f t="shared" si="14"/>
        <v>0.37000000000000455</v>
      </c>
      <c r="S47" s="28" t="e">
        <f t="shared" ca="1" si="11"/>
        <v>#NAME?</v>
      </c>
      <c r="T47" s="23" t="e">
        <f t="shared" ca="1" si="16"/>
        <v>#VALUE!</v>
      </c>
      <c r="U47" s="26" t="str">
        <f t="shared" si="9"/>
        <v>IT453255=TT</v>
      </c>
      <c r="V47" s="23">
        <v>118.86</v>
      </c>
      <c r="W47" s="23">
        <v>119.23</v>
      </c>
      <c r="X47" s="17" t="e">
        <f ca="1">_xll.MKV("EUR.PRICING.XLS_GOVIES."&amp;$C47,X$1)</f>
        <v>#NAME?</v>
      </c>
      <c r="Y47" s="17" t="e">
        <f ca="1">_xll.MKV("EUR.PRICING.XLS_GOVIES."&amp;$C47,Y$1)</f>
        <v>#NAME?</v>
      </c>
      <c r="Z47" s="25">
        <f ca="1">IF(ISNA(C47),NA(),_xll.qlBondYieldFromCleanPrice(C47,P47,YieldDayCounter,YieldCompounding,YieldFrequency))</f>
        <v>3.8684938065707677E-2</v>
      </c>
      <c r="AA47" s="19" t="b">
        <v>1</v>
      </c>
      <c r="AB47" s="26" t="b">
        <f t="shared" si="15"/>
        <v>1</v>
      </c>
      <c r="AC47" s="24">
        <f ca="1">IF(ISNA(C47),NA(),M47-_xll.qlQuoteValue(H47))</f>
        <v>2.0441932093717696E-6</v>
      </c>
      <c r="AD47" s="11"/>
      <c r="AE47" s="1"/>
      <c r="AF47" s="72" t="str">
        <f t="shared" si="5"/>
        <v>BTP 2040-09-01 5%</v>
      </c>
      <c r="AG47" s="139" t="e">
        <f ca="1">_xll.BDP(C47&amp;" Corp", "days to mty")</f>
        <v>#NAME?</v>
      </c>
      <c r="AH47" s="145" t="e">
        <f ca="1">IF(ISNA(ROUND(VLOOKUP(AG47,Contribution!C:J,8,FALSE),2)),"",ROUND(VLOOKUP(AG47,Contribution!C:J,8,FALSE),2))</f>
        <v>#NAME?</v>
      </c>
      <c r="AI47" s="142" t="str">
        <f t="shared" ca="1" si="10"/>
        <v/>
      </c>
      <c r="AJ47" s="1"/>
      <c r="AK47" s="1"/>
      <c r="AL47" s="1"/>
    </row>
    <row r="48" spans="1:38" x14ac:dyDescent="0.2">
      <c r="A48" s="4"/>
      <c r="B48" s="22" t="str">
        <f>IF(ISNA(C48),NA(),_xll.qlBondDescription(C48,Trigger))</f>
        <v>BTP 2044-09-01 4.75%</v>
      </c>
      <c r="C48" s="16" t="str">
        <v>IT0004923998</v>
      </c>
      <c r="D48" s="18">
        <f>IF(ISNA(C48),NA(),_xll.qlBondMaturityDate(C48,Trigger))</f>
        <v>52841</v>
      </c>
      <c r="E48" s="19">
        <f>IF(ISNA(C48),NA(),_xll.qlBondNextCouponRate(C48,BondSettlementDate))</f>
        <v>4.7500000000000001E-2</v>
      </c>
      <c r="F48" s="30">
        <f>IF(ISNA(C48),NA(),_xll.qlBondRedemptionAmount(C48,Trigger))</f>
        <v>100</v>
      </c>
      <c r="G48" s="17" t="str">
        <f t="shared" si="6"/>
        <v>IT0004923998_Quote</v>
      </c>
      <c r="H48" s="27" t="str">
        <f t="shared" si="7"/>
        <v>IT0004923998_Quote</v>
      </c>
      <c r="I48" s="16" t="str">
        <f>IF(LEFT(B48,3)="BTP",_xll.qlBTP2(,B48,D48,E48,F48,,,,Trigger),_xll.qlCCTEU(,B48,D48,E48,F48,,,,Trigger))</f>
        <v>obj_00fda#0000</v>
      </c>
      <c r="J48" s="31" t="str">
        <f>_xll.qlBondHelper(,H48,I48)</f>
        <v>obj_01012#0000</v>
      </c>
      <c r="K48" s="26" t="str">
        <f>_xll.qlBTP2(,B48,D48,E48,F48,,,,Trigger)</f>
        <v>obj_00fd7#0000</v>
      </c>
      <c r="L48" s="26" t="b">
        <f>_xll.qlInstrumentSetPricingEngine(K48,BondPricingEngine)</f>
        <v>1</v>
      </c>
      <c r="M48" s="23">
        <f ca="1">_xll.qlBondCleanPrice(K48,AND(ISERROR(L48),ISERROR(N48)))</f>
        <v>115.03000044198744</v>
      </c>
      <c r="N48" s="27">
        <f ca="1">_xll.qlSimpleQuoteSetValue(G48,P48)</f>
        <v>0</v>
      </c>
      <c r="O48" s="29" t="e">
        <f>_xll.qlSimpleQuoteSetValue(#REF!,Q48)</f>
        <v>#VALUE!</v>
      </c>
      <c r="P48" s="27">
        <f t="shared" ca="1" si="12"/>
        <v>115.03</v>
      </c>
      <c r="Q48" s="23">
        <f t="shared" si="13"/>
        <v>0</v>
      </c>
      <c r="R48" s="24">
        <f t="shared" si="14"/>
        <v>0.31999999999999318</v>
      </c>
      <c r="S48" s="28" t="e">
        <f t="shared" ca="1" si="11"/>
        <v>#NAME?</v>
      </c>
      <c r="T48" s="23" t="e">
        <f t="shared" ca="1" si="16"/>
        <v>#VALUE!</v>
      </c>
      <c r="U48" s="26" t="str">
        <f t="shared" si="9"/>
        <v>IT492399=TT</v>
      </c>
      <c r="V48" s="23">
        <v>114.87</v>
      </c>
      <c r="W48" s="23">
        <v>115.19</v>
      </c>
      <c r="X48" s="17" t="e">
        <f ca="1">_xll.MKV("EUR.PRICING.XLS_GOVIES."&amp;$C48,X$1)</f>
        <v>#NAME?</v>
      </c>
      <c r="Y48" s="17" t="e">
        <f ca="1">_xll.MKV("EUR.PRICING.XLS_GOVIES."&amp;$C48,Y$1)</f>
        <v>#NAME?</v>
      </c>
      <c r="Z48" s="25">
        <f ca="1">IF(ISNA(C48),NA(),_xll.qlBondYieldFromCleanPrice(C48,P48,YieldDayCounter,YieldCompounding,YieldFrequency))</f>
        <v>3.9315828807651998E-2</v>
      </c>
      <c r="AA48" s="19" t="b">
        <v>1</v>
      </c>
      <c r="AB48" s="26" t="b">
        <f t="shared" si="15"/>
        <v>1</v>
      </c>
      <c r="AC48" s="24">
        <f ca="1">IF(ISNA(C48),NA(),M48-_xll.qlQuoteValue(H48))</f>
        <v>4.4198743864853896E-7</v>
      </c>
      <c r="AD48" s="11"/>
      <c r="AE48" s="1"/>
      <c r="AF48" s="72" t="str">
        <f t="shared" si="5"/>
        <v>BTP 2044-09-01 4.75%</v>
      </c>
      <c r="AG48" s="139" t="e">
        <f ca="1">_xll.BDP(C48&amp;" Corp", "days to mty")</f>
        <v>#NAME?</v>
      </c>
      <c r="AH48" s="145" t="e">
        <f ca="1">IF(ISNA(ROUND(VLOOKUP(AG48,Contribution!C:J,8,FALSE),2)),"",ROUND(VLOOKUP(AG48,Contribution!C:J,8,FALSE),2))</f>
        <v>#NAME?</v>
      </c>
      <c r="AI48" s="142" t="str">
        <f t="shared" ca="1" si="10"/>
        <v/>
      </c>
      <c r="AJ48" s="1"/>
      <c r="AK48" s="1"/>
      <c r="AL48" s="1"/>
    </row>
    <row r="49" spans="1:37" x14ac:dyDescent="0.2">
      <c r="A49" s="4"/>
      <c r="B49" s="22" t="e">
        <f>IF(ISNA(C49),NA(),_xll.qlBondDescription(C49,Trigger))</f>
        <v>#N/A</v>
      </c>
      <c r="C49" s="16" t="e">
        <v>#N/A</v>
      </c>
      <c r="D49" s="18" t="e">
        <f>IF(ISNA(C49),NA(),_xll.qlBondMaturityDate(C49,Trigger))</f>
        <v>#N/A</v>
      </c>
      <c r="E49" s="19" t="e">
        <f>IF(ISNA(C49),NA(),_xll.qlBondNextCouponRate(C49,BondSettlementDate))</f>
        <v>#N/A</v>
      </c>
      <c r="F49" s="30" t="e">
        <f>IF(ISNA(C49),NA(),_xll.qlBondRedemptionAmount(C49,Trigger))</f>
        <v>#N/A</v>
      </c>
      <c r="G49" s="17" t="e">
        <f t="shared" si="6"/>
        <v>#N/A</v>
      </c>
      <c r="H49" s="27" t="e">
        <f t="shared" si="7"/>
        <v>#N/A</v>
      </c>
      <c r="I49" s="16" t="e">
        <f>IF(LEFT(B49,3)="BTP",_xll.qlBTP2(,B49,D49,E49,F49,,,,Trigger),_xll.qlCCTEU(,B49,D49,E49,F49,,,,Trigger))</f>
        <v>#N/A</v>
      </c>
      <c r="J49" s="31" t="e">
        <f>_xll.qlBondHelper(,H49,I49)</f>
        <v>#VALUE!</v>
      </c>
      <c r="K49" s="26" t="e">
        <f>_xll.qlBTP2(,B49,D49,E49,F49,,,,Trigger)</f>
        <v>#VALUE!</v>
      </c>
      <c r="L49" s="26" t="e">
        <f>_xll.qlInstrumentSetPricingEngine(K49,BondPricingEngine)</f>
        <v>#VALUE!</v>
      </c>
      <c r="M49" s="23" t="e">
        <f>_xll.qlBondCleanPrice(K49,AND(ISERROR(L49),ISERROR(N49)))</f>
        <v>#VALUE!</v>
      </c>
      <c r="N49" s="27" t="e">
        <f>_xll.qlSimpleQuoteSetValue(G49,P49)</f>
        <v>#VALUE!</v>
      </c>
      <c r="O49" s="29" t="e">
        <f>_xll.qlSimpleQuoteSetValue(#REF!,Q49)</f>
        <v>#VALUE!</v>
      </c>
      <c r="P49" s="27" t="e">
        <f t="shared" si="12"/>
        <v>#N/A</v>
      </c>
      <c r="Q49" s="23" t="e">
        <f t="shared" si="13"/>
        <v>#N/A</v>
      </c>
      <c r="R49" s="24" t="e">
        <f t="shared" si="14"/>
        <v>#N/A</v>
      </c>
      <c r="S49" s="28">
        <f t="shared" ref="S49:S50" si="17">AH49-AJ49</f>
        <v>0</v>
      </c>
      <c r="T49" s="23">
        <f t="shared" si="16"/>
        <v>0</v>
      </c>
      <c r="U49" s="26" t="e">
        <f t="shared" si="9"/>
        <v>#N/A</v>
      </c>
      <c r="V49" s="23" t="s">
        <v>535</v>
      </c>
      <c r="W49" s="23" t="s">
        <v>535</v>
      </c>
      <c r="X49" s="17" t="e">
        <f ca="1">_xll.MKV("EUR.PRICING.XLS_GOVIES."&amp;$C49,X$1)</f>
        <v>#NAME?</v>
      </c>
      <c r="Y49" s="17" t="e">
        <f ca="1">_xll.MKV("EUR.PRICING.XLS_GOVIES."&amp;$C49,Y$1)</f>
        <v>#NAME?</v>
      </c>
      <c r="Z49" s="25" t="e">
        <f>IF(ISNA(C49),NA(),_xll.qlBondYieldFromCleanPrice(C49,P49,YieldDayCounter,YieldCompounding,YieldFrequency))</f>
        <v>#N/A</v>
      </c>
      <c r="AA49" s="19" t="b">
        <v>0</v>
      </c>
      <c r="AB49" s="26" t="b">
        <f t="shared" si="15"/>
        <v>0</v>
      </c>
      <c r="AC49" s="24" t="e">
        <f>IF(ISNA(C49),NA(),M49-_xll.qlQuoteValue(H49))</f>
        <v>#N/A</v>
      </c>
      <c r="AD49" s="11"/>
      <c r="AE49" s="1"/>
      <c r="AF49" s="72"/>
      <c r="AG49" s="47"/>
      <c r="AH49" s="45"/>
      <c r="AI49" s="67"/>
      <c r="AJ49" s="1"/>
      <c r="AK49" s="1"/>
    </row>
    <row r="50" spans="1:37" ht="12" customHeight="1" x14ac:dyDescent="0.2">
      <c r="A50" s="4"/>
      <c r="B50" s="22" t="e">
        <f>IF(ISNA(C50),NA(),_xll.qlBondDescription(C50,Trigger))</f>
        <v>#N/A</v>
      </c>
      <c r="C50" s="16" t="e">
        <v>#N/A</v>
      </c>
      <c r="D50" s="18" t="e">
        <f>IF(ISNA(C50),NA(),_xll.qlBondMaturityDate(C50,Trigger))</f>
        <v>#N/A</v>
      </c>
      <c r="E50" s="19" t="e">
        <f>IF(ISNA(C50),NA(),_xll.qlBondNextCouponRate(C50,BondSettlementDate))</f>
        <v>#N/A</v>
      </c>
      <c r="F50" s="30" t="e">
        <f>IF(ISNA(C50),NA(),_xll.qlBondRedemptionAmount(C50,Trigger))</f>
        <v>#N/A</v>
      </c>
      <c r="G50" s="17" t="e">
        <f t="shared" si="6"/>
        <v>#N/A</v>
      </c>
      <c r="H50" s="27" t="e">
        <f t="shared" si="7"/>
        <v>#N/A</v>
      </c>
      <c r="I50" s="16" t="e">
        <f>IF(LEFT(B50,3)="BTP",_xll.qlBTP2(,B50,D50,E50,F50,,,,Trigger),_xll.qlCCTEU(,B50,D50,E50,F50,,,,Trigger))</f>
        <v>#N/A</v>
      </c>
      <c r="J50" s="31" t="e">
        <f>_xll.qlBondHelper(,H50,I50)</f>
        <v>#VALUE!</v>
      </c>
      <c r="K50" s="26" t="e">
        <f>_xll.qlBTP2(,B50,D50,E50,F50,,,,Trigger)</f>
        <v>#VALUE!</v>
      </c>
      <c r="L50" s="26" t="e">
        <f>_xll.qlInstrumentSetPricingEngine(K50,BondPricingEngine)</f>
        <v>#VALUE!</v>
      </c>
      <c r="M50" s="23" t="e">
        <f>_xll.qlBondCleanPrice(K50,AND(ISERROR(L50),ISERROR(N50)))</f>
        <v>#VALUE!</v>
      </c>
      <c r="N50" s="27" t="e">
        <f>_xll.qlSimpleQuoteSetValue(G50,P50)</f>
        <v>#VALUE!</v>
      </c>
      <c r="O50" s="29" t="e">
        <f>_xll.qlSimpleQuoteSetValue(#REF!,Q50)</f>
        <v>#VALUE!</v>
      </c>
      <c r="P50" s="27" t="e">
        <f t="shared" si="12"/>
        <v>#N/A</v>
      </c>
      <c r="Q50" s="23" t="e">
        <f t="shared" si="13"/>
        <v>#N/A</v>
      </c>
      <c r="R50" s="24" t="e">
        <f t="shared" si="14"/>
        <v>#N/A</v>
      </c>
      <c r="S50" s="28">
        <f t="shared" si="17"/>
        <v>0</v>
      </c>
      <c r="T50" s="23">
        <f t="shared" si="16"/>
        <v>0</v>
      </c>
      <c r="U50" s="26" t="e">
        <f t="shared" si="9"/>
        <v>#N/A</v>
      </c>
      <c r="V50" s="23" t="s">
        <v>535</v>
      </c>
      <c r="W50" s="23" t="s">
        <v>535</v>
      </c>
      <c r="X50" s="17" t="e">
        <f ca="1">_xll.MKV("EUR.PRICING.XLS_GOVIES."&amp;$C50,X$1)</f>
        <v>#NAME?</v>
      </c>
      <c r="Y50" s="17" t="e">
        <f ca="1">_xll.MKV("EUR.PRICING.XLS_GOVIES."&amp;$C50,Y$1)</f>
        <v>#NAME?</v>
      </c>
      <c r="Z50" s="25" t="e">
        <f>IF(ISNA(C50),NA(),_xll.qlBondYieldFromCleanPrice(C50,P50,YieldDayCounter,YieldCompounding,YieldFrequency))</f>
        <v>#N/A</v>
      </c>
      <c r="AA50" s="19" t="b">
        <v>0</v>
      </c>
      <c r="AB50" s="26" t="b">
        <f t="shared" si="15"/>
        <v>0</v>
      </c>
      <c r="AC50" s="24" t="e">
        <f>IF(ISNA(C50),NA(),M50-_xll.qlQuoteValue(H50))</f>
        <v>#N/A</v>
      </c>
      <c r="AD50" s="11"/>
      <c r="AE50" s="1"/>
      <c r="AF50" s="90"/>
      <c r="AG50" s="143"/>
      <c r="AH50" s="57"/>
      <c r="AI50" s="69"/>
      <c r="AJ50" s="1"/>
      <c r="AK50" s="1"/>
    </row>
    <row r="51" spans="1:3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7"/>
      <c r="S51" s="7"/>
      <c r="T51" s="7"/>
      <c r="U51" s="6"/>
      <c r="V51" s="6"/>
      <c r="W51" s="6"/>
      <c r="X51" s="6"/>
      <c r="Y51" s="6"/>
      <c r="Z51" s="6"/>
      <c r="AA51" s="6"/>
      <c r="AB51" s="6"/>
      <c r="AC51" s="6"/>
      <c r="AD51" s="12"/>
    </row>
    <row r="52" spans="1:37" x14ac:dyDescent="0.2">
      <c r="Z52" s="8"/>
    </row>
    <row r="53" spans="1:37" x14ac:dyDescent="0.2">
      <c r="X53" s="9"/>
    </row>
    <row r="54" spans="1:37" x14ac:dyDescent="0.2">
      <c r="X54" s="9"/>
    </row>
    <row r="55" spans="1:37" x14ac:dyDescent="0.2">
      <c r="X55" s="9"/>
    </row>
    <row r="56" spans="1:37" x14ac:dyDescent="0.2">
      <c r="X56" s="9"/>
    </row>
    <row r="57" spans="1:37" x14ac:dyDescent="0.2">
      <c r="X57" s="9"/>
    </row>
    <row r="58" spans="1:37" x14ac:dyDescent="0.2">
      <c r="X58" s="9"/>
    </row>
    <row r="59" spans="1:37" x14ac:dyDescent="0.2">
      <c r="X59" s="9"/>
    </row>
    <row r="60" spans="1:37" x14ac:dyDescent="0.2">
      <c r="D60" s="156">
        <f>'Bond Analysis'!AK24</f>
        <v>0</v>
      </c>
      <c r="E60" s="156">
        <f>'Bond Analysis'!AL24</f>
        <v>0</v>
      </c>
      <c r="F60" s="156">
        <f>'Bond Analysis'!AM24</f>
        <v>0</v>
      </c>
      <c r="G60" s="156"/>
      <c r="H60" s="156"/>
      <c r="I60" s="156"/>
      <c r="J60" s="156"/>
      <c r="K60" s="156"/>
      <c r="L60" s="156"/>
      <c r="M60" s="156"/>
      <c r="N60" s="156"/>
      <c r="O60" s="156"/>
      <c r="P60" s="157">
        <f>'Bond Analysis'!AM24</f>
        <v>0</v>
      </c>
      <c r="X60" s="9"/>
    </row>
    <row r="61" spans="1:37" x14ac:dyDescent="0.2">
      <c r="D61" s="156">
        <f>'Bond Analysis'!AK27</f>
        <v>0</v>
      </c>
      <c r="E61" s="156">
        <f>'Bond Analysis'!AL27</f>
        <v>0</v>
      </c>
      <c r="F61" s="156">
        <f>'Bond Analysis'!AM27</f>
        <v>0</v>
      </c>
      <c r="G61" s="156"/>
      <c r="H61" s="156"/>
      <c r="I61" s="156"/>
      <c r="J61" s="156"/>
      <c r="K61" s="156"/>
      <c r="L61" s="156"/>
      <c r="M61" s="156"/>
      <c r="N61" s="156"/>
      <c r="O61" s="156"/>
      <c r="P61" s="157">
        <f>'Bond Analysis'!AM27</f>
        <v>0</v>
      </c>
      <c r="X61" s="9"/>
    </row>
    <row r="62" spans="1:37" x14ac:dyDescent="0.2">
      <c r="D62" s="156" t="str">
        <f>'Bond Analysis'!AK32</f>
        <v>SEP28</v>
      </c>
      <c r="E62" s="156">
        <f>'Bond Analysis'!AL32</f>
        <v>13</v>
      </c>
      <c r="F62" s="156">
        <f ca="1">'Bond Analysis'!AM32</f>
        <v>24.258910074085094</v>
      </c>
      <c r="G62" s="156"/>
      <c r="H62" s="156"/>
      <c r="I62" s="156"/>
      <c r="J62" s="156"/>
      <c r="K62" s="156"/>
      <c r="L62" s="156"/>
      <c r="M62" s="156"/>
      <c r="N62" s="156"/>
      <c r="O62" s="156"/>
      <c r="P62" s="157">
        <f ca="1">'Bond Analysis'!AM32</f>
        <v>24.258910074085094</v>
      </c>
      <c r="X62" s="9"/>
    </row>
    <row r="63" spans="1:37" x14ac:dyDescent="0.2">
      <c r="X63" s="9"/>
    </row>
    <row r="64" spans="1:37" x14ac:dyDescent="0.2">
      <c r="E64" s="2">
        <f>'Bond Analysis'!AL28</f>
        <v>0</v>
      </c>
      <c r="F64" s="2">
        <f>'Bond Analysis'!AM28</f>
        <v>0</v>
      </c>
      <c r="P64" s="155"/>
      <c r="X64" s="9"/>
    </row>
    <row r="65" spans="5:24" x14ac:dyDescent="0.2">
      <c r="E65" s="2">
        <f>'Bond Analysis'!AL29</f>
        <v>0</v>
      </c>
      <c r="F65" s="2">
        <f>'Bond Analysis'!AM29</f>
        <v>0</v>
      </c>
      <c r="P65" s="155"/>
      <c r="X65" s="9"/>
    </row>
    <row r="66" spans="5:24" x14ac:dyDescent="0.2">
      <c r="E66" s="2">
        <f>'Bond Analysis'!AL30</f>
        <v>0</v>
      </c>
      <c r="F66" s="2">
        <f>'Bond Analysis'!AM30</f>
        <v>0</v>
      </c>
      <c r="P66" s="155"/>
      <c r="X66" s="9"/>
    </row>
    <row r="67" spans="5:24" x14ac:dyDescent="0.2">
      <c r="E67" s="2">
        <f>'Bond Analysis'!AL31</f>
        <v>24</v>
      </c>
      <c r="F67" s="2">
        <f ca="1">'Bond Analysis'!AM31</f>
        <v>31.328957856446451</v>
      </c>
      <c r="P67" s="155"/>
      <c r="X67" s="9"/>
    </row>
    <row r="68" spans="5:24" x14ac:dyDescent="0.2">
      <c r="X68" s="9"/>
    </row>
    <row r="69" spans="5:24" x14ac:dyDescent="0.2">
      <c r="X69" s="9"/>
    </row>
    <row r="70" spans="5:24" x14ac:dyDescent="0.2">
      <c r="X70" s="9"/>
    </row>
    <row r="71" spans="5:24" x14ac:dyDescent="0.2">
      <c r="X71" s="9"/>
    </row>
    <row r="72" spans="5:24" x14ac:dyDescent="0.2">
      <c r="X72" s="9"/>
    </row>
    <row r="73" spans="5:24" x14ac:dyDescent="0.2">
      <c r="X73" s="9"/>
    </row>
    <row r="74" spans="5:24" x14ac:dyDescent="0.2">
      <c r="X74" s="9"/>
    </row>
    <row r="75" spans="5:24" x14ac:dyDescent="0.2">
      <c r="X75" s="9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151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1.25" outlineLevelCol="1" x14ac:dyDescent="0.2"/>
  <cols>
    <col min="1" max="1" width="21.42578125" style="33" bestFit="1" customWidth="1"/>
    <col min="2" max="2" width="17.28515625" style="33" bestFit="1" customWidth="1"/>
    <col min="3" max="3" width="9" style="33" bestFit="1" customWidth="1"/>
    <col min="4" max="4" width="9" style="33" hidden="1" customWidth="1" outlineLevel="1"/>
    <col min="5" max="6" width="17.28515625" style="33" hidden="1" customWidth="1" outlineLevel="1"/>
    <col min="7" max="7" width="8" style="33" hidden="1" customWidth="1" outlineLevel="1"/>
    <col min="8" max="8" width="6" style="33" hidden="1" customWidth="1" outlineLevel="1"/>
    <col min="9" max="10" width="7" style="33" hidden="1" customWidth="1" outlineLevel="1"/>
    <col min="11" max="11" width="21.42578125" style="33" hidden="1" customWidth="1" outlineLevel="1"/>
    <col min="12" max="12" width="8" style="33" hidden="1" customWidth="1" outlineLevel="1"/>
    <col min="13" max="13" width="10" style="33" hidden="1" customWidth="1" outlineLevel="1"/>
    <col min="14" max="14" width="6" style="33" hidden="1" customWidth="1" outlineLevel="1"/>
    <col min="15" max="15" width="8" style="33" hidden="1" customWidth="1" outlineLevel="1"/>
    <col min="16" max="16" width="7" style="33" hidden="1" customWidth="1" outlineLevel="1"/>
    <col min="17" max="17" width="6" style="33" hidden="1" customWidth="1" outlineLevel="1"/>
    <col min="18" max="18" width="7" style="33" hidden="1" customWidth="1" outlineLevel="1"/>
    <col min="19" max="19" width="5" style="33" hidden="1" customWidth="1" outlineLevel="1"/>
    <col min="20" max="24" width="8" style="33" hidden="1" customWidth="1" outlineLevel="1"/>
    <col min="25" max="27" width="7" style="33" hidden="1" customWidth="1" outlineLevel="1"/>
    <col min="28" max="30" width="8" style="33" hidden="1" customWidth="1" outlineLevel="1"/>
    <col min="31" max="31" width="9" style="33" bestFit="1" customWidth="1" collapsed="1"/>
    <col min="32" max="32" width="9" style="33" bestFit="1" customWidth="1"/>
    <col min="33" max="33" width="7" style="33" bestFit="1" customWidth="1"/>
    <col min="34" max="34" width="15.140625" style="33" hidden="1" customWidth="1" outlineLevel="1"/>
    <col min="35" max="35" width="7.85546875" style="33" customWidth="1" collapsed="1"/>
    <col min="36" max="36" width="9.140625" style="33"/>
    <col min="37" max="38" width="11" style="33" bestFit="1" customWidth="1"/>
    <col min="39" max="39" width="12.42578125" style="33" bestFit="1" customWidth="1"/>
    <col min="40" max="40" width="16.5703125" style="33" bestFit="1" customWidth="1"/>
    <col min="41" max="41" width="12" style="33" bestFit="1" customWidth="1"/>
    <col min="42" max="42" width="68" style="33" bestFit="1" customWidth="1"/>
    <col min="43" max="43" width="12" style="33" bestFit="1" customWidth="1"/>
    <col min="44" max="44" width="9.140625" style="33"/>
    <col min="45" max="45" width="11" style="33" bestFit="1" customWidth="1"/>
    <col min="46" max="16384" width="9.140625" style="33"/>
  </cols>
  <sheetData>
    <row r="1" spans="1:41" x14ac:dyDescent="0.2">
      <c r="A1" s="88" t="str">
        <f>VLOOKUP(ReferenceBondDescription,BtpCurve!B2:C48,2,FALSE)</f>
        <v>IT0004889033</v>
      </c>
      <c r="B1" s="88" t="s">
        <v>28</v>
      </c>
      <c r="C1" s="88"/>
      <c r="E1" s="33" t="s">
        <v>115</v>
      </c>
      <c r="F1" s="33">
        <f>_xll.qlBondAccruedAmount(ReferenceBond)</f>
        <v>0.68232044198894837</v>
      </c>
      <c r="V1" s="62">
        <f ca="1">SUM(V4:V67)-ReferenceBondAccruedAmount</f>
        <v>117.78000000004934</v>
      </c>
      <c r="W1" s="63"/>
      <c r="X1" s="65">
        <f ca="1">SUM(X4:X67)-ReferenceBondAccruedAmount</f>
        <v>117.78000000004934</v>
      </c>
      <c r="Y1" s="70"/>
      <c r="Z1" s="63"/>
      <c r="AA1" s="71"/>
      <c r="AB1" s="62">
        <f ca="1">SUMPRODUCT(_xll.ohPack(AB4:AB67),_xll.ohPack($C$4:$C$67))/100-ReferenceBondAccruedAmount</f>
        <v>119.03147049790635</v>
      </c>
      <c r="AC1" s="63"/>
      <c r="AD1" s="65">
        <f ca="1">SUMPRODUCT(_xll.ohPack(AD4:AD67),_xll.ohPack($C$4:$C$67))/100-ReferenceBondAccruedAmount</f>
        <v>119.03147049790635</v>
      </c>
      <c r="AE1" s="62">
        <f ca="1">SUM(_xll.ohPack(AE4:AE67))-ReferenceBondAccruedAmount</f>
        <v>119.03147049790634</v>
      </c>
      <c r="AF1" s="64">
        <f ca="1">SUMPRODUCT(_xll.ohPack(AF4:AF67),_xll.ohPack($C$4:$C$67))/100-ReferenceBondAccruedAmount</f>
        <v>119.03147049790635</v>
      </c>
      <c r="AG1" s="71"/>
      <c r="AI1" s="88" t="s">
        <v>113</v>
      </c>
      <c r="AK1" s="33" t="s">
        <v>113</v>
      </c>
      <c r="AL1" s="33" t="s">
        <v>0</v>
      </c>
      <c r="AM1" s="33" t="s">
        <v>1</v>
      </c>
    </row>
    <row r="2" spans="1:41" x14ac:dyDescent="0.2">
      <c r="A2" s="33" t="s">
        <v>537</v>
      </c>
      <c r="B2" s="95">
        <f ca="1">_xll.qlQuoteValue(ReferenceBondISIN&amp;"_Quote",PriceTrigger)</f>
        <v>117.78</v>
      </c>
      <c r="C2" s="95"/>
      <c r="V2" s="66">
        <f ca="1">V1-ReferenceBondPrice</f>
        <v>4.9340087571181357E-11</v>
      </c>
      <c r="W2" s="47"/>
      <c r="X2" s="67">
        <f ca="1">X1-ReferenceBondPrice</f>
        <v>4.9340087571181357E-11</v>
      </c>
      <c r="Y2" s="72"/>
      <c r="Z2" s="47"/>
      <c r="AA2" s="49"/>
      <c r="AB2" s="66">
        <f ca="1">AB1-ReferenceBondPrice</f>
        <v>1.2514704979063538</v>
      </c>
      <c r="AC2" s="47"/>
      <c r="AD2" s="67">
        <f ca="1">AD1-ReferenceBondPrice</f>
        <v>1.2514704979063538</v>
      </c>
      <c r="AE2" s="87">
        <f ca="1">AE1-ReferenceBondPrice</f>
        <v>1.2514704979063396</v>
      </c>
      <c r="AF2" s="77">
        <f ca="1">AF1-ReferenceBondPrice</f>
        <v>1.2514704979063538</v>
      </c>
      <c r="AG2" s="49"/>
    </row>
    <row r="3" spans="1:41" ht="33.75" x14ac:dyDescent="0.2">
      <c r="A3" s="35" t="s">
        <v>29</v>
      </c>
      <c r="B3" s="36" t="str">
        <f t="array" ref="B3:U67">_xll.qlBondFlowAnalysis(ReferenceBondISIN,BondSettlementDate)</f>
        <v>Payment Date</v>
      </c>
      <c r="C3" s="36" t="str">
        <v>Amount</v>
      </c>
      <c r="D3" s="35" t="str">
        <v>Nominal</v>
      </c>
      <c r="E3" s="36" t="str">
        <v>Accrual Start Date</v>
      </c>
      <c r="F3" s="36" t="str">
        <v>Accrual End Date</v>
      </c>
      <c r="G3" s="36" t="str">
        <v>Accrual Days</v>
      </c>
      <c r="H3" s="36" t="str">
        <v>Index</v>
      </c>
      <c r="I3" s="36" t="str">
        <v>Fixing Days</v>
      </c>
      <c r="J3" s="36" t="str">
        <v>Fixing Dates</v>
      </c>
      <c r="K3" s="36" t="str">
        <v>Day Counter</v>
      </c>
      <c r="L3" s="36" t="str">
        <v>Accrual Period</v>
      </c>
      <c r="M3" s="36" t="str">
        <v>Effective Rate</v>
      </c>
      <c r="N3" s="36" t="str">
        <v>Floor</v>
      </c>
      <c r="O3" s="36" t="str">
        <v>Gearing</v>
      </c>
      <c r="P3" s="36" t="str">
        <v>Index Fixing</v>
      </c>
      <c r="Q3" s="36" t="str">
        <v>Conv. Adj.</v>
      </c>
      <c r="R3" s="36" t="str">
        <v>Spread</v>
      </c>
      <c r="S3" s="36" t="str">
        <v>Cap</v>
      </c>
      <c r="T3" s="36" t="str">
        <v>Call Digital Payoff</v>
      </c>
      <c r="U3" s="36" t="str">
        <v>Put Digital Payoff</v>
      </c>
      <c r="V3" s="35" t="s">
        <v>98</v>
      </c>
      <c r="W3" s="36" t="s">
        <v>7</v>
      </c>
      <c r="X3" s="37" t="s">
        <v>99</v>
      </c>
      <c r="Y3" s="35" t="s">
        <v>6</v>
      </c>
      <c r="Z3" s="36" t="s">
        <v>7</v>
      </c>
      <c r="AA3" s="37" t="s">
        <v>10</v>
      </c>
      <c r="AB3" s="35" t="s">
        <v>8</v>
      </c>
      <c r="AC3" s="36" t="s">
        <v>7</v>
      </c>
      <c r="AD3" s="37" t="s">
        <v>9</v>
      </c>
      <c r="AE3" s="35" t="s">
        <v>98</v>
      </c>
      <c r="AF3" s="36" t="s">
        <v>8</v>
      </c>
      <c r="AG3" s="37" t="s">
        <v>6</v>
      </c>
      <c r="AH3" s="35" t="s">
        <v>11</v>
      </c>
    </row>
    <row r="4" spans="1:41" ht="12.75" x14ac:dyDescent="0.2">
      <c r="A4" s="48">
        <f ca="1">_xll.qlYieldTSDiscount(BtpCurve,B4,,PriceTrigger)</f>
        <v>0.99877697624091777</v>
      </c>
      <c r="B4" s="38">
        <v>42065</v>
      </c>
      <c r="C4" s="39">
        <v>2.3749999999999938</v>
      </c>
      <c r="D4" s="60">
        <v>100</v>
      </c>
      <c r="E4" s="38">
        <v>41883</v>
      </c>
      <c r="F4" s="38">
        <v>42064</v>
      </c>
      <c r="G4" s="40">
        <v>181</v>
      </c>
      <c r="H4" s="41" t="str">
        <v>#N/A</v>
      </c>
      <c r="I4" s="40" t="str">
        <v>#N/A</v>
      </c>
      <c r="J4" s="38" t="str">
        <v>#N/A</v>
      </c>
      <c r="K4" s="40" t="str">
        <v>Actual/Actual (ISMA)</v>
      </c>
      <c r="L4" s="42">
        <v>0.5</v>
      </c>
      <c r="M4" s="43">
        <v>4.7500000000000001E-2</v>
      </c>
      <c r="N4" s="43" t="str">
        <v>#N/A</v>
      </c>
      <c r="O4" s="44" t="str">
        <v>#N/A</v>
      </c>
      <c r="P4" s="43" t="str">
        <v>#N/A</v>
      </c>
      <c r="Q4" s="43" t="str">
        <v>#N/A</v>
      </c>
      <c r="R4" s="43" t="str">
        <v>#N/A</v>
      </c>
      <c r="S4" s="43" t="str">
        <v>#N/A</v>
      </c>
      <c r="T4" s="43" t="str">
        <v>#N/A</v>
      </c>
      <c r="U4" s="41" t="str">
        <v>#N/A</v>
      </c>
      <c r="V4" s="66">
        <f ca="1">IF(ISERROR(A4),0,A4*C4)</f>
        <v>2.3720953185721734</v>
      </c>
      <c r="W4" s="45"/>
      <c r="X4" s="67">
        <f t="shared" ref="X4:X67" ca="1" si="0">IF(ISBLANK(W4),V4,W4)</f>
        <v>2.3720953185721734</v>
      </c>
      <c r="Y4" s="73">
        <f ca="1">IF(ISERROR(A4),NA(),_xll.qlBondYieldFromCleanPrice(AH4,X4/C4*100,YieldDayCounter,YieldCompounding,YieldFrequency))</f>
        <v>3.4686131611787767E-3</v>
      </c>
      <c r="Z4" s="46"/>
      <c r="AA4" s="74">
        <f ca="1">IF(ISBLANK(Z4),Y4,Z4)</f>
        <v>3.4686131611787767E-3</v>
      </c>
      <c r="AB4" s="66">
        <f ca="1">IF(ISERROR(A4),IF(ISNUMBER(C4),0,NA()),_xll.qlBondCleanPriceFromYield(AH4,AA4,YieldDayCounter,YieldCompounding,YieldFrequency))</f>
        <v>99.877697625670706</v>
      </c>
      <c r="AC4" s="45"/>
      <c r="AD4" s="67">
        <f t="shared" ref="AD4:AD67" ca="1" si="1">IF(ISBLANK(AC4),AB4,AC4)</f>
        <v>99.877697625670706</v>
      </c>
      <c r="AE4" s="66">
        <f ca="1">IF(ISERROR(A4),0,AF4/100*C4)</f>
        <v>2.3720953186096732</v>
      </c>
      <c r="AF4" s="77">
        <f ca="1">IF(ISERROR(A4),IF(ISNUMBER(C4),0,NA()),AD4)</f>
        <v>99.877697625670706</v>
      </c>
      <c r="AG4" s="74">
        <f ca="1">IF(ISERROR(A4),NA(),_xll.qlBondYieldFromCleanPrice(AH4,AF4,YieldDayCounter,YieldCompounding,YieldFrequency))</f>
        <v>3.4686131162940019E-3</v>
      </c>
      <c r="AH4" s="78" t="str">
        <f>_xll.qlZeroCouponBond(,,"EUR",3,"target",$C4,$B4,"f",100)</f>
        <v>obj_00ff5#0000</v>
      </c>
      <c r="AJ4" s="32"/>
      <c r="AK4" s="32"/>
      <c r="AL4" s="106"/>
      <c r="AM4" s="105"/>
      <c r="AN4" s="105"/>
      <c r="AO4" s="105"/>
    </row>
    <row r="5" spans="1:41" ht="12.75" x14ac:dyDescent="0.2">
      <c r="A5" s="48">
        <f ca="1">_xll.qlYieldTSDiscount(BtpCurve,B5,,PriceTrigger)</f>
        <v>0.99583040467574302</v>
      </c>
      <c r="B5" s="38">
        <v>42248</v>
      </c>
      <c r="C5" s="39">
        <v>2.3749999999999938</v>
      </c>
      <c r="D5" s="60">
        <v>100</v>
      </c>
      <c r="E5" s="38">
        <v>42064</v>
      </c>
      <c r="F5" s="38">
        <v>42248</v>
      </c>
      <c r="G5" s="40">
        <v>184</v>
      </c>
      <c r="H5" s="41" t="str">
        <v>#N/A</v>
      </c>
      <c r="I5" s="40" t="str">
        <v>#N/A</v>
      </c>
      <c r="J5" s="38" t="str">
        <v>#N/A</v>
      </c>
      <c r="K5" s="40" t="str">
        <v>Actual/Actual (ISMA)</v>
      </c>
      <c r="L5" s="42">
        <v>0.5</v>
      </c>
      <c r="M5" s="43">
        <v>4.7500000000000001E-2</v>
      </c>
      <c r="N5" s="43" t="str">
        <v>#N/A</v>
      </c>
      <c r="O5" s="44" t="str">
        <v>#N/A</v>
      </c>
      <c r="P5" s="43" t="str">
        <v>#N/A</v>
      </c>
      <c r="Q5" s="43" t="str">
        <v>#N/A</v>
      </c>
      <c r="R5" s="43" t="str">
        <v>#N/A</v>
      </c>
      <c r="S5" s="43" t="str">
        <v>#N/A</v>
      </c>
      <c r="T5" s="43" t="str">
        <v>#N/A</v>
      </c>
      <c r="U5" s="41" t="str">
        <v>#N/A</v>
      </c>
      <c r="V5" s="66">
        <f t="shared" ref="V5:V67" ca="1" si="2">IF(ISERROR(A5),0,A5*C5)</f>
        <v>2.3650972111048834</v>
      </c>
      <c r="W5" s="45"/>
      <c r="X5" s="67">
        <f t="shared" ca="1" si="0"/>
        <v>2.3650972111048834</v>
      </c>
      <c r="Y5" s="73">
        <f ca="1">IF(ISERROR(A5),NA(),_xll.qlBondYieldFromCleanPrice(AH5,X5/C5*100,YieldDayCounter,YieldCompounding,YieldFrequency))</f>
        <v>4.9000559524489421E-3</v>
      </c>
      <c r="Z5" s="46"/>
      <c r="AA5" s="74">
        <f t="shared" ref="AA5:AA67" ca="1" si="3">IF(ISBLANK(Z5),Y5,Z5)</f>
        <v>4.9000559524489421E-3</v>
      </c>
      <c r="AB5" s="66">
        <f ca="1">IF(ISERROR(A5),IF(ISNUMBER(C5),0,NA()),_xll.qlBondCleanPriceFromYield(AH5,AA5,YieldDayCounter,YieldCompounding,YieldFrequency))</f>
        <v>99.58304046656859</v>
      </c>
      <c r="AC5" s="45"/>
      <c r="AD5" s="67">
        <f t="shared" ca="1" si="1"/>
        <v>99.58304046656859</v>
      </c>
      <c r="AE5" s="66">
        <f t="shared" ref="AE5:AE36" ca="1" si="4">AF5/100*C5</f>
        <v>2.365097211080998</v>
      </c>
      <c r="AF5" s="77">
        <f t="shared" ref="AF5:AF67" ca="1" si="5">IF(ISERROR(A5),IF(ISNUMBER(C5),0,NA()),AD5)</f>
        <v>99.58304046656859</v>
      </c>
      <c r="AG5" s="74">
        <f ca="1">IF(ISERROR(A5),NA(),_xll.qlBondYieldFromCleanPrice(AH5,AF5,YieldDayCounter,YieldCompounding,YieldFrequency))</f>
        <v>4.9000559643213211E-3</v>
      </c>
      <c r="AH5" s="78" t="str">
        <f>_xll.qlZeroCouponBond(,,"EUR",3,"target",$C5,$B5,"f",100)</f>
        <v>obj_0100e#0000</v>
      </c>
      <c r="AJ5" s="32"/>
      <c r="AK5" s="32"/>
      <c r="AL5" s="106"/>
      <c r="AM5" s="105"/>
      <c r="AN5" s="105"/>
      <c r="AO5" s="105"/>
    </row>
    <row r="6" spans="1:41" ht="12.75" x14ac:dyDescent="0.2">
      <c r="A6" s="48">
        <f ca="1">_xll.qlYieldTSDiscount(BtpCurve,B6,,PriceTrigger)</f>
        <v>0.9918920970400692</v>
      </c>
      <c r="B6" s="38">
        <v>42430</v>
      </c>
      <c r="C6" s="39">
        <v>2.3749999999999938</v>
      </c>
      <c r="D6" s="60">
        <v>100</v>
      </c>
      <c r="E6" s="38">
        <v>42248</v>
      </c>
      <c r="F6" s="38">
        <v>42430</v>
      </c>
      <c r="G6" s="40">
        <v>182</v>
      </c>
      <c r="H6" s="41" t="str">
        <v>#N/A</v>
      </c>
      <c r="I6" s="40" t="str">
        <v>#N/A</v>
      </c>
      <c r="J6" s="38" t="str">
        <v>#N/A</v>
      </c>
      <c r="K6" s="40" t="str">
        <v>Actual/Actual (ISMA)</v>
      </c>
      <c r="L6" s="42">
        <v>0.5</v>
      </c>
      <c r="M6" s="43">
        <v>4.7500000000000001E-2</v>
      </c>
      <c r="N6" s="43" t="str">
        <v>#N/A</v>
      </c>
      <c r="O6" s="44" t="str">
        <v>#N/A</v>
      </c>
      <c r="P6" s="43" t="str">
        <v>#N/A</v>
      </c>
      <c r="Q6" s="43" t="str">
        <v>#N/A</v>
      </c>
      <c r="R6" s="43" t="str">
        <v>#N/A</v>
      </c>
      <c r="S6" s="43" t="str">
        <v>#N/A</v>
      </c>
      <c r="T6" s="43" t="str">
        <v>#N/A</v>
      </c>
      <c r="U6" s="41" t="str">
        <v>#N/A</v>
      </c>
      <c r="V6" s="66">
        <f t="shared" ca="1" si="2"/>
        <v>2.3557437304701581</v>
      </c>
      <c r="W6" s="45"/>
      <c r="X6" s="67">
        <f t="shared" ca="1" si="0"/>
        <v>2.3557437304701581</v>
      </c>
      <c r="Y6" s="73">
        <f ca="1">IF(ISERROR(A6),NA(),_xll.qlBondYieldFromCleanPrice(AH6,X6/C6*100,YieldDayCounter,YieldCompounding,YieldFrequency))</f>
        <v>6.0454765190907219E-3</v>
      </c>
      <c r="Z6" s="46"/>
      <c r="AA6" s="74">
        <f t="shared" ca="1" si="3"/>
        <v>6.0454765190907219E-3</v>
      </c>
      <c r="AB6" s="66">
        <f ca="1">IF(ISERROR(A6),IF(ISNUMBER(C6),0,NA()),_xll.qlBondCleanPriceFromYield(AH6,AA6,YieldDayCounter,YieldCompounding,YieldFrequency))</f>
        <v>99.189209700444891</v>
      </c>
      <c r="AC6" s="45"/>
      <c r="AD6" s="67">
        <f t="shared" ca="1" si="1"/>
        <v>99.189209700444891</v>
      </c>
      <c r="AE6" s="66">
        <f t="shared" ca="1" si="4"/>
        <v>2.35574373038556</v>
      </c>
      <c r="AF6" s="77">
        <f t="shared" ca="1" si="5"/>
        <v>99.189209700444891</v>
      </c>
      <c r="AG6" s="74">
        <f ca="1">IF(ISERROR(A6),NA(),_xll.qlBondYieldFromCleanPrice(AH6,AF6,YieldDayCounter,YieldCompounding,YieldFrequency))</f>
        <v>6.0454765458390937E-3</v>
      </c>
      <c r="AH6" s="78" t="str">
        <f>_xll.qlZeroCouponBond(,,"EUR",3,"target",$C6,$B6,"f",100)</f>
        <v>obj_01016#0000</v>
      </c>
      <c r="AJ6" s="32"/>
      <c r="AK6" s="32"/>
      <c r="AL6" s="106"/>
      <c r="AM6" s="105"/>
      <c r="AN6" s="105"/>
      <c r="AO6" s="105"/>
    </row>
    <row r="7" spans="1:41" ht="12.75" x14ac:dyDescent="0.2">
      <c r="A7" s="48">
        <f ca="1">_xll.qlYieldTSDiscount(BtpCurve,B7,,PriceTrigger)</f>
        <v>0.98610737585615138</v>
      </c>
      <c r="B7" s="38">
        <v>42614</v>
      </c>
      <c r="C7" s="39">
        <v>2.3749999999999938</v>
      </c>
      <c r="D7" s="60">
        <v>100</v>
      </c>
      <c r="E7" s="38">
        <v>42430</v>
      </c>
      <c r="F7" s="38">
        <v>42614</v>
      </c>
      <c r="G7" s="40">
        <v>184</v>
      </c>
      <c r="H7" s="41" t="str">
        <v>#N/A</v>
      </c>
      <c r="I7" s="40" t="str">
        <v>#N/A</v>
      </c>
      <c r="J7" s="38" t="str">
        <v>#N/A</v>
      </c>
      <c r="K7" s="40" t="str">
        <v>Actual/Actual (ISMA)</v>
      </c>
      <c r="L7" s="42">
        <v>0.5</v>
      </c>
      <c r="M7" s="43">
        <v>4.7500000000000001E-2</v>
      </c>
      <c r="N7" s="43" t="str">
        <v>#N/A</v>
      </c>
      <c r="O7" s="44" t="str">
        <v>#N/A</v>
      </c>
      <c r="P7" s="43" t="str">
        <v>#N/A</v>
      </c>
      <c r="Q7" s="43" t="str">
        <v>#N/A</v>
      </c>
      <c r="R7" s="43" t="str">
        <v>#N/A</v>
      </c>
      <c r="S7" s="43" t="str">
        <v>#N/A</v>
      </c>
      <c r="T7" s="43" t="str">
        <v>#N/A</v>
      </c>
      <c r="U7" s="41" t="str">
        <v>#N/A</v>
      </c>
      <c r="V7" s="66">
        <f t="shared" ca="1" si="2"/>
        <v>2.3420050176583533</v>
      </c>
      <c r="W7" s="45"/>
      <c r="X7" s="67">
        <f t="shared" ca="1" si="0"/>
        <v>2.3420050176583533</v>
      </c>
      <c r="Y7" s="73">
        <f ca="1">IF(ISERROR(A7),NA(),_xll.qlBondYieldFromCleanPrice(AH7,X7/C7*100,YieldDayCounter,YieldCompounding,YieldFrequency))</f>
        <v>7.571147850875766E-3</v>
      </c>
      <c r="Z7" s="46"/>
      <c r="AA7" s="74">
        <f t="shared" ca="1" si="3"/>
        <v>7.571147850875766E-3</v>
      </c>
      <c r="AB7" s="66">
        <f ca="1">IF(ISERROR(A7),IF(ISNUMBER(C7),0,NA()),_xll.qlBondCleanPriceFromYield(AH7,AA7,YieldDayCounter,YieldCompounding,YieldFrequency))</f>
        <v>98.610737586955821</v>
      </c>
      <c r="AC7" s="45"/>
      <c r="AD7" s="67">
        <f t="shared" ca="1" si="1"/>
        <v>98.610737586955821</v>
      </c>
      <c r="AE7" s="66">
        <f t="shared" ca="1" si="4"/>
        <v>2.3420050176901945</v>
      </c>
      <c r="AF7" s="77">
        <f t="shared" ca="1" si="5"/>
        <v>98.610737586955821</v>
      </c>
      <c r="AG7" s="74">
        <f ca="1">IF(ISERROR(A7),NA(),_xll.qlBondYieldFromCleanPrice(AH7,AF7,YieldDayCounter,YieldCompounding,YieldFrequency))</f>
        <v>7.571147843490264E-3</v>
      </c>
      <c r="AH7" s="78" t="str">
        <f>_xll.qlZeroCouponBond(,,"EUR",3,"target",$C7,$B7,"f",100)</f>
        <v>obj_01013#0000</v>
      </c>
      <c r="AJ7" s="32"/>
      <c r="AK7" s="32"/>
      <c r="AL7" s="106"/>
      <c r="AM7" s="105"/>
      <c r="AN7" s="105"/>
      <c r="AO7" s="105"/>
    </row>
    <row r="8" spans="1:41" ht="12.75" x14ac:dyDescent="0.2">
      <c r="A8" s="48">
        <f ca="1">_xll.qlYieldTSDiscount(BtpCurve,B8,,PriceTrigger)</f>
        <v>0.98030212101513836</v>
      </c>
      <c r="B8" s="38">
        <v>42795</v>
      </c>
      <c r="C8" s="39">
        <v>2.3749999999999938</v>
      </c>
      <c r="D8" s="60">
        <v>100</v>
      </c>
      <c r="E8" s="38">
        <v>42614</v>
      </c>
      <c r="F8" s="38">
        <v>42795</v>
      </c>
      <c r="G8" s="40">
        <v>181</v>
      </c>
      <c r="H8" s="41" t="str">
        <v>#N/A</v>
      </c>
      <c r="I8" s="40" t="str">
        <v>#N/A</v>
      </c>
      <c r="J8" s="38" t="str">
        <v>#N/A</v>
      </c>
      <c r="K8" s="40" t="str">
        <v>Actual/Actual (ISMA)</v>
      </c>
      <c r="L8" s="42">
        <v>0.5</v>
      </c>
      <c r="M8" s="43">
        <v>4.7500000000000001E-2</v>
      </c>
      <c r="N8" s="43" t="str">
        <v>#N/A</v>
      </c>
      <c r="O8" s="44" t="str">
        <v>#N/A</v>
      </c>
      <c r="P8" s="43" t="str">
        <v>#N/A</v>
      </c>
      <c r="Q8" s="43" t="str">
        <v>#N/A</v>
      </c>
      <c r="R8" s="43" t="str">
        <v>#N/A</v>
      </c>
      <c r="S8" s="43" t="str">
        <v>#N/A</v>
      </c>
      <c r="T8" s="43" t="str">
        <v>#N/A</v>
      </c>
      <c r="U8" s="41" t="str">
        <v>#N/A</v>
      </c>
      <c r="V8" s="66">
        <f t="shared" ca="1" si="2"/>
        <v>2.3282175374109477</v>
      </c>
      <c r="W8" s="45"/>
      <c r="X8" s="67">
        <f t="shared" ca="1" si="0"/>
        <v>2.3282175374109477</v>
      </c>
      <c r="Y8" s="73">
        <f ca="1">IF(ISERROR(A8),NA(),_xll.qlBondYieldFromCleanPrice(AH8,X8/C8*100,YieldDayCounter,YieldCompounding,YieldFrequency))</f>
        <v>8.4991790537255474E-3</v>
      </c>
      <c r="Z8" s="46"/>
      <c r="AA8" s="74">
        <f t="shared" ca="1" si="3"/>
        <v>8.4991790537255474E-3</v>
      </c>
      <c r="AB8" s="66">
        <f ca="1">IF(ISERROR(A8),IF(ISNUMBER(C8),0,NA()),_xll.qlBondCleanPriceFromYield(AH8,AA8,YieldDayCounter,YieldCompounding,YieldFrequency))</f>
        <v>98.03021210321711</v>
      </c>
      <c r="AC8" s="45"/>
      <c r="AD8" s="67">
        <f t="shared" ca="1" si="1"/>
        <v>98.03021210321711</v>
      </c>
      <c r="AE8" s="66">
        <f t="shared" ca="1" si="4"/>
        <v>2.3282175374514003</v>
      </c>
      <c r="AF8" s="77">
        <f t="shared" ca="1" si="5"/>
        <v>98.03021210321711</v>
      </c>
      <c r="AG8" s="74">
        <f ca="1">IF(ISERROR(A8),NA(),_xll.qlBondYieldFromCleanPrice(AH8,AF8,YieldDayCounter,YieldCompounding,YieldFrequency))</f>
        <v>8.4991790462713782E-3</v>
      </c>
      <c r="AH8" s="78" t="str">
        <f>_xll.qlZeroCouponBond(,,"EUR",3,"target",$C8,$B8,"f",100)</f>
        <v>obj_00feb#0000</v>
      </c>
      <c r="AJ8" s="32"/>
      <c r="AK8" s="32"/>
      <c r="AL8" s="106"/>
      <c r="AM8" s="105"/>
      <c r="AN8" s="105"/>
      <c r="AO8" s="105"/>
    </row>
    <row r="9" spans="1:41" ht="12.75" x14ac:dyDescent="0.2">
      <c r="A9" s="48">
        <f ca="1">_xll.qlYieldTSDiscount(BtpCurve,B9,,PriceTrigger)</f>
        <v>0.97394961828803295</v>
      </c>
      <c r="B9" s="38">
        <v>42979</v>
      </c>
      <c r="C9" s="39">
        <v>2.3749999999999938</v>
      </c>
      <c r="D9" s="60">
        <v>100</v>
      </c>
      <c r="E9" s="38">
        <v>42795</v>
      </c>
      <c r="F9" s="38">
        <v>42979</v>
      </c>
      <c r="G9" s="40">
        <v>184</v>
      </c>
      <c r="H9" s="41" t="str">
        <v>#N/A</v>
      </c>
      <c r="I9" s="40" t="str">
        <v>#N/A</v>
      </c>
      <c r="J9" s="38" t="str">
        <v>#N/A</v>
      </c>
      <c r="K9" s="40" t="str">
        <v>Actual/Actual (ISMA)</v>
      </c>
      <c r="L9" s="42">
        <v>0.5</v>
      </c>
      <c r="M9" s="43">
        <v>4.7500000000000001E-2</v>
      </c>
      <c r="N9" s="43" t="str">
        <v>#N/A</v>
      </c>
      <c r="O9" s="44" t="str">
        <v>#N/A</v>
      </c>
      <c r="P9" s="43" t="str">
        <v>#N/A</v>
      </c>
      <c r="Q9" s="43" t="str">
        <v>#N/A</v>
      </c>
      <c r="R9" s="43" t="str">
        <v>#N/A</v>
      </c>
      <c r="S9" s="43" t="str">
        <v>#N/A</v>
      </c>
      <c r="T9" s="43" t="str">
        <v>#N/A</v>
      </c>
      <c r="U9" s="41" t="str">
        <v>#N/A</v>
      </c>
      <c r="V9" s="66">
        <f t="shared" ca="1" si="2"/>
        <v>2.313130343434072</v>
      </c>
      <c r="W9" s="45"/>
      <c r="X9" s="67">
        <f t="shared" ca="1" si="0"/>
        <v>2.313130343434072</v>
      </c>
      <c r="Y9" s="73">
        <f ca="1">IF(ISERROR(A9),NA(),_xll.qlBondYieldFromCleanPrice(AH9,X9/C9*100,YieldDayCounter,YieldCompounding,YieldFrequency))</f>
        <v>9.2889728204342114E-3</v>
      </c>
      <c r="Z9" s="46"/>
      <c r="AA9" s="74">
        <f t="shared" ca="1" si="3"/>
        <v>9.2889728204342114E-3</v>
      </c>
      <c r="AB9" s="66">
        <f ca="1">IF(ISERROR(A9),IF(ISNUMBER(C9),0,NA()),_xll.qlBondCleanPriceFromYield(AH9,AA9,YieldDayCounter,YieldCompounding,YieldFrequency))</f>
        <v>97.394961842106895</v>
      </c>
      <c r="AC9" s="45"/>
      <c r="AD9" s="67">
        <f t="shared" ca="1" si="1"/>
        <v>97.394961842106895</v>
      </c>
      <c r="AE9" s="66">
        <f t="shared" ca="1" si="4"/>
        <v>2.3131303437500326</v>
      </c>
      <c r="AF9" s="77">
        <f t="shared" ca="1" si="5"/>
        <v>97.394961842106895</v>
      </c>
      <c r="AG9" s="74">
        <f ca="1">IF(ISERROR(A9),NA(),_xll.qlBondYieldFromCleanPrice(AH9,AF9,YieldDayCounter,YieldCompounding,YieldFrequency))</f>
        <v>9.28897277214219E-3</v>
      </c>
      <c r="AH9" s="78" t="str">
        <f>_xll.qlZeroCouponBond(,,"EUR",3,"target",$C9,$B9,"f",100)</f>
        <v>obj_00ff0#0000</v>
      </c>
      <c r="AJ9" s="32"/>
      <c r="AK9" s="32"/>
      <c r="AL9" s="106"/>
      <c r="AM9" s="105"/>
      <c r="AN9" s="105"/>
      <c r="AO9" s="105"/>
    </row>
    <row r="10" spans="1:41" ht="12.75" x14ac:dyDescent="0.2">
      <c r="A10" s="48">
        <f ca="1">_xll.qlYieldTSDiscount(BtpCurve,B10,,PriceTrigger)</f>
        <v>0.96511117131629964</v>
      </c>
      <c r="B10" s="38">
        <v>43160</v>
      </c>
      <c r="C10" s="39">
        <v>2.3749999999999938</v>
      </c>
      <c r="D10" s="60">
        <v>100</v>
      </c>
      <c r="E10" s="38">
        <v>42979</v>
      </c>
      <c r="F10" s="38">
        <v>43160</v>
      </c>
      <c r="G10" s="40">
        <v>181</v>
      </c>
      <c r="H10" s="41" t="str">
        <v>#N/A</v>
      </c>
      <c r="I10" s="40" t="str">
        <v>#N/A</v>
      </c>
      <c r="J10" s="38" t="str">
        <v>#N/A</v>
      </c>
      <c r="K10" s="40" t="str">
        <v>Actual/Actual (ISMA)</v>
      </c>
      <c r="L10" s="42">
        <v>0.5</v>
      </c>
      <c r="M10" s="43">
        <v>4.7500000000000001E-2</v>
      </c>
      <c r="N10" s="43" t="str">
        <v>#N/A</v>
      </c>
      <c r="O10" s="44" t="str">
        <v>#N/A</v>
      </c>
      <c r="P10" s="43" t="str">
        <v>#N/A</v>
      </c>
      <c r="Q10" s="43" t="str">
        <v>#N/A</v>
      </c>
      <c r="R10" s="43" t="str">
        <v>#N/A</v>
      </c>
      <c r="S10" s="43" t="str">
        <v>#N/A</v>
      </c>
      <c r="T10" s="43" t="str">
        <v>#N/A</v>
      </c>
      <c r="U10" s="41" t="str">
        <v>#N/A</v>
      </c>
      <c r="V10" s="66">
        <f t="shared" ca="1" si="2"/>
        <v>2.2921390318762058</v>
      </c>
      <c r="W10" s="45"/>
      <c r="X10" s="67">
        <f t="shared" ca="1" si="0"/>
        <v>2.2921390318762058</v>
      </c>
      <c r="Y10" s="73">
        <f ca="1">IF(ISERROR(A10),NA(),_xll.qlBondYieldFromCleanPrice(AH10,X10/C10*100,YieldDayCounter,YieldCompounding,YieldFrequency))</f>
        <v>1.0654786580281409E-2</v>
      </c>
      <c r="Z10" s="46"/>
      <c r="AA10" s="74">
        <f t="shared" ca="1" si="3"/>
        <v>1.0654786580281409E-2</v>
      </c>
      <c r="AB10" s="66">
        <f ca="1">IF(ISERROR(A10),IF(ISNUMBER(C10),0,NA()),_xll.qlBondCleanPriceFromYield(AH10,AA10,YieldDayCounter,YieldCompounding,YieldFrequency))</f>
        <v>96.511117142061607</v>
      </c>
      <c r="AC10" s="45"/>
      <c r="AD10" s="67">
        <f t="shared" ca="1" si="1"/>
        <v>96.511117142061607</v>
      </c>
      <c r="AE10" s="66">
        <f t="shared" ca="1" si="4"/>
        <v>2.2921390321239574</v>
      </c>
      <c r="AF10" s="77">
        <f t="shared" ca="1" si="5"/>
        <v>96.511117142061607</v>
      </c>
      <c r="AG10" s="74">
        <f ca="1">IF(ISERROR(A10),NA(),_xll.qlBondYieldFromCleanPrice(AH10,AF10,YieldDayCounter,YieldCompounding,YieldFrequency))</f>
        <v>1.0654786547679469E-2</v>
      </c>
      <c r="AH10" s="78" t="str">
        <f>_xll.qlZeroCouponBond(,,"EUR",3,"target",$C10,$B10,"f",100)</f>
        <v>obj_01004#0000</v>
      </c>
      <c r="AJ10" s="32"/>
      <c r="AK10" s="32"/>
      <c r="AL10" s="106"/>
      <c r="AM10" s="105"/>
      <c r="AN10" s="105"/>
      <c r="AO10" s="105"/>
    </row>
    <row r="11" spans="1:41" ht="12.75" x14ac:dyDescent="0.2">
      <c r="A11" s="48">
        <f ca="1">_xll.qlYieldTSDiscount(BtpCurve,B11,,PriceTrigger)</f>
        <v>0.95713046100402466</v>
      </c>
      <c r="B11" s="38">
        <v>43346</v>
      </c>
      <c r="C11" s="39">
        <v>2.3749999999999938</v>
      </c>
      <c r="D11" s="60">
        <v>100</v>
      </c>
      <c r="E11" s="38">
        <v>43160</v>
      </c>
      <c r="F11" s="38">
        <v>43344</v>
      </c>
      <c r="G11" s="40">
        <v>184</v>
      </c>
      <c r="H11" s="41" t="str">
        <v>#N/A</v>
      </c>
      <c r="I11" s="40" t="str">
        <v>#N/A</v>
      </c>
      <c r="J11" s="38" t="str">
        <v>#N/A</v>
      </c>
      <c r="K11" s="40" t="str">
        <v>Actual/Actual (ISMA)</v>
      </c>
      <c r="L11" s="42">
        <v>0.5</v>
      </c>
      <c r="M11" s="43">
        <v>4.7500000000000001E-2</v>
      </c>
      <c r="N11" s="43" t="str">
        <v>#N/A</v>
      </c>
      <c r="O11" s="44" t="str">
        <v>#N/A</v>
      </c>
      <c r="P11" s="43" t="str">
        <v>#N/A</v>
      </c>
      <c r="Q11" s="43" t="str">
        <v>#N/A</v>
      </c>
      <c r="R11" s="43" t="str">
        <v>#N/A</v>
      </c>
      <c r="S11" s="43" t="str">
        <v>#N/A</v>
      </c>
      <c r="T11" s="43" t="str">
        <v>#N/A</v>
      </c>
      <c r="U11" s="41" t="str">
        <v>#N/A</v>
      </c>
      <c r="V11" s="66">
        <f t="shared" ca="1" si="2"/>
        <v>2.2731848448845526</v>
      </c>
      <c r="W11" s="45"/>
      <c r="X11" s="67">
        <f t="shared" ca="1" si="0"/>
        <v>2.2731848448845526</v>
      </c>
      <c r="Y11" s="73">
        <f ca="1">IF(ISERROR(A11),NA(),_xll.qlBondYieldFromCleanPrice(AH11,X11/C11*100,YieldDayCounter,YieldCompounding,YieldFrequency))</f>
        <v>1.141503928044053E-2</v>
      </c>
      <c r="Z11" s="46"/>
      <c r="AA11" s="74">
        <f t="shared" ca="1" si="3"/>
        <v>1.141503928044053E-2</v>
      </c>
      <c r="AB11" s="66">
        <f ca="1">IF(ISERROR(A11),IF(ISNUMBER(C11),0,NA()),_xll.qlBondCleanPriceFromYield(AH11,AA11,YieldDayCounter,YieldCompounding,YieldFrequency))</f>
        <v>95.713046107144947</v>
      </c>
      <c r="AC11" s="45"/>
      <c r="AD11" s="67">
        <f t="shared" ca="1" si="1"/>
        <v>95.713046107144947</v>
      </c>
      <c r="AE11" s="66">
        <f t="shared" ca="1" si="4"/>
        <v>2.2731848450446868</v>
      </c>
      <c r="AF11" s="77">
        <f t="shared" ca="1" si="5"/>
        <v>95.713046107144947</v>
      </c>
      <c r="AG11" s="74">
        <f ca="1">IF(ISERROR(A11),NA(),_xll.qlBondYieldFromCleanPrice(AH11,AF11,YieldDayCounter,YieldCompounding,YieldFrequency))</f>
        <v>1.1415039261983803E-2</v>
      </c>
      <c r="AH11" s="78" t="str">
        <f>_xll.qlZeroCouponBond(,,"EUR",3,"target",$C11,$B11,"f",100)</f>
        <v>obj_0102f#0000</v>
      </c>
      <c r="AJ11" s="32"/>
      <c r="AK11" s="32"/>
      <c r="AL11" s="106"/>
      <c r="AM11" s="105"/>
      <c r="AN11" s="105"/>
      <c r="AO11" s="105"/>
    </row>
    <row r="12" spans="1:41" ht="12.75" x14ac:dyDescent="0.2">
      <c r="A12" s="48">
        <f ca="1">_xll.qlYieldTSDiscount(BtpCurve,B12,,PriceTrigger)</f>
        <v>0.94900668295897639</v>
      </c>
      <c r="B12" s="38">
        <v>43525</v>
      </c>
      <c r="C12" s="39">
        <v>2.3749999999999938</v>
      </c>
      <c r="D12" s="60">
        <v>100</v>
      </c>
      <c r="E12" s="38">
        <v>43344</v>
      </c>
      <c r="F12" s="38">
        <v>43525</v>
      </c>
      <c r="G12" s="40">
        <v>181</v>
      </c>
      <c r="H12" s="41" t="str">
        <v>#N/A</v>
      </c>
      <c r="I12" s="40" t="str">
        <v>#N/A</v>
      </c>
      <c r="J12" s="38" t="str">
        <v>#N/A</v>
      </c>
      <c r="K12" s="40" t="str">
        <v>Actual/Actual (ISMA)</v>
      </c>
      <c r="L12" s="42">
        <v>0.5</v>
      </c>
      <c r="M12" s="43">
        <v>4.7500000000000001E-2</v>
      </c>
      <c r="N12" s="43" t="str">
        <v>#N/A</v>
      </c>
      <c r="O12" s="44" t="str">
        <v>#N/A</v>
      </c>
      <c r="P12" s="43" t="str">
        <v>#N/A</v>
      </c>
      <c r="Q12" s="43" t="str">
        <v>#N/A</v>
      </c>
      <c r="R12" s="43" t="str">
        <v>#N/A</v>
      </c>
      <c r="S12" s="43" t="str">
        <v>#N/A</v>
      </c>
      <c r="T12" s="43" t="str">
        <v>#N/A</v>
      </c>
      <c r="U12" s="41" t="str">
        <v>#N/A</v>
      </c>
      <c r="V12" s="66">
        <f t="shared" ca="1" si="2"/>
        <v>2.2538908720275632</v>
      </c>
      <c r="W12" s="45"/>
      <c r="X12" s="67">
        <f t="shared" ca="1" si="0"/>
        <v>2.2538908720275632</v>
      </c>
      <c r="Y12" s="73">
        <f ca="1">IF(ISERROR(A12),NA(),_xll.qlBondYieldFromCleanPrice(AH12,X12/C12*100,YieldDayCounter,YieldCompounding,YieldFrequency))</f>
        <v>1.2102814005254217E-2</v>
      </c>
      <c r="Z12" s="46"/>
      <c r="AA12" s="74">
        <f t="shared" ca="1" si="3"/>
        <v>1.2102814005254217E-2</v>
      </c>
      <c r="AB12" s="66">
        <f ca="1">IF(ISERROR(A12),IF(ISNUMBER(C12),0,NA()),_xll.qlBondCleanPriceFromYield(AH12,AA12,YieldDayCounter,YieldCompounding,YieldFrequency))</f>
        <v>94.900668292825316</v>
      </c>
      <c r="AC12" s="45"/>
      <c r="AD12" s="67">
        <f t="shared" ca="1" si="1"/>
        <v>94.900668292825316</v>
      </c>
      <c r="AE12" s="66">
        <f t="shared" ca="1" si="4"/>
        <v>2.2538908719545954</v>
      </c>
      <c r="AF12" s="77">
        <f t="shared" ca="1" si="5"/>
        <v>94.900668292825316</v>
      </c>
      <c r="AG12" s="74">
        <f ca="1">IF(ISERROR(A12),NA(),_xll.qlBondYieldFromCleanPrice(AH12,AF12,YieldDayCounter,YieldCompounding,YieldFrequency))</f>
        <v>1.2102814012785474E-2</v>
      </c>
      <c r="AH12" s="78" t="str">
        <f>_xll.qlZeroCouponBond(,,"EUR",3,"target",$C12,$B12,"f",100)</f>
        <v>obj_01002#0000</v>
      </c>
      <c r="AJ12" s="32"/>
      <c r="AK12" s="32"/>
      <c r="AL12" s="106"/>
      <c r="AM12" s="105"/>
      <c r="AN12" s="105"/>
      <c r="AO12" s="105"/>
    </row>
    <row r="13" spans="1:41" ht="12.75" x14ac:dyDescent="0.2">
      <c r="A13" s="48">
        <f ca="1">_xll.qlYieldTSDiscount(BtpCurve,B13,,PriceTrigger)</f>
        <v>0.93737596139266111</v>
      </c>
      <c r="B13" s="38">
        <v>43710</v>
      </c>
      <c r="C13" s="39">
        <v>2.3749999999999938</v>
      </c>
      <c r="D13" s="60">
        <v>100</v>
      </c>
      <c r="E13" s="38">
        <v>43525</v>
      </c>
      <c r="F13" s="38">
        <v>43709</v>
      </c>
      <c r="G13" s="40">
        <v>184</v>
      </c>
      <c r="H13" s="41" t="str">
        <v>#N/A</v>
      </c>
      <c r="I13" s="40" t="str">
        <v>#N/A</v>
      </c>
      <c r="J13" s="38" t="str">
        <v>#N/A</v>
      </c>
      <c r="K13" s="40" t="str">
        <v>Actual/Actual (ISMA)</v>
      </c>
      <c r="L13" s="42">
        <v>0.5</v>
      </c>
      <c r="M13" s="43">
        <v>4.7500000000000001E-2</v>
      </c>
      <c r="N13" s="43" t="str">
        <v>#N/A</v>
      </c>
      <c r="O13" s="44" t="str">
        <v>#N/A</v>
      </c>
      <c r="P13" s="43" t="str">
        <v>#N/A</v>
      </c>
      <c r="Q13" s="43" t="str">
        <v>#N/A</v>
      </c>
      <c r="R13" s="43" t="str">
        <v>#N/A</v>
      </c>
      <c r="S13" s="43" t="str">
        <v>#N/A</v>
      </c>
      <c r="T13" s="43" t="str">
        <v>#N/A</v>
      </c>
      <c r="U13" s="41" t="str">
        <v>#N/A</v>
      </c>
      <c r="V13" s="66">
        <f t="shared" ca="1" si="2"/>
        <v>2.2262679083075643</v>
      </c>
      <c r="W13" s="45"/>
      <c r="X13" s="67">
        <f t="shared" ca="1" si="0"/>
        <v>2.2262679083075643</v>
      </c>
      <c r="Y13" s="73">
        <f ca="1">IF(ISERROR(A13),NA(),_xll.qlBondYieldFromCleanPrice(AH13,X13/C13*100,YieldDayCounter,YieldCompounding,YieldFrequency))</f>
        <v>1.340253087252039E-2</v>
      </c>
      <c r="Z13" s="46"/>
      <c r="AA13" s="74">
        <f t="shared" ca="1" si="3"/>
        <v>1.340253087252039E-2</v>
      </c>
      <c r="AB13" s="66">
        <f ca="1">IF(ISERROR(A13),IF(ISNUMBER(C13),0,NA()),_xll.qlBondCleanPriceFromYield(AH13,AA13,YieldDayCounter,YieldCompounding,YieldFrequency))</f>
        <v>93.737596126254502</v>
      </c>
      <c r="AC13" s="45"/>
      <c r="AD13" s="67">
        <f t="shared" ca="1" si="1"/>
        <v>93.737596126254502</v>
      </c>
      <c r="AE13" s="66">
        <f t="shared" ca="1" si="4"/>
        <v>2.2262679079985386</v>
      </c>
      <c r="AF13" s="77">
        <f t="shared" ca="1" si="5"/>
        <v>93.737596126254502</v>
      </c>
      <c r="AG13" s="74">
        <f ca="1">IF(ISERROR(A13),NA(),_xll.qlBondYieldFromCleanPrice(AH13,AF13,YieldDayCounter,YieldCompounding,YieldFrequency))</f>
        <v>1.3402530901479597E-2</v>
      </c>
      <c r="AH13" s="78" t="str">
        <f>_xll.qlZeroCouponBond(,,"EUR",3,"target",$C13,$B13,"f",100)</f>
        <v>obj_00ff7#0000</v>
      </c>
      <c r="AJ13" s="32"/>
      <c r="AK13" s="32"/>
      <c r="AL13" s="106"/>
      <c r="AM13" s="105"/>
      <c r="AN13" s="105"/>
      <c r="AO13" s="105"/>
    </row>
    <row r="14" spans="1:41" ht="12.75" x14ac:dyDescent="0.2">
      <c r="A14" s="48">
        <f ca="1">_xll.qlYieldTSDiscount(BtpCurve,B14,,PriceTrigger)</f>
        <v>0.92413802829150093</v>
      </c>
      <c r="B14" s="38">
        <v>43892</v>
      </c>
      <c r="C14" s="39">
        <v>2.3749999999999938</v>
      </c>
      <c r="D14" s="60">
        <v>100</v>
      </c>
      <c r="E14" s="38">
        <v>43709</v>
      </c>
      <c r="F14" s="38">
        <v>43891</v>
      </c>
      <c r="G14" s="40">
        <v>182</v>
      </c>
      <c r="H14" s="41" t="str">
        <v>#N/A</v>
      </c>
      <c r="I14" s="40" t="str">
        <v>#N/A</v>
      </c>
      <c r="J14" s="38" t="str">
        <v>#N/A</v>
      </c>
      <c r="K14" s="40" t="str">
        <v>Actual/Actual (ISMA)</v>
      </c>
      <c r="L14" s="42">
        <v>0.5</v>
      </c>
      <c r="M14" s="43">
        <v>4.7500000000000001E-2</v>
      </c>
      <c r="N14" s="43" t="str">
        <v>#N/A</v>
      </c>
      <c r="O14" s="44" t="str">
        <v>#N/A</v>
      </c>
      <c r="P14" s="43" t="str">
        <v>#N/A</v>
      </c>
      <c r="Q14" s="43" t="str">
        <v>#N/A</v>
      </c>
      <c r="R14" s="43" t="str">
        <v>#N/A</v>
      </c>
      <c r="S14" s="43" t="str">
        <v>#N/A</v>
      </c>
      <c r="T14" s="43" t="str">
        <v>#N/A</v>
      </c>
      <c r="U14" s="41" t="str">
        <v>#N/A</v>
      </c>
      <c r="V14" s="66">
        <f t="shared" ca="1" si="2"/>
        <v>2.194827817192309</v>
      </c>
      <c r="W14" s="45"/>
      <c r="X14" s="67">
        <f t="shared" ca="1" si="0"/>
        <v>2.194827817192309</v>
      </c>
      <c r="Y14" s="73">
        <f ca="1">IF(ISERROR(A14),NA(),_xll.qlBondYieldFromCleanPrice(AH14,X14/C14*100,YieldDayCounter,YieldCompounding,YieldFrequency))</f>
        <v>1.4846204227022222E-2</v>
      </c>
      <c r="Z14" s="46"/>
      <c r="AA14" s="74">
        <f t="shared" ca="1" si="3"/>
        <v>1.4846204227022222E-2</v>
      </c>
      <c r="AB14" s="66">
        <f ca="1">IF(ISERROR(A14),IF(ISNUMBER(C14),0,NA()),_xll.qlBondCleanPriceFromYield(AH14,AA14,YieldDayCounter,YieldCompounding,YieldFrequency))</f>
        <v>92.413802832314417</v>
      </c>
      <c r="AC14" s="45"/>
      <c r="AD14" s="67">
        <f t="shared" ca="1" si="1"/>
        <v>92.413802832314417</v>
      </c>
      <c r="AE14" s="66">
        <f t="shared" ca="1" si="4"/>
        <v>2.1948278172674618</v>
      </c>
      <c r="AF14" s="77">
        <f t="shared" ca="1" si="5"/>
        <v>92.413802832314417</v>
      </c>
      <c r="AG14" s="74">
        <f ca="1">IF(ISERROR(A14),NA(),_xll.qlBondYieldFromCleanPrice(AH14,AF14,YieldDayCounter,YieldCompounding,YieldFrequency))</f>
        <v>1.4846204220531244E-2</v>
      </c>
      <c r="AH14" s="78" t="str">
        <f>_xll.qlZeroCouponBond(,,"EUR",3,"target",$C14,$B14,"f",100)</f>
        <v>obj_01022#0000</v>
      </c>
      <c r="AJ14" s="32"/>
      <c r="AK14" s="32"/>
      <c r="AL14" s="106"/>
      <c r="AM14" s="105"/>
      <c r="AN14" s="105"/>
      <c r="AO14" s="105"/>
    </row>
    <row r="15" spans="1:41" ht="12.75" x14ac:dyDescent="0.2">
      <c r="A15" s="48">
        <f ca="1">_xll.qlYieldTSDiscount(BtpCurve,B15,,PriceTrigger)</f>
        <v>0.90848376312941226</v>
      </c>
      <c r="B15" s="38">
        <v>44075</v>
      </c>
      <c r="C15" s="39">
        <v>2.3749999999999938</v>
      </c>
      <c r="D15" s="60">
        <v>100</v>
      </c>
      <c r="E15" s="38">
        <v>43891</v>
      </c>
      <c r="F15" s="38">
        <v>44075</v>
      </c>
      <c r="G15" s="40">
        <v>184</v>
      </c>
      <c r="H15" s="41" t="str">
        <v>#N/A</v>
      </c>
      <c r="I15" s="40" t="str">
        <v>#N/A</v>
      </c>
      <c r="J15" s="38" t="str">
        <v>#N/A</v>
      </c>
      <c r="K15" s="40" t="str">
        <v>Actual/Actual (ISMA)</v>
      </c>
      <c r="L15" s="42">
        <v>0.5</v>
      </c>
      <c r="M15" s="43">
        <v>4.7500000000000001E-2</v>
      </c>
      <c r="N15" s="43" t="str">
        <v>#N/A</v>
      </c>
      <c r="O15" s="44" t="str">
        <v>#N/A</v>
      </c>
      <c r="P15" s="43" t="str">
        <v>#N/A</v>
      </c>
      <c r="Q15" s="43" t="str">
        <v>#N/A</v>
      </c>
      <c r="R15" s="43" t="str">
        <v>#N/A</v>
      </c>
      <c r="S15" s="43" t="str">
        <v>#N/A</v>
      </c>
      <c r="T15" s="43" t="str">
        <v>#N/A</v>
      </c>
      <c r="U15" s="41" t="str">
        <v>#N/A</v>
      </c>
      <c r="V15" s="66">
        <f t="shared" ca="1" si="2"/>
        <v>2.1576489374323486</v>
      </c>
      <c r="W15" s="45"/>
      <c r="X15" s="67">
        <f t="shared" ca="1" si="0"/>
        <v>2.1576489374323486</v>
      </c>
      <c r="Y15" s="73">
        <f ca="1">IF(ISERROR(A15),NA(),_xll.qlBondYieldFromCleanPrice(AH15,X15/C15*100,YieldDayCounter,YieldCompounding,YieldFrequency))</f>
        <v>1.6528209565004268E-2</v>
      </c>
      <c r="Z15" s="46"/>
      <c r="AA15" s="74">
        <f t="shared" ca="1" si="3"/>
        <v>1.6528209565004268E-2</v>
      </c>
      <c r="AB15" s="66">
        <f ca="1">IF(ISERROR(A15),IF(ISNUMBER(C15),0,NA()),_xll.qlBondCleanPriceFromYield(AH15,AA15,YieldDayCounter,YieldCompounding,YieldFrequency))</f>
        <v>90.848376314907057</v>
      </c>
      <c r="AC15" s="45"/>
      <c r="AD15" s="67">
        <f t="shared" ca="1" si="1"/>
        <v>90.848376314907057</v>
      </c>
      <c r="AE15" s="66">
        <f t="shared" ca="1" si="4"/>
        <v>2.1576489374790371</v>
      </c>
      <c r="AF15" s="77">
        <f t="shared" ca="1" si="5"/>
        <v>90.848376314907057</v>
      </c>
      <c r="AG15" s="74">
        <f ca="1">IF(ISERROR(A15),NA(),_xll.qlBondYieldFromCleanPrice(AH15,AF15,YieldDayCounter,YieldCompounding,YieldFrequency))</f>
        <v>1.6528209561247315E-2</v>
      </c>
      <c r="AH15" s="78" t="str">
        <f>_xll.qlZeroCouponBond(,,"EUR",3,"target",$C15,$B15,"f",100)</f>
        <v>obj_01011#0000</v>
      </c>
      <c r="AJ15" s="32"/>
      <c r="AK15" s="32"/>
      <c r="AL15" s="106"/>
      <c r="AM15" s="105"/>
      <c r="AN15" s="105"/>
      <c r="AO15" s="105"/>
    </row>
    <row r="16" spans="1:41" ht="12.75" x14ac:dyDescent="0.2">
      <c r="A16" s="48">
        <f ca="1">_xll.qlYieldTSDiscount(BtpCurve,B16,,PriceTrigger)</f>
        <v>0.89107708263442853</v>
      </c>
      <c r="B16" s="38">
        <v>44256</v>
      </c>
      <c r="C16" s="39">
        <v>2.3749999999999938</v>
      </c>
      <c r="D16" s="60">
        <v>100</v>
      </c>
      <c r="E16" s="38">
        <v>44075</v>
      </c>
      <c r="F16" s="38">
        <v>44256</v>
      </c>
      <c r="G16" s="40">
        <v>181</v>
      </c>
      <c r="H16" s="41" t="str">
        <v>#N/A</v>
      </c>
      <c r="I16" s="40" t="str">
        <v>#N/A</v>
      </c>
      <c r="J16" s="38" t="str">
        <v>#N/A</v>
      </c>
      <c r="K16" s="40" t="str">
        <v>Actual/Actual (ISMA)</v>
      </c>
      <c r="L16" s="42">
        <v>0.5</v>
      </c>
      <c r="M16" s="43">
        <v>4.7500000000000001E-2</v>
      </c>
      <c r="N16" s="43" t="str">
        <v>#N/A</v>
      </c>
      <c r="O16" s="44" t="str">
        <v>#N/A</v>
      </c>
      <c r="P16" s="43" t="str">
        <v>#N/A</v>
      </c>
      <c r="Q16" s="43" t="str">
        <v>#N/A</v>
      </c>
      <c r="R16" s="43" t="str">
        <v>#N/A</v>
      </c>
      <c r="S16" s="43" t="str">
        <v>#N/A</v>
      </c>
      <c r="T16" s="43" t="str">
        <v>#N/A</v>
      </c>
      <c r="U16" s="41" t="str">
        <v>#N/A</v>
      </c>
      <c r="V16" s="66">
        <f t="shared" ca="1" si="2"/>
        <v>2.1163080712567623</v>
      </c>
      <c r="W16" s="45"/>
      <c r="X16" s="67">
        <f t="shared" ca="1" si="0"/>
        <v>2.1163080712567623</v>
      </c>
      <c r="Y16" s="73">
        <f ca="1">IF(ISERROR(A16),NA(),_xll.qlBondYieldFromCleanPrice(AH16,X16/C16*100,YieldDayCounter,YieldCompounding,YieldFrequency))</f>
        <v>1.832523876473087E-2</v>
      </c>
      <c r="Z16" s="46"/>
      <c r="AA16" s="74">
        <f t="shared" ca="1" si="3"/>
        <v>1.832523876473087E-2</v>
      </c>
      <c r="AB16" s="66">
        <f ca="1">IF(ISERROR(A16),IF(ISNUMBER(C16),0,NA()),_xll.qlBondCleanPriceFromYield(AH16,AA16,YieldDayCounter,YieldCompounding,YieldFrequency))</f>
        <v>89.107708268701828</v>
      </c>
      <c r="AC16" s="45"/>
      <c r="AD16" s="67">
        <f t="shared" ca="1" si="1"/>
        <v>89.107708268701828</v>
      </c>
      <c r="AE16" s="66">
        <f t="shared" ca="1" si="4"/>
        <v>2.1163080713816629</v>
      </c>
      <c r="AF16" s="77">
        <f t="shared" ca="1" si="5"/>
        <v>89.107708268701828</v>
      </c>
      <c r="AG16" s="74">
        <f ca="1">IF(ISERROR(A16),NA(),_xll.qlBondYieldFromCleanPrice(AH16,AF16,YieldDayCounter,YieldCompounding,YieldFrequency))</f>
        <v>1.8325238755266947E-2</v>
      </c>
      <c r="AH16" s="78" t="str">
        <f>_xll.qlZeroCouponBond(,,"EUR",3,"target",$C16,$B16,"f",100)</f>
        <v>obj_0101e#0000</v>
      </c>
      <c r="AJ16" s="32"/>
      <c r="AK16" s="32"/>
      <c r="AL16" s="106"/>
      <c r="AM16" s="105"/>
      <c r="AN16" s="105"/>
      <c r="AO16" s="105"/>
    </row>
    <row r="17" spans="1:41" ht="12.75" x14ac:dyDescent="0.2">
      <c r="A17" s="48">
        <f ca="1">_xll.qlYieldTSDiscount(BtpCurve,B17,,PriceTrigger)</f>
        <v>0.87010269890462599</v>
      </c>
      <c r="B17" s="38">
        <v>44440</v>
      </c>
      <c r="C17" s="39">
        <v>2.3749999999999938</v>
      </c>
      <c r="D17" s="60">
        <v>100</v>
      </c>
      <c r="E17" s="38">
        <v>44256</v>
      </c>
      <c r="F17" s="38">
        <v>44440</v>
      </c>
      <c r="G17" s="40">
        <v>184</v>
      </c>
      <c r="H17" s="41" t="str">
        <v>#N/A</v>
      </c>
      <c r="I17" s="40" t="str">
        <v>#N/A</v>
      </c>
      <c r="J17" s="38" t="str">
        <v>#N/A</v>
      </c>
      <c r="K17" s="40" t="str">
        <v>Actual/Actual (ISMA)</v>
      </c>
      <c r="L17" s="42">
        <v>0.5</v>
      </c>
      <c r="M17" s="43">
        <v>4.7500000000000001E-2</v>
      </c>
      <c r="N17" s="43" t="str">
        <v>#N/A</v>
      </c>
      <c r="O17" s="44" t="str">
        <v>#N/A</v>
      </c>
      <c r="P17" s="43" t="str">
        <v>#N/A</v>
      </c>
      <c r="Q17" s="43" t="str">
        <v>#N/A</v>
      </c>
      <c r="R17" s="43" t="str">
        <v>#N/A</v>
      </c>
      <c r="S17" s="43" t="str">
        <v>#N/A</v>
      </c>
      <c r="T17" s="43" t="str">
        <v>#N/A</v>
      </c>
      <c r="U17" s="41" t="str">
        <v>#N/A</v>
      </c>
      <c r="V17" s="66">
        <f t="shared" ca="1" si="2"/>
        <v>2.0664939098984814</v>
      </c>
      <c r="W17" s="45"/>
      <c r="X17" s="67">
        <f t="shared" ca="1" si="0"/>
        <v>2.0664939098984814</v>
      </c>
      <c r="Y17" s="73">
        <f ca="1">IF(ISERROR(A17),NA(),_xll.qlBondYieldFromCleanPrice(AH17,X17/C17*100,YieldDayCounter,YieldCompounding,YieldFrequency))</f>
        <v>2.0506210798582863E-2</v>
      </c>
      <c r="Z17" s="46"/>
      <c r="AA17" s="74">
        <f t="shared" ca="1" si="3"/>
        <v>2.0506210798582863E-2</v>
      </c>
      <c r="AB17" s="66">
        <f ca="1">IF(ISERROR(A17),IF(ISNUMBER(C17),0,NA()),_xll.qlBondCleanPriceFromYield(AH17,AA17,YieldDayCounter,YieldCompounding,YieldFrequency))</f>
        <v>87.010269892533145</v>
      </c>
      <c r="AC17" s="45"/>
      <c r="AD17" s="67">
        <f t="shared" ca="1" si="1"/>
        <v>87.010269892533145</v>
      </c>
      <c r="AE17" s="66">
        <f t="shared" ca="1" si="4"/>
        <v>2.0664939099476567</v>
      </c>
      <c r="AF17" s="77">
        <f t="shared" ca="1" si="5"/>
        <v>87.010269892533145</v>
      </c>
      <c r="AG17" s="74">
        <f ca="1">IF(ISERROR(A17),NA(),_xll.qlBondYieldFromCleanPrice(AH17,AF17,YieldDayCounter,YieldCompounding,YieldFrequency))</f>
        <v>2.0506210795040093E-2</v>
      </c>
      <c r="AH17" s="78" t="str">
        <f>_xll.qlZeroCouponBond(,,"EUR",3,"target",$C17,$B17,"f",100)</f>
        <v>obj_01019#0000</v>
      </c>
      <c r="AJ17" s="32"/>
      <c r="AK17" s="32"/>
      <c r="AL17" s="106"/>
      <c r="AM17" s="105"/>
      <c r="AN17" s="105"/>
      <c r="AO17" s="105"/>
    </row>
    <row r="18" spans="1:41" ht="12.75" x14ac:dyDescent="0.2">
      <c r="A18" s="48">
        <f ca="1">_xll.qlYieldTSDiscount(BtpCurve,B18,,PriceTrigger)</f>
        <v>0.84960996036418612</v>
      </c>
      <c r="B18" s="38">
        <v>44621</v>
      </c>
      <c r="C18" s="39">
        <v>2.3749999999999938</v>
      </c>
      <c r="D18" s="60">
        <v>100</v>
      </c>
      <c r="E18" s="38">
        <v>44440</v>
      </c>
      <c r="F18" s="38">
        <v>44621</v>
      </c>
      <c r="G18" s="40">
        <v>181</v>
      </c>
      <c r="H18" s="41" t="str">
        <v>#N/A</v>
      </c>
      <c r="I18" s="40" t="str">
        <v>#N/A</v>
      </c>
      <c r="J18" s="38" t="str">
        <v>#N/A</v>
      </c>
      <c r="K18" s="40" t="str">
        <v>Actual/Actual (ISMA)</v>
      </c>
      <c r="L18" s="42">
        <v>0.5</v>
      </c>
      <c r="M18" s="43">
        <v>4.7500000000000001E-2</v>
      </c>
      <c r="N18" s="43" t="str">
        <v>#N/A</v>
      </c>
      <c r="O18" s="44" t="str">
        <v>#N/A</v>
      </c>
      <c r="P18" s="43" t="str">
        <v>#N/A</v>
      </c>
      <c r="Q18" s="43" t="str">
        <v>#N/A</v>
      </c>
      <c r="R18" s="43" t="str">
        <v>#N/A</v>
      </c>
      <c r="S18" s="43" t="str">
        <v>#N/A</v>
      </c>
      <c r="T18" s="43" t="str">
        <v>#N/A</v>
      </c>
      <c r="U18" s="41" t="str">
        <v>#N/A</v>
      </c>
      <c r="V18" s="66">
        <f t="shared" ca="1" si="2"/>
        <v>2.0178236558649369</v>
      </c>
      <c r="W18" s="45"/>
      <c r="X18" s="67">
        <f t="shared" ca="1" si="0"/>
        <v>2.0178236558649369</v>
      </c>
      <c r="Y18" s="73">
        <f ca="1">IF(ISERROR(A18),NA(),_xll.qlBondYieldFromCleanPrice(AH18,X18/C18*100,YieldDayCounter,YieldCompounding,YieldFrequency))</f>
        <v>2.2419419479246781E-2</v>
      </c>
      <c r="Z18" s="46"/>
      <c r="AA18" s="74">
        <f t="shared" ca="1" si="3"/>
        <v>2.2419419479246781E-2</v>
      </c>
      <c r="AB18" s="66">
        <f ca="1">IF(ISERROR(A18),IF(ISNUMBER(C18),0,NA()),_xll.qlBondCleanPriceFromYield(AH18,AA18,YieldDayCounter,YieldCompounding,YieldFrequency))</f>
        <v>84.960996038350018</v>
      </c>
      <c r="AC18" s="45"/>
      <c r="AD18" s="67">
        <f t="shared" ca="1" si="1"/>
        <v>84.960996038350018</v>
      </c>
      <c r="AE18" s="66">
        <f t="shared" ca="1" si="4"/>
        <v>2.0178236559108078</v>
      </c>
      <c r="AF18" s="77">
        <f t="shared" ca="1" si="5"/>
        <v>84.960996038350018</v>
      </c>
      <c r="AG18" s="74">
        <f ca="1">IF(ISERROR(A18),NA(),_xll.qlBondYieldFromCleanPrice(AH18,AF18,YieldDayCounter,YieldCompounding,YieldFrequency))</f>
        <v>2.2419419476084858E-2</v>
      </c>
      <c r="AH18" s="78" t="str">
        <f>_xll.qlZeroCouponBond(,,"EUR",3,"target",$C18,$B18,"f",100)</f>
        <v>obj_01010#0000</v>
      </c>
      <c r="AJ18" s="32"/>
      <c r="AK18" s="32"/>
      <c r="AL18" s="106"/>
      <c r="AM18" s="105"/>
      <c r="AN18" s="105"/>
      <c r="AO18" s="105"/>
    </row>
    <row r="19" spans="1:41" ht="12.75" x14ac:dyDescent="0.2">
      <c r="A19" s="48">
        <f ca="1">_xll.qlYieldTSDiscount(BtpCurve,B19,,PriceTrigger)</f>
        <v>0.82908122277430873</v>
      </c>
      <c r="B19" s="38">
        <v>44805</v>
      </c>
      <c r="C19" s="39">
        <v>2.3749999999999938</v>
      </c>
      <c r="D19" s="60">
        <v>100</v>
      </c>
      <c r="E19" s="38">
        <v>44621</v>
      </c>
      <c r="F19" s="38">
        <v>44805</v>
      </c>
      <c r="G19" s="40">
        <v>184</v>
      </c>
      <c r="H19" s="41" t="str">
        <v>#N/A</v>
      </c>
      <c r="I19" s="40" t="str">
        <v>#N/A</v>
      </c>
      <c r="J19" s="38" t="str">
        <v>#N/A</v>
      </c>
      <c r="K19" s="40" t="str">
        <v>Actual/Actual (ISMA)</v>
      </c>
      <c r="L19" s="42">
        <v>0.5</v>
      </c>
      <c r="M19" s="43">
        <v>4.7500000000000001E-2</v>
      </c>
      <c r="N19" s="43" t="str">
        <v>#N/A</v>
      </c>
      <c r="O19" s="44" t="str">
        <v>#N/A</v>
      </c>
      <c r="P19" s="43" t="str">
        <v>#N/A</v>
      </c>
      <c r="Q19" s="43" t="str">
        <v>#N/A</v>
      </c>
      <c r="R19" s="43" t="str">
        <v>#N/A</v>
      </c>
      <c r="S19" s="43" t="str">
        <v>#N/A</v>
      </c>
      <c r="T19" s="43" t="str">
        <v>#N/A</v>
      </c>
      <c r="U19" s="41" t="str">
        <v>#N/A</v>
      </c>
      <c r="V19" s="66">
        <f t="shared" ca="1" si="2"/>
        <v>1.969067904088978</v>
      </c>
      <c r="W19" s="45"/>
      <c r="X19" s="67">
        <f t="shared" ca="1" si="0"/>
        <v>1.969067904088978</v>
      </c>
      <c r="Y19" s="73">
        <f ca="1">IF(ISERROR(A19),NA(),_xll.qlBondYieldFromCleanPrice(AH19,X19/C19*100,YieldDayCounter,YieldCompounding,YieldFrequency))</f>
        <v>2.414976373503757E-2</v>
      </c>
      <c r="Z19" s="46"/>
      <c r="AA19" s="74">
        <f t="shared" ca="1" si="3"/>
        <v>2.414976373503757E-2</v>
      </c>
      <c r="AB19" s="66">
        <f ca="1">IF(ISERROR(A19),IF(ISNUMBER(C19),0,NA()),_xll.qlBondCleanPriceFromYield(AH19,AA19,YieldDayCounter,YieldCompounding,YieldFrequency))</f>
        <v>82.908122291353479</v>
      </c>
      <c r="AC19" s="45"/>
      <c r="AD19" s="67">
        <f t="shared" ca="1" si="1"/>
        <v>82.908122291353479</v>
      </c>
      <c r="AE19" s="66">
        <f t="shared" ca="1" si="4"/>
        <v>1.96906790441964</v>
      </c>
      <c r="AF19" s="77">
        <f t="shared" ca="1" si="5"/>
        <v>82.908122291353479</v>
      </c>
      <c r="AG19" s="74">
        <f ca="1">IF(ISERROR(A19),NA(),_xll.qlBondYieldFromCleanPrice(AH19,AF19,YieldDayCounter,YieldCompounding,YieldFrequency))</f>
        <v>2.4149763713142244E-2</v>
      </c>
      <c r="AH19" s="78" t="str">
        <f>_xll.qlZeroCouponBond(,,"EUR",3,"target",$C19,$B19,"f",100)</f>
        <v>obj_01025#0000</v>
      </c>
      <c r="AJ19" s="32"/>
      <c r="AK19" s="32"/>
      <c r="AL19" s="106"/>
      <c r="AM19" s="105"/>
      <c r="AN19" s="105"/>
      <c r="AO19" s="105"/>
    </row>
    <row r="20" spans="1:41" ht="12.75" x14ac:dyDescent="0.2">
      <c r="A20" s="48">
        <f ca="1">_xll.qlYieldTSDiscount(BtpCurve,B20,,PriceTrigger)</f>
        <v>0.81041684277910575</v>
      </c>
      <c r="B20" s="38">
        <v>44986</v>
      </c>
      <c r="C20" s="39">
        <v>2.3749999999999938</v>
      </c>
      <c r="D20" s="60">
        <v>100</v>
      </c>
      <c r="E20" s="38">
        <v>44805</v>
      </c>
      <c r="F20" s="38">
        <v>44986</v>
      </c>
      <c r="G20" s="40">
        <v>181</v>
      </c>
      <c r="H20" s="41" t="str">
        <v>#N/A</v>
      </c>
      <c r="I20" s="40" t="str">
        <v>#N/A</v>
      </c>
      <c r="J20" s="38" t="str">
        <v>#N/A</v>
      </c>
      <c r="K20" s="40" t="str">
        <v>Actual/Actual (ISMA)</v>
      </c>
      <c r="L20" s="42">
        <v>0.5</v>
      </c>
      <c r="M20" s="43">
        <v>4.7500000000000001E-2</v>
      </c>
      <c r="N20" s="43" t="str">
        <v>#N/A</v>
      </c>
      <c r="O20" s="44" t="str">
        <v>#N/A</v>
      </c>
      <c r="P20" s="43" t="str">
        <v>#N/A</v>
      </c>
      <c r="Q20" s="43" t="str">
        <v>#N/A</v>
      </c>
      <c r="R20" s="43" t="str">
        <v>#N/A</v>
      </c>
      <c r="S20" s="43" t="str">
        <v>#N/A</v>
      </c>
      <c r="T20" s="43" t="str">
        <v>#N/A</v>
      </c>
      <c r="U20" s="41" t="str">
        <v>#N/A</v>
      </c>
      <c r="V20" s="66">
        <f t="shared" ca="1" si="2"/>
        <v>1.9247400016003711</v>
      </c>
      <c r="W20" s="45"/>
      <c r="X20" s="67">
        <f t="shared" ca="1" si="0"/>
        <v>1.9247400016003711</v>
      </c>
      <c r="Y20" s="73">
        <f ca="1">IF(ISERROR(A20),NA(),_xll.qlBondYieldFromCleanPrice(AH20,X20/C20*100,YieldDayCounter,YieldCompounding,YieldFrequency))</f>
        <v>2.5491870808680959E-2</v>
      </c>
      <c r="Z20" s="46"/>
      <c r="AA20" s="74">
        <f t="shared" ca="1" si="3"/>
        <v>2.5491870808680959E-2</v>
      </c>
      <c r="AB20" s="66">
        <f ca="1">IF(ISERROR(A20),IF(ISNUMBER(C20),0,NA()),_xll.qlBondCleanPriceFromYield(AH20,AA20,YieldDayCounter,YieldCompounding,YieldFrequency))</f>
        <v>81.041684280881711</v>
      </c>
      <c r="AC20" s="45"/>
      <c r="AD20" s="67">
        <f t="shared" ca="1" si="1"/>
        <v>81.041684280881711</v>
      </c>
      <c r="AE20" s="66">
        <f t="shared" ca="1" si="4"/>
        <v>1.9247400016709355</v>
      </c>
      <c r="AF20" s="77">
        <f t="shared" ca="1" si="5"/>
        <v>81.041684280881711</v>
      </c>
      <c r="AG20" s="74">
        <f ca="1">IF(ISERROR(A20),NA(),_xll.qlBondYieldFromCleanPrice(AH20,AF20,YieldDayCounter,YieldCompounding,YieldFrequency))</f>
        <v>2.549187080417871E-2</v>
      </c>
      <c r="AH20" s="78" t="str">
        <f>_xll.qlZeroCouponBond(,,"EUR",3,"target",$C20,$B20,"f",100)</f>
        <v>obj_00ff9#0000</v>
      </c>
      <c r="AJ20" s="32"/>
      <c r="AK20" s="32"/>
      <c r="AL20" s="106"/>
      <c r="AM20" s="105"/>
      <c r="AN20" s="105"/>
      <c r="AO20" s="105"/>
    </row>
    <row r="21" spans="1:41" ht="12.75" x14ac:dyDescent="0.2">
      <c r="A21" s="48">
        <f ca="1">_xll.qlYieldTSDiscount(BtpCurve,B21,,PriceTrigger)</f>
        <v>0.79622313147938284</v>
      </c>
      <c r="B21" s="38">
        <v>45170</v>
      </c>
      <c r="C21" s="39">
        <v>2.3749999999999938</v>
      </c>
      <c r="D21" s="60">
        <v>100</v>
      </c>
      <c r="E21" s="38">
        <v>44986</v>
      </c>
      <c r="F21" s="38">
        <v>45170</v>
      </c>
      <c r="G21" s="40">
        <v>184</v>
      </c>
      <c r="H21" s="41" t="str">
        <v>#N/A</v>
      </c>
      <c r="I21" s="40" t="str">
        <v>#N/A</v>
      </c>
      <c r="J21" s="38" t="str">
        <v>#N/A</v>
      </c>
      <c r="K21" s="40" t="str">
        <v>Actual/Actual (ISMA)</v>
      </c>
      <c r="L21" s="42">
        <v>0.5</v>
      </c>
      <c r="M21" s="43">
        <v>4.7500000000000001E-2</v>
      </c>
      <c r="N21" s="43" t="str">
        <v>#N/A</v>
      </c>
      <c r="O21" s="44" t="str">
        <v>#N/A</v>
      </c>
      <c r="P21" s="43" t="str">
        <v>#N/A</v>
      </c>
      <c r="Q21" s="43" t="str">
        <v>#N/A</v>
      </c>
      <c r="R21" s="43" t="str">
        <v>#N/A</v>
      </c>
      <c r="S21" s="43" t="str">
        <v>#N/A</v>
      </c>
      <c r="T21" s="43" t="str">
        <v>#N/A</v>
      </c>
      <c r="U21" s="41" t="str">
        <v>#N/A</v>
      </c>
      <c r="V21" s="66">
        <f t="shared" ca="1" si="2"/>
        <v>1.8910299372635293</v>
      </c>
      <c r="W21" s="45"/>
      <c r="X21" s="67">
        <f t="shared" ca="1" si="0"/>
        <v>1.8910299372635293</v>
      </c>
      <c r="Y21" s="73">
        <f ca="1">IF(ISERROR(A21),NA(),_xll.qlBondYieldFromCleanPrice(AH21,X21/C21*100,YieldDayCounter,YieldCompounding,YieldFrequency))</f>
        <v>2.6068735216675996E-2</v>
      </c>
      <c r="Z21" s="46"/>
      <c r="AA21" s="74">
        <f t="shared" ca="1" si="3"/>
        <v>2.6068735216675996E-2</v>
      </c>
      <c r="AB21" s="66">
        <f ca="1">IF(ISERROR(A21),IF(ISNUMBER(C21),0,NA()),_xll.qlBondCleanPriceFromYield(AH21,AA21,YieldDayCounter,YieldCompounding,YieldFrequency))</f>
        <v>79.622313180237754</v>
      </c>
      <c r="AC21" s="45"/>
      <c r="AD21" s="67">
        <f t="shared" ca="1" si="1"/>
        <v>79.622313180237754</v>
      </c>
      <c r="AE21" s="66">
        <f t="shared" ca="1" si="4"/>
        <v>1.8910299380306419</v>
      </c>
      <c r="AF21" s="77">
        <f t="shared" ca="1" si="5"/>
        <v>79.622313180237754</v>
      </c>
      <c r="AG21" s="74">
        <f ca="1">IF(ISERROR(A21),NA(),_xll.qlBondYieldFromCleanPrice(AH21,AF21,YieldDayCounter,YieldCompounding,YieldFrequency))</f>
        <v>2.6068735169669437E-2</v>
      </c>
      <c r="AH21" s="78" t="str">
        <f>_xll.qlZeroCouponBond(,,"EUR",3,"target",$C21,$B21,"f",100)</f>
        <v>obj_00ff4#0000</v>
      </c>
      <c r="AJ21" s="32"/>
      <c r="AK21" s="32"/>
      <c r="AL21" s="106"/>
      <c r="AM21" s="105"/>
      <c r="AN21" s="105"/>
      <c r="AO21" s="105"/>
    </row>
    <row r="22" spans="1:41" ht="12.75" x14ac:dyDescent="0.2">
      <c r="A22" s="48">
        <f ca="1">_xll.qlYieldTSDiscount(BtpCurve,B22,,PriceTrigger)</f>
        <v>0.78042566004355096</v>
      </c>
      <c r="B22" s="38">
        <v>45352</v>
      </c>
      <c r="C22" s="39">
        <v>2.3749999999999938</v>
      </c>
      <c r="D22" s="60">
        <v>100</v>
      </c>
      <c r="E22" s="38">
        <v>45170</v>
      </c>
      <c r="F22" s="38">
        <v>45352</v>
      </c>
      <c r="G22" s="40">
        <v>182</v>
      </c>
      <c r="H22" s="41" t="str">
        <v>#N/A</v>
      </c>
      <c r="I22" s="40" t="str">
        <v>#N/A</v>
      </c>
      <c r="J22" s="38" t="str">
        <v>#N/A</v>
      </c>
      <c r="K22" s="40" t="str">
        <v>Actual/Actual (ISMA)</v>
      </c>
      <c r="L22" s="42">
        <v>0.5</v>
      </c>
      <c r="M22" s="43">
        <v>4.7500000000000001E-2</v>
      </c>
      <c r="N22" s="43" t="str">
        <v>#N/A</v>
      </c>
      <c r="O22" s="44" t="str">
        <v>#N/A</v>
      </c>
      <c r="P22" s="43" t="str">
        <v>#N/A</v>
      </c>
      <c r="Q22" s="43" t="str">
        <v>#N/A</v>
      </c>
      <c r="R22" s="43" t="str">
        <v>#N/A</v>
      </c>
      <c r="S22" s="43" t="str">
        <v>#N/A</v>
      </c>
      <c r="T22" s="43" t="str">
        <v>#N/A</v>
      </c>
      <c r="U22" s="41" t="str">
        <v>#N/A</v>
      </c>
      <c r="V22" s="66">
        <f t="shared" ca="1" si="2"/>
        <v>1.8535109426034286</v>
      </c>
      <c r="W22" s="45"/>
      <c r="X22" s="67">
        <f t="shared" ca="1" si="0"/>
        <v>1.8535109426034286</v>
      </c>
      <c r="Y22" s="73">
        <f ca="1">IF(ISERROR(A22),NA(),_xll.qlBondYieldFromCleanPrice(AH22,X22/C22*100,YieldDayCounter,YieldCompounding,YieldFrequency))</f>
        <v>2.6867715131379193E-2</v>
      </c>
      <c r="Z22" s="46"/>
      <c r="AA22" s="74">
        <f t="shared" ca="1" si="3"/>
        <v>2.6867715131379193E-2</v>
      </c>
      <c r="AB22" s="66">
        <f ca="1">IF(ISERROR(A22),IF(ISNUMBER(C22),0,NA()),_xll.qlBondCleanPriceFromYield(AH22,AA22,YieldDayCounter,YieldCompounding,YieldFrequency))</f>
        <v>78.042565994391197</v>
      </c>
      <c r="AC22" s="45"/>
      <c r="AD22" s="67">
        <f t="shared" ca="1" si="1"/>
        <v>78.042565994391197</v>
      </c>
      <c r="AE22" s="66">
        <f t="shared" ca="1" si="4"/>
        <v>1.8535109423667862</v>
      </c>
      <c r="AF22" s="77">
        <f t="shared" ca="1" si="5"/>
        <v>78.042565994391197</v>
      </c>
      <c r="AG22" s="74">
        <f ca="1">IF(ISERROR(A22),NA(),_xll.qlBondYieldFromCleanPrice(AH22,AF22,YieldDayCounter,YieldCompounding,YieldFrequency))</f>
        <v>2.6867715145399963E-2</v>
      </c>
      <c r="AH22" s="78" t="str">
        <f>_xll.qlZeroCouponBond(,,"EUR",3,"target",$C22,$B22,"f",100)</f>
        <v>obj_0101b#0000</v>
      </c>
      <c r="AJ22" s="32"/>
      <c r="AK22" s="32"/>
      <c r="AL22" s="106"/>
      <c r="AM22" s="105"/>
      <c r="AN22" s="105"/>
      <c r="AO22" s="105"/>
    </row>
    <row r="23" spans="1:41" ht="12.75" x14ac:dyDescent="0.2">
      <c r="A23" s="48">
        <f ca="1">_xll.qlYieldTSDiscount(BtpCurve,B23,,PriceTrigger)</f>
        <v>0.76390647038260617</v>
      </c>
      <c r="B23" s="38">
        <v>45537</v>
      </c>
      <c r="C23" s="39">
        <v>2.3749999999999938</v>
      </c>
      <c r="D23" s="60">
        <v>100</v>
      </c>
      <c r="E23" s="38">
        <v>45352</v>
      </c>
      <c r="F23" s="38">
        <v>45536</v>
      </c>
      <c r="G23" s="40">
        <v>184</v>
      </c>
      <c r="H23" s="41" t="str">
        <v>#N/A</v>
      </c>
      <c r="I23" s="40" t="str">
        <v>#N/A</v>
      </c>
      <c r="J23" s="38" t="str">
        <v>#N/A</v>
      </c>
      <c r="K23" s="40" t="str">
        <v>Actual/Actual (ISMA)</v>
      </c>
      <c r="L23" s="42">
        <v>0.5</v>
      </c>
      <c r="M23" s="43">
        <v>4.7500000000000001E-2</v>
      </c>
      <c r="N23" s="43" t="str">
        <v>#N/A</v>
      </c>
      <c r="O23" s="44" t="str">
        <v>#N/A</v>
      </c>
      <c r="P23" s="43" t="str">
        <v>#N/A</v>
      </c>
      <c r="Q23" s="43" t="str">
        <v>#N/A</v>
      </c>
      <c r="R23" s="43" t="str">
        <v>#N/A</v>
      </c>
      <c r="S23" s="43" t="str">
        <v>#N/A</v>
      </c>
      <c r="T23" s="43" t="str">
        <v>#N/A</v>
      </c>
      <c r="U23" s="41" t="str">
        <v>#N/A</v>
      </c>
      <c r="V23" s="66">
        <f t="shared" ca="1" si="2"/>
        <v>1.814277867158685</v>
      </c>
      <c r="W23" s="45"/>
      <c r="X23" s="67">
        <f t="shared" ca="1" si="0"/>
        <v>1.814277867158685</v>
      </c>
      <c r="Y23" s="73">
        <f ca="1">IF(ISERROR(A23),NA(),_xll.qlBondYieldFromCleanPrice(AH23,X23/C23*100,YieldDayCounter,YieldCompounding,YieldFrequency))</f>
        <v>2.7696830154663975E-2</v>
      </c>
      <c r="Z23" s="46"/>
      <c r="AA23" s="74">
        <f t="shared" ca="1" si="3"/>
        <v>2.7696830154663975E-2</v>
      </c>
      <c r="AB23" s="66">
        <f ca="1">IF(ISERROR(A23),IF(ISNUMBER(C23),0,NA()),_xll.qlBondCleanPriceFromYield(AH23,AA23,YieldDayCounter,YieldCompounding,YieldFrequency))</f>
        <v>76.390647067567627</v>
      </c>
      <c r="AC23" s="45"/>
      <c r="AD23" s="67">
        <f t="shared" ca="1" si="1"/>
        <v>76.390647067567627</v>
      </c>
      <c r="AE23" s="66">
        <f t="shared" ca="1" si="4"/>
        <v>1.8142778678547264</v>
      </c>
      <c r="AF23" s="77">
        <f t="shared" ca="1" si="5"/>
        <v>76.390647067567627</v>
      </c>
      <c r="AG23" s="74">
        <f ca="1">IF(ISERROR(A23),NA(),_xll.qlBondYieldFromCleanPrice(AH23,AF23,YieldDayCounter,YieldCompounding,YieldFrequency))</f>
        <v>2.7696830114667333E-2</v>
      </c>
      <c r="AH23" s="78" t="str">
        <f>_xll.qlZeroCouponBond(,,"EUR",3,"target",$C23,$B23,"f",100)</f>
        <v>obj_0102a#0000</v>
      </c>
      <c r="AJ23" s="32"/>
      <c r="AK23" s="32"/>
      <c r="AL23" s="106"/>
      <c r="AM23" s="105"/>
      <c r="AN23" s="105"/>
      <c r="AO23" s="105"/>
    </row>
    <row r="24" spans="1:41" ht="12.75" x14ac:dyDescent="0.2">
      <c r="A24" s="48">
        <f ca="1">_xll.qlYieldTSDiscount(BtpCurve,B24,,PriceTrigger)</f>
        <v>0.74044744114809113</v>
      </c>
      <c r="B24" s="38">
        <v>45719</v>
      </c>
      <c r="C24" s="39">
        <v>2.3749999999999938</v>
      </c>
      <c r="D24" s="60">
        <v>100</v>
      </c>
      <c r="E24" s="38">
        <v>45536</v>
      </c>
      <c r="F24" s="38">
        <v>45717</v>
      </c>
      <c r="G24" s="40">
        <v>181</v>
      </c>
      <c r="H24" s="41" t="str">
        <v>#N/A</v>
      </c>
      <c r="I24" s="40" t="str">
        <v>#N/A</v>
      </c>
      <c r="J24" s="38" t="str">
        <v>#N/A</v>
      </c>
      <c r="K24" s="40" t="str">
        <v>Actual/Actual (ISMA)</v>
      </c>
      <c r="L24" s="42">
        <v>0.5</v>
      </c>
      <c r="M24" s="43">
        <v>4.7500000000000001E-2</v>
      </c>
      <c r="N24" s="43" t="str">
        <v>#N/A</v>
      </c>
      <c r="O24" s="44" t="str">
        <v>#N/A</v>
      </c>
      <c r="P24" s="43" t="str">
        <v>#N/A</v>
      </c>
      <c r="Q24" s="43" t="str">
        <v>#N/A</v>
      </c>
      <c r="R24" s="43" t="str">
        <v>#N/A</v>
      </c>
      <c r="S24" s="43" t="str">
        <v>#N/A</v>
      </c>
      <c r="T24" s="43" t="str">
        <v>#N/A</v>
      </c>
      <c r="U24" s="41" t="str">
        <v>#N/A</v>
      </c>
      <c r="V24" s="66">
        <f t="shared" ca="1" si="2"/>
        <v>1.7585626727267119</v>
      </c>
      <c r="W24" s="45"/>
      <c r="X24" s="67">
        <f t="shared" ca="1" si="0"/>
        <v>1.7585626727267119</v>
      </c>
      <c r="Y24" s="73">
        <f ca="1">IF(ISERROR(A24),NA(),_xll.qlBondYieldFromCleanPrice(AH24,X24/C24*100,YieldDayCounter,YieldCompounding,YieldFrequency))</f>
        <v>2.9441677671279799E-2</v>
      </c>
      <c r="Z24" s="46"/>
      <c r="AA24" s="74">
        <f t="shared" ca="1" si="3"/>
        <v>2.9441677671279799E-2</v>
      </c>
      <c r="AB24" s="66">
        <f ca="1">IF(ISERROR(A24),IF(ISNUMBER(C24),0,NA()),_xll.qlBondCleanPriceFromYield(AH24,AA24,YieldDayCounter,YieldCompounding,YieldFrequency))</f>
        <v>74.044744123850151</v>
      </c>
      <c r="AC24" s="45"/>
      <c r="AD24" s="67">
        <f t="shared" ca="1" si="1"/>
        <v>74.044744123850151</v>
      </c>
      <c r="AE24" s="66">
        <f t="shared" ca="1" si="4"/>
        <v>1.7585626729414363</v>
      </c>
      <c r="AF24" s="77">
        <f t="shared" ca="1" si="5"/>
        <v>74.044744123850151</v>
      </c>
      <c r="AG24" s="74">
        <f ca="1">IF(ISERROR(A24),NA(),_xll.qlBondYieldFromCleanPrice(AH24,AF24,YieldDayCounter,YieldCompounding,YieldFrequency))</f>
        <v>2.9441677659142289E-2</v>
      </c>
      <c r="AH24" s="78" t="str">
        <f>_xll.qlZeroCouponBond(,,"EUR",3,"target",$C24,$B24,"f",100)</f>
        <v>obj_00ffd#0000</v>
      </c>
      <c r="AJ24" s="32"/>
      <c r="AK24" s="153"/>
      <c r="AL24" s="121"/>
      <c r="AM24" s="121"/>
      <c r="AN24" s="105"/>
      <c r="AO24" s="105"/>
    </row>
    <row r="25" spans="1:41" ht="12.75" x14ac:dyDescent="0.2">
      <c r="A25" s="48">
        <f ca="1">_xll.qlYieldTSDiscount(BtpCurve,B25,,PriceTrigger)</f>
        <v>0.71408226078512504</v>
      </c>
      <c r="B25" s="38">
        <v>45901</v>
      </c>
      <c r="C25" s="39">
        <v>2.3749999999999938</v>
      </c>
      <c r="D25" s="60">
        <v>100</v>
      </c>
      <c r="E25" s="38">
        <v>45717</v>
      </c>
      <c r="F25" s="38">
        <v>45901</v>
      </c>
      <c r="G25" s="40">
        <v>184</v>
      </c>
      <c r="H25" s="41" t="str">
        <v>#N/A</v>
      </c>
      <c r="I25" s="40" t="str">
        <v>#N/A</v>
      </c>
      <c r="J25" s="38" t="str">
        <v>#N/A</v>
      </c>
      <c r="K25" s="40" t="str">
        <v>Actual/Actual (ISMA)</v>
      </c>
      <c r="L25" s="42">
        <v>0.5</v>
      </c>
      <c r="M25" s="43">
        <v>4.7500000000000001E-2</v>
      </c>
      <c r="N25" s="43" t="str">
        <v>#N/A</v>
      </c>
      <c r="O25" s="44" t="str">
        <v>#N/A</v>
      </c>
      <c r="P25" s="43" t="str">
        <v>#N/A</v>
      </c>
      <c r="Q25" s="43" t="str">
        <v>#N/A</v>
      </c>
      <c r="R25" s="43" t="str">
        <v>#N/A</v>
      </c>
      <c r="S25" s="43" t="str">
        <v>#N/A</v>
      </c>
      <c r="T25" s="43" t="str">
        <v>#N/A</v>
      </c>
      <c r="U25" s="41" t="str">
        <v>#N/A</v>
      </c>
      <c r="V25" s="66">
        <f t="shared" ca="1" si="2"/>
        <v>1.6959453693646676</v>
      </c>
      <c r="W25" s="45"/>
      <c r="X25" s="67">
        <f t="shared" ca="1" si="0"/>
        <v>1.6959453693646676</v>
      </c>
      <c r="Y25" s="73">
        <f ca="1">IF(ISERROR(A25),NA(),_xll.qlBondYieldFromCleanPrice(AH25,X25/C25*100,YieldDayCounter,YieldCompounding,YieldFrequency))</f>
        <v>3.15100666027575E-2</v>
      </c>
      <c r="Z25" s="46"/>
      <c r="AA25" s="74">
        <f t="shared" ca="1" si="3"/>
        <v>3.15100666027575E-2</v>
      </c>
      <c r="AB25" s="66">
        <f ca="1">IF(ISERROR(A25),IF(ISNUMBER(C25),0,NA()),_xll.qlBondCleanPriceFromYield(AH25,AA25,YieldDayCounter,YieldCompounding,YieldFrequency))</f>
        <v>71.408226101345093</v>
      </c>
      <c r="AC25" s="45"/>
      <c r="AD25" s="67">
        <f t="shared" ca="1" si="1"/>
        <v>71.408226101345093</v>
      </c>
      <c r="AE25" s="66">
        <f t="shared" ca="1" si="4"/>
        <v>1.6959453699069416</v>
      </c>
      <c r="AF25" s="77">
        <f t="shared" ca="1" si="5"/>
        <v>71.408226101345093</v>
      </c>
      <c r="AG25" s="74">
        <f ca="1">IF(ISERROR(A25),NA(),_xll.qlBondYieldFromCleanPrice(AH25,AF25,YieldDayCounter,YieldCompounding,YieldFrequency))</f>
        <v>3.1510066572372687E-2</v>
      </c>
      <c r="AH25" s="78" t="str">
        <f>_xll.qlZeroCouponBond(,,"EUR",3,"target",$C25,$B25,"f",100)</f>
        <v>obj_00fef#0000</v>
      </c>
      <c r="AJ25" s="32"/>
      <c r="AK25" s="32"/>
      <c r="AL25" s="106"/>
      <c r="AM25" s="154"/>
      <c r="AN25" s="105"/>
      <c r="AO25" s="105"/>
    </row>
    <row r="26" spans="1:41" ht="12.75" x14ac:dyDescent="0.2">
      <c r="A26" s="48">
        <f ca="1">_xll.qlYieldTSDiscount(BtpCurve,B26,,PriceTrigger)</f>
        <v>0.70788346813361247</v>
      </c>
      <c r="B26" s="38">
        <v>46083</v>
      </c>
      <c r="C26" s="39">
        <v>2.3749999999999938</v>
      </c>
      <c r="D26" s="60">
        <v>100</v>
      </c>
      <c r="E26" s="38">
        <v>45901</v>
      </c>
      <c r="F26" s="38">
        <v>46082</v>
      </c>
      <c r="G26" s="40">
        <v>181</v>
      </c>
      <c r="H26" s="41" t="str">
        <v>#N/A</v>
      </c>
      <c r="I26" s="40" t="str">
        <v>#N/A</v>
      </c>
      <c r="J26" s="38" t="str">
        <v>#N/A</v>
      </c>
      <c r="K26" s="40" t="str">
        <v>Actual/Actual (ISMA)</v>
      </c>
      <c r="L26" s="42">
        <v>0.5</v>
      </c>
      <c r="M26" s="43">
        <v>4.7500000000000001E-2</v>
      </c>
      <c r="N26" s="43" t="str">
        <v>#N/A</v>
      </c>
      <c r="O26" s="44" t="str">
        <v>#N/A</v>
      </c>
      <c r="P26" s="43" t="str">
        <v>#N/A</v>
      </c>
      <c r="Q26" s="43" t="str">
        <v>#N/A</v>
      </c>
      <c r="R26" s="43" t="str">
        <v>#N/A</v>
      </c>
      <c r="S26" s="43" t="str">
        <v>#N/A</v>
      </c>
      <c r="T26" s="43" t="str">
        <v>#N/A</v>
      </c>
      <c r="U26" s="41" t="str">
        <v>#N/A</v>
      </c>
      <c r="V26" s="66">
        <f t="shared" ca="1" si="2"/>
        <v>1.6812232368173252</v>
      </c>
      <c r="W26" s="45"/>
      <c r="X26" s="67">
        <f t="shared" ca="1" si="0"/>
        <v>1.6812232368173252</v>
      </c>
      <c r="Y26" s="73">
        <f ca="1">IF(ISERROR(A26),NA(),_xll.qlBondYieldFromCleanPrice(AH26,X26/C26*100,YieldDayCounter,YieldCompounding,YieldFrequency))</f>
        <v>3.0896914667724592E-2</v>
      </c>
      <c r="Z26" s="46"/>
      <c r="AA26" s="74">
        <f t="shared" ca="1" si="3"/>
        <v>3.0896914667724592E-2</v>
      </c>
      <c r="AB26" s="66">
        <f ca="1">IF(ISERROR(A26),IF(ISNUMBER(C26),0,NA()),_xll.qlBondCleanPriceFromYield(AH26,AA26,YieldDayCounter,YieldCompounding,YieldFrequency))</f>
        <v>70.788346838028048</v>
      </c>
      <c r="AC26" s="45"/>
      <c r="AD26" s="67">
        <f t="shared" ca="1" si="1"/>
        <v>70.788346838028048</v>
      </c>
      <c r="AE26" s="66">
        <f t="shared" ca="1" si="4"/>
        <v>1.6812232374031617</v>
      </c>
      <c r="AF26" s="77">
        <f t="shared" ca="1" si="5"/>
        <v>70.788346838028048</v>
      </c>
      <c r="AG26" s="74">
        <f ca="1">IF(ISERROR(A26),NA(),_xll.qlBondYieldFromCleanPrice(AH26,AF26,YieldDayCounter,YieldCompounding,YieldFrequency))</f>
        <v>3.0896914636084363E-2</v>
      </c>
      <c r="AH26" s="78" t="str">
        <f>_xll.qlZeroCouponBond(,,"EUR",3,"target",$C26,$B26,"f",100)</f>
        <v>obj_0101f#0000</v>
      </c>
      <c r="AJ26" s="32"/>
      <c r="AK26" s="32"/>
      <c r="AL26" s="106"/>
      <c r="AM26" s="154"/>
      <c r="AN26" s="105"/>
      <c r="AO26" s="105"/>
    </row>
    <row r="27" spans="1:41" ht="12.75" x14ac:dyDescent="0.2">
      <c r="A27" s="48">
        <f ca="1">_xll.qlYieldTSDiscount(BtpCurve,B27,,PriceTrigger)</f>
        <v>0.68993131076320802</v>
      </c>
      <c r="B27" s="38">
        <v>46266</v>
      </c>
      <c r="C27" s="39">
        <v>2.3749999999999938</v>
      </c>
      <c r="D27" s="60">
        <v>100</v>
      </c>
      <c r="E27" s="38">
        <v>46082</v>
      </c>
      <c r="F27" s="38">
        <v>46266</v>
      </c>
      <c r="G27" s="40">
        <v>184</v>
      </c>
      <c r="H27" s="41" t="str">
        <v>#N/A</v>
      </c>
      <c r="I27" s="40" t="str">
        <v>#N/A</v>
      </c>
      <c r="J27" s="38" t="str">
        <v>#N/A</v>
      </c>
      <c r="K27" s="40" t="str">
        <v>Actual/Actual (ISMA)</v>
      </c>
      <c r="L27" s="42">
        <v>0.5</v>
      </c>
      <c r="M27" s="43">
        <v>4.7500000000000001E-2</v>
      </c>
      <c r="N27" s="43" t="str">
        <v>#N/A</v>
      </c>
      <c r="O27" s="44" t="str">
        <v>#N/A</v>
      </c>
      <c r="P27" s="43" t="str">
        <v>#N/A</v>
      </c>
      <c r="Q27" s="43" t="str">
        <v>#N/A</v>
      </c>
      <c r="R27" s="43" t="str">
        <v>#N/A</v>
      </c>
      <c r="S27" s="43" t="str">
        <v>#N/A</v>
      </c>
      <c r="T27" s="43" t="str">
        <v>#N/A</v>
      </c>
      <c r="U27" s="41" t="str">
        <v>#N/A</v>
      </c>
      <c r="V27" s="66">
        <f t="shared" ca="1" si="2"/>
        <v>1.6385868630626148</v>
      </c>
      <c r="W27" s="45"/>
      <c r="X27" s="67">
        <f t="shared" ca="1" si="0"/>
        <v>1.6385868630626148</v>
      </c>
      <c r="Y27" s="73">
        <f ca="1">IF(ISERROR(A27),NA(),_xll.qlBondYieldFromCleanPrice(AH27,X27/C27*100,YieldDayCounter,YieldCompounding,YieldFrequency))</f>
        <v>3.1804410443770539E-2</v>
      </c>
      <c r="Z27" s="46"/>
      <c r="AA27" s="74">
        <f t="shared" ca="1" si="3"/>
        <v>3.1804410443770539E-2</v>
      </c>
      <c r="AB27" s="66">
        <f ca="1">IF(ISERROR(A27),IF(ISNUMBER(C27),0,NA()),_xll.qlBondCleanPriceFromYield(AH27,AA27,YieldDayCounter,YieldCompounding,YieldFrequency))</f>
        <v>68.993131102047727</v>
      </c>
      <c r="AC27" s="45"/>
      <c r="AD27" s="67">
        <f t="shared" ca="1" si="1"/>
        <v>68.993131102047727</v>
      </c>
      <c r="AE27" s="66">
        <f t="shared" ca="1" si="4"/>
        <v>1.6385868636736292</v>
      </c>
      <c r="AF27" s="77">
        <f t="shared" ca="1" si="5"/>
        <v>68.993131102047727</v>
      </c>
      <c r="AG27" s="74">
        <f ca="1">IF(ISERROR(A27),NA(),_xll.qlBondYieldFromCleanPrice(AH27,AF27,YieldDayCounter,YieldCompounding,YieldFrequency))</f>
        <v>3.1804410411315293E-2</v>
      </c>
      <c r="AH27" s="78" t="str">
        <f>_xll.qlZeroCouponBond(,,"EUR",3,"target",$C27,$B27,"f",100)</f>
        <v>obj_00fec#0000</v>
      </c>
      <c r="AJ27" s="32"/>
      <c r="AK27" s="153"/>
      <c r="AL27" s="121"/>
      <c r="AM27" s="121"/>
      <c r="AN27" s="105"/>
      <c r="AO27" s="105"/>
    </row>
    <row r="28" spans="1:41" ht="12.75" x14ac:dyDescent="0.2">
      <c r="A28" s="48">
        <f ca="1">_xll.qlYieldTSDiscount(BtpCurve,B28,,PriceTrigger)</f>
        <v>0.66824642500405251</v>
      </c>
      <c r="B28" s="38">
        <v>46447</v>
      </c>
      <c r="C28" s="39">
        <v>2.3749999999999938</v>
      </c>
      <c r="D28" s="60">
        <v>100</v>
      </c>
      <c r="E28" s="38">
        <v>46266</v>
      </c>
      <c r="F28" s="38">
        <v>46447</v>
      </c>
      <c r="G28" s="40">
        <v>181</v>
      </c>
      <c r="H28" s="41" t="str">
        <v>#N/A</v>
      </c>
      <c r="I28" s="40" t="str">
        <v>#N/A</v>
      </c>
      <c r="J28" s="38" t="str">
        <v>#N/A</v>
      </c>
      <c r="K28" s="40" t="str">
        <v>Actual/Actual (ISMA)</v>
      </c>
      <c r="L28" s="42">
        <v>0.5</v>
      </c>
      <c r="M28" s="43">
        <v>4.7500000000000001E-2</v>
      </c>
      <c r="N28" s="43" t="str">
        <v>#N/A</v>
      </c>
      <c r="O28" s="44" t="str">
        <v>#N/A</v>
      </c>
      <c r="P28" s="43" t="str">
        <v>#N/A</v>
      </c>
      <c r="Q28" s="43" t="str">
        <v>#N/A</v>
      </c>
      <c r="R28" s="43" t="str">
        <v>#N/A</v>
      </c>
      <c r="S28" s="43" t="str">
        <v>#N/A</v>
      </c>
      <c r="T28" s="43" t="str">
        <v>#N/A</v>
      </c>
      <c r="U28" s="41" t="str">
        <v>#N/A</v>
      </c>
      <c r="V28" s="66">
        <f t="shared" ca="1" si="2"/>
        <v>1.5870852593846205</v>
      </c>
      <c r="W28" s="45"/>
      <c r="X28" s="67">
        <f t="shared" ca="1" si="0"/>
        <v>1.5870852593846205</v>
      </c>
      <c r="Y28" s="73">
        <f ca="1">IF(ISERROR(A28),NA(),_xll.qlBondYieldFromCleanPrice(AH28,X28/C28*100,YieldDayCounter,YieldCompounding,YieldFrequency))</f>
        <v>3.3176178798334947E-2</v>
      </c>
      <c r="Z28" s="46"/>
      <c r="AA28" s="74">
        <f t="shared" ca="1" si="3"/>
        <v>3.3176178798334947E-2</v>
      </c>
      <c r="AB28" s="66">
        <f ca="1">IF(ISERROR(A28),IF(ISNUMBER(C28),0,NA()),_xll.qlBondCleanPriceFromYield(AH28,AA28,YieldDayCounter,YieldCompounding,YieldFrequency))</f>
        <v>66.82464252073963</v>
      </c>
      <c r="AC28" s="45"/>
      <c r="AD28" s="67">
        <f t="shared" ca="1" si="1"/>
        <v>66.82464252073963</v>
      </c>
      <c r="AE28" s="66">
        <f t="shared" ca="1" si="4"/>
        <v>1.587085259867562</v>
      </c>
      <c r="AF28" s="77">
        <f t="shared" ca="1" si="5"/>
        <v>66.82464252073963</v>
      </c>
      <c r="AG28" s="74">
        <f ca="1">IF(ISERROR(A28),NA(),_xll.qlBondYieldFromCleanPrice(AH28,AF28,YieldDayCounter,YieldCompounding,YieldFrequency))</f>
        <v>3.3176178772879678E-2</v>
      </c>
      <c r="AH28" s="78" t="str">
        <f>_xll.qlZeroCouponBond(,,"EUR",3,"target",$C28,$B28,"f",100)</f>
        <v>obj_01033#0000</v>
      </c>
      <c r="AJ28" s="32"/>
      <c r="AK28" s="32"/>
      <c r="AL28" s="106"/>
      <c r="AM28" s="154"/>
      <c r="AN28" s="105"/>
      <c r="AO28" s="105"/>
    </row>
    <row r="29" spans="1:41" ht="12.75" x14ac:dyDescent="0.2">
      <c r="A29" s="48">
        <f ca="1">_xll.qlYieldTSDiscount(BtpCurve,B29,,PriceTrigger)</f>
        <v>0.65049778123452184</v>
      </c>
      <c r="B29" s="38">
        <v>46631</v>
      </c>
      <c r="C29" s="39">
        <v>2.3749999999999938</v>
      </c>
      <c r="D29" s="60">
        <v>100</v>
      </c>
      <c r="E29" s="38">
        <v>46447</v>
      </c>
      <c r="F29" s="38">
        <v>46631</v>
      </c>
      <c r="G29" s="40">
        <v>184</v>
      </c>
      <c r="H29" s="41" t="str">
        <v>#N/A</v>
      </c>
      <c r="I29" s="40" t="str">
        <v>#N/A</v>
      </c>
      <c r="J29" s="38" t="str">
        <v>#N/A</v>
      </c>
      <c r="K29" s="40" t="str">
        <v>Actual/Actual (ISMA)</v>
      </c>
      <c r="L29" s="42">
        <v>0.5</v>
      </c>
      <c r="M29" s="43">
        <v>4.7500000000000001E-2</v>
      </c>
      <c r="N29" s="43" t="str">
        <v>#N/A</v>
      </c>
      <c r="O29" s="44" t="str">
        <v>#N/A</v>
      </c>
      <c r="P29" s="43" t="str">
        <v>#N/A</v>
      </c>
      <c r="Q29" s="43" t="str">
        <v>#N/A</v>
      </c>
      <c r="R29" s="43" t="str">
        <v>#N/A</v>
      </c>
      <c r="S29" s="43" t="str">
        <v>#N/A</v>
      </c>
      <c r="T29" s="43" t="str">
        <v>#N/A</v>
      </c>
      <c r="U29" s="41" t="str">
        <v>#N/A</v>
      </c>
      <c r="V29" s="66">
        <f t="shared" ca="1" si="2"/>
        <v>1.5449322304319852</v>
      </c>
      <c r="W29" s="45"/>
      <c r="X29" s="67">
        <f t="shared" ca="1" si="0"/>
        <v>1.5449322304319852</v>
      </c>
      <c r="Y29" s="73">
        <f ca="1">IF(ISERROR(A29),NA(),_xll.qlBondYieldFromCleanPrice(AH29,X29/C29*100,YieldDayCounter,YieldCompounding,YieldFrequency))</f>
        <v>3.4017713625284274E-2</v>
      </c>
      <c r="Z29" s="46"/>
      <c r="AA29" s="74">
        <f t="shared" ca="1" si="3"/>
        <v>3.4017713625284274E-2</v>
      </c>
      <c r="AB29" s="66">
        <f ca="1">IF(ISERROR(A29),IF(ISNUMBER(C29),0,NA()),_xll.qlBondCleanPriceFromYield(AH29,AA29,YieldDayCounter,YieldCompounding,YieldFrequency))</f>
        <v>65.049778106526915</v>
      </c>
      <c r="AC29" s="45"/>
      <c r="AD29" s="67">
        <f t="shared" ca="1" si="1"/>
        <v>65.049778106526915</v>
      </c>
      <c r="AE29" s="66">
        <f t="shared" ca="1" si="4"/>
        <v>1.5449322300300101</v>
      </c>
      <c r="AF29" s="77">
        <f t="shared" ca="1" si="5"/>
        <v>65.049778106526915</v>
      </c>
      <c r="AG29" s="74">
        <f ca="1">IF(ISERROR(A29),NA(),_xll.qlBondYieldFromCleanPrice(AH29,AF29,YieldDayCounter,YieldCompounding,YieldFrequency))</f>
        <v>3.4017713646213449E-2</v>
      </c>
      <c r="AH29" s="78" t="str">
        <f>_xll.qlZeroCouponBond(,,"EUR",3,"target",$C29,$B29,"f",100)</f>
        <v>obj_01009#0000</v>
      </c>
      <c r="AJ29" s="32"/>
      <c r="AK29" s="32"/>
      <c r="AL29" s="106"/>
      <c r="AM29" s="154"/>
      <c r="AN29" s="105"/>
      <c r="AO29" s="105"/>
    </row>
    <row r="30" spans="1:41" ht="12.75" x14ac:dyDescent="0.2">
      <c r="A30" s="48">
        <f ca="1">_xll.qlYieldTSDiscount(BtpCurve,B30,,PriceTrigger)</f>
        <v>0.63673597045891395</v>
      </c>
      <c r="B30" s="38">
        <v>46813</v>
      </c>
      <c r="C30" s="39">
        <v>2.3749999999999938</v>
      </c>
      <c r="D30" s="60">
        <v>100</v>
      </c>
      <c r="E30" s="38">
        <v>46631</v>
      </c>
      <c r="F30" s="38">
        <v>46813</v>
      </c>
      <c r="G30" s="40">
        <v>182</v>
      </c>
      <c r="H30" s="41" t="str">
        <v>#N/A</v>
      </c>
      <c r="I30" s="40" t="str">
        <v>#N/A</v>
      </c>
      <c r="J30" s="38" t="str">
        <v>#N/A</v>
      </c>
      <c r="K30" s="40" t="str">
        <v>Actual/Actual (ISMA)</v>
      </c>
      <c r="L30" s="42">
        <v>0.5</v>
      </c>
      <c r="M30" s="43">
        <v>4.7500000000000001E-2</v>
      </c>
      <c r="N30" s="43" t="str">
        <v>#N/A</v>
      </c>
      <c r="O30" s="44" t="str">
        <v>#N/A</v>
      </c>
      <c r="P30" s="43" t="str">
        <v>#N/A</v>
      </c>
      <c r="Q30" s="43" t="str">
        <v>#N/A</v>
      </c>
      <c r="R30" s="43" t="str">
        <v>#N/A</v>
      </c>
      <c r="S30" s="43" t="str">
        <v>#N/A</v>
      </c>
      <c r="T30" s="43" t="str">
        <v>#N/A</v>
      </c>
      <c r="U30" s="41" t="str">
        <v>#N/A</v>
      </c>
      <c r="V30" s="66">
        <f t="shared" ca="1" si="2"/>
        <v>1.5122479298399167</v>
      </c>
      <c r="W30" s="45"/>
      <c r="X30" s="67">
        <f t="shared" ca="1" si="0"/>
        <v>1.5122479298399167</v>
      </c>
      <c r="Y30" s="73">
        <f ca="1">IF(ISERROR(A30),NA(),_xll.qlBondYieldFromCleanPrice(AH30,X30/C30*100,YieldDayCounter,YieldCompounding,YieldFrequency))</f>
        <v>3.43891034688701E-2</v>
      </c>
      <c r="Z30" s="46"/>
      <c r="AA30" s="74">
        <f t="shared" ca="1" si="3"/>
        <v>3.43891034688701E-2</v>
      </c>
      <c r="AB30" s="66">
        <f ca="1">IF(ISERROR(A30),IF(ISNUMBER(C30),0,NA()),_xll.qlBondCleanPriceFromYield(AH30,AA30,YieldDayCounter,YieldCompounding,YieldFrequency))</f>
        <v>63.673597030496175</v>
      </c>
      <c r="AC30" s="45"/>
      <c r="AD30" s="67">
        <f t="shared" ca="1" si="1"/>
        <v>63.673597030496175</v>
      </c>
      <c r="AE30" s="66">
        <f t="shared" ca="1" si="4"/>
        <v>1.5122479294742803</v>
      </c>
      <c r="AF30" s="77">
        <f t="shared" ca="1" si="5"/>
        <v>63.673597030496175</v>
      </c>
      <c r="AG30" s="74">
        <f ca="1">IF(ISERROR(A30),NA(),_xll.qlBondYieldFromCleanPrice(AH30,AF30,YieldDayCounter,YieldCompounding,YieldFrequency))</f>
        <v>3.438910348760281E-2</v>
      </c>
      <c r="AH30" s="78" t="str">
        <f>_xll.qlZeroCouponBond(,,"EUR",3,"target",$C30,$B30,"f",100)</f>
        <v>obj_0100a#0000</v>
      </c>
      <c r="AJ30" s="32"/>
      <c r="AK30" s="32"/>
      <c r="AL30" s="106"/>
      <c r="AM30" s="154"/>
      <c r="AN30" s="105"/>
      <c r="AO30" s="105"/>
    </row>
    <row r="31" spans="1:41" ht="12.75" x14ac:dyDescent="0.2">
      <c r="A31" s="48">
        <f ca="1">_xll.qlYieldTSDiscount(BtpCurve,B31,,PriceTrigger)</f>
        <v>0.62433441778074872</v>
      </c>
      <c r="B31" s="38">
        <v>46997</v>
      </c>
      <c r="C31" s="39">
        <v>2.3749999999999938</v>
      </c>
      <c r="D31" s="60">
        <v>100</v>
      </c>
      <c r="E31" s="38">
        <v>46813</v>
      </c>
      <c r="F31" s="38">
        <v>46997</v>
      </c>
      <c r="G31" s="40">
        <v>184</v>
      </c>
      <c r="H31" s="41" t="str">
        <v>#N/A</v>
      </c>
      <c r="I31" s="40" t="str">
        <v>#N/A</v>
      </c>
      <c r="J31" s="38" t="str">
        <v>#N/A</v>
      </c>
      <c r="K31" s="40" t="str">
        <v>Actual/Actual (ISMA)</v>
      </c>
      <c r="L31" s="42">
        <v>0.5</v>
      </c>
      <c r="M31" s="43">
        <v>4.7500000000000001E-2</v>
      </c>
      <c r="N31" s="43" t="str">
        <v>#N/A</v>
      </c>
      <c r="O31" s="44" t="str">
        <v>#N/A</v>
      </c>
      <c r="P31" s="43" t="str">
        <v>#N/A</v>
      </c>
      <c r="Q31" s="43" t="str">
        <v>#N/A</v>
      </c>
      <c r="R31" s="43" t="str">
        <v>#N/A</v>
      </c>
      <c r="S31" s="43" t="str">
        <v>#N/A</v>
      </c>
      <c r="T31" s="43" t="str">
        <v>#N/A</v>
      </c>
      <c r="U31" s="41" t="str">
        <v>#N/A</v>
      </c>
      <c r="V31" s="66">
        <f t="shared" ca="1" si="2"/>
        <v>1.4827942422292744</v>
      </c>
      <c r="W31" s="45"/>
      <c r="X31" s="67">
        <f t="shared" ca="1" si="0"/>
        <v>1.4827942422292744</v>
      </c>
      <c r="Y31" s="73">
        <f ca="1">IF(ISERROR(A31),NA(),_xll.qlBondYieldFromCleanPrice(AH31,X31/C31*100,YieldDayCounter,YieldCompounding,YieldFrequency))</f>
        <v>3.4585063340523234E-2</v>
      </c>
      <c r="Z31" s="46"/>
      <c r="AA31" s="74">
        <f t="shared" ca="1" si="3"/>
        <v>3.4585063340523234E-2</v>
      </c>
      <c r="AB31" s="66">
        <f ca="1">IF(ISERROR(A31),IF(ISNUMBER(C31),0,NA()),_xll.qlBondCleanPriceFromYield(AH31,AA31,YieldDayCounter,YieldCompounding,YieldFrequency))</f>
        <v>62.433441762368311</v>
      </c>
      <c r="AC31" s="45"/>
      <c r="AD31" s="67">
        <f t="shared" ca="1" si="1"/>
        <v>62.433441762368311</v>
      </c>
      <c r="AE31" s="66">
        <f t="shared" ca="1" si="4"/>
        <v>1.4827942418562436</v>
      </c>
      <c r="AF31" s="77">
        <f t="shared" ca="1" si="5"/>
        <v>62.433441762368311</v>
      </c>
      <c r="AG31" s="74">
        <f ca="1">IF(ISERROR(A31),NA(),_xll.qlBondYieldFromCleanPrice(AH31,AF31,YieldDayCounter,YieldCompounding,YieldFrequency))</f>
        <v>3.4585063359309137E-2</v>
      </c>
      <c r="AH31" s="78" t="str">
        <f>_xll.qlZeroCouponBond(,,"EUR",3,"target",$C31,$B31,"f",100)</f>
        <v>obj_01029#0000</v>
      </c>
      <c r="AJ31" s="32"/>
      <c r="AK31" s="153" t="s">
        <v>536</v>
      </c>
      <c r="AL31" s="121">
        <v>24</v>
      </c>
      <c r="AM31" s="121">
        <f ca="1">(Contribution!K85-BtpCurve!Z39*100)*100</f>
        <v>31.328957856446451</v>
      </c>
      <c r="AN31" s="159">
        <f ca="1">+AF31-AF30</f>
        <v>-1.2401552681278645</v>
      </c>
      <c r="AO31" s="105"/>
    </row>
    <row r="32" spans="1:41" ht="12.75" x14ac:dyDescent="0.2">
      <c r="A32" s="48">
        <f ca="1">_xll.qlYieldTSDiscount(BtpCurve,B32,,PriceTrigger)</f>
        <v>0.62433441778074872</v>
      </c>
      <c r="B32" s="38">
        <v>46997</v>
      </c>
      <c r="C32" s="39">
        <v>100</v>
      </c>
      <c r="D32" s="60" t="str">
        <v>#N/A</v>
      </c>
      <c r="E32" s="38" t="str">
        <v>#N/A</v>
      </c>
      <c r="F32" s="38" t="str">
        <v>#N/A</v>
      </c>
      <c r="G32" s="40" t="str">
        <v>#N/A</v>
      </c>
      <c r="H32" s="41" t="str">
        <v>#N/A</v>
      </c>
      <c r="I32" s="40" t="str">
        <v>#N/A</v>
      </c>
      <c r="J32" s="38" t="str">
        <v>#N/A</v>
      </c>
      <c r="K32" s="40" t="str">
        <v>#N/A</v>
      </c>
      <c r="L32" s="42" t="str">
        <v>#N/A</v>
      </c>
      <c r="M32" s="43" t="str">
        <v>#N/A</v>
      </c>
      <c r="N32" s="43" t="str">
        <v>#N/A</v>
      </c>
      <c r="O32" s="44" t="str">
        <v>#N/A</v>
      </c>
      <c r="P32" s="43" t="str">
        <v>#N/A</v>
      </c>
      <c r="Q32" s="43" t="str">
        <v>#N/A</v>
      </c>
      <c r="R32" s="43" t="str">
        <v>#N/A</v>
      </c>
      <c r="S32" s="43" t="str">
        <v>#N/A</v>
      </c>
      <c r="T32" s="43" t="str">
        <v>#N/A</v>
      </c>
      <c r="U32" s="41" t="str">
        <v>#N/A</v>
      </c>
      <c r="V32" s="66">
        <f t="shared" ca="1" si="2"/>
        <v>62.433441778074872</v>
      </c>
      <c r="W32" s="45"/>
      <c r="X32" s="67">
        <f t="shared" ca="1" si="0"/>
        <v>62.433441778074872</v>
      </c>
      <c r="Y32" s="73">
        <f ca="1">IF(ISERROR(A32),NA(),_xll.qlBondYieldFromCleanPrice(AH32,X32/C32*100,YieldDayCounter,YieldCompounding,YieldFrequency))</f>
        <v>3.4585063306835473E-2</v>
      </c>
      <c r="Z32" s="46">
        <f ca="1">+BtpCurve!Z40+AL32/10000</f>
        <v>3.3104108992591495E-2</v>
      </c>
      <c r="AA32" s="74">
        <f t="shared" ca="1" si="3"/>
        <v>3.3104108992591495E-2</v>
      </c>
      <c r="AB32" s="66">
        <f ca="1">IF(ISERROR(A32),IF(ISNUMBER(C32),0,NA()),_xll.qlBondCleanPriceFromYield(AH32,AA32,YieldDayCounter,YieldCompounding,YieldFrequency))</f>
        <v>63.684912272323032</v>
      </c>
      <c r="AC32" s="45"/>
      <c r="AD32" s="67">
        <f t="shared" ca="1" si="1"/>
        <v>63.684912272323032</v>
      </c>
      <c r="AE32" s="66">
        <f t="shared" ca="1" si="4"/>
        <v>63.684912272323032</v>
      </c>
      <c r="AF32" s="77">
        <f t="shared" ca="1" si="5"/>
        <v>63.684912272323032</v>
      </c>
      <c r="AG32" s="74">
        <f ca="1">IF(ISERROR(A32),NA(),_xll.qlBondYieldFromCleanPrice(AH32,AF32,YieldDayCounter,YieldCompounding,YieldFrequency))</f>
        <v>3.3104108952225819E-2</v>
      </c>
      <c r="AH32" s="78" t="str">
        <f>_xll.qlZeroCouponBond(,,"EUR",3,"target",$C32,$B32,"f",100)</f>
        <v>obj_01008#0000</v>
      </c>
      <c r="AJ32" s="32"/>
      <c r="AK32" s="153" t="s">
        <v>534</v>
      </c>
      <c r="AL32" s="121">
        <v>13</v>
      </c>
      <c r="AM32" s="121">
        <f ca="1">(Contribution!K90-BtpCurve!Z40*100)*100</f>
        <v>24.258910074085094</v>
      </c>
      <c r="AN32" s="159">
        <f ca="1">+AF32-AF31</f>
        <v>1.2514705099547214</v>
      </c>
      <c r="AO32" s="105"/>
    </row>
    <row r="33" spans="1:41" ht="12.75" x14ac:dyDescent="0.2">
      <c r="A33" s="48" t="e">
        <f ca="1">_xll.qlYieldTSDiscount(BtpCurve,B33,,PriceTrigger)</f>
        <v>#NUM!</v>
      </c>
      <c r="B33" s="38" t="e">
        <v>#N/A</v>
      </c>
      <c r="C33" s="39" t="e">
        <v>#N/A</v>
      </c>
      <c r="D33" s="60" t="e">
        <v>#N/A</v>
      </c>
      <c r="E33" s="38" t="e">
        <v>#N/A</v>
      </c>
      <c r="F33" s="38" t="e">
        <v>#N/A</v>
      </c>
      <c r="G33" s="40" t="e">
        <v>#N/A</v>
      </c>
      <c r="H33" s="41" t="e">
        <v>#N/A</v>
      </c>
      <c r="I33" s="40" t="e">
        <v>#N/A</v>
      </c>
      <c r="J33" s="38" t="e">
        <v>#N/A</v>
      </c>
      <c r="K33" s="40" t="e">
        <v>#N/A</v>
      </c>
      <c r="L33" s="42" t="e">
        <v>#N/A</v>
      </c>
      <c r="M33" s="43" t="e">
        <v>#N/A</v>
      </c>
      <c r="N33" s="43" t="e">
        <v>#N/A</v>
      </c>
      <c r="O33" s="44" t="e">
        <v>#N/A</v>
      </c>
      <c r="P33" s="43" t="e">
        <v>#N/A</v>
      </c>
      <c r="Q33" s="43" t="e">
        <v>#N/A</v>
      </c>
      <c r="R33" s="43" t="e">
        <v>#N/A</v>
      </c>
      <c r="S33" s="43" t="e">
        <v>#N/A</v>
      </c>
      <c r="T33" s="43" t="e">
        <v>#N/A</v>
      </c>
      <c r="U33" s="41" t="e">
        <v>#N/A</v>
      </c>
      <c r="V33" s="66">
        <f t="shared" ca="1" si="2"/>
        <v>0</v>
      </c>
      <c r="W33" s="45"/>
      <c r="X33" s="67">
        <f t="shared" ca="1" si="0"/>
        <v>0</v>
      </c>
      <c r="Y33" s="73" t="e">
        <f ca="1">IF(ISERROR(A33),NA(),_xll.qlBondYieldFromCleanPrice(AH33,X33/C33*100,YieldDayCounter,YieldCompounding,YieldFrequency))</f>
        <v>#N/A</v>
      </c>
      <c r="Z33" s="46"/>
      <c r="AA33" s="74" t="e">
        <f t="shared" ca="1" si="3"/>
        <v>#N/A</v>
      </c>
      <c r="AB33" s="66" t="e">
        <f ca="1">IF(ISERROR(A33),IF(ISNUMBER(C33),0,NA()),_xll.qlBondCleanPriceFromYield(AH33,AA33,YieldDayCounter,YieldCompounding,YieldFrequency))</f>
        <v>#N/A</v>
      </c>
      <c r="AC33" s="45"/>
      <c r="AD33" s="67" t="e">
        <f t="shared" ca="1" si="1"/>
        <v>#N/A</v>
      </c>
      <c r="AE33" s="66" t="e">
        <f t="shared" ca="1" si="4"/>
        <v>#N/A</v>
      </c>
      <c r="AF33" s="77" t="e">
        <f t="shared" ca="1" si="5"/>
        <v>#N/A</v>
      </c>
      <c r="AG33" s="74" t="e">
        <f ca="1">IF(ISERROR(A33),NA(),_xll.qlBondYieldFromCleanPrice(AH33,AF33,YieldDayCounter,YieldCompounding,YieldFrequency))</f>
        <v>#N/A</v>
      </c>
      <c r="AH33" s="78" t="e">
        <f>_xll.qlZeroCouponBond(,,"EUR",3,"target",$C33,$B33,"f",100)</f>
        <v>#NUM!</v>
      </c>
      <c r="AJ33" s="32"/>
      <c r="AK33" s="32"/>
      <c r="AL33" s="106"/>
      <c r="AM33" s="105"/>
      <c r="AN33" s="105">
        <v>250000</v>
      </c>
      <c r="AO33" s="105"/>
    </row>
    <row r="34" spans="1:41" ht="12.75" x14ac:dyDescent="0.2">
      <c r="A34" s="48" t="e">
        <f ca="1">_xll.qlYieldTSDiscount(BtpCurve,B34,,PriceTrigger)</f>
        <v>#NUM!</v>
      </c>
      <c r="B34" s="38" t="e">
        <v>#N/A</v>
      </c>
      <c r="C34" s="39" t="e">
        <v>#N/A</v>
      </c>
      <c r="D34" s="60" t="e">
        <v>#N/A</v>
      </c>
      <c r="E34" s="38" t="e">
        <v>#N/A</v>
      </c>
      <c r="F34" s="38" t="e">
        <v>#N/A</v>
      </c>
      <c r="G34" s="40" t="e">
        <v>#N/A</v>
      </c>
      <c r="H34" s="41" t="e">
        <v>#N/A</v>
      </c>
      <c r="I34" s="40" t="e">
        <v>#N/A</v>
      </c>
      <c r="J34" s="38" t="e">
        <v>#N/A</v>
      </c>
      <c r="K34" s="40" t="e">
        <v>#N/A</v>
      </c>
      <c r="L34" s="42" t="e">
        <v>#N/A</v>
      </c>
      <c r="M34" s="43" t="e">
        <v>#N/A</v>
      </c>
      <c r="N34" s="43" t="e">
        <v>#N/A</v>
      </c>
      <c r="O34" s="44" t="e">
        <v>#N/A</v>
      </c>
      <c r="P34" s="43" t="e">
        <v>#N/A</v>
      </c>
      <c r="Q34" s="43" t="e">
        <v>#N/A</v>
      </c>
      <c r="R34" s="43" t="e">
        <v>#N/A</v>
      </c>
      <c r="S34" s="43" t="e">
        <v>#N/A</v>
      </c>
      <c r="T34" s="43" t="e">
        <v>#N/A</v>
      </c>
      <c r="U34" s="41" t="e">
        <v>#N/A</v>
      </c>
      <c r="V34" s="66">
        <f t="shared" ca="1" si="2"/>
        <v>0</v>
      </c>
      <c r="W34" s="45"/>
      <c r="X34" s="67">
        <f t="shared" ca="1" si="0"/>
        <v>0</v>
      </c>
      <c r="Y34" s="73" t="e">
        <f ca="1">IF(ISERROR(A34),NA(),_xll.qlBondYieldFromCleanPrice(AH34,X34/C34*100,YieldDayCounter,YieldCompounding,YieldFrequency))</f>
        <v>#N/A</v>
      </c>
      <c r="Z34" s="46"/>
      <c r="AA34" s="74" t="e">
        <f t="shared" ca="1" si="3"/>
        <v>#N/A</v>
      </c>
      <c r="AB34" s="66" t="e">
        <f ca="1">IF(ISERROR(A34),IF(ISNUMBER(C34),0,NA()),_xll.qlBondCleanPriceFromYield(AH34,AA34,YieldDayCounter,YieldCompounding,YieldFrequency))</f>
        <v>#N/A</v>
      </c>
      <c r="AC34" s="45"/>
      <c r="AD34" s="67" t="e">
        <f t="shared" ca="1" si="1"/>
        <v>#N/A</v>
      </c>
      <c r="AE34" s="66" t="e">
        <f t="shared" ca="1" si="4"/>
        <v>#N/A</v>
      </c>
      <c r="AF34" s="77" t="e">
        <f t="shared" ca="1" si="5"/>
        <v>#N/A</v>
      </c>
      <c r="AG34" s="74" t="e">
        <f ca="1">IF(ISERROR(A34),NA(),_xll.qlBondYieldFromCleanPrice(AH34,AF34,YieldDayCounter,YieldCompounding,YieldFrequency))</f>
        <v>#N/A</v>
      </c>
      <c r="AH34" s="78" t="e">
        <f>_xll.qlZeroCouponBond(,,"EUR",3,"target",$C34,$B34,"f",100)</f>
        <v>#NUM!</v>
      </c>
      <c r="AJ34" s="32"/>
      <c r="AK34" s="32"/>
      <c r="AL34" s="106"/>
      <c r="AM34" s="105"/>
      <c r="AN34" s="161">
        <f ca="1">+AN32*AN33</f>
        <v>312867.62748868036</v>
      </c>
      <c r="AO34" s="160">
        <f ca="1">+AN34*0.75</f>
        <v>234650.72061651025</v>
      </c>
    </row>
    <row r="35" spans="1:41" ht="12.75" x14ac:dyDescent="0.2">
      <c r="A35" s="48" t="e">
        <f ca="1">_xll.qlYieldTSDiscount(BtpCurve,B35,,PriceTrigger)</f>
        <v>#NUM!</v>
      </c>
      <c r="B35" s="38" t="e">
        <v>#N/A</v>
      </c>
      <c r="C35" s="39" t="e">
        <v>#N/A</v>
      </c>
      <c r="D35" s="60" t="e">
        <v>#N/A</v>
      </c>
      <c r="E35" s="38" t="e">
        <v>#N/A</v>
      </c>
      <c r="F35" s="38" t="e">
        <v>#N/A</v>
      </c>
      <c r="G35" s="40" t="e">
        <v>#N/A</v>
      </c>
      <c r="H35" s="41" t="e">
        <v>#N/A</v>
      </c>
      <c r="I35" s="40" t="e">
        <v>#N/A</v>
      </c>
      <c r="J35" s="38" t="e">
        <v>#N/A</v>
      </c>
      <c r="K35" s="40" t="e">
        <v>#N/A</v>
      </c>
      <c r="L35" s="42" t="e">
        <v>#N/A</v>
      </c>
      <c r="M35" s="43" t="e">
        <v>#N/A</v>
      </c>
      <c r="N35" s="43" t="e">
        <v>#N/A</v>
      </c>
      <c r="O35" s="44" t="e">
        <v>#N/A</v>
      </c>
      <c r="P35" s="43" t="e">
        <v>#N/A</v>
      </c>
      <c r="Q35" s="43" t="e">
        <v>#N/A</v>
      </c>
      <c r="R35" s="43" t="e">
        <v>#N/A</v>
      </c>
      <c r="S35" s="43" t="e">
        <v>#N/A</v>
      </c>
      <c r="T35" s="43" t="e">
        <v>#N/A</v>
      </c>
      <c r="U35" s="41" t="e">
        <v>#N/A</v>
      </c>
      <c r="V35" s="66">
        <f t="shared" ca="1" si="2"/>
        <v>0</v>
      </c>
      <c r="W35" s="45"/>
      <c r="X35" s="67">
        <f t="shared" ca="1" si="0"/>
        <v>0</v>
      </c>
      <c r="Y35" s="73" t="e">
        <f ca="1">IF(ISERROR(A35),NA(),_xll.qlBondYieldFromCleanPrice(AH35,X35/C35*100,YieldDayCounter,YieldCompounding,YieldFrequency))</f>
        <v>#N/A</v>
      </c>
      <c r="Z35" s="46"/>
      <c r="AA35" s="74" t="e">
        <f t="shared" ca="1" si="3"/>
        <v>#N/A</v>
      </c>
      <c r="AB35" s="66" t="e">
        <f ca="1">IF(ISERROR(A35),IF(ISNUMBER(C35),0,NA()),_xll.qlBondCleanPriceFromYield(AH35,AA35,YieldDayCounter,YieldCompounding,YieldFrequency))</f>
        <v>#N/A</v>
      </c>
      <c r="AC35" s="45"/>
      <c r="AD35" s="67" t="e">
        <f t="shared" ca="1" si="1"/>
        <v>#N/A</v>
      </c>
      <c r="AE35" s="66" t="e">
        <f t="shared" ca="1" si="4"/>
        <v>#N/A</v>
      </c>
      <c r="AF35" s="77" t="e">
        <f t="shared" ca="1" si="5"/>
        <v>#N/A</v>
      </c>
      <c r="AG35" s="74" t="e">
        <f ca="1">IF(ISERROR(A35),NA(),_xll.qlBondYieldFromCleanPrice(AH35,AF35,YieldDayCounter,YieldCompounding,YieldFrequency))</f>
        <v>#N/A</v>
      </c>
      <c r="AH35" s="78" t="e">
        <f>_xll.qlZeroCouponBond(,,"EUR",3,"target",$C35,$B35,"f",100)</f>
        <v>#NUM!</v>
      </c>
      <c r="AJ35" s="32"/>
      <c r="AK35" s="32"/>
      <c r="AL35" s="106"/>
      <c r="AM35" s="105"/>
      <c r="AN35" s="105"/>
      <c r="AO35" s="105"/>
    </row>
    <row r="36" spans="1:41" ht="12.75" x14ac:dyDescent="0.2">
      <c r="A36" s="48" t="e">
        <f ca="1">_xll.qlYieldTSDiscount(BtpCurve,B36,,PriceTrigger)</f>
        <v>#NUM!</v>
      </c>
      <c r="B36" s="38" t="e">
        <v>#N/A</v>
      </c>
      <c r="C36" s="39" t="e">
        <v>#N/A</v>
      </c>
      <c r="D36" s="60" t="e">
        <v>#N/A</v>
      </c>
      <c r="E36" s="38" t="e">
        <v>#N/A</v>
      </c>
      <c r="F36" s="38" t="e">
        <v>#N/A</v>
      </c>
      <c r="G36" s="40" t="e">
        <v>#N/A</v>
      </c>
      <c r="H36" s="41" t="e">
        <v>#N/A</v>
      </c>
      <c r="I36" s="40" t="e">
        <v>#N/A</v>
      </c>
      <c r="J36" s="38" t="e">
        <v>#N/A</v>
      </c>
      <c r="K36" s="40" t="e">
        <v>#N/A</v>
      </c>
      <c r="L36" s="42" t="e">
        <v>#N/A</v>
      </c>
      <c r="M36" s="43" t="e">
        <v>#N/A</v>
      </c>
      <c r="N36" s="43" t="e">
        <v>#N/A</v>
      </c>
      <c r="O36" s="44" t="e">
        <v>#N/A</v>
      </c>
      <c r="P36" s="43" t="e">
        <v>#N/A</v>
      </c>
      <c r="Q36" s="43" t="e">
        <v>#N/A</v>
      </c>
      <c r="R36" s="43" t="e">
        <v>#N/A</v>
      </c>
      <c r="S36" s="43" t="e">
        <v>#N/A</v>
      </c>
      <c r="T36" s="43" t="e">
        <v>#N/A</v>
      </c>
      <c r="U36" s="41" t="e">
        <v>#N/A</v>
      </c>
      <c r="V36" s="66">
        <f t="shared" ca="1" si="2"/>
        <v>0</v>
      </c>
      <c r="W36" s="45"/>
      <c r="X36" s="67">
        <f t="shared" ca="1" si="0"/>
        <v>0</v>
      </c>
      <c r="Y36" s="73" t="e">
        <f ca="1">IF(ISERROR(A36),NA(),_xll.qlBondYieldFromCleanPrice(AH36,X36/C36*100,YieldDayCounter,YieldCompounding,YieldFrequency))</f>
        <v>#N/A</v>
      </c>
      <c r="Z36" s="46"/>
      <c r="AA36" s="74" t="e">
        <f t="shared" ca="1" si="3"/>
        <v>#N/A</v>
      </c>
      <c r="AB36" s="66" t="e">
        <f ca="1">IF(ISERROR(A36),IF(ISNUMBER(C36),0,NA()),_xll.qlBondCleanPriceFromYield(AH36,AA36,YieldDayCounter,YieldCompounding,YieldFrequency))</f>
        <v>#N/A</v>
      </c>
      <c r="AC36" s="45"/>
      <c r="AD36" s="67" t="e">
        <f t="shared" ca="1" si="1"/>
        <v>#N/A</v>
      </c>
      <c r="AE36" s="66" t="e">
        <f t="shared" ca="1" si="4"/>
        <v>#N/A</v>
      </c>
      <c r="AF36" s="77" t="e">
        <f t="shared" ca="1" si="5"/>
        <v>#N/A</v>
      </c>
      <c r="AG36" s="74" t="e">
        <f ca="1">IF(ISERROR(A36),NA(),_xll.qlBondYieldFromCleanPrice(AH36,AF36,YieldDayCounter,YieldCompounding,YieldFrequency))</f>
        <v>#N/A</v>
      </c>
      <c r="AH36" s="78" t="e">
        <f>_xll.qlZeroCouponBond(,,"EUR",3,"target",$C36,$B36,"f",100)</f>
        <v>#NUM!</v>
      </c>
      <c r="AJ36" s="32"/>
      <c r="AK36" s="32"/>
      <c r="AL36" s="106"/>
      <c r="AM36" s="105"/>
      <c r="AN36" s="105"/>
      <c r="AO36" s="105"/>
    </row>
    <row r="37" spans="1:41" ht="12.75" x14ac:dyDescent="0.2">
      <c r="A37" s="48" t="e">
        <f ca="1">_xll.qlYieldTSDiscount(BtpCurve,B37,,PriceTrigger)</f>
        <v>#NUM!</v>
      </c>
      <c r="B37" s="38" t="e">
        <v>#N/A</v>
      </c>
      <c r="C37" s="39" t="e">
        <v>#N/A</v>
      </c>
      <c r="D37" s="60" t="e">
        <v>#N/A</v>
      </c>
      <c r="E37" s="38" t="e">
        <v>#N/A</v>
      </c>
      <c r="F37" s="38" t="e">
        <v>#N/A</v>
      </c>
      <c r="G37" s="40" t="e">
        <v>#N/A</v>
      </c>
      <c r="H37" s="41" t="e">
        <v>#N/A</v>
      </c>
      <c r="I37" s="40" t="e">
        <v>#N/A</v>
      </c>
      <c r="J37" s="38" t="e">
        <v>#N/A</v>
      </c>
      <c r="K37" s="40" t="e">
        <v>#N/A</v>
      </c>
      <c r="L37" s="42" t="e">
        <v>#N/A</v>
      </c>
      <c r="M37" s="43" t="e">
        <v>#N/A</v>
      </c>
      <c r="N37" s="43" t="e">
        <v>#N/A</v>
      </c>
      <c r="O37" s="44" t="e">
        <v>#N/A</v>
      </c>
      <c r="P37" s="43" t="e">
        <v>#N/A</v>
      </c>
      <c r="Q37" s="43" t="e">
        <v>#N/A</v>
      </c>
      <c r="R37" s="43" t="e">
        <v>#N/A</v>
      </c>
      <c r="S37" s="43" t="e">
        <v>#N/A</v>
      </c>
      <c r="T37" s="43" t="e">
        <v>#N/A</v>
      </c>
      <c r="U37" s="41" t="e">
        <v>#N/A</v>
      </c>
      <c r="V37" s="66">
        <f t="shared" ca="1" si="2"/>
        <v>0</v>
      </c>
      <c r="W37" s="45"/>
      <c r="X37" s="67">
        <f t="shared" ca="1" si="0"/>
        <v>0</v>
      </c>
      <c r="Y37" s="73" t="e">
        <f ca="1">IF(ISERROR(A37),NA(),_xll.qlBondYieldFromCleanPrice(AH37,X37/C37*100,YieldDayCounter,YieldCompounding,YieldFrequency))</f>
        <v>#N/A</v>
      </c>
      <c r="Z37" s="46"/>
      <c r="AA37" s="74" t="e">
        <f t="shared" ca="1" si="3"/>
        <v>#N/A</v>
      </c>
      <c r="AB37" s="66" t="e">
        <f ca="1">IF(ISERROR(A37),IF(ISNUMBER(C37),0,NA()),_xll.qlBondCleanPriceFromYield(AH37,AA37,YieldDayCounter,YieldCompounding,YieldFrequency))</f>
        <v>#N/A</v>
      </c>
      <c r="AC37" s="45"/>
      <c r="AD37" s="67" t="e">
        <f t="shared" ca="1" si="1"/>
        <v>#N/A</v>
      </c>
      <c r="AE37" s="66" t="e">
        <f t="shared" ref="AE37:AE67" ca="1" si="6">AF37/100*C37</f>
        <v>#N/A</v>
      </c>
      <c r="AF37" s="77" t="e">
        <f t="shared" ca="1" si="5"/>
        <v>#N/A</v>
      </c>
      <c r="AG37" s="74" t="e">
        <f ca="1">IF(ISERROR(A37),NA(),_xll.qlBondYieldFromCleanPrice(AH37,AF37,YieldDayCounter,YieldCompounding,YieldFrequency))</f>
        <v>#N/A</v>
      </c>
      <c r="AH37" s="78" t="e">
        <f>_xll.qlZeroCouponBond(,,"EUR",3,"target",$C37,$B37,"f",100)</f>
        <v>#NUM!</v>
      </c>
      <c r="AJ37" s="32"/>
      <c r="AK37" s="32"/>
      <c r="AL37" s="106"/>
      <c r="AM37" s="105"/>
      <c r="AN37" s="105"/>
      <c r="AO37" s="105"/>
    </row>
    <row r="38" spans="1:41" ht="12.75" x14ac:dyDescent="0.2">
      <c r="A38" s="48" t="e">
        <f ca="1">_xll.qlYieldTSDiscount(BtpCurve,B38,,PriceTrigger)</f>
        <v>#NUM!</v>
      </c>
      <c r="B38" s="38" t="e">
        <v>#N/A</v>
      </c>
      <c r="C38" s="39" t="e">
        <v>#N/A</v>
      </c>
      <c r="D38" s="60" t="e">
        <v>#N/A</v>
      </c>
      <c r="E38" s="38" t="e">
        <v>#N/A</v>
      </c>
      <c r="F38" s="38" t="e">
        <v>#N/A</v>
      </c>
      <c r="G38" s="40" t="e">
        <v>#N/A</v>
      </c>
      <c r="H38" s="41" t="e">
        <v>#N/A</v>
      </c>
      <c r="I38" s="40" t="e">
        <v>#N/A</v>
      </c>
      <c r="J38" s="38" t="e">
        <v>#N/A</v>
      </c>
      <c r="K38" s="40" t="e">
        <v>#N/A</v>
      </c>
      <c r="L38" s="42" t="e">
        <v>#N/A</v>
      </c>
      <c r="M38" s="43" t="e">
        <v>#N/A</v>
      </c>
      <c r="N38" s="43" t="e">
        <v>#N/A</v>
      </c>
      <c r="O38" s="44" t="e">
        <v>#N/A</v>
      </c>
      <c r="P38" s="43" t="e">
        <v>#N/A</v>
      </c>
      <c r="Q38" s="43" t="e">
        <v>#N/A</v>
      </c>
      <c r="R38" s="43" t="e">
        <v>#N/A</v>
      </c>
      <c r="S38" s="43" t="e">
        <v>#N/A</v>
      </c>
      <c r="T38" s="43" t="e">
        <v>#N/A</v>
      </c>
      <c r="U38" s="41" t="e">
        <v>#N/A</v>
      </c>
      <c r="V38" s="66">
        <f t="shared" ca="1" si="2"/>
        <v>0</v>
      </c>
      <c r="W38" s="45"/>
      <c r="X38" s="67">
        <f t="shared" ca="1" si="0"/>
        <v>0</v>
      </c>
      <c r="Y38" s="73" t="e">
        <f ca="1">IF(ISERROR(A38),NA(),_xll.qlBondYieldFromCleanPrice(AH38,X38/C38*100,YieldDayCounter,YieldCompounding,YieldFrequency))</f>
        <v>#N/A</v>
      </c>
      <c r="Z38" s="46"/>
      <c r="AA38" s="74" t="e">
        <f t="shared" ca="1" si="3"/>
        <v>#N/A</v>
      </c>
      <c r="AB38" s="66" t="e">
        <f ca="1">IF(ISERROR(A38),IF(ISNUMBER(C38),0,NA()),_xll.qlBondCleanPriceFromYield(AH38,AA38,YieldDayCounter,YieldCompounding,YieldFrequency))</f>
        <v>#N/A</v>
      </c>
      <c r="AC38" s="45"/>
      <c r="AD38" s="67" t="e">
        <f t="shared" ca="1" si="1"/>
        <v>#N/A</v>
      </c>
      <c r="AE38" s="66" t="e">
        <f t="shared" ca="1" si="6"/>
        <v>#N/A</v>
      </c>
      <c r="AF38" s="77" t="e">
        <f t="shared" ca="1" si="5"/>
        <v>#N/A</v>
      </c>
      <c r="AG38" s="74" t="e">
        <f ca="1">IF(ISERROR(A38),NA(),_xll.qlBondYieldFromCleanPrice(AH38,AF38,YieldDayCounter,YieldCompounding,YieldFrequency))</f>
        <v>#N/A</v>
      </c>
      <c r="AH38" s="78" t="e">
        <f>_xll.qlZeroCouponBond(,,"EUR",3,"target",$C38,$B38,"f",100)</f>
        <v>#NUM!</v>
      </c>
      <c r="AJ38" s="32"/>
      <c r="AK38" s="32"/>
      <c r="AL38" s="106"/>
      <c r="AM38" s="105"/>
      <c r="AN38" s="105"/>
      <c r="AO38" s="105"/>
    </row>
    <row r="39" spans="1:41" ht="12.75" x14ac:dyDescent="0.2">
      <c r="A39" s="48" t="e">
        <f ca="1">_xll.qlYieldTSDiscount(BtpCurve,B39,,PriceTrigger)</f>
        <v>#NUM!</v>
      </c>
      <c r="B39" s="38" t="e">
        <v>#N/A</v>
      </c>
      <c r="C39" s="39" t="e">
        <v>#N/A</v>
      </c>
      <c r="D39" s="60" t="e">
        <v>#N/A</v>
      </c>
      <c r="E39" s="38" t="e">
        <v>#N/A</v>
      </c>
      <c r="F39" s="38" t="e">
        <v>#N/A</v>
      </c>
      <c r="G39" s="40" t="e">
        <v>#N/A</v>
      </c>
      <c r="H39" s="41" t="e">
        <v>#N/A</v>
      </c>
      <c r="I39" s="40" t="e">
        <v>#N/A</v>
      </c>
      <c r="J39" s="38" t="e">
        <v>#N/A</v>
      </c>
      <c r="K39" s="40" t="e">
        <v>#N/A</v>
      </c>
      <c r="L39" s="42" t="e">
        <v>#N/A</v>
      </c>
      <c r="M39" s="43" t="e">
        <v>#N/A</v>
      </c>
      <c r="N39" s="43" t="e">
        <v>#N/A</v>
      </c>
      <c r="O39" s="44" t="e">
        <v>#N/A</v>
      </c>
      <c r="P39" s="43" t="e">
        <v>#N/A</v>
      </c>
      <c r="Q39" s="43" t="e">
        <v>#N/A</v>
      </c>
      <c r="R39" s="43" t="e">
        <v>#N/A</v>
      </c>
      <c r="S39" s="43" t="e">
        <v>#N/A</v>
      </c>
      <c r="T39" s="43" t="e">
        <v>#N/A</v>
      </c>
      <c r="U39" s="41" t="e">
        <v>#N/A</v>
      </c>
      <c r="V39" s="66">
        <f t="shared" ca="1" si="2"/>
        <v>0</v>
      </c>
      <c r="W39" s="45"/>
      <c r="X39" s="67">
        <f t="shared" ca="1" si="0"/>
        <v>0</v>
      </c>
      <c r="Y39" s="73" t="e">
        <f ca="1">IF(ISERROR(A39),NA(),_xll.qlBondYieldFromCleanPrice(AH39,X39/C39*100,YieldDayCounter,YieldCompounding,YieldFrequency))</f>
        <v>#N/A</v>
      </c>
      <c r="Z39" s="46"/>
      <c r="AA39" s="74" t="e">
        <f t="shared" ca="1" si="3"/>
        <v>#N/A</v>
      </c>
      <c r="AB39" s="66" t="e">
        <f ca="1">IF(ISERROR(A39),IF(ISNUMBER(C39),0,NA()),_xll.qlBondCleanPriceFromYield(AH39,AA39,YieldDayCounter,YieldCompounding,YieldFrequency))</f>
        <v>#N/A</v>
      </c>
      <c r="AC39" s="45"/>
      <c r="AD39" s="67" t="e">
        <f t="shared" ca="1" si="1"/>
        <v>#N/A</v>
      </c>
      <c r="AE39" s="66" t="e">
        <f t="shared" ca="1" si="6"/>
        <v>#N/A</v>
      </c>
      <c r="AF39" s="77" t="e">
        <f t="shared" ca="1" si="5"/>
        <v>#N/A</v>
      </c>
      <c r="AG39" s="74" t="e">
        <f ca="1">IF(ISERROR(A39),NA(),_xll.qlBondYieldFromCleanPrice(AH39,AF39,YieldDayCounter,YieldCompounding,YieldFrequency))</f>
        <v>#N/A</v>
      </c>
      <c r="AH39" s="78" t="e">
        <f>_xll.qlZeroCouponBond(,,"EUR",3,"target",$C39,$B39,"f",100)</f>
        <v>#NUM!</v>
      </c>
      <c r="AJ39" s="32"/>
      <c r="AK39" s="32"/>
      <c r="AL39" s="106"/>
      <c r="AM39" s="105"/>
      <c r="AN39" s="105"/>
      <c r="AO39" s="105"/>
    </row>
    <row r="40" spans="1:41" ht="12.75" x14ac:dyDescent="0.2">
      <c r="A40" s="48" t="e">
        <f ca="1">_xll.qlYieldTSDiscount(BtpCurve,B40,,PriceTrigger)</f>
        <v>#NUM!</v>
      </c>
      <c r="B40" s="38" t="e">
        <v>#N/A</v>
      </c>
      <c r="C40" s="39" t="e">
        <v>#N/A</v>
      </c>
      <c r="D40" s="60" t="e">
        <v>#N/A</v>
      </c>
      <c r="E40" s="38" t="e">
        <v>#N/A</v>
      </c>
      <c r="F40" s="38" t="e">
        <v>#N/A</v>
      </c>
      <c r="G40" s="40" t="e">
        <v>#N/A</v>
      </c>
      <c r="H40" s="41" t="e">
        <v>#N/A</v>
      </c>
      <c r="I40" s="40" t="e">
        <v>#N/A</v>
      </c>
      <c r="J40" s="38" t="e">
        <v>#N/A</v>
      </c>
      <c r="K40" s="40" t="e">
        <v>#N/A</v>
      </c>
      <c r="L40" s="42" t="e">
        <v>#N/A</v>
      </c>
      <c r="M40" s="43" t="e">
        <v>#N/A</v>
      </c>
      <c r="N40" s="43" t="e">
        <v>#N/A</v>
      </c>
      <c r="O40" s="44" t="e">
        <v>#N/A</v>
      </c>
      <c r="P40" s="43" t="e">
        <v>#N/A</v>
      </c>
      <c r="Q40" s="43" t="e">
        <v>#N/A</v>
      </c>
      <c r="R40" s="43" t="e">
        <v>#N/A</v>
      </c>
      <c r="S40" s="43" t="e">
        <v>#N/A</v>
      </c>
      <c r="T40" s="43" t="e">
        <v>#N/A</v>
      </c>
      <c r="U40" s="41" t="e">
        <v>#N/A</v>
      </c>
      <c r="V40" s="66">
        <f t="shared" ca="1" si="2"/>
        <v>0</v>
      </c>
      <c r="W40" s="45"/>
      <c r="X40" s="67">
        <f t="shared" ca="1" si="0"/>
        <v>0</v>
      </c>
      <c r="Y40" s="73" t="e">
        <f ca="1">IF(ISERROR(A40),NA(),_xll.qlBondYieldFromCleanPrice(AH40,X40/C40*100,YieldDayCounter,YieldCompounding,YieldFrequency))</f>
        <v>#N/A</v>
      </c>
      <c r="Z40" s="46"/>
      <c r="AA40" s="74" t="e">
        <f t="shared" ca="1" si="3"/>
        <v>#N/A</v>
      </c>
      <c r="AB40" s="66" t="e">
        <f ca="1">IF(ISERROR(A40),IF(ISNUMBER(C40),0,NA()),_xll.qlBondCleanPriceFromYield(AH40,AA40,YieldDayCounter,YieldCompounding,YieldFrequency))</f>
        <v>#N/A</v>
      </c>
      <c r="AC40" s="45"/>
      <c r="AD40" s="67" t="e">
        <f t="shared" ca="1" si="1"/>
        <v>#N/A</v>
      </c>
      <c r="AE40" s="66" t="e">
        <f t="shared" ca="1" si="6"/>
        <v>#N/A</v>
      </c>
      <c r="AF40" s="77" t="e">
        <f t="shared" ca="1" si="5"/>
        <v>#N/A</v>
      </c>
      <c r="AG40" s="74" t="e">
        <f ca="1">IF(ISERROR(A40),NA(),_xll.qlBondYieldFromCleanPrice(AH40,AF40,YieldDayCounter,YieldCompounding,YieldFrequency))</f>
        <v>#N/A</v>
      </c>
      <c r="AH40" s="78" t="e">
        <f>_xll.qlZeroCouponBond(,,"EUR",3,"target",$C40,$B40,"f",100)</f>
        <v>#NUM!</v>
      </c>
      <c r="AJ40" s="32"/>
      <c r="AK40" s="32"/>
      <c r="AL40" s="106"/>
      <c r="AM40" s="105"/>
      <c r="AN40" s="105"/>
      <c r="AO40" s="105"/>
    </row>
    <row r="41" spans="1:41" ht="12.75" x14ac:dyDescent="0.2">
      <c r="A41" s="48" t="e">
        <f ca="1">_xll.qlYieldTSDiscount(BtpCurve,B41,,PriceTrigger)</f>
        <v>#NUM!</v>
      </c>
      <c r="B41" s="38" t="e">
        <v>#N/A</v>
      </c>
      <c r="C41" s="39" t="e">
        <v>#N/A</v>
      </c>
      <c r="D41" s="60" t="e">
        <v>#N/A</v>
      </c>
      <c r="E41" s="38" t="e">
        <v>#N/A</v>
      </c>
      <c r="F41" s="38" t="e">
        <v>#N/A</v>
      </c>
      <c r="G41" s="40" t="e">
        <v>#N/A</v>
      </c>
      <c r="H41" s="41" t="e">
        <v>#N/A</v>
      </c>
      <c r="I41" s="40" t="e">
        <v>#N/A</v>
      </c>
      <c r="J41" s="38" t="e">
        <v>#N/A</v>
      </c>
      <c r="K41" s="40" t="e">
        <v>#N/A</v>
      </c>
      <c r="L41" s="42" t="e">
        <v>#N/A</v>
      </c>
      <c r="M41" s="43" t="e">
        <v>#N/A</v>
      </c>
      <c r="N41" s="43" t="e">
        <v>#N/A</v>
      </c>
      <c r="O41" s="44" t="e">
        <v>#N/A</v>
      </c>
      <c r="P41" s="43" t="e">
        <v>#N/A</v>
      </c>
      <c r="Q41" s="43" t="e">
        <v>#N/A</v>
      </c>
      <c r="R41" s="43" t="e">
        <v>#N/A</v>
      </c>
      <c r="S41" s="43" t="e">
        <v>#N/A</v>
      </c>
      <c r="T41" s="43" t="e">
        <v>#N/A</v>
      </c>
      <c r="U41" s="41" t="e">
        <v>#N/A</v>
      </c>
      <c r="V41" s="66">
        <f t="shared" ca="1" si="2"/>
        <v>0</v>
      </c>
      <c r="W41" s="45"/>
      <c r="X41" s="67">
        <f t="shared" ca="1" si="0"/>
        <v>0</v>
      </c>
      <c r="Y41" s="73" t="e">
        <f ca="1">IF(ISERROR(A41),NA(),_xll.qlBondYieldFromCleanPrice(AH41,X41/C41*100,YieldDayCounter,YieldCompounding,YieldFrequency))</f>
        <v>#N/A</v>
      </c>
      <c r="Z41" s="46"/>
      <c r="AA41" s="74" t="e">
        <f t="shared" ca="1" si="3"/>
        <v>#N/A</v>
      </c>
      <c r="AB41" s="66" t="e">
        <f ca="1">IF(ISERROR(A41),IF(ISNUMBER(C41),0,NA()),_xll.qlBondCleanPriceFromYield(AH41,AA41,YieldDayCounter,YieldCompounding,YieldFrequency))</f>
        <v>#N/A</v>
      </c>
      <c r="AC41" s="45"/>
      <c r="AD41" s="67" t="e">
        <f t="shared" ca="1" si="1"/>
        <v>#N/A</v>
      </c>
      <c r="AE41" s="66" t="e">
        <f t="shared" ca="1" si="6"/>
        <v>#N/A</v>
      </c>
      <c r="AF41" s="77" t="e">
        <f t="shared" ca="1" si="5"/>
        <v>#N/A</v>
      </c>
      <c r="AG41" s="74" t="e">
        <f ca="1">IF(ISERROR(A41),NA(),_xll.qlBondYieldFromCleanPrice(AH41,AF41,YieldDayCounter,YieldCompounding,YieldFrequency))</f>
        <v>#N/A</v>
      </c>
      <c r="AH41" s="78" t="e">
        <f>_xll.qlZeroCouponBond(,,"EUR",3,"target",$C41,$B41,"f",100)</f>
        <v>#NUM!</v>
      </c>
      <c r="AJ41" s="32"/>
      <c r="AK41" s="32"/>
      <c r="AL41" s="106"/>
      <c r="AM41" s="105"/>
      <c r="AN41" s="105"/>
      <c r="AO41" s="105"/>
    </row>
    <row r="42" spans="1:41" ht="12.75" x14ac:dyDescent="0.2">
      <c r="A42" s="48" t="e">
        <f ca="1">_xll.qlYieldTSDiscount(BtpCurve,B42,,PriceTrigger)</f>
        <v>#NUM!</v>
      </c>
      <c r="B42" s="38" t="e">
        <v>#N/A</v>
      </c>
      <c r="C42" s="39" t="e">
        <v>#N/A</v>
      </c>
      <c r="D42" s="60" t="e">
        <v>#N/A</v>
      </c>
      <c r="E42" s="38" t="e">
        <v>#N/A</v>
      </c>
      <c r="F42" s="38" t="e">
        <v>#N/A</v>
      </c>
      <c r="G42" s="40" t="e">
        <v>#N/A</v>
      </c>
      <c r="H42" s="41" t="e">
        <v>#N/A</v>
      </c>
      <c r="I42" s="40" t="e">
        <v>#N/A</v>
      </c>
      <c r="J42" s="38" t="e">
        <v>#N/A</v>
      </c>
      <c r="K42" s="40" t="e">
        <v>#N/A</v>
      </c>
      <c r="L42" s="42" t="e">
        <v>#N/A</v>
      </c>
      <c r="M42" s="43" t="e">
        <v>#N/A</v>
      </c>
      <c r="N42" s="43" t="e">
        <v>#N/A</v>
      </c>
      <c r="O42" s="44" t="e">
        <v>#N/A</v>
      </c>
      <c r="P42" s="43" t="e">
        <v>#N/A</v>
      </c>
      <c r="Q42" s="43" t="e">
        <v>#N/A</v>
      </c>
      <c r="R42" s="43" t="e">
        <v>#N/A</v>
      </c>
      <c r="S42" s="43" t="e">
        <v>#N/A</v>
      </c>
      <c r="T42" s="43" t="e">
        <v>#N/A</v>
      </c>
      <c r="U42" s="41" t="e">
        <v>#N/A</v>
      </c>
      <c r="V42" s="66">
        <f t="shared" ca="1" si="2"/>
        <v>0</v>
      </c>
      <c r="W42" s="45"/>
      <c r="X42" s="67">
        <f t="shared" ca="1" si="0"/>
        <v>0</v>
      </c>
      <c r="Y42" s="73" t="e">
        <f ca="1">IF(ISERROR(A42),NA(),_xll.qlBondYieldFromCleanPrice(AH42,X42/C42*100,YieldDayCounter,YieldCompounding,YieldFrequency))</f>
        <v>#N/A</v>
      </c>
      <c r="Z42" s="46"/>
      <c r="AA42" s="74" t="e">
        <f t="shared" ca="1" si="3"/>
        <v>#N/A</v>
      </c>
      <c r="AB42" s="66" t="e">
        <f ca="1">IF(ISERROR(A42),IF(ISNUMBER(C42),0,NA()),_xll.qlBondCleanPriceFromYield(AH42,AA42,YieldDayCounter,YieldCompounding,YieldFrequency))</f>
        <v>#N/A</v>
      </c>
      <c r="AC42" s="45"/>
      <c r="AD42" s="67" t="e">
        <f t="shared" ca="1" si="1"/>
        <v>#N/A</v>
      </c>
      <c r="AE42" s="66" t="e">
        <f t="shared" ca="1" si="6"/>
        <v>#N/A</v>
      </c>
      <c r="AF42" s="77" t="e">
        <f t="shared" ca="1" si="5"/>
        <v>#N/A</v>
      </c>
      <c r="AG42" s="74" t="e">
        <f ca="1">IF(ISERROR(A42),NA(),_xll.qlBondYieldFromCleanPrice(AH42,AF42,YieldDayCounter,YieldCompounding,YieldFrequency))</f>
        <v>#N/A</v>
      </c>
      <c r="AH42" s="78" t="e">
        <f>_xll.qlZeroCouponBond(,,"EUR",3,"target",$C42,$B42,"f",100)</f>
        <v>#NUM!</v>
      </c>
      <c r="AJ42" s="32"/>
      <c r="AK42" s="32"/>
      <c r="AL42" s="106"/>
      <c r="AM42" s="105"/>
      <c r="AN42" s="105"/>
      <c r="AO42" s="105"/>
    </row>
    <row r="43" spans="1:41" ht="12.75" x14ac:dyDescent="0.2">
      <c r="A43" s="48" t="e">
        <f ca="1">_xll.qlYieldTSDiscount(BtpCurve,B43,,PriceTrigger)</f>
        <v>#NUM!</v>
      </c>
      <c r="B43" s="38" t="e">
        <v>#N/A</v>
      </c>
      <c r="C43" s="39" t="e">
        <v>#N/A</v>
      </c>
      <c r="D43" s="60" t="e">
        <v>#N/A</v>
      </c>
      <c r="E43" s="38" t="e">
        <v>#N/A</v>
      </c>
      <c r="F43" s="38" t="e">
        <v>#N/A</v>
      </c>
      <c r="G43" s="40" t="e">
        <v>#N/A</v>
      </c>
      <c r="H43" s="41" t="e">
        <v>#N/A</v>
      </c>
      <c r="I43" s="40" t="e">
        <v>#N/A</v>
      </c>
      <c r="J43" s="38" t="e">
        <v>#N/A</v>
      </c>
      <c r="K43" s="40" t="e">
        <v>#N/A</v>
      </c>
      <c r="L43" s="42" t="e">
        <v>#N/A</v>
      </c>
      <c r="M43" s="43" t="e">
        <v>#N/A</v>
      </c>
      <c r="N43" s="43" t="e">
        <v>#N/A</v>
      </c>
      <c r="O43" s="44" t="e">
        <v>#N/A</v>
      </c>
      <c r="P43" s="43" t="e">
        <v>#N/A</v>
      </c>
      <c r="Q43" s="43" t="e">
        <v>#N/A</v>
      </c>
      <c r="R43" s="43" t="e">
        <v>#N/A</v>
      </c>
      <c r="S43" s="43" t="e">
        <v>#N/A</v>
      </c>
      <c r="T43" s="43" t="e">
        <v>#N/A</v>
      </c>
      <c r="U43" s="41" t="e">
        <v>#N/A</v>
      </c>
      <c r="V43" s="66">
        <f t="shared" ca="1" si="2"/>
        <v>0</v>
      </c>
      <c r="W43" s="45"/>
      <c r="X43" s="67">
        <f t="shared" ca="1" si="0"/>
        <v>0</v>
      </c>
      <c r="Y43" s="73" t="e">
        <f ca="1">IF(ISERROR(A43),NA(),_xll.qlBondYieldFromCleanPrice(AH43,X43/C43*100,YieldDayCounter,YieldCompounding,YieldFrequency))</f>
        <v>#N/A</v>
      </c>
      <c r="Z43" s="46"/>
      <c r="AA43" s="74" t="e">
        <f t="shared" ca="1" si="3"/>
        <v>#N/A</v>
      </c>
      <c r="AB43" s="66" t="e">
        <f ca="1">IF(ISERROR(A43),IF(ISNUMBER(C43),0,NA()),_xll.qlBondCleanPriceFromYield(AH43,AA43,YieldDayCounter,YieldCompounding,YieldFrequency))</f>
        <v>#N/A</v>
      </c>
      <c r="AC43" s="45"/>
      <c r="AD43" s="67" t="e">
        <f t="shared" ca="1" si="1"/>
        <v>#N/A</v>
      </c>
      <c r="AE43" s="66" t="e">
        <f t="shared" ca="1" si="6"/>
        <v>#N/A</v>
      </c>
      <c r="AF43" s="77" t="e">
        <f t="shared" ca="1" si="5"/>
        <v>#N/A</v>
      </c>
      <c r="AG43" s="74" t="e">
        <f ca="1">IF(ISERROR(A43),NA(),_xll.qlBondYieldFromCleanPrice(AH43,AF43,YieldDayCounter,YieldCompounding,YieldFrequency))</f>
        <v>#N/A</v>
      </c>
      <c r="AH43" s="78" t="e">
        <f>_xll.qlZeroCouponBond(,,"EUR",3,"target",$C43,$B43,"f",100)</f>
        <v>#NUM!</v>
      </c>
      <c r="AJ43" s="32"/>
      <c r="AK43" s="32"/>
      <c r="AL43" s="106"/>
      <c r="AM43" s="105"/>
      <c r="AN43" s="105"/>
      <c r="AO43" s="105"/>
    </row>
    <row r="44" spans="1:41" ht="12.75" x14ac:dyDescent="0.2">
      <c r="A44" s="48" t="e">
        <f ca="1">_xll.qlYieldTSDiscount(BtpCurve,B44,,PriceTrigger)</f>
        <v>#NUM!</v>
      </c>
      <c r="B44" s="38" t="e">
        <v>#N/A</v>
      </c>
      <c r="C44" s="39" t="e">
        <v>#N/A</v>
      </c>
      <c r="D44" s="60" t="e">
        <v>#N/A</v>
      </c>
      <c r="E44" s="38" t="e">
        <v>#N/A</v>
      </c>
      <c r="F44" s="38" t="e">
        <v>#N/A</v>
      </c>
      <c r="G44" s="40" t="e">
        <v>#N/A</v>
      </c>
      <c r="H44" s="41" t="e">
        <v>#N/A</v>
      </c>
      <c r="I44" s="40" t="e">
        <v>#N/A</v>
      </c>
      <c r="J44" s="38" t="e">
        <v>#N/A</v>
      </c>
      <c r="K44" s="40" t="e">
        <v>#N/A</v>
      </c>
      <c r="L44" s="42" t="e">
        <v>#N/A</v>
      </c>
      <c r="M44" s="43" t="e">
        <v>#N/A</v>
      </c>
      <c r="N44" s="43" t="e">
        <v>#N/A</v>
      </c>
      <c r="O44" s="44" t="e">
        <v>#N/A</v>
      </c>
      <c r="P44" s="43" t="e">
        <v>#N/A</v>
      </c>
      <c r="Q44" s="43" t="e">
        <v>#N/A</v>
      </c>
      <c r="R44" s="43" t="e">
        <v>#N/A</v>
      </c>
      <c r="S44" s="43" t="e">
        <v>#N/A</v>
      </c>
      <c r="T44" s="43" t="e">
        <v>#N/A</v>
      </c>
      <c r="U44" s="41" t="e">
        <v>#N/A</v>
      </c>
      <c r="V44" s="66">
        <f t="shared" ca="1" si="2"/>
        <v>0</v>
      </c>
      <c r="W44" s="45"/>
      <c r="X44" s="67">
        <f t="shared" ca="1" si="0"/>
        <v>0</v>
      </c>
      <c r="Y44" s="73" t="e">
        <f ca="1">IF(ISERROR(A44),NA(),_xll.qlBondYieldFromCleanPrice(AH44,X44/C44*100,YieldDayCounter,YieldCompounding,YieldFrequency))</f>
        <v>#N/A</v>
      </c>
      <c r="Z44" s="46"/>
      <c r="AA44" s="74" t="e">
        <f t="shared" ca="1" si="3"/>
        <v>#N/A</v>
      </c>
      <c r="AB44" s="66" t="e">
        <f ca="1">IF(ISERROR(A44),IF(ISNUMBER(C44),0,NA()),_xll.qlBondCleanPriceFromYield(AH44,AA44,YieldDayCounter,YieldCompounding,YieldFrequency))</f>
        <v>#N/A</v>
      </c>
      <c r="AC44" s="45"/>
      <c r="AD44" s="67" t="e">
        <f t="shared" ca="1" si="1"/>
        <v>#N/A</v>
      </c>
      <c r="AE44" s="66" t="e">
        <f t="shared" ca="1" si="6"/>
        <v>#N/A</v>
      </c>
      <c r="AF44" s="77" t="e">
        <f t="shared" ca="1" si="5"/>
        <v>#N/A</v>
      </c>
      <c r="AG44" s="74" t="e">
        <f ca="1">IF(ISERROR(A44),NA(),_xll.qlBondYieldFromCleanPrice(AH44,AF44,YieldDayCounter,YieldCompounding,YieldFrequency))</f>
        <v>#N/A</v>
      </c>
      <c r="AH44" s="78" t="e">
        <f>_xll.qlZeroCouponBond(,,"EUR",3,"target",$C44,$B44,"f",100)</f>
        <v>#NUM!</v>
      </c>
      <c r="AJ44" s="32"/>
      <c r="AK44" s="32"/>
      <c r="AL44" s="106"/>
      <c r="AM44" s="105"/>
      <c r="AN44" s="105"/>
      <c r="AO44" s="105"/>
    </row>
    <row r="45" spans="1:41" ht="12.75" x14ac:dyDescent="0.2">
      <c r="A45" s="48" t="e">
        <f ca="1">_xll.qlYieldTSDiscount(BtpCurve,B45,,PriceTrigger)</f>
        <v>#NUM!</v>
      </c>
      <c r="B45" s="38" t="e">
        <v>#N/A</v>
      </c>
      <c r="C45" s="39" t="e">
        <v>#N/A</v>
      </c>
      <c r="D45" s="60" t="e">
        <v>#N/A</v>
      </c>
      <c r="E45" s="38" t="e">
        <v>#N/A</v>
      </c>
      <c r="F45" s="38" t="e">
        <v>#N/A</v>
      </c>
      <c r="G45" s="40" t="e">
        <v>#N/A</v>
      </c>
      <c r="H45" s="41" t="e">
        <v>#N/A</v>
      </c>
      <c r="I45" s="40" t="e">
        <v>#N/A</v>
      </c>
      <c r="J45" s="38" t="e">
        <v>#N/A</v>
      </c>
      <c r="K45" s="40" t="e">
        <v>#N/A</v>
      </c>
      <c r="L45" s="42" t="e">
        <v>#N/A</v>
      </c>
      <c r="M45" s="43" t="e">
        <v>#N/A</v>
      </c>
      <c r="N45" s="43" t="e">
        <v>#N/A</v>
      </c>
      <c r="O45" s="44" t="e">
        <v>#N/A</v>
      </c>
      <c r="P45" s="43" t="e">
        <v>#N/A</v>
      </c>
      <c r="Q45" s="43" t="e">
        <v>#N/A</v>
      </c>
      <c r="R45" s="43" t="e">
        <v>#N/A</v>
      </c>
      <c r="S45" s="43" t="e">
        <v>#N/A</v>
      </c>
      <c r="T45" s="43" t="e">
        <v>#N/A</v>
      </c>
      <c r="U45" s="41" t="e">
        <v>#N/A</v>
      </c>
      <c r="V45" s="66">
        <f t="shared" ca="1" si="2"/>
        <v>0</v>
      </c>
      <c r="W45" s="45"/>
      <c r="X45" s="67">
        <f t="shared" ca="1" si="0"/>
        <v>0</v>
      </c>
      <c r="Y45" s="73" t="e">
        <f ca="1">IF(ISERROR(A45),NA(),_xll.qlBondYieldFromCleanPrice(AH45,X45/C45*100,YieldDayCounter,YieldCompounding,YieldFrequency))</f>
        <v>#N/A</v>
      </c>
      <c r="Z45" s="46"/>
      <c r="AA45" s="74" t="e">
        <f t="shared" ca="1" si="3"/>
        <v>#N/A</v>
      </c>
      <c r="AB45" s="66" t="e">
        <f ca="1">IF(ISERROR(A45),IF(ISNUMBER(C45),0,NA()),_xll.qlBondCleanPriceFromYield(AH45,AA45,YieldDayCounter,YieldCompounding,YieldFrequency))</f>
        <v>#N/A</v>
      </c>
      <c r="AC45" s="45"/>
      <c r="AD45" s="67" t="e">
        <f t="shared" ca="1" si="1"/>
        <v>#N/A</v>
      </c>
      <c r="AE45" s="66" t="e">
        <f t="shared" ca="1" si="6"/>
        <v>#N/A</v>
      </c>
      <c r="AF45" s="77" t="e">
        <f t="shared" ca="1" si="5"/>
        <v>#N/A</v>
      </c>
      <c r="AG45" s="74" t="e">
        <f ca="1">IF(ISERROR(A45),NA(),_xll.qlBondYieldFromCleanPrice(AH45,AF45,YieldDayCounter,YieldCompounding,YieldFrequency))</f>
        <v>#N/A</v>
      </c>
      <c r="AH45" s="78" t="e">
        <f>_xll.qlZeroCouponBond(,,"EUR",3,"target",$C45,$B45,"f",100)</f>
        <v>#NUM!</v>
      </c>
      <c r="AJ45" s="32"/>
      <c r="AK45" s="32"/>
      <c r="AL45" s="106"/>
      <c r="AM45" s="105"/>
      <c r="AN45" s="105"/>
      <c r="AO45" s="105"/>
    </row>
    <row r="46" spans="1:41" ht="12.75" x14ac:dyDescent="0.2">
      <c r="A46" s="48" t="e">
        <f ca="1">_xll.qlYieldTSDiscount(BtpCurve,B46,,PriceTrigger)</f>
        <v>#NUM!</v>
      </c>
      <c r="B46" s="38" t="e">
        <v>#N/A</v>
      </c>
      <c r="C46" s="39" t="e">
        <v>#N/A</v>
      </c>
      <c r="D46" s="60" t="e">
        <v>#N/A</v>
      </c>
      <c r="E46" s="38" t="e">
        <v>#N/A</v>
      </c>
      <c r="F46" s="38" t="e">
        <v>#N/A</v>
      </c>
      <c r="G46" s="40" t="e">
        <v>#N/A</v>
      </c>
      <c r="H46" s="41" t="e">
        <v>#N/A</v>
      </c>
      <c r="I46" s="40" t="e">
        <v>#N/A</v>
      </c>
      <c r="J46" s="38" t="e">
        <v>#N/A</v>
      </c>
      <c r="K46" s="40" t="e">
        <v>#N/A</v>
      </c>
      <c r="L46" s="42" t="e">
        <v>#N/A</v>
      </c>
      <c r="M46" s="43" t="e">
        <v>#N/A</v>
      </c>
      <c r="N46" s="43" t="e">
        <v>#N/A</v>
      </c>
      <c r="O46" s="44" t="e">
        <v>#N/A</v>
      </c>
      <c r="P46" s="43" t="e">
        <v>#N/A</v>
      </c>
      <c r="Q46" s="43" t="e">
        <v>#N/A</v>
      </c>
      <c r="R46" s="43" t="e">
        <v>#N/A</v>
      </c>
      <c r="S46" s="43" t="e">
        <v>#N/A</v>
      </c>
      <c r="T46" s="43" t="e">
        <v>#N/A</v>
      </c>
      <c r="U46" s="41" t="e">
        <v>#N/A</v>
      </c>
      <c r="V46" s="66">
        <f t="shared" ca="1" si="2"/>
        <v>0</v>
      </c>
      <c r="W46" s="45"/>
      <c r="X46" s="67">
        <f t="shared" ca="1" si="0"/>
        <v>0</v>
      </c>
      <c r="Y46" s="73" t="e">
        <f ca="1">IF(ISERROR(A46),NA(),_xll.qlBondYieldFromCleanPrice(AH46,X46/C46*100,YieldDayCounter,YieldCompounding,YieldFrequency))</f>
        <v>#N/A</v>
      </c>
      <c r="Z46" s="46"/>
      <c r="AA46" s="74" t="e">
        <f t="shared" ca="1" si="3"/>
        <v>#N/A</v>
      </c>
      <c r="AB46" s="66" t="e">
        <f ca="1">IF(ISERROR(A46),IF(ISNUMBER(C46),0,NA()),_xll.qlBondCleanPriceFromYield(AH46,AA46,YieldDayCounter,YieldCompounding,YieldFrequency))</f>
        <v>#N/A</v>
      </c>
      <c r="AC46" s="45"/>
      <c r="AD46" s="67" t="e">
        <f t="shared" ca="1" si="1"/>
        <v>#N/A</v>
      </c>
      <c r="AE46" s="66" t="e">
        <f t="shared" ca="1" si="6"/>
        <v>#N/A</v>
      </c>
      <c r="AF46" s="77" t="e">
        <f t="shared" ca="1" si="5"/>
        <v>#N/A</v>
      </c>
      <c r="AG46" s="74" t="e">
        <f ca="1">IF(ISERROR(A46),NA(),_xll.qlBondYieldFromCleanPrice(AH46,AF46,YieldDayCounter,YieldCompounding,YieldFrequency))</f>
        <v>#N/A</v>
      </c>
      <c r="AH46" s="78" t="e">
        <f>_xll.qlZeroCouponBond(,,"EUR",3,"target",$C46,$B46,"f",100)</f>
        <v>#NUM!</v>
      </c>
      <c r="AJ46" s="32"/>
      <c r="AK46" s="32"/>
      <c r="AL46" s="106"/>
      <c r="AM46" s="105"/>
      <c r="AN46" s="105"/>
      <c r="AO46" s="105"/>
    </row>
    <row r="47" spans="1:41" ht="12.75" x14ac:dyDescent="0.2">
      <c r="A47" s="48" t="e">
        <f ca="1">_xll.qlYieldTSDiscount(BtpCurve,B47,,PriceTrigger)</f>
        <v>#NUM!</v>
      </c>
      <c r="B47" s="38" t="e">
        <v>#N/A</v>
      </c>
      <c r="C47" s="39" t="e">
        <v>#N/A</v>
      </c>
      <c r="D47" s="60" t="e">
        <v>#N/A</v>
      </c>
      <c r="E47" s="38" t="e">
        <v>#N/A</v>
      </c>
      <c r="F47" s="38" t="e">
        <v>#N/A</v>
      </c>
      <c r="G47" s="40" t="e">
        <v>#N/A</v>
      </c>
      <c r="H47" s="41" t="e">
        <v>#N/A</v>
      </c>
      <c r="I47" s="40" t="e">
        <v>#N/A</v>
      </c>
      <c r="J47" s="38" t="e">
        <v>#N/A</v>
      </c>
      <c r="K47" s="40" t="e">
        <v>#N/A</v>
      </c>
      <c r="L47" s="42" t="e">
        <v>#N/A</v>
      </c>
      <c r="M47" s="43" t="e">
        <v>#N/A</v>
      </c>
      <c r="N47" s="43" t="e">
        <v>#N/A</v>
      </c>
      <c r="O47" s="44" t="e">
        <v>#N/A</v>
      </c>
      <c r="P47" s="43" t="e">
        <v>#N/A</v>
      </c>
      <c r="Q47" s="43" t="e">
        <v>#N/A</v>
      </c>
      <c r="R47" s="43" t="e">
        <v>#N/A</v>
      </c>
      <c r="S47" s="43" t="e">
        <v>#N/A</v>
      </c>
      <c r="T47" s="43" t="e">
        <v>#N/A</v>
      </c>
      <c r="U47" s="41" t="e">
        <v>#N/A</v>
      </c>
      <c r="V47" s="66">
        <f t="shared" ca="1" si="2"/>
        <v>0</v>
      </c>
      <c r="W47" s="45"/>
      <c r="X47" s="67">
        <f t="shared" ca="1" si="0"/>
        <v>0</v>
      </c>
      <c r="Y47" s="73" t="e">
        <f ca="1">IF(ISERROR(A47),NA(),_xll.qlBondYieldFromCleanPrice(AH47,X47/C47*100,YieldDayCounter,YieldCompounding,YieldFrequency))</f>
        <v>#N/A</v>
      </c>
      <c r="Z47" s="46"/>
      <c r="AA47" s="74" t="e">
        <f t="shared" ca="1" si="3"/>
        <v>#N/A</v>
      </c>
      <c r="AB47" s="66" t="e">
        <f ca="1">IF(ISERROR(A47),IF(ISNUMBER(C47),0,NA()),_xll.qlBondCleanPriceFromYield(AH47,AA47,YieldDayCounter,YieldCompounding,YieldFrequency))</f>
        <v>#N/A</v>
      </c>
      <c r="AC47" s="45"/>
      <c r="AD47" s="67" t="e">
        <f t="shared" ca="1" si="1"/>
        <v>#N/A</v>
      </c>
      <c r="AE47" s="66" t="e">
        <f t="shared" ca="1" si="6"/>
        <v>#N/A</v>
      </c>
      <c r="AF47" s="77" t="e">
        <f t="shared" ca="1" si="5"/>
        <v>#N/A</v>
      </c>
      <c r="AG47" s="74" t="e">
        <f ca="1">IF(ISERROR(A47),NA(),_xll.qlBondYieldFromCleanPrice(AH47,AF47,YieldDayCounter,YieldCompounding,YieldFrequency))</f>
        <v>#N/A</v>
      </c>
      <c r="AH47" s="78" t="e">
        <f>_xll.qlZeroCouponBond(,,"EUR",3,"target",$C47,$B47,"f",100)</f>
        <v>#NUM!</v>
      </c>
      <c r="AJ47" s="32"/>
      <c r="AK47" s="32"/>
      <c r="AL47" s="106"/>
      <c r="AM47" s="105"/>
      <c r="AN47" s="105"/>
      <c r="AO47" s="105"/>
    </row>
    <row r="48" spans="1:41" ht="12.75" x14ac:dyDescent="0.2">
      <c r="A48" s="48" t="e">
        <f ca="1">_xll.qlYieldTSDiscount(BtpCurve,B48,,PriceTrigger)</f>
        <v>#NUM!</v>
      </c>
      <c r="B48" s="38" t="e">
        <v>#N/A</v>
      </c>
      <c r="C48" s="39" t="e">
        <v>#N/A</v>
      </c>
      <c r="D48" s="60" t="e">
        <v>#N/A</v>
      </c>
      <c r="E48" s="38" t="e">
        <v>#N/A</v>
      </c>
      <c r="F48" s="38" t="e">
        <v>#N/A</v>
      </c>
      <c r="G48" s="40" t="e">
        <v>#N/A</v>
      </c>
      <c r="H48" s="41" t="e">
        <v>#N/A</v>
      </c>
      <c r="I48" s="40" t="e">
        <v>#N/A</v>
      </c>
      <c r="J48" s="38" t="e">
        <v>#N/A</v>
      </c>
      <c r="K48" s="40" t="e">
        <v>#N/A</v>
      </c>
      <c r="L48" s="42" t="e">
        <v>#N/A</v>
      </c>
      <c r="M48" s="43" t="e">
        <v>#N/A</v>
      </c>
      <c r="N48" s="43" t="e">
        <v>#N/A</v>
      </c>
      <c r="O48" s="44" t="e">
        <v>#N/A</v>
      </c>
      <c r="P48" s="43" t="e">
        <v>#N/A</v>
      </c>
      <c r="Q48" s="43" t="e">
        <v>#N/A</v>
      </c>
      <c r="R48" s="43" t="e">
        <v>#N/A</v>
      </c>
      <c r="S48" s="43" t="e">
        <v>#N/A</v>
      </c>
      <c r="T48" s="43" t="e">
        <v>#N/A</v>
      </c>
      <c r="U48" s="41" t="e">
        <v>#N/A</v>
      </c>
      <c r="V48" s="66">
        <f t="shared" ca="1" si="2"/>
        <v>0</v>
      </c>
      <c r="W48" s="45"/>
      <c r="X48" s="67">
        <f t="shared" ca="1" si="0"/>
        <v>0</v>
      </c>
      <c r="Y48" s="73" t="e">
        <f ca="1">IF(ISERROR(A48),NA(),_xll.qlBondYieldFromCleanPrice(AH48,X48/C48*100,YieldDayCounter,YieldCompounding,YieldFrequency))</f>
        <v>#N/A</v>
      </c>
      <c r="Z48" s="46"/>
      <c r="AA48" s="74" t="e">
        <f t="shared" ca="1" si="3"/>
        <v>#N/A</v>
      </c>
      <c r="AB48" s="66" t="e">
        <f ca="1">IF(ISERROR(A48),IF(ISNUMBER(C48),0,NA()),_xll.qlBondCleanPriceFromYield(AH48,AA48,YieldDayCounter,YieldCompounding,YieldFrequency))</f>
        <v>#N/A</v>
      </c>
      <c r="AC48" s="45"/>
      <c r="AD48" s="67" t="e">
        <f t="shared" ca="1" si="1"/>
        <v>#N/A</v>
      </c>
      <c r="AE48" s="66" t="e">
        <f t="shared" ca="1" si="6"/>
        <v>#N/A</v>
      </c>
      <c r="AF48" s="77" t="e">
        <f t="shared" ca="1" si="5"/>
        <v>#N/A</v>
      </c>
      <c r="AG48" s="74" t="e">
        <f ca="1">IF(ISERROR(A48),NA(),_xll.qlBondYieldFromCleanPrice(AH48,AF48,YieldDayCounter,YieldCompounding,YieldFrequency))</f>
        <v>#N/A</v>
      </c>
      <c r="AH48" s="78" t="e">
        <f>_xll.qlZeroCouponBond(,,"EUR",3,"target",$C48,$B48,"f",100)</f>
        <v>#NUM!</v>
      </c>
      <c r="AJ48" s="32"/>
      <c r="AK48" s="32"/>
      <c r="AL48" s="106"/>
      <c r="AM48" s="105"/>
      <c r="AN48" s="105"/>
      <c r="AO48" s="105"/>
    </row>
    <row r="49" spans="1:41" ht="12.75" x14ac:dyDescent="0.2">
      <c r="A49" s="48" t="e">
        <f ca="1">_xll.qlYieldTSDiscount(BtpCurve,B49,,PriceTrigger)</f>
        <v>#NUM!</v>
      </c>
      <c r="B49" s="38" t="e">
        <v>#N/A</v>
      </c>
      <c r="C49" s="39" t="e">
        <v>#N/A</v>
      </c>
      <c r="D49" s="60" t="e">
        <v>#N/A</v>
      </c>
      <c r="E49" s="38" t="e">
        <v>#N/A</v>
      </c>
      <c r="F49" s="38" t="e">
        <v>#N/A</v>
      </c>
      <c r="G49" s="40" t="e">
        <v>#N/A</v>
      </c>
      <c r="H49" s="41" t="e">
        <v>#N/A</v>
      </c>
      <c r="I49" s="40" t="e">
        <v>#N/A</v>
      </c>
      <c r="J49" s="38" t="e">
        <v>#N/A</v>
      </c>
      <c r="K49" s="40" t="e">
        <v>#N/A</v>
      </c>
      <c r="L49" s="42" t="e">
        <v>#N/A</v>
      </c>
      <c r="M49" s="43" t="e">
        <v>#N/A</v>
      </c>
      <c r="N49" s="43" t="e">
        <v>#N/A</v>
      </c>
      <c r="O49" s="44" t="e">
        <v>#N/A</v>
      </c>
      <c r="P49" s="43" t="e">
        <v>#N/A</v>
      </c>
      <c r="Q49" s="43" t="e">
        <v>#N/A</v>
      </c>
      <c r="R49" s="43" t="e">
        <v>#N/A</v>
      </c>
      <c r="S49" s="43" t="e">
        <v>#N/A</v>
      </c>
      <c r="T49" s="43" t="e">
        <v>#N/A</v>
      </c>
      <c r="U49" s="41" t="e">
        <v>#N/A</v>
      </c>
      <c r="V49" s="66">
        <f t="shared" ca="1" si="2"/>
        <v>0</v>
      </c>
      <c r="W49" s="45"/>
      <c r="X49" s="67">
        <f t="shared" ca="1" si="0"/>
        <v>0</v>
      </c>
      <c r="Y49" s="73" t="e">
        <f ca="1">IF(ISERROR(A49),NA(),_xll.qlBondYieldFromCleanPrice(AH49,X49/C49*100,YieldDayCounter,YieldCompounding,YieldFrequency))</f>
        <v>#N/A</v>
      </c>
      <c r="Z49" s="46"/>
      <c r="AA49" s="74" t="e">
        <f t="shared" ca="1" si="3"/>
        <v>#N/A</v>
      </c>
      <c r="AB49" s="66" t="e">
        <f ca="1">IF(ISERROR(A49),IF(ISNUMBER(C49),0,NA()),_xll.qlBondCleanPriceFromYield(AH49,AA49,YieldDayCounter,YieldCompounding,YieldFrequency))</f>
        <v>#N/A</v>
      </c>
      <c r="AC49" s="45"/>
      <c r="AD49" s="67" t="e">
        <f t="shared" ca="1" si="1"/>
        <v>#N/A</v>
      </c>
      <c r="AE49" s="66" t="e">
        <f t="shared" ca="1" si="6"/>
        <v>#N/A</v>
      </c>
      <c r="AF49" s="77" t="e">
        <f t="shared" ca="1" si="5"/>
        <v>#N/A</v>
      </c>
      <c r="AG49" s="74" t="e">
        <f ca="1">IF(ISERROR(A49),NA(),_xll.qlBondYieldFromCleanPrice(AH49,AF49,YieldDayCounter,YieldCompounding,YieldFrequency))</f>
        <v>#N/A</v>
      </c>
      <c r="AH49" s="78" t="e">
        <f>_xll.qlZeroCouponBond(,,"EUR",3,"target",$C49,$B49,"f",100)</f>
        <v>#NUM!</v>
      </c>
      <c r="AJ49" s="32"/>
      <c r="AK49" s="32"/>
      <c r="AL49" s="106"/>
      <c r="AM49" s="105"/>
      <c r="AN49" s="105"/>
      <c r="AO49" s="105"/>
    </row>
    <row r="50" spans="1:41" ht="12.75" x14ac:dyDescent="0.2">
      <c r="A50" s="48" t="e">
        <f ca="1">_xll.qlYieldTSDiscount(BtpCurve,B50,,PriceTrigger)</f>
        <v>#NUM!</v>
      </c>
      <c r="B50" s="38" t="e">
        <v>#N/A</v>
      </c>
      <c r="C50" s="39" t="e">
        <v>#N/A</v>
      </c>
      <c r="D50" s="60" t="e">
        <v>#N/A</v>
      </c>
      <c r="E50" s="38" t="e">
        <v>#N/A</v>
      </c>
      <c r="F50" s="38" t="e">
        <v>#N/A</v>
      </c>
      <c r="G50" s="40" t="e">
        <v>#N/A</v>
      </c>
      <c r="H50" s="41" t="e">
        <v>#N/A</v>
      </c>
      <c r="I50" s="40" t="e">
        <v>#N/A</v>
      </c>
      <c r="J50" s="38" t="e">
        <v>#N/A</v>
      </c>
      <c r="K50" s="40" t="e">
        <v>#N/A</v>
      </c>
      <c r="L50" s="42" t="e">
        <v>#N/A</v>
      </c>
      <c r="M50" s="43" t="e">
        <v>#N/A</v>
      </c>
      <c r="N50" s="43" t="e">
        <v>#N/A</v>
      </c>
      <c r="O50" s="44" t="e">
        <v>#N/A</v>
      </c>
      <c r="P50" s="43" t="e">
        <v>#N/A</v>
      </c>
      <c r="Q50" s="43" t="e">
        <v>#N/A</v>
      </c>
      <c r="R50" s="43" t="e">
        <v>#N/A</v>
      </c>
      <c r="S50" s="43" t="e">
        <v>#N/A</v>
      </c>
      <c r="T50" s="43" t="e">
        <v>#N/A</v>
      </c>
      <c r="U50" s="41" t="e">
        <v>#N/A</v>
      </c>
      <c r="V50" s="66">
        <f t="shared" ca="1" si="2"/>
        <v>0</v>
      </c>
      <c r="W50" s="45"/>
      <c r="X50" s="67">
        <f t="shared" ca="1" si="0"/>
        <v>0</v>
      </c>
      <c r="Y50" s="73" t="e">
        <f ca="1">IF(ISERROR(A50),NA(),_xll.qlBondYieldFromCleanPrice(AH50,X50/C50*100,YieldDayCounter,YieldCompounding,YieldFrequency))</f>
        <v>#N/A</v>
      </c>
      <c r="Z50" s="46"/>
      <c r="AA50" s="74" t="e">
        <f t="shared" ca="1" si="3"/>
        <v>#N/A</v>
      </c>
      <c r="AB50" s="66" t="e">
        <f ca="1">IF(ISERROR(A50),IF(ISNUMBER(C50),0,NA()),_xll.qlBondCleanPriceFromYield(AH50,AA50,YieldDayCounter,YieldCompounding,YieldFrequency))</f>
        <v>#N/A</v>
      </c>
      <c r="AC50" s="45"/>
      <c r="AD50" s="67" t="e">
        <f t="shared" ca="1" si="1"/>
        <v>#N/A</v>
      </c>
      <c r="AE50" s="66" t="e">
        <f t="shared" ca="1" si="6"/>
        <v>#N/A</v>
      </c>
      <c r="AF50" s="77" t="e">
        <f t="shared" ca="1" si="5"/>
        <v>#N/A</v>
      </c>
      <c r="AG50" s="74" t="e">
        <f ca="1">IF(ISERROR(A50),NA(),_xll.qlBondYieldFromCleanPrice(AH50,AF50,YieldDayCounter,YieldCompounding,YieldFrequency))</f>
        <v>#N/A</v>
      </c>
      <c r="AH50" s="78" t="e">
        <f>_xll.qlZeroCouponBond(,,"EUR",3,"target",$C50,$B50,"f",100)</f>
        <v>#NUM!</v>
      </c>
      <c r="AJ50" s="32"/>
      <c r="AK50" s="32"/>
      <c r="AL50" s="106"/>
      <c r="AM50" s="105"/>
      <c r="AN50" s="105"/>
      <c r="AO50" s="105"/>
    </row>
    <row r="51" spans="1:41" ht="12.75" x14ac:dyDescent="0.2">
      <c r="A51" s="48" t="e">
        <f ca="1">_xll.qlYieldTSDiscount(BtpCurve,B51,,PriceTrigger)</f>
        <v>#NUM!</v>
      </c>
      <c r="B51" s="38" t="e">
        <v>#N/A</v>
      </c>
      <c r="C51" s="39" t="e">
        <v>#N/A</v>
      </c>
      <c r="D51" s="60" t="e">
        <v>#N/A</v>
      </c>
      <c r="E51" s="38" t="e">
        <v>#N/A</v>
      </c>
      <c r="F51" s="38" t="e">
        <v>#N/A</v>
      </c>
      <c r="G51" s="40" t="e">
        <v>#N/A</v>
      </c>
      <c r="H51" s="41" t="e">
        <v>#N/A</v>
      </c>
      <c r="I51" s="40" t="e">
        <v>#N/A</v>
      </c>
      <c r="J51" s="38" t="e">
        <v>#N/A</v>
      </c>
      <c r="K51" s="40" t="e">
        <v>#N/A</v>
      </c>
      <c r="L51" s="42" t="e">
        <v>#N/A</v>
      </c>
      <c r="M51" s="43" t="e">
        <v>#N/A</v>
      </c>
      <c r="N51" s="43" t="e">
        <v>#N/A</v>
      </c>
      <c r="O51" s="44" t="e">
        <v>#N/A</v>
      </c>
      <c r="P51" s="43" t="e">
        <v>#N/A</v>
      </c>
      <c r="Q51" s="43" t="e">
        <v>#N/A</v>
      </c>
      <c r="R51" s="43" t="e">
        <v>#N/A</v>
      </c>
      <c r="S51" s="43" t="e">
        <v>#N/A</v>
      </c>
      <c r="T51" s="43" t="e">
        <v>#N/A</v>
      </c>
      <c r="U51" s="41" t="e">
        <v>#N/A</v>
      </c>
      <c r="V51" s="66">
        <f t="shared" ca="1" si="2"/>
        <v>0</v>
      </c>
      <c r="W51" s="45"/>
      <c r="X51" s="67">
        <f t="shared" ca="1" si="0"/>
        <v>0</v>
      </c>
      <c r="Y51" s="73" t="e">
        <f ca="1">IF(ISERROR(A51),NA(),_xll.qlBondYieldFromCleanPrice(AH51,X51/C51*100,YieldDayCounter,YieldCompounding,YieldFrequency))</f>
        <v>#N/A</v>
      </c>
      <c r="Z51" s="46"/>
      <c r="AA51" s="74" t="e">
        <f t="shared" ca="1" si="3"/>
        <v>#N/A</v>
      </c>
      <c r="AB51" s="66" t="e">
        <f ca="1">IF(ISERROR(A51),IF(ISNUMBER(C51),0,NA()),_xll.qlBondCleanPriceFromYield(AH51,AA51,YieldDayCounter,YieldCompounding,YieldFrequency))</f>
        <v>#N/A</v>
      </c>
      <c r="AC51" s="45"/>
      <c r="AD51" s="67" t="e">
        <f t="shared" ca="1" si="1"/>
        <v>#N/A</v>
      </c>
      <c r="AE51" s="66" t="e">
        <f t="shared" ca="1" si="6"/>
        <v>#N/A</v>
      </c>
      <c r="AF51" s="77" t="e">
        <f t="shared" ca="1" si="5"/>
        <v>#N/A</v>
      </c>
      <c r="AG51" s="74" t="e">
        <f ca="1">IF(ISERROR(A51),NA(),_xll.qlBondYieldFromCleanPrice(AH51,AF51,YieldDayCounter,YieldCompounding,YieldFrequency))</f>
        <v>#N/A</v>
      </c>
      <c r="AH51" s="78" t="e">
        <f>_xll.qlZeroCouponBond(,,"EUR",3,"target",$C51,$B51,"f",100)</f>
        <v>#NUM!</v>
      </c>
      <c r="AJ51" s="32"/>
      <c r="AK51" s="32"/>
      <c r="AL51" s="106"/>
      <c r="AM51" s="105"/>
      <c r="AN51" s="105"/>
      <c r="AO51" s="105"/>
    </row>
    <row r="52" spans="1:41" ht="12.75" x14ac:dyDescent="0.2">
      <c r="A52" s="48" t="e">
        <f ca="1">_xll.qlYieldTSDiscount(BtpCurve,B52,,PriceTrigger)</f>
        <v>#NUM!</v>
      </c>
      <c r="B52" s="38" t="e">
        <v>#N/A</v>
      </c>
      <c r="C52" s="39" t="e">
        <v>#N/A</v>
      </c>
      <c r="D52" s="60" t="e">
        <v>#N/A</v>
      </c>
      <c r="E52" s="38" t="e">
        <v>#N/A</v>
      </c>
      <c r="F52" s="38" t="e">
        <v>#N/A</v>
      </c>
      <c r="G52" s="40" t="e">
        <v>#N/A</v>
      </c>
      <c r="H52" s="41" t="e">
        <v>#N/A</v>
      </c>
      <c r="I52" s="40" t="e">
        <v>#N/A</v>
      </c>
      <c r="J52" s="38" t="e">
        <v>#N/A</v>
      </c>
      <c r="K52" s="40" t="e">
        <v>#N/A</v>
      </c>
      <c r="L52" s="42" t="e">
        <v>#N/A</v>
      </c>
      <c r="M52" s="43" t="e">
        <v>#N/A</v>
      </c>
      <c r="N52" s="43" t="e">
        <v>#N/A</v>
      </c>
      <c r="O52" s="44" t="e">
        <v>#N/A</v>
      </c>
      <c r="P52" s="43" t="e">
        <v>#N/A</v>
      </c>
      <c r="Q52" s="43" t="e">
        <v>#N/A</v>
      </c>
      <c r="R52" s="43" t="e">
        <v>#N/A</v>
      </c>
      <c r="S52" s="43" t="e">
        <v>#N/A</v>
      </c>
      <c r="T52" s="43" t="e">
        <v>#N/A</v>
      </c>
      <c r="U52" s="41" t="e">
        <v>#N/A</v>
      </c>
      <c r="V52" s="66">
        <f t="shared" ca="1" si="2"/>
        <v>0</v>
      </c>
      <c r="W52" s="45"/>
      <c r="X52" s="67">
        <f t="shared" ca="1" si="0"/>
        <v>0</v>
      </c>
      <c r="Y52" s="73" t="e">
        <f ca="1">IF(ISERROR(A52),NA(),_xll.qlBondYieldFromCleanPrice(AH52,X52/C52*100,YieldDayCounter,YieldCompounding,YieldFrequency))</f>
        <v>#N/A</v>
      </c>
      <c r="Z52" s="46"/>
      <c r="AA52" s="74" t="e">
        <f t="shared" ca="1" si="3"/>
        <v>#N/A</v>
      </c>
      <c r="AB52" s="66" t="e">
        <f ca="1">IF(ISERROR(A52),IF(ISNUMBER(C52),0,NA()),_xll.qlBondCleanPriceFromYield(AH52,AA52,YieldDayCounter,YieldCompounding,YieldFrequency))</f>
        <v>#N/A</v>
      </c>
      <c r="AC52" s="45"/>
      <c r="AD52" s="67" t="e">
        <f t="shared" ca="1" si="1"/>
        <v>#N/A</v>
      </c>
      <c r="AE52" s="66" t="e">
        <f t="shared" ca="1" si="6"/>
        <v>#N/A</v>
      </c>
      <c r="AF52" s="77" t="e">
        <f t="shared" ca="1" si="5"/>
        <v>#N/A</v>
      </c>
      <c r="AG52" s="74" t="e">
        <f ca="1">IF(ISERROR(A52),NA(),_xll.qlBondYieldFromCleanPrice(AH52,AF52,YieldDayCounter,YieldCompounding,YieldFrequency))</f>
        <v>#N/A</v>
      </c>
      <c r="AH52" s="78" t="e">
        <f>_xll.qlZeroCouponBond(,,"EUR",3,"target",$C52,$B52,"f",100)</f>
        <v>#NUM!</v>
      </c>
      <c r="AJ52" s="32"/>
      <c r="AK52" s="32"/>
      <c r="AL52" s="106"/>
      <c r="AM52" s="105"/>
      <c r="AN52" s="105"/>
      <c r="AO52" s="105"/>
    </row>
    <row r="53" spans="1:41" ht="12.75" x14ac:dyDescent="0.2">
      <c r="A53" s="48" t="e">
        <f ca="1">_xll.qlYieldTSDiscount(BtpCurve,B53,,PriceTrigger)</f>
        <v>#NUM!</v>
      </c>
      <c r="B53" s="38" t="e">
        <v>#N/A</v>
      </c>
      <c r="C53" s="39" t="e">
        <v>#N/A</v>
      </c>
      <c r="D53" s="60" t="e">
        <v>#N/A</v>
      </c>
      <c r="E53" s="38" t="e">
        <v>#N/A</v>
      </c>
      <c r="F53" s="38" t="e">
        <v>#N/A</v>
      </c>
      <c r="G53" s="40" t="e">
        <v>#N/A</v>
      </c>
      <c r="H53" s="41" t="e">
        <v>#N/A</v>
      </c>
      <c r="I53" s="40" t="e">
        <v>#N/A</v>
      </c>
      <c r="J53" s="38" t="e">
        <v>#N/A</v>
      </c>
      <c r="K53" s="40" t="e">
        <v>#N/A</v>
      </c>
      <c r="L53" s="42" t="e">
        <v>#N/A</v>
      </c>
      <c r="M53" s="43" t="e">
        <v>#N/A</v>
      </c>
      <c r="N53" s="43" t="e">
        <v>#N/A</v>
      </c>
      <c r="O53" s="44" t="e">
        <v>#N/A</v>
      </c>
      <c r="P53" s="43" t="e">
        <v>#N/A</v>
      </c>
      <c r="Q53" s="43" t="e">
        <v>#N/A</v>
      </c>
      <c r="R53" s="43" t="e">
        <v>#N/A</v>
      </c>
      <c r="S53" s="43" t="e">
        <v>#N/A</v>
      </c>
      <c r="T53" s="43" t="e">
        <v>#N/A</v>
      </c>
      <c r="U53" s="41" t="e">
        <v>#N/A</v>
      </c>
      <c r="V53" s="66">
        <f t="shared" ca="1" si="2"/>
        <v>0</v>
      </c>
      <c r="W53" s="45"/>
      <c r="X53" s="67">
        <f t="shared" ca="1" si="0"/>
        <v>0</v>
      </c>
      <c r="Y53" s="73" t="e">
        <f ca="1">IF(ISERROR(A53),NA(),_xll.qlBondYieldFromCleanPrice(AH53,X53/C53*100,YieldDayCounter,YieldCompounding,YieldFrequency))</f>
        <v>#N/A</v>
      </c>
      <c r="Z53" s="46"/>
      <c r="AA53" s="74" t="e">
        <f t="shared" ca="1" si="3"/>
        <v>#N/A</v>
      </c>
      <c r="AB53" s="66" t="e">
        <f ca="1">IF(ISERROR(A53),IF(ISNUMBER(C53),0,NA()),_xll.qlBondCleanPriceFromYield(AH53,AA53,YieldDayCounter,YieldCompounding,YieldFrequency))</f>
        <v>#N/A</v>
      </c>
      <c r="AC53" s="45"/>
      <c r="AD53" s="67" t="e">
        <f t="shared" ca="1" si="1"/>
        <v>#N/A</v>
      </c>
      <c r="AE53" s="66" t="e">
        <f t="shared" ca="1" si="6"/>
        <v>#N/A</v>
      </c>
      <c r="AF53" s="77" t="e">
        <f t="shared" ca="1" si="5"/>
        <v>#N/A</v>
      </c>
      <c r="AG53" s="74" t="e">
        <f ca="1">IF(ISERROR(A53),NA(),_xll.qlBondYieldFromCleanPrice(AH53,AF53,YieldDayCounter,YieldCompounding,YieldFrequency))</f>
        <v>#N/A</v>
      </c>
      <c r="AH53" s="78" t="e">
        <f>_xll.qlZeroCouponBond(,,"EUR",3,"target",$C53,$B53,"f",100)</f>
        <v>#NUM!</v>
      </c>
      <c r="AJ53" s="32"/>
      <c r="AK53" s="32"/>
      <c r="AL53" s="106"/>
      <c r="AM53" s="105"/>
      <c r="AN53" s="105"/>
      <c r="AO53" s="105"/>
    </row>
    <row r="54" spans="1:41" ht="12.75" x14ac:dyDescent="0.2">
      <c r="A54" s="48" t="e">
        <f ca="1">_xll.qlYieldTSDiscount(BtpCurve,B54,,PriceTrigger)</f>
        <v>#NUM!</v>
      </c>
      <c r="B54" s="38" t="e">
        <v>#N/A</v>
      </c>
      <c r="C54" s="39" t="e">
        <v>#N/A</v>
      </c>
      <c r="D54" s="60" t="e">
        <v>#N/A</v>
      </c>
      <c r="E54" s="38" t="e">
        <v>#N/A</v>
      </c>
      <c r="F54" s="38" t="e">
        <v>#N/A</v>
      </c>
      <c r="G54" s="40" t="e">
        <v>#N/A</v>
      </c>
      <c r="H54" s="41" t="e">
        <v>#N/A</v>
      </c>
      <c r="I54" s="40" t="e">
        <v>#N/A</v>
      </c>
      <c r="J54" s="38" t="e">
        <v>#N/A</v>
      </c>
      <c r="K54" s="40" t="e">
        <v>#N/A</v>
      </c>
      <c r="L54" s="42" t="e">
        <v>#N/A</v>
      </c>
      <c r="M54" s="43" t="e">
        <v>#N/A</v>
      </c>
      <c r="N54" s="43" t="e">
        <v>#N/A</v>
      </c>
      <c r="O54" s="44" t="e">
        <v>#N/A</v>
      </c>
      <c r="P54" s="43" t="e">
        <v>#N/A</v>
      </c>
      <c r="Q54" s="43" t="e">
        <v>#N/A</v>
      </c>
      <c r="R54" s="43" t="e">
        <v>#N/A</v>
      </c>
      <c r="S54" s="43" t="e">
        <v>#N/A</v>
      </c>
      <c r="T54" s="43" t="e">
        <v>#N/A</v>
      </c>
      <c r="U54" s="41" t="e">
        <v>#N/A</v>
      </c>
      <c r="V54" s="66">
        <f t="shared" ca="1" si="2"/>
        <v>0</v>
      </c>
      <c r="W54" s="45"/>
      <c r="X54" s="67">
        <f t="shared" ca="1" si="0"/>
        <v>0</v>
      </c>
      <c r="Y54" s="73" t="e">
        <f ca="1">IF(ISERROR(A54),NA(),_xll.qlBondYieldFromCleanPrice(AH54,X54/C54*100,YieldDayCounter,YieldCompounding,YieldFrequency))</f>
        <v>#N/A</v>
      </c>
      <c r="Z54" s="46"/>
      <c r="AA54" s="74" t="e">
        <f t="shared" ca="1" si="3"/>
        <v>#N/A</v>
      </c>
      <c r="AB54" s="66" t="e">
        <f ca="1">IF(ISERROR(A54),IF(ISNUMBER(C54),0,NA()),_xll.qlBondCleanPriceFromYield(AH54,AA54,YieldDayCounter,YieldCompounding,YieldFrequency))</f>
        <v>#N/A</v>
      </c>
      <c r="AC54" s="45"/>
      <c r="AD54" s="67" t="e">
        <f t="shared" ca="1" si="1"/>
        <v>#N/A</v>
      </c>
      <c r="AE54" s="66" t="e">
        <f t="shared" ca="1" si="6"/>
        <v>#N/A</v>
      </c>
      <c r="AF54" s="77" t="e">
        <f t="shared" ca="1" si="5"/>
        <v>#N/A</v>
      </c>
      <c r="AG54" s="74" t="e">
        <f ca="1">IF(ISERROR(A54),NA(),_xll.qlBondYieldFromCleanPrice(AH54,AF54,YieldDayCounter,YieldCompounding,YieldFrequency))</f>
        <v>#N/A</v>
      </c>
      <c r="AH54" s="78" t="e">
        <f>_xll.qlZeroCouponBond(,,"EUR",3,"target",$C54,$B54,"f",100)</f>
        <v>#NUM!</v>
      </c>
      <c r="AJ54" s="32"/>
      <c r="AK54" s="32"/>
      <c r="AL54" s="106"/>
      <c r="AM54" s="105"/>
      <c r="AN54" s="105"/>
      <c r="AO54" s="105"/>
    </row>
    <row r="55" spans="1:41" ht="12.75" x14ac:dyDescent="0.2">
      <c r="A55" s="48" t="e">
        <f ca="1">_xll.qlYieldTSDiscount(BtpCurve,B55,,PriceTrigger)</f>
        <v>#NUM!</v>
      </c>
      <c r="B55" s="38" t="e">
        <v>#N/A</v>
      </c>
      <c r="C55" s="39" t="e">
        <v>#N/A</v>
      </c>
      <c r="D55" s="60" t="e">
        <v>#N/A</v>
      </c>
      <c r="E55" s="38" t="e">
        <v>#N/A</v>
      </c>
      <c r="F55" s="38" t="e">
        <v>#N/A</v>
      </c>
      <c r="G55" s="40" t="e">
        <v>#N/A</v>
      </c>
      <c r="H55" s="41" t="e">
        <v>#N/A</v>
      </c>
      <c r="I55" s="40" t="e">
        <v>#N/A</v>
      </c>
      <c r="J55" s="38" t="e">
        <v>#N/A</v>
      </c>
      <c r="K55" s="40" t="e">
        <v>#N/A</v>
      </c>
      <c r="L55" s="42" t="e">
        <v>#N/A</v>
      </c>
      <c r="M55" s="43" t="e">
        <v>#N/A</v>
      </c>
      <c r="N55" s="43" t="e">
        <v>#N/A</v>
      </c>
      <c r="O55" s="44" t="e">
        <v>#N/A</v>
      </c>
      <c r="P55" s="43" t="e">
        <v>#N/A</v>
      </c>
      <c r="Q55" s="43" t="e">
        <v>#N/A</v>
      </c>
      <c r="R55" s="43" t="e">
        <v>#N/A</v>
      </c>
      <c r="S55" s="43" t="e">
        <v>#N/A</v>
      </c>
      <c r="T55" s="43" t="e">
        <v>#N/A</v>
      </c>
      <c r="U55" s="41" t="e">
        <v>#N/A</v>
      </c>
      <c r="V55" s="66">
        <f t="shared" ca="1" si="2"/>
        <v>0</v>
      </c>
      <c r="W55" s="45"/>
      <c r="X55" s="67">
        <f t="shared" ca="1" si="0"/>
        <v>0</v>
      </c>
      <c r="Y55" s="73" t="e">
        <f ca="1">IF(ISERROR(A55),NA(),_xll.qlBondYieldFromCleanPrice(AH55,X55/C55*100,YieldDayCounter,YieldCompounding,YieldFrequency))</f>
        <v>#N/A</v>
      </c>
      <c r="Z55" s="46"/>
      <c r="AA55" s="74" t="e">
        <f t="shared" ca="1" si="3"/>
        <v>#N/A</v>
      </c>
      <c r="AB55" s="66" t="e">
        <f ca="1">IF(ISERROR(A55),IF(ISNUMBER(C55),0,NA()),_xll.qlBondCleanPriceFromYield(AH55,AA55,YieldDayCounter,YieldCompounding,YieldFrequency))</f>
        <v>#N/A</v>
      </c>
      <c r="AC55" s="45"/>
      <c r="AD55" s="67" t="e">
        <f t="shared" ca="1" si="1"/>
        <v>#N/A</v>
      </c>
      <c r="AE55" s="66" t="e">
        <f t="shared" ca="1" si="6"/>
        <v>#N/A</v>
      </c>
      <c r="AF55" s="77" t="e">
        <f t="shared" ca="1" si="5"/>
        <v>#N/A</v>
      </c>
      <c r="AG55" s="74" t="e">
        <f ca="1">IF(ISERROR(A55),NA(),_xll.qlBondYieldFromCleanPrice(AH55,AF55,YieldDayCounter,YieldCompounding,YieldFrequency))</f>
        <v>#N/A</v>
      </c>
      <c r="AH55" s="78" t="e">
        <f>_xll.qlZeroCouponBond(,,"EUR",3,"target",$C55,$B55,"f",100)</f>
        <v>#NUM!</v>
      </c>
      <c r="AJ55" s="32"/>
      <c r="AK55" s="32"/>
      <c r="AL55" s="106"/>
      <c r="AM55" s="105"/>
      <c r="AN55" s="105"/>
      <c r="AO55" s="105"/>
    </row>
    <row r="56" spans="1:41" ht="12.75" x14ac:dyDescent="0.2">
      <c r="A56" s="48" t="e">
        <f ca="1">_xll.qlYieldTSDiscount(BtpCurve,B56,,PriceTrigger)</f>
        <v>#NUM!</v>
      </c>
      <c r="B56" s="38" t="e">
        <v>#N/A</v>
      </c>
      <c r="C56" s="39" t="e">
        <v>#N/A</v>
      </c>
      <c r="D56" s="60" t="e">
        <v>#N/A</v>
      </c>
      <c r="E56" s="38" t="e">
        <v>#N/A</v>
      </c>
      <c r="F56" s="38" t="e">
        <v>#N/A</v>
      </c>
      <c r="G56" s="40" t="e">
        <v>#N/A</v>
      </c>
      <c r="H56" s="41" t="e">
        <v>#N/A</v>
      </c>
      <c r="I56" s="40" t="e">
        <v>#N/A</v>
      </c>
      <c r="J56" s="38" t="e">
        <v>#N/A</v>
      </c>
      <c r="K56" s="40" t="e">
        <v>#N/A</v>
      </c>
      <c r="L56" s="42" t="e">
        <v>#N/A</v>
      </c>
      <c r="M56" s="43" t="e">
        <v>#N/A</v>
      </c>
      <c r="N56" s="43" t="e">
        <v>#N/A</v>
      </c>
      <c r="O56" s="44" t="e">
        <v>#N/A</v>
      </c>
      <c r="P56" s="43" t="e">
        <v>#N/A</v>
      </c>
      <c r="Q56" s="43" t="e">
        <v>#N/A</v>
      </c>
      <c r="R56" s="43" t="e">
        <v>#N/A</v>
      </c>
      <c r="S56" s="43" t="e">
        <v>#N/A</v>
      </c>
      <c r="T56" s="43" t="e">
        <v>#N/A</v>
      </c>
      <c r="U56" s="41" t="e">
        <v>#N/A</v>
      </c>
      <c r="V56" s="66">
        <f t="shared" ca="1" si="2"/>
        <v>0</v>
      </c>
      <c r="W56" s="45"/>
      <c r="X56" s="67">
        <f t="shared" ca="1" si="0"/>
        <v>0</v>
      </c>
      <c r="Y56" s="73" t="e">
        <f ca="1">IF(ISERROR(A56),NA(),_xll.qlBondYieldFromCleanPrice(AH56,X56/C56*100,YieldDayCounter,YieldCompounding,YieldFrequency))</f>
        <v>#N/A</v>
      </c>
      <c r="Z56" s="46"/>
      <c r="AA56" s="74" t="e">
        <f t="shared" ca="1" si="3"/>
        <v>#N/A</v>
      </c>
      <c r="AB56" s="66" t="e">
        <f ca="1">IF(ISERROR(A56),IF(ISNUMBER(C56),0,NA()),_xll.qlBondCleanPriceFromYield(AH56,AA56,YieldDayCounter,YieldCompounding,YieldFrequency))</f>
        <v>#N/A</v>
      </c>
      <c r="AC56" s="45"/>
      <c r="AD56" s="67" t="e">
        <f t="shared" ca="1" si="1"/>
        <v>#N/A</v>
      </c>
      <c r="AE56" s="66" t="e">
        <f t="shared" ca="1" si="6"/>
        <v>#N/A</v>
      </c>
      <c r="AF56" s="77" t="e">
        <f t="shared" ca="1" si="5"/>
        <v>#N/A</v>
      </c>
      <c r="AG56" s="74" t="e">
        <f ca="1">IF(ISERROR(A56),NA(),_xll.qlBondYieldFromCleanPrice(AH56,AF56,YieldDayCounter,YieldCompounding,YieldFrequency))</f>
        <v>#N/A</v>
      </c>
      <c r="AH56" s="78" t="e">
        <f>_xll.qlZeroCouponBond(,,"EUR",3,"target",$C56,$B56,"f",100)</f>
        <v>#NUM!</v>
      </c>
      <c r="AJ56" s="32"/>
      <c r="AK56" s="32"/>
      <c r="AL56" s="106"/>
      <c r="AM56" s="105"/>
      <c r="AN56" s="105"/>
      <c r="AO56" s="105"/>
    </row>
    <row r="57" spans="1:41" ht="12.75" x14ac:dyDescent="0.2">
      <c r="A57" s="48" t="e">
        <f ca="1">_xll.qlYieldTSDiscount(BtpCurve,B57,,PriceTrigger)</f>
        <v>#NUM!</v>
      </c>
      <c r="B57" s="38" t="e">
        <v>#N/A</v>
      </c>
      <c r="C57" s="39" t="e">
        <v>#N/A</v>
      </c>
      <c r="D57" s="60" t="e">
        <v>#N/A</v>
      </c>
      <c r="E57" s="38" t="e">
        <v>#N/A</v>
      </c>
      <c r="F57" s="38" t="e">
        <v>#N/A</v>
      </c>
      <c r="G57" s="40" t="e">
        <v>#N/A</v>
      </c>
      <c r="H57" s="41" t="e">
        <v>#N/A</v>
      </c>
      <c r="I57" s="40" t="e">
        <v>#N/A</v>
      </c>
      <c r="J57" s="38" t="e">
        <v>#N/A</v>
      </c>
      <c r="K57" s="40" t="e">
        <v>#N/A</v>
      </c>
      <c r="L57" s="42" t="e">
        <v>#N/A</v>
      </c>
      <c r="M57" s="43" t="e">
        <v>#N/A</v>
      </c>
      <c r="N57" s="43" t="e">
        <v>#N/A</v>
      </c>
      <c r="O57" s="44" t="e">
        <v>#N/A</v>
      </c>
      <c r="P57" s="43" t="e">
        <v>#N/A</v>
      </c>
      <c r="Q57" s="43" t="e">
        <v>#N/A</v>
      </c>
      <c r="R57" s="43" t="e">
        <v>#N/A</v>
      </c>
      <c r="S57" s="43" t="e">
        <v>#N/A</v>
      </c>
      <c r="T57" s="43" t="e">
        <v>#N/A</v>
      </c>
      <c r="U57" s="41" t="e">
        <v>#N/A</v>
      </c>
      <c r="V57" s="66">
        <f t="shared" ca="1" si="2"/>
        <v>0</v>
      </c>
      <c r="W57" s="45"/>
      <c r="X57" s="67">
        <f t="shared" ca="1" si="0"/>
        <v>0</v>
      </c>
      <c r="Y57" s="73" t="e">
        <f ca="1">IF(ISERROR(A57),NA(),_xll.qlBondYieldFromCleanPrice(AH57,X57/C57*100,YieldDayCounter,YieldCompounding,YieldFrequency))</f>
        <v>#N/A</v>
      </c>
      <c r="Z57" s="46"/>
      <c r="AA57" s="74" t="e">
        <f t="shared" ca="1" si="3"/>
        <v>#N/A</v>
      </c>
      <c r="AB57" s="66" t="e">
        <f ca="1">IF(ISERROR(A57),IF(ISNUMBER(C57),0,NA()),_xll.qlBondCleanPriceFromYield(AH57,AA57,YieldDayCounter,YieldCompounding,YieldFrequency))</f>
        <v>#N/A</v>
      </c>
      <c r="AC57" s="45"/>
      <c r="AD57" s="67" t="e">
        <f t="shared" ca="1" si="1"/>
        <v>#N/A</v>
      </c>
      <c r="AE57" s="66" t="e">
        <f t="shared" ca="1" si="6"/>
        <v>#N/A</v>
      </c>
      <c r="AF57" s="77" t="e">
        <f t="shared" ca="1" si="5"/>
        <v>#N/A</v>
      </c>
      <c r="AG57" s="74" t="e">
        <f ca="1">IF(ISERROR(A57),NA(),_xll.qlBondYieldFromCleanPrice(AH57,AF57,YieldDayCounter,YieldCompounding,YieldFrequency))</f>
        <v>#N/A</v>
      </c>
      <c r="AH57" s="78" t="e">
        <f>_xll.qlZeroCouponBond(,,"EUR",3,"target",$C57,$B57,"f",100)</f>
        <v>#NUM!</v>
      </c>
      <c r="AJ57" s="32"/>
      <c r="AK57" s="32"/>
      <c r="AL57" s="106"/>
      <c r="AM57" s="105"/>
      <c r="AN57" s="105"/>
      <c r="AO57" s="105"/>
    </row>
    <row r="58" spans="1:41" ht="12.75" x14ac:dyDescent="0.2">
      <c r="A58" s="48" t="e">
        <f ca="1">_xll.qlYieldTSDiscount(BtpCurve,B58,,PriceTrigger)</f>
        <v>#NUM!</v>
      </c>
      <c r="B58" s="38" t="e">
        <v>#N/A</v>
      </c>
      <c r="C58" s="39" t="e">
        <v>#N/A</v>
      </c>
      <c r="D58" s="60" t="e">
        <v>#N/A</v>
      </c>
      <c r="E58" s="38" t="e">
        <v>#N/A</v>
      </c>
      <c r="F58" s="38" t="e">
        <v>#N/A</v>
      </c>
      <c r="G58" s="40" t="e">
        <v>#N/A</v>
      </c>
      <c r="H58" s="41" t="e">
        <v>#N/A</v>
      </c>
      <c r="I58" s="40" t="e">
        <v>#N/A</v>
      </c>
      <c r="J58" s="38" t="e">
        <v>#N/A</v>
      </c>
      <c r="K58" s="40" t="e">
        <v>#N/A</v>
      </c>
      <c r="L58" s="42" t="e">
        <v>#N/A</v>
      </c>
      <c r="M58" s="43" t="e">
        <v>#N/A</v>
      </c>
      <c r="N58" s="43" t="e">
        <v>#N/A</v>
      </c>
      <c r="O58" s="44" t="e">
        <v>#N/A</v>
      </c>
      <c r="P58" s="43" t="e">
        <v>#N/A</v>
      </c>
      <c r="Q58" s="43" t="e">
        <v>#N/A</v>
      </c>
      <c r="R58" s="43" t="e">
        <v>#N/A</v>
      </c>
      <c r="S58" s="43" t="e">
        <v>#N/A</v>
      </c>
      <c r="T58" s="43" t="e">
        <v>#N/A</v>
      </c>
      <c r="U58" s="41" t="e">
        <v>#N/A</v>
      </c>
      <c r="V58" s="66">
        <f t="shared" ca="1" si="2"/>
        <v>0</v>
      </c>
      <c r="W58" s="45"/>
      <c r="X58" s="67">
        <f t="shared" ca="1" si="0"/>
        <v>0</v>
      </c>
      <c r="Y58" s="73" t="e">
        <f ca="1">IF(ISERROR(A58),NA(),_xll.qlBondYieldFromCleanPrice(AH58,X58/C58*100,YieldDayCounter,YieldCompounding,YieldFrequency))</f>
        <v>#N/A</v>
      </c>
      <c r="Z58" s="46"/>
      <c r="AA58" s="74" t="e">
        <f t="shared" ca="1" si="3"/>
        <v>#N/A</v>
      </c>
      <c r="AB58" s="66" t="e">
        <f ca="1">IF(ISERROR(A58),IF(ISNUMBER(C58),0,NA()),_xll.qlBondCleanPriceFromYield(AH58,AA58,YieldDayCounter,YieldCompounding,YieldFrequency))</f>
        <v>#N/A</v>
      </c>
      <c r="AC58" s="45"/>
      <c r="AD58" s="67" t="e">
        <f t="shared" ca="1" si="1"/>
        <v>#N/A</v>
      </c>
      <c r="AE58" s="66" t="e">
        <f t="shared" ca="1" si="6"/>
        <v>#N/A</v>
      </c>
      <c r="AF58" s="77" t="e">
        <f t="shared" ca="1" si="5"/>
        <v>#N/A</v>
      </c>
      <c r="AG58" s="74" t="e">
        <f ca="1">IF(ISERROR(A58),NA(),_xll.qlBondYieldFromCleanPrice(AH58,AF58,YieldDayCounter,YieldCompounding,YieldFrequency))</f>
        <v>#N/A</v>
      </c>
      <c r="AH58" s="78" t="e">
        <f>_xll.qlZeroCouponBond(,,"EUR",3,"target",$C58,$B58,"f",100)</f>
        <v>#NUM!</v>
      </c>
      <c r="AJ58" s="32"/>
      <c r="AK58" s="32"/>
      <c r="AL58" s="106"/>
      <c r="AM58" s="105"/>
      <c r="AN58" s="105"/>
      <c r="AO58" s="105"/>
    </row>
    <row r="59" spans="1:41" ht="12.75" x14ac:dyDescent="0.2">
      <c r="A59" s="48" t="e">
        <f ca="1">_xll.qlYieldTSDiscount(BtpCurve,B59,,PriceTrigger)</f>
        <v>#NUM!</v>
      </c>
      <c r="B59" s="38" t="e">
        <v>#N/A</v>
      </c>
      <c r="C59" s="39" t="e">
        <v>#N/A</v>
      </c>
      <c r="D59" s="60" t="e">
        <v>#N/A</v>
      </c>
      <c r="E59" s="38" t="e">
        <v>#N/A</v>
      </c>
      <c r="F59" s="38" t="e">
        <v>#N/A</v>
      </c>
      <c r="G59" s="40" t="e">
        <v>#N/A</v>
      </c>
      <c r="H59" s="41" t="e">
        <v>#N/A</v>
      </c>
      <c r="I59" s="40" t="e">
        <v>#N/A</v>
      </c>
      <c r="J59" s="38" t="e">
        <v>#N/A</v>
      </c>
      <c r="K59" s="40" t="e">
        <v>#N/A</v>
      </c>
      <c r="L59" s="42" t="e">
        <v>#N/A</v>
      </c>
      <c r="M59" s="43" t="e">
        <v>#N/A</v>
      </c>
      <c r="N59" s="43" t="e">
        <v>#N/A</v>
      </c>
      <c r="O59" s="44" t="e">
        <v>#N/A</v>
      </c>
      <c r="P59" s="43" t="e">
        <v>#N/A</v>
      </c>
      <c r="Q59" s="43" t="e">
        <v>#N/A</v>
      </c>
      <c r="R59" s="43" t="e">
        <v>#N/A</v>
      </c>
      <c r="S59" s="43" t="e">
        <v>#N/A</v>
      </c>
      <c r="T59" s="43" t="e">
        <v>#N/A</v>
      </c>
      <c r="U59" s="41" t="e">
        <v>#N/A</v>
      </c>
      <c r="V59" s="66">
        <f t="shared" ca="1" si="2"/>
        <v>0</v>
      </c>
      <c r="W59" s="45"/>
      <c r="X59" s="67">
        <f t="shared" ca="1" si="0"/>
        <v>0</v>
      </c>
      <c r="Y59" s="73" t="e">
        <f ca="1">IF(ISERROR(A59),NA(),_xll.qlBondYieldFromCleanPrice(AH59,X59/C59*100,YieldDayCounter,YieldCompounding,YieldFrequency))</f>
        <v>#N/A</v>
      </c>
      <c r="Z59" s="46"/>
      <c r="AA59" s="74" t="e">
        <f t="shared" ca="1" si="3"/>
        <v>#N/A</v>
      </c>
      <c r="AB59" s="66" t="e">
        <f ca="1">IF(ISERROR(A59),IF(ISNUMBER(C59),0,NA()),_xll.qlBondCleanPriceFromYield(AH59,AA59,YieldDayCounter,YieldCompounding,YieldFrequency))</f>
        <v>#N/A</v>
      </c>
      <c r="AC59" s="45"/>
      <c r="AD59" s="67" t="e">
        <f t="shared" ca="1" si="1"/>
        <v>#N/A</v>
      </c>
      <c r="AE59" s="66" t="e">
        <f t="shared" ca="1" si="6"/>
        <v>#N/A</v>
      </c>
      <c r="AF59" s="77" t="e">
        <f t="shared" ca="1" si="5"/>
        <v>#N/A</v>
      </c>
      <c r="AG59" s="74" t="e">
        <f ca="1">IF(ISERROR(A59),NA(),_xll.qlBondYieldFromCleanPrice(AH59,AF59,YieldDayCounter,YieldCompounding,YieldFrequency))</f>
        <v>#N/A</v>
      </c>
      <c r="AH59" s="78" t="e">
        <f>_xll.qlZeroCouponBond(,,"EUR",3,"target",$C59,$B59,"f",100)</f>
        <v>#NUM!</v>
      </c>
      <c r="AJ59" s="32"/>
      <c r="AK59" s="32"/>
      <c r="AL59" s="106"/>
      <c r="AM59" s="105"/>
      <c r="AN59" s="105"/>
      <c r="AO59" s="105"/>
    </row>
    <row r="60" spans="1:41" ht="12.75" x14ac:dyDescent="0.2">
      <c r="A60" s="48" t="e">
        <f ca="1">_xll.qlYieldTSDiscount(BtpCurve,B60,,PriceTrigger)</f>
        <v>#NUM!</v>
      </c>
      <c r="B60" s="38" t="e">
        <v>#N/A</v>
      </c>
      <c r="C60" s="39" t="e">
        <v>#N/A</v>
      </c>
      <c r="D60" s="60" t="e">
        <v>#N/A</v>
      </c>
      <c r="E60" s="38" t="e">
        <v>#N/A</v>
      </c>
      <c r="F60" s="38" t="e">
        <v>#N/A</v>
      </c>
      <c r="G60" s="40" t="e">
        <v>#N/A</v>
      </c>
      <c r="H60" s="41" t="e">
        <v>#N/A</v>
      </c>
      <c r="I60" s="40" t="e">
        <v>#N/A</v>
      </c>
      <c r="J60" s="38" t="e">
        <v>#N/A</v>
      </c>
      <c r="K60" s="40" t="e">
        <v>#N/A</v>
      </c>
      <c r="L60" s="42" t="e">
        <v>#N/A</v>
      </c>
      <c r="M60" s="43" t="e">
        <v>#N/A</v>
      </c>
      <c r="N60" s="43" t="e">
        <v>#N/A</v>
      </c>
      <c r="O60" s="44" t="e">
        <v>#N/A</v>
      </c>
      <c r="P60" s="43" t="e">
        <v>#N/A</v>
      </c>
      <c r="Q60" s="43" t="e">
        <v>#N/A</v>
      </c>
      <c r="R60" s="43" t="e">
        <v>#N/A</v>
      </c>
      <c r="S60" s="43" t="e">
        <v>#N/A</v>
      </c>
      <c r="T60" s="43" t="e">
        <v>#N/A</v>
      </c>
      <c r="U60" s="41" t="e">
        <v>#N/A</v>
      </c>
      <c r="V60" s="66">
        <f t="shared" ca="1" si="2"/>
        <v>0</v>
      </c>
      <c r="W60" s="45"/>
      <c r="X60" s="67">
        <f t="shared" ca="1" si="0"/>
        <v>0</v>
      </c>
      <c r="Y60" s="73" t="e">
        <f ca="1">IF(ISERROR(A60),NA(),_xll.qlBondYieldFromCleanPrice(AH60,X60/C60*100,YieldDayCounter,YieldCompounding,YieldFrequency))</f>
        <v>#N/A</v>
      </c>
      <c r="Z60" s="46"/>
      <c r="AA60" s="74" t="e">
        <f t="shared" ca="1" si="3"/>
        <v>#N/A</v>
      </c>
      <c r="AB60" s="66" t="e">
        <f ca="1">IF(ISERROR(A60),IF(ISNUMBER(C60),0,NA()),_xll.qlBondCleanPriceFromYield(AH60,AA60,YieldDayCounter,YieldCompounding,YieldFrequency))</f>
        <v>#N/A</v>
      </c>
      <c r="AC60" s="45"/>
      <c r="AD60" s="67" t="e">
        <f t="shared" ca="1" si="1"/>
        <v>#N/A</v>
      </c>
      <c r="AE60" s="66" t="e">
        <f t="shared" ca="1" si="6"/>
        <v>#N/A</v>
      </c>
      <c r="AF60" s="77" t="e">
        <f t="shared" ca="1" si="5"/>
        <v>#N/A</v>
      </c>
      <c r="AG60" s="74" t="e">
        <f ca="1">IF(ISERROR(A60),NA(),_xll.qlBondYieldFromCleanPrice(AH60,AF60,YieldDayCounter,YieldCompounding,YieldFrequency))</f>
        <v>#N/A</v>
      </c>
      <c r="AH60" s="78" t="e">
        <f>_xll.qlZeroCouponBond(,,"EUR",3,"target",$C60,$B60,"f",100)</f>
        <v>#NUM!</v>
      </c>
      <c r="AJ60" s="32"/>
      <c r="AK60" s="32"/>
      <c r="AL60" s="106"/>
      <c r="AM60" s="105"/>
      <c r="AN60" s="105"/>
      <c r="AO60" s="105"/>
    </row>
    <row r="61" spans="1:41" ht="12.75" x14ac:dyDescent="0.2">
      <c r="A61" s="48" t="e">
        <f ca="1">_xll.qlYieldTSDiscount(BtpCurve,B61,,PriceTrigger)</f>
        <v>#NUM!</v>
      </c>
      <c r="B61" s="38" t="e">
        <v>#N/A</v>
      </c>
      <c r="C61" s="39" t="e">
        <v>#N/A</v>
      </c>
      <c r="D61" s="60" t="e">
        <v>#N/A</v>
      </c>
      <c r="E61" s="38" t="e">
        <v>#N/A</v>
      </c>
      <c r="F61" s="38" t="e">
        <v>#N/A</v>
      </c>
      <c r="G61" s="40" t="e">
        <v>#N/A</v>
      </c>
      <c r="H61" s="41" t="e">
        <v>#N/A</v>
      </c>
      <c r="I61" s="40" t="e">
        <v>#N/A</v>
      </c>
      <c r="J61" s="38" t="e">
        <v>#N/A</v>
      </c>
      <c r="K61" s="40" t="e">
        <v>#N/A</v>
      </c>
      <c r="L61" s="42" t="e">
        <v>#N/A</v>
      </c>
      <c r="M61" s="43" t="e">
        <v>#N/A</v>
      </c>
      <c r="N61" s="43" t="e">
        <v>#N/A</v>
      </c>
      <c r="O61" s="44" t="e">
        <v>#N/A</v>
      </c>
      <c r="P61" s="43" t="e">
        <v>#N/A</v>
      </c>
      <c r="Q61" s="43" t="e">
        <v>#N/A</v>
      </c>
      <c r="R61" s="43" t="e">
        <v>#N/A</v>
      </c>
      <c r="S61" s="43" t="e">
        <v>#N/A</v>
      </c>
      <c r="T61" s="43" t="e">
        <v>#N/A</v>
      </c>
      <c r="U61" s="41" t="e">
        <v>#N/A</v>
      </c>
      <c r="V61" s="66">
        <f t="shared" ca="1" si="2"/>
        <v>0</v>
      </c>
      <c r="W61" s="45"/>
      <c r="X61" s="67">
        <f t="shared" ca="1" si="0"/>
        <v>0</v>
      </c>
      <c r="Y61" s="73" t="e">
        <f ca="1">IF(ISERROR(A61),NA(),_xll.qlBondYieldFromCleanPrice(AH61,X61/C61*100,YieldDayCounter,YieldCompounding,YieldFrequency))</f>
        <v>#N/A</v>
      </c>
      <c r="Z61" s="46"/>
      <c r="AA61" s="74" t="e">
        <f t="shared" ca="1" si="3"/>
        <v>#N/A</v>
      </c>
      <c r="AB61" s="66" t="e">
        <f ca="1">IF(ISERROR(A61),IF(ISNUMBER(C61),0,NA()),_xll.qlBondCleanPriceFromYield(AH61,AA61,YieldDayCounter,YieldCompounding,YieldFrequency))</f>
        <v>#N/A</v>
      </c>
      <c r="AC61" s="45"/>
      <c r="AD61" s="67" t="e">
        <f t="shared" ca="1" si="1"/>
        <v>#N/A</v>
      </c>
      <c r="AE61" s="66" t="e">
        <f t="shared" ca="1" si="6"/>
        <v>#N/A</v>
      </c>
      <c r="AF61" s="77" t="e">
        <f t="shared" ca="1" si="5"/>
        <v>#N/A</v>
      </c>
      <c r="AG61" s="74" t="e">
        <f ca="1">IF(ISERROR(A61),NA(),_xll.qlBondYieldFromCleanPrice(AH61,AF61,YieldDayCounter,YieldCompounding,YieldFrequency))</f>
        <v>#N/A</v>
      </c>
      <c r="AH61" s="78" t="e">
        <f>_xll.qlZeroCouponBond(,,"EUR",3,"target",$C61,$B61,"f",100)</f>
        <v>#NUM!</v>
      </c>
      <c r="AJ61" s="32"/>
      <c r="AK61" s="32"/>
      <c r="AL61" s="106"/>
      <c r="AM61" s="105"/>
      <c r="AN61" s="105"/>
      <c r="AO61" s="105"/>
    </row>
    <row r="62" spans="1:41" ht="12.75" x14ac:dyDescent="0.2">
      <c r="A62" s="48" t="e">
        <f ca="1">_xll.qlYieldTSDiscount(BtpCurve,B62,,PriceTrigger)</f>
        <v>#NUM!</v>
      </c>
      <c r="B62" s="38" t="e">
        <v>#N/A</v>
      </c>
      <c r="C62" s="39" t="e">
        <v>#N/A</v>
      </c>
      <c r="D62" s="60" t="e">
        <v>#N/A</v>
      </c>
      <c r="E62" s="38" t="e">
        <v>#N/A</v>
      </c>
      <c r="F62" s="38" t="e">
        <v>#N/A</v>
      </c>
      <c r="G62" s="40" t="e">
        <v>#N/A</v>
      </c>
      <c r="H62" s="41" t="e">
        <v>#N/A</v>
      </c>
      <c r="I62" s="40" t="e">
        <v>#N/A</v>
      </c>
      <c r="J62" s="38" t="e">
        <v>#N/A</v>
      </c>
      <c r="K62" s="40" t="e">
        <v>#N/A</v>
      </c>
      <c r="L62" s="42" t="e">
        <v>#N/A</v>
      </c>
      <c r="M62" s="43" t="e">
        <v>#N/A</v>
      </c>
      <c r="N62" s="43" t="e">
        <v>#N/A</v>
      </c>
      <c r="O62" s="44" t="e">
        <v>#N/A</v>
      </c>
      <c r="P62" s="43" t="e">
        <v>#N/A</v>
      </c>
      <c r="Q62" s="43" t="e">
        <v>#N/A</v>
      </c>
      <c r="R62" s="43" t="e">
        <v>#N/A</v>
      </c>
      <c r="S62" s="43" t="e">
        <v>#N/A</v>
      </c>
      <c r="T62" s="43" t="e">
        <v>#N/A</v>
      </c>
      <c r="U62" s="41" t="e">
        <v>#N/A</v>
      </c>
      <c r="V62" s="66">
        <f t="shared" ca="1" si="2"/>
        <v>0</v>
      </c>
      <c r="W62" s="45"/>
      <c r="X62" s="67">
        <f t="shared" ca="1" si="0"/>
        <v>0</v>
      </c>
      <c r="Y62" s="73" t="e">
        <f ca="1">IF(ISERROR(A62),NA(),_xll.qlBondYieldFromCleanPrice(AH62,X62/C62*100,YieldDayCounter,YieldCompounding,YieldFrequency))</f>
        <v>#N/A</v>
      </c>
      <c r="Z62" s="46"/>
      <c r="AA62" s="74" t="e">
        <f t="shared" ca="1" si="3"/>
        <v>#N/A</v>
      </c>
      <c r="AB62" s="66" t="e">
        <f ca="1">IF(ISERROR(A62),IF(ISNUMBER(C62),0,NA()),_xll.qlBondCleanPriceFromYield(AH62,AA62,YieldDayCounter,YieldCompounding,YieldFrequency))</f>
        <v>#N/A</v>
      </c>
      <c r="AC62" s="45"/>
      <c r="AD62" s="67" t="e">
        <f t="shared" ca="1" si="1"/>
        <v>#N/A</v>
      </c>
      <c r="AE62" s="66" t="e">
        <f t="shared" ca="1" si="6"/>
        <v>#N/A</v>
      </c>
      <c r="AF62" s="77" t="e">
        <f t="shared" ca="1" si="5"/>
        <v>#N/A</v>
      </c>
      <c r="AG62" s="74" t="e">
        <f ca="1">IF(ISERROR(A62),NA(),_xll.qlBondYieldFromCleanPrice(AH62,AF62,YieldDayCounter,YieldCompounding,YieldFrequency))</f>
        <v>#N/A</v>
      </c>
      <c r="AH62" s="78" t="e">
        <f>_xll.qlZeroCouponBond(,,"EUR",3,"target",$C62,$B62,"f",100)</f>
        <v>#NUM!</v>
      </c>
      <c r="AJ62" s="32"/>
      <c r="AK62" s="32"/>
      <c r="AL62" s="106"/>
      <c r="AM62" s="105"/>
      <c r="AN62" s="105"/>
      <c r="AO62" s="105"/>
    </row>
    <row r="63" spans="1:41" ht="12.75" x14ac:dyDescent="0.2">
      <c r="A63" s="48" t="e">
        <f ca="1">_xll.qlYieldTSDiscount(BtpCurve,B63,,PriceTrigger)</f>
        <v>#NUM!</v>
      </c>
      <c r="B63" s="38" t="e">
        <v>#N/A</v>
      </c>
      <c r="C63" s="39" t="e">
        <v>#N/A</v>
      </c>
      <c r="D63" s="60" t="e">
        <v>#N/A</v>
      </c>
      <c r="E63" s="38" t="e">
        <v>#N/A</v>
      </c>
      <c r="F63" s="38" t="e">
        <v>#N/A</v>
      </c>
      <c r="G63" s="40" t="e">
        <v>#N/A</v>
      </c>
      <c r="H63" s="41" t="e">
        <v>#N/A</v>
      </c>
      <c r="I63" s="40" t="e">
        <v>#N/A</v>
      </c>
      <c r="J63" s="38" t="e">
        <v>#N/A</v>
      </c>
      <c r="K63" s="40" t="e">
        <v>#N/A</v>
      </c>
      <c r="L63" s="42" t="e">
        <v>#N/A</v>
      </c>
      <c r="M63" s="43" t="e">
        <v>#N/A</v>
      </c>
      <c r="N63" s="43" t="e">
        <v>#N/A</v>
      </c>
      <c r="O63" s="44" t="e">
        <v>#N/A</v>
      </c>
      <c r="P63" s="43" t="e">
        <v>#N/A</v>
      </c>
      <c r="Q63" s="43" t="e">
        <v>#N/A</v>
      </c>
      <c r="R63" s="43" t="e">
        <v>#N/A</v>
      </c>
      <c r="S63" s="43" t="e">
        <v>#N/A</v>
      </c>
      <c r="T63" s="43" t="e">
        <v>#N/A</v>
      </c>
      <c r="U63" s="41" t="e">
        <v>#N/A</v>
      </c>
      <c r="V63" s="66">
        <f t="shared" ca="1" si="2"/>
        <v>0</v>
      </c>
      <c r="W63" s="45"/>
      <c r="X63" s="67">
        <f t="shared" ca="1" si="0"/>
        <v>0</v>
      </c>
      <c r="Y63" s="73" t="e">
        <f ca="1">IF(ISERROR(A63),NA(),_xll.qlBondYieldFromCleanPrice(AH63,X63/C63*100,YieldDayCounter,YieldCompounding,YieldFrequency))</f>
        <v>#N/A</v>
      </c>
      <c r="Z63" s="46"/>
      <c r="AA63" s="74" t="e">
        <f t="shared" ca="1" si="3"/>
        <v>#N/A</v>
      </c>
      <c r="AB63" s="66" t="e">
        <f ca="1">IF(ISERROR(A63),IF(ISNUMBER(C63),0,NA()),_xll.qlBondCleanPriceFromYield(AH63,AA63,YieldDayCounter,YieldCompounding,YieldFrequency))</f>
        <v>#N/A</v>
      </c>
      <c r="AC63" s="45"/>
      <c r="AD63" s="67" t="e">
        <f t="shared" ca="1" si="1"/>
        <v>#N/A</v>
      </c>
      <c r="AE63" s="66" t="e">
        <f t="shared" ca="1" si="6"/>
        <v>#N/A</v>
      </c>
      <c r="AF63" s="77" t="e">
        <f t="shared" ca="1" si="5"/>
        <v>#N/A</v>
      </c>
      <c r="AG63" s="74" t="e">
        <f ca="1">IF(ISERROR(A63),NA(),_xll.qlBondYieldFromCleanPrice(AH63,AF63,YieldDayCounter,YieldCompounding,YieldFrequency))</f>
        <v>#N/A</v>
      </c>
      <c r="AH63" s="78" t="e">
        <f>_xll.qlZeroCouponBond(,,"EUR",3,"target",$C63,$B63,"f",100)</f>
        <v>#NUM!</v>
      </c>
      <c r="AJ63" s="32"/>
      <c r="AK63" s="32"/>
      <c r="AL63" s="106"/>
      <c r="AM63" s="105"/>
      <c r="AN63" s="105"/>
      <c r="AO63" s="105"/>
    </row>
    <row r="64" spans="1:41" ht="12.75" x14ac:dyDescent="0.2">
      <c r="A64" s="48" t="e">
        <f ca="1">_xll.qlYieldTSDiscount(BtpCurve,B64,,PriceTrigger)</f>
        <v>#NUM!</v>
      </c>
      <c r="B64" s="38" t="e">
        <v>#N/A</v>
      </c>
      <c r="C64" s="39" t="e">
        <v>#N/A</v>
      </c>
      <c r="D64" s="60" t="e">
        <v>#N/A</v>
      </c>
      <c r="E64" s="38" t="e">
        <v>#N/A</v>
      </c>
      <c r="F64" s="38" t="e">
        <v>#N/A</v>
      </c>
      <c r="G64" s="40" t="e">
        <v>#N/A</v>
      </c>
      <c r="H64" s="41" t="e">
        <v>#N/A</v>
      </c>
      <c r="I64" s="40" t="e">
        <v>#N/A</v>
      </c>
      <c r="J64" s="38" t="e">
        <v>#N/A</v>
      </c>
      <c r="K64" s="40" t="e">
        <v>#N/A</v>
      </c>
      <c r="L64" s="42" t="e">
        <v>#N/A</v>
      </c>
      <c r="M64" s="43" t="e">
        <v>#N/A</v>
      </c>
      <c r="N64" s="43" t="e">
        <v>#N/A</v>
      </c>
      <c r="O64" s="44" t="e">
        <v>#N/A</v>
      </c>
      <c r="P64" s="43" t="e">
        <v>#N/A</v>
      </c>
      <c r="Q64" s="43" t="e">
        <v>#N/A</v>
      </c>
      <c r="R64" s="43" t="e">
        <v>#N/A</v>
      </c>
      <c r="S64" s="43" t="e">
        <v>#N/A</v>
      </c>
      <c r="T64" s="43" t="e">
        <v>#N/A</v>
      </c>
      <c r="U64" s="41" t="e">
        <v>#N/A</v>
      </c>
      <c r="V64" s="66">
        <f t="shared" ca="1" si="2"/>
        <v>0</v>
      </c>
      <c r="W64" s="45"/>
      <c r="X64" s="67">
        <f t="shared" ca="1" si="0"/>
        <v>0</v>
      </c>
      <c r="Y64" s="73" t="e">
        <f ca="1">IF(ISERROR(A64),NA(),_xll.qlBondYieldFromCleanPrice(AH64,X64/C64*100,YieldDayCounter,YieldCompounding,YieldFrequency))</f>
        <v>#N/A</v>
      </c>
      <c r="Z64" s="46"/>
      <c r="AA64" s="74" t="e">
        <f t="shared" ca="1" si="3"/>
        <v>#N/A</v>
      </c>
      <c r="AB64" s="66" t="e">
        <f ca="1">IF(ISERROR(A64),IF(ISNUMBER(C64),0,NA()),_xll.qlBondCleanPriceFromYield(AH64,AA64,YieldDayCounter,YieldCompounding,YieldFrequency))</f>
        <v>#N/A</v>
      </c>
      <c r="AC64" s="45"/>
      <c r="AD64" s="67" t="e">
        <f t="shared" ca="1" si="1"/>
        <v>#N/A</v>
      </c>
      <c r="AE64" s="66" t="e">
        <f t="shared" ca="1" si="6"/>
        <v>#N/A</v>
      </c>
      <c r="AF64" s="77" t="e">
        <f t="shared" ca="1" si="5"/>
        <v>#N/A</v>
      </c>
      <c r="AG64" s="74" t="e">
        <f ca="1">IF(ISERROR(A64),NA(),_xll.qlBondYieldFromCleanPrice(AH64,AF64,YieldDayCounter,YieldCompounding,YieldFrequency))</f>
        <v>#N/A</v>
      </c>
      <c r="AH64" s="78" t="e">
        <f>_xll.qlZeroCouponBond(,,"EUR",3,"target",$C64,$B64,"f",100)</f>
        <v>#NUM!</v>
      </c>
      <c r="AJ64" s="32"/>
      <c r="AK64" s="32"/>
      <c r="AL64" s="106"/>
      <c r="AM64" s="105"/>
      <c r="AN64" s="105"/>
      <c r="AO64" s="105"/>
    </row>
    <row r="65" spans="1:44" x14ac:dyDescent="0.2">
      <c r="A65" s="48" t="e">
        <f ca="1">_xll.qlYieldTSDiscount(BtpCurve,B65,,PriceTrigger)</f>
        <v>#NUM!</v>
      </c>
      <c r="B65" s="38" t="e">
        <v>#N/A</v>
      </c>
      <c r="C65" s="39" t="e">
        <v>#N/A</v>
      </c>
      <c r="D65" s="60" t="e">
        <v>#N/A</v>
      </c>
      <c r="E65" s="38" t="e">
        <v>#N/A</v>
      </c>
      <c r="F65" s="38" t="e">
        <v>#N/A</v>
      </c>
      <c r="G65" s="40" t="e">
        <v>#N/A</v>
      </c>
      <c r="H65" s="41" t="e">
        <v>#N/A</v>
      </c>
      <c r="I65" s="40" t="e">
        <v>#N/A</v>
      </c>
      <c r="J65" s="38" t="e">
        <v>#N/A</v>
      </c>
      <c r="K65" s="40" t="e">
        <v>#N/A</v>
      </c>
      <c r="L65" s="42" t="e">
        <v>#N/A</v>
      </c>
      <c r="M65" s="43" t="e">
        <v>#N/A</v>
      </c>
      <c r="N65" s="43" t="e">
        <v>#N/A</v>
      </c>
      <c r="O65" s="44" t="e">
        <v>#N/A</v>
      </c>
      <c r="P65" s="43" t="e">
        <v>#N/A</v>
      </c>
      <c r="Q65" s="43" t="e">
        <v>#N/A</v>
      </c>
      <c r="R65" s="43" t="e">
        <v>#N/A</v>
      </c>
      <c r="S65" s="43" t="e">
        <v>#N/A</v>
      </c>
      <c r="T65" s="43" t="e">
        <v>#N/A</v>
      </c>
      <c r="U65" s="41" t="e">
        <v>#N/A</v>
      </c>
      <c r="V65" s="66">
        <f t="shared" ca="1" si="2"/>
        <v>0</v>
      </c>
      <c r="W65" s="45"/>
      <c r="X65" s="67">
        <f t="shared" ca="1" si="0"/>
        <v>0</v>
      </c>
      <c r="Y65" s="73" t="e">
        <f ca="1">IF(ISERROR(A65),NA(),_xll.qlBondYieldFromCleanPrice(AH65,X65/C65*100,YieldDayCounter,YieldCompounding,YieldFrequency))</f>
        <v>#N/A</v>
      </c>
      <c r="Z65" s="46"/>
      <c r="AA65" s="74" t="e">
        <f t="shared" ca="1" si="3"/>
        <v>#N/A</v>
      </c>
      <c r="AB65" s="66" t="e">
        <f ca="1">IF(ISERROR(A65),IF(ISNUMBER(C65),0,NA()),_xll.qlBondCleanPriceFromYield(AH65,AA65,YieldDayCounter,YieldCompounding,YieldFrequency))</f>
        <v>#N/A</v>
      </c>
      <c r="AC65" s="45"/>
      <c r="AD65" s="67" t="e">
        <f t="shared" ca="1" si="1"/>
        <v>#N/A</v>
      </c>
      <c r="AE65" s="66" t="e">
        <f t="shared" ca="1" si="6"/>
        <v>#N/A</v>
      </c>
      <c r="AF65" s="77" t="e">
        <f t="shared" ca="1" si="5"/>
        <v>#N/A</v>
      </c>
      <c r="AG65" s="74" t="e">
        <f ca="1">IF(ISERROR(A65),NA(),_xll.qlBondYieldFromCleanPrice(AH65,AF65,YieldDayCounter,YieldCompounding,YieldFrequency))</f>
        <v>#N/A</v>
      </c>
      <c r="AH65" s="78" t="e">
        <f>_xll.qlZeroCouponBond(,,"EUR",3,"target",$C65,$B65,"f",100)</f>
        <v>#NUM!</v>
      </c>
      <c r="AL65" s="106"/>
    </row>
    <row r="66" spans="1:44" x14ac:dyDescent="0.2">
      <c r="A66" s="48" t="e">
        <f ca="1">_xll.qlYieldTSDiscount(BtpCurve,B66,,PriceTrigger)</f>
        <v>#NUM!</v>
      </c>
      <c r="B66" s="38" t="e">
        <v>#N/A</v>
      </c>
      <c r="C66" s="39" t="e">
        <v>#N/A</v>
      </c>
      <c r="D66" s="60" t="e">
        <v>#N/A</v>
      </c>
      <c r="E66" s="38" t="e">
        <v>#N/A</v>
      </c>
      <c r="F66" s="38" t="e">
        <v>#N/A</v>
      </c>
      <c r="G66" s="40" t="e">
        <v>#N/A</v>
      </c>
      <c r="H66" s="41" t="e">
        <v>#N/A</v>
      </c>
      <c r="I66" s="40" t="e">
        <v>#N/A</v>
      </c>
      <c r="J66" s="38" t="e">
        <v>#N/A</v>
      </c>
      <c r="K66" s="40" t="e">
        <v>#N/A</v>
      </c>
      <c r="L66" s="42" t="e">
        <v>#N/A</v>
      </c>
      <c r="M66" s="43" t="e">
        <v>#N/A</v>
      </c>
      <c r="N66" s="43" t="e">
        <v>#N/A</v>
      </c>
      <c r="O66" s="44" t="e">
        <v>#N/A</v>
      </c>
      <c r="P66" s="43" t="e">
        <v>#N/A</v>
      </c>
      <c r="Q66" s="43" t="e">
        <v>#N/A</v>
      </c>
      <c r="R66" s="43" t="e">
        <v>#N/A</v>
      </c>
      <c r="S66" s="43" t="e">
        <v>#N/A</v>
      </c>
      <c r="T66" s="43" t="e">
        <v>#N/A</v>
      </c>
      <c r="U66" s="41" t="e">
        <v>#N/A</v>
      </c>
      <c r="V66" s="66">
        <f t="shared" ca="1" si="2"/>
        <v>0</v>
      </c>
      <c r="W66" s="45"/>
      <c r="X66" s="67">
        <f t="shared" ca="1" si="0"/>
        <v>0</v>
      </c>
      <c r="Y66" s="73" t="e">
        <f ca="1">IF(ISERROR(A66),NA(),_xll.qlBondYieldFromCleanPrice(AH66,X66/C66*100,YieldDayCounter,YieldCompounding,YieldFrequency))</f>
        <v>#N/A</v>
      </c>
      <c r="Z66" s="46"/>
      <c r="AA66" s="74" t="e">
        <f t="shared" ca="1" si="3"/>
        <v>#N/A</v>
      </c>
      <c r="AB66" s="66" t="e">
        <f ca="1">IF(ISERROR(A66),IF(ISNUMBER(C66),0,NA()),_xll.qlBondCleanPriceFromYield(AH66,AA66,YieldDayCounter,YieldCompounding,YieldFrequency))</f>
        <v>#N/A</v>
      </c>
      <c r="AC66" s="45"/>
      <c r="AD66" s="67" t="e">
        <f t="shared" ca="1" si="1"/>
        <v>#N/A</v>
      </c>
      <c r="AE66" s="66" t="e">
        <f t="shared" ca="1" si="6"/>
        <v>#N/A</v>
      </c>
      <c r="AF66" s="77" t="e">
        <f t="shared" ca="1" si="5"/>
        <v>#N/A</v>
      </c>
      <c r="AG66" s="74" t="e">
        <f ca="1">IF(ISERROR(A66),NA(),_xll.qlBondYieldFromCleanPrice(AH66,AF66,YieldDayCounter,YieldCompounding,YieldFrequency))</f>
        <v>#N/A</v>
      </c>
      <c r="AH66" s="78" t="e">
        <f>_xll.qlZeroCouponBond(,,"EUR",3,"target",$C66,$B66,"f",100)</f>
        <v>#NUM!</v>
      </c>
      <c r="AR66" s="106"/>
    </row>
    <row r="67" spans="1:44" x14ac:dyDescent="0.2">
      <c r="A67" s="48" t="e">
        <f ca="1">_xll.qlYieldTSDiscount(BtpCurve,B67,,PriceTrigger)</f>
        <v>#NUM!</v>
      </c>
      <c r="B67" s="50" t="e">
        <v>#N/A</v>
      </c>
      <c r="C67" s="51" t="e">
        <v>#N/A</v>
      </c>
      <c r="D67" s="61" t="e">
        <v>#N/A</v>
      </c>
      <c r="E67" s="50" t="e">
        <v>#N/A</v>
      </c>
      <c r="F67" s="50" t="e">
        <v>#N/A</v>
      </c>
      <c r="G67" s="52" t="e">
        <v>#N/A</v>
      </c>
      <c r="H67" s="53" t="e">
        <v>#N/A</v>
      </c>
      <c r="I67" s="52" t="e">
        <v>#N/A</v>
      </c>
      <c r="J67" s="50" t="e">
        <v>#N/A</v>
      </c>
      <c r="K67" s="52" t="e">
        <v>#N/A</v>
      </c>
      <c r="L67" s="54" t="e">
        <v>#N/A</v>
      </c>
      <c r="M67" s="55" t="e">
        <v>#N/A</v>
      </c>
      <c r="N67" s="55" t="e">
        <v>#N/A</v>
      </c>
      <c r="O67" s="56" t="e">
        <v>#N/A</v>
      </c>
      <c r="P67" s="55" t="e">
        <v>#N/A</v>
      </c>
      <c r="Q67" s="55" t="e">
        <v>#N/A</v>
      </c>
      <c r="R67" s="55" t="e">
        <v>#N/A</v>
      </c>
      <c r="S67" s="55" t="e">
        <v>#N/A</v>
      </c>
      <c r="T67" s="55" t="e">
        <v>#N/A</v>
      </c>
      <c r="U67" s="53" t="e">
        <v>#N/A</v>
      </c>
      <c r="V67" s="66">
        <f t="shared" ca="1" si="2"/>
        <v>0</v>
      </c>
      <c r="W67" s="57"/>
      <c r="X67" s="69">
        <f t="shared" ca="1" si="0"/>
        <v>0</v>
      </c>
      <c r="Y67" s="75" t="e">
        <f ca="1">IF(ISERROR(A67),NA(),_xll.qlBondYieldFromCleanPrice(AH67,X67/C67*100,YieldDayCounter,YieldCompounding,YieldFrequency))</f>
        <v>#N/A</v>
      </c>
      <c r="Z67" s="58"/>
      <c r="AA67" s="76" t="e">
        <f t="shared" ca="1" si="3"/>
        <v>#N/A</v>
      </c>
      <c r="AB67" s="68" t="e">
        <f ca="1">IF(ISERROR(A67),IF(ISNUMBER(C67),0,NA()),_xll.qlBondCleanPriceFromYield(AH67,AA67,YieldDayCounter,YieldCompounding,YieldFrequency))</f>
        <v>#N/A</v>
      </c>
      <c r="AC67" s="57"/>
      <c r="AD67" s="69" t="e">
        <f t="shared" ca="1" si="1"/>
        <v>#N/A</v>
      </c>
      <c r="AE67" s="68" t="e">
        <f t="shared" ca="1" si="6"/>
        <v>#N/A</v>
      </c>
      <c r="AF67" s="77" t="e">
        <f t="shared" ca="1" si="5"/>
        <v>#N/A</v>
      </c>
      <c r="AG67" s="74" t="e">
        <f ca="1">IF(ISERROR(A67),NA(),_xll.qlBondYieldFromCleanPrice(AH67,AF67,YieldDayCounter,YieldCompounding,YieldFrequency))</f>
        <v>#N/A</v>
      </c>
      <c r="AH67" s="79" t="e">
        <f>_xll.qlZeroCouponBond(,,"EUR",3,"target",$C67,$B67,"f",100)</f>
        <v>#NUM!</v>
      </c>
      <c r="AR67" s="106"/>
    </row>
    <row r="68" spans="1:44" x14ac:dyDescent="0.2">
      <c r="A68" s="63"/>
      <c r="B68" s="80"/>
      <c r="C68" s="81"/>
      <c r="D68" s="81"/>
      <c r="E68" s="80"/>
      <c r="F68" s="80"/>
      <c r="G68" s="82"/>
      <c r="H68" s="83"/>
      <c r="I68" s="82"/>
      <c r="J68" s="80"/>
      <c r="K68" s="82"/>
      <c r="L68" s="84"/>
      <c r="M68" s="85"/>
      <c r="N68" s="85"/>
      <c r="O68" s="86"/>
      <c r="P68" s="85"/>
      <c r="Q68" s="85"/>
      <c r="R68" s="85"/>
      <c r="S68" s="85"/>
      <c r="T68" s="85"/>
      <c r="U68" s="83"/>
      <c r="V68" s="83"/>
      <c r="W68" s="83"/>
      <c r="X68" s="83"/>
      <c r="Y68" s="64"/>
      <c r="Z68" s="83"/>
      <c r="AA68" s="83"/>
      <c r="AB68" s="83"/>
      <c r="AC68" s="64"/>
      <c r="AD68" s="64"/>
      <c r="AE68" s="83"/>
      <c r="AF68" s="83"/>
      <c r="AG68" s="83"/>
      <c r="AH68" s="83"/>
      <c r="AR68" s="106"/>
    </row>
    <row r="69" spans="1:44" x14ac:dyDescent="0.2">
      <c r="Y69" s="32"/>
      <c r="AC69" s="32"/>
      <c r="AD69" s="32"/>
      <c r="AR69" s="106"/>
    </row>
    <row r="70" spans="1:44" x14ac:dyDescent="0.2">
      <c r="Y70" s="32"/>
      <c r="AC70" s="32"/>
      <c r="AD70" s="32"/>
      <c r="AR70" s="106"/>
    </row>
    <row r="71" spans="1:44" x14ac:dyDescent="0.2">
      <c r="Y71" s="32"/>
      <c r="AC71" s="32"/>
      <c r="AD71" s="32"/>
      <c r="AR71" s="106"/>
    </row>
    <row r="72" spans="1:44" x14ac:dyDescent="0.2">
      <c r="Y72" s="32"/>
      <c r="AC72" s="32"/>
      <c r="AD72" s="32"/>
      <c r="AR72" s="106"/>
    </row>
    <row r="73" spans="1:44" x14ac:dyDescent="0.2">
      <c r="AR73" s="106"/>
    </row>
    <row r="74" spans="1:44" x14ac:dyDescent="0.2">
      <c r="AR74" s="106"/>
    </row>
    <row r="75" spans="1:44" x14ac:dyDescent="0.2">
      <c r="AR75" s="106"/>
    </row>
    <row r="76" spans="1:44" x14ac:dyDescent="0.2">
      <c r="AR76" s="106"/>
    </row>
    <row r="77" spans="1:44" x14ac:dyDescent="0.2">
      <c r="AR77" s="106"/>
    </row>
    <row r="78" spans="1:44" x14ac:dyDescent="0.2">
      <c r="AR78" s="106"/>
    </row>
    <row r="79" spans="1:44" x14ac:dyDescent="0.2">
      <c r="AR79" s="106"/>
    </row>
    <row r="80" spans="1:44" x14ac:dyDescent="0.2">
      <c r="AR80" s="106"/>
    </row>
    <row r="81" spans="44:44" x14ac:dyDescent="0.2">
      <c r="AR81" s="106"/>
    </row>
    <row r="82" spans="44:44" x14ac:dyDescent="0.2">
      <c r="AR82" s="106"/>
    </row>
    <row r="83" spans="44:44" x14ac:dyDescent="0.2">
      <c r="AR83" s="106"/>
    </row>
    <row r="84" spans="44:44" x14ac:dyDescent="0.2">
      <c r="AR84" s="106"/>
    </row>
    <row r="85" spans="44:44" x14ac:dyDescent="0.2">
      <c r="AR85" s="106"/>
    </row>
    <row r="86" spans="44:44" x14ac:dyDescent="0.2">
      <c r="AR86" s="106"/>
    </row>
    <row r="87" spans="44:44" x14ac:dyDescent="0.2">
      <c r="AR87" s="106"/>
    </row>
    <row r="88" spans="44:44" x14ac:dyDescent="0.2">
      <c r="AR88" s="106"/>
    </row>
    <row r="89" spans="44:44" x14ac:dyDescent="0.2">
      <c r="AR89" s="106"/>
    </row>
    <row r="90" spans="44:44" x14ac:dyDescent="0.2">
      <c r="AR90" s="106"/>
    </row>
    <row r="91" spans="44:44" x14ac:dyDescent="0.2">
      <c r="AR91" s="106"/>
    </row>
    <row r="92" spans="44:44" x14ac:dyDescent="0.2">
      <c r="AR92" s="106"/>
    </row>
    <row r="93" spans="44:44" x14ac:dyDescent="0.2">
      <c r="AR93" s="106"/>
    </row>
    <row r="94" spans="44:44" x14ac:dyDescent="0.2">
      <c r="AR94" s="106"/>
    </row>
    <row r="95" spans="44:44" x14ac:dyDescent="0.2">
      <c r="AR95" s="106"/>
    </row>
    <row r="96" spans="44:44" x14ac:dyDescent="0.2">
      <c r="AR96" s="106"/>
    </row>
    <row r="97" spans="44:44" x14ac:dyDescent="0.2">
      <c r="AR97" s="106"/>
    </row>
    <row r="98" spans="44:44" x14ac:dyDescent="0.2">
      <c r="AR98" s="106"/>
    </row>
    <row r="99" spans="44:44" x14ac:dyDescent="0.2">
      <c r="AR99" s="106"/>
    </row>
    <row r="100" spans="44:44" x14ac:dyDescent="0.2">
      <c r="AR100" s="106"/>
    </row>
    <row r="101" spans="44:44" x14ac:dyDescent="0.2">
      <c r="AR101" s="106"/>
    </row>
    <row r="102" spans="44:44" x14ac:dyDescent="0.2">
      <c r="AR102" s="106"/>
    </row>
    <row r="103" spans="44:44" x14ac:dyDescent="0.2">
      <c r="AR103" s="106"/>
    </row>
    <row r="104" spans="44:44" x14ac:dyDescent="0.2">
      <c r="AR104" s="106"/>
    </row>
    <row r="105" spans="44:44" x14ac:dyDescent="0.2">
      <c r="AR105" s="106"/>
    </row>
    <row r="106" spans="44:44" x14ac:dyDescent="0.2">
      <c r="AR106" s="106"/>
    </row>
    <row r="107" spans="44:44" x14ac:dyDescent="0.2">
      <c r="AR107" s="106"/>
    </row>
    <row r="108" spans="44:44" x14ac:dyDescent="0.2">
      <c r="AR108" s="106"/>
    </row>
    <row r="109" spans="44:44" x14ac:dyDescent="0.2">
      <c r="AR109" s="106"/>
    </row>
    <row r="110" spans="44:44" x14ac:dyDescent="0.2">
      <c r="AR110" s="106"/>
    </row>
    <row r="111" spans="44:44" x14ac:dyDescent="0.2">
      <c r="AR111" s="106"/>
    </row>
    <row r="112" spans="44:44" x14ac:dyDescent="0.2">
      <c r="AR112" s="106"/>
    </row>
    <row r="113" spans="44:44" x14ac:dyDescent="0.2">
      <c r="AR113" s="106"/>
    </row>
    <row r="114" spans="44:44" x14ac:dyDescent="0.2">
      <c r="AR114" s="106"/>
    </row>
    <row r="115" spans="44:44" x14ac:dyDescent="0.2">
      <c r="AR115" s="106"/>
    </row>
    <row r="116" spans="44:44" x14ac:dyDescent="0.2">
      <c r="AR116" s="106"/>
    </row>
    <row r="117" spans="44:44" x14ac:dyDescent="0.2">
      <c r="AR117" s="106"/>
    </row>
    <row r="118" spans="44:44" x14ac:dyDescent="0.2">
      <c r="AR118" s="106"/>
    </row>
    <row r="119" spans="44:44" x14ac:dyDescent="0.2">
      <c r="AR119" s="106"/>
    </row>
    <row r="120" spans="44:44" x14ac:dyDescent="0.2">
      <c r="AR120" s="106"/>
    </row>
    <row r="121" spans="44:44" x14ac:dyDescent="0.2">
      <c r="AR121" s="106"/>
    </row>
    <row r="122" spans="44:44" x14ac:dyDescent="0.2">
      <c r="AR122" s="106"/>
    </row>
    <row r="123" spans="44:44" x14ac:dyDescent="0.2">
      <c r="AR123" s="106"/>
    </row>
    <row r="124" spans="44:44" x14ac:dyDescent="0.2">
      <c r="AR124" s="106"/>
    </row>
    <row r="125" spans="44:44" x14ac:dyDescent="0.2">
      <c r="AR125" s="106"/>
    </row>
    <row r="126" spans="44:44" x14ac:dyDescent="0.2">
      <c r="AR126" s="106"/>
    </row>
    <row r="127" spans="44:44" x14ac:dyDescent="0.2">
      <c r="AR127" s="106"/>
    </row>
    <row r="128" spans="44:44" x14ac:dyDescent="0.2">
      <c r="AR128" s="106"/>
    </row>
    <row r="129" spans="44:44" x14ac:dyDescent="0.2">
      <c r="AR129" s="106"/>
    </row>
    <row r="130" spans="44:44" x14ac:dyDescent="0.2">
      <c r="AR130" s="106"/>
    </row>
    <row r="131" spans="44:44" x14ac:dyDescent="0.2">
      <c r="AR131" s="106"/>
    </row>
    <row r="132" spans="44:44" x14ac:dyDescent="0.2">
      <c r="AR132" s="106"/>
    </row>
    <row r="133" spans="44:44" x14ac:dyDescent="0.2">
      <c r="AR133" s="106"/>
    </row>
    <row r="134" spans="44:44" x14ac:dyDescent="0.2">
      <c r="AR134" s="106"/>
    </row>
    <row r="135" spans="44:44" x14ac:dyDescent="0.2">
      <c r="AR135" s="106"/>
    </row>
    <row r="136" spans="44:44" x14ac:dyDescent="0.2">
      <c r="AR136" s="106"/>
    </row>
    <row r="137" spans="44:44" x14ac:dyDescent="0.2">
      <c r="AR137" s="106"/>
    </row>
    <row r="138" spans="44:44" x14ac:dyDescent="0.2">
      <c r="AR138" s="106"/>
    </row>
    <row r="139" spans="44:44" x14ac:dyDescent="0.2">
      <c r="AR139" s="106"/>
    </row>
    <row r="140" spans="44:44" x14ac:dyDescent="0.2">
      <c r="AR140" s="106"/>
    </row>
    <row r="141" spans="44:44" x14ac:dyDescent="0.2">
      <c r="AR141" s="106"/>
    </row>
    <row r="142" spans="44:44" x14ac:dyDescent="0.2">
      <c r="AR142" s="106"/>
    </row>
    <row r="143" spans="44:44" x14ac:dyDescent="0.2">
      <c r="AR143" s="106"/>
    </row>
    <row r="144" spans="44:44" x14ac:dyDescent="0.2">
      <c r="AR144" s="106"/>
    </row>
    <row r="145" spans="44:44" x14ac:dyDescent="0.2">
      <c r="AR145" s="106"/>
    </row>
    <row r="146" spans="44:44" x14ac:dyDescent="0.2">
      <c r="AR146" s="106"/>
    </row>
    <row r="147" spans="44:44" x14ac:dyDescent="0.2">
      <c r="AR147" s="106"/>
    </row>
    <row r="148" spans="44:44" x14ac:dyDescent="0.2">
      <c r="AR148" s="106"/>
    </row>
    <row r="149" spans="44:44" x14ac:dyDescent="0.2">
      <c r="AR149" s="106"/>
    </row>
    <row r="150" spans="44:44" x14ac:dyDescent="0.2">
      <c r="AR150" s="106"/>
    </row>
    <row r="151" spans="44:44" x14ac:dyDescent="0.2">
      <c r="AR151" s="106"/>
    </row>
  </sheetData>
  <sortState ref="AL154:AO300">
    <sortCondition ref="AL154:AL300"/>
  </sortState>
  <phoneticPr fontId="2" type="noConversion"/>
  <dataValidations count="2">
    <dataValidation type="list" allowBlank="1" showInputMessage="1" showErrorMessage="1" sqref="A2">
      <formula1>Descriptions</formula1>
    </dataValidation>
    <dataValidation type="list" allowBlank="1" showInputMessage="1" showErrorMessage="1" sqref="AI1">
      <formula1>$AK$1:$AM$1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X150"/>
  <sheetViews>
    <sheetView topLeftCell="D1" workbookViewId="0">
      <pane ySplit="3" topLeftCell="A4" activePane="bottomLeft" state="frozen"/>
      <selection activeCell="C1" sqref="C1"/>
      <selection pane="bottomLeft" activeCell="X1" sqref="X1"/>
    </sheetView>
  </sheetViews>
  <sheetFormatPr defaultColWidth="9.140625" defaultRowHeight="11.25" outlineLevelCol="1" x14ac:dyDescent="0.2"/>
  <cols>
    <col min="1" max="1" width="13.140625" style="33" hidden="1" customWidth="1" outlineLevel="1"/>
    <col min="2" max="2" width="17.28515625" style="33" hidden="1" customWidth="1" outlineLevel="1"/>
    <col min="3" max="3" width="6" style="33" hidden="1" customWidth="1" outlineLevel="1"/>
    <col min="4" max="4" width="17.28515625" style="33" bestFit="1" customWidth="1" collapsed="1"/>
    <col min="5" max="5" width="19.28515625" style="33" bestFit="1" customWidth="1"/>
    <col min="6" max="7" width="9" style="33" bestFit="1" customWidth="1"/>
    <col min="8" max="8" width="8" style="33" customWidth="1"/>
    <col min="9" max="11" width="9" style="33" bestFit="1" customWidth="1"/>
    <col min="12" max="12" width="9" style="33" hidden="1" customWidth="1" outlineLevel="1"/>
    <col min="13" max="13" width="10" style="33" hidden="1" customWidth="1" outlineLevel="1"/>
    <col min="14" max="14" width="9" style="33" customWidth="1" collapsed="1"/>
    <col min="15" max="17" width="15.140625" style="33" hidden="1" customWidth="1" outlineLevel="1"/>
    <col min="18" max="18" width="6" style="33" bestFit="1" customWidth="1" collapsed="1"/>
    <col min="19" max="19" width="6" style="33" bestFit="1" customWidth="1"/>
    <col min="20" max="20" width="68" style="33" hidden="1" customWidth="1" outlineLevel="1"/>
    <col min="21" max="21" width="5" style="33" bestFit="1" customWidth="1" collapsed="1"/>
    <col min="22" max="22" width="36.85546875" style="33" bestFit="1" customWidth="1"/>
    <col min="23" max="23" width="3.85546875" style="33" customWidth="1"/>
    <col min="24" max="24" width="8" style="33" bestFit="1" customWidth="1"/>
    <col min="25" max="16384" width="9.140625" style="33"/>
  </cols>
  <sheetData>
    <row r="1" spans="1:24" x14ac:dyDescent="0.2">
      <c r="E1" s="88" t="s">
        <v>499</v>
      </c>
      <c r="F1" s="158">
        <v>3.5E-4</v>
      </c>
      <c r="I1" s="109"/>
      <c r="O1" s="109"/>
      <c r="U1" s="108"/>
      <c r="V1" s="47"/>
      <c r="X1" s="108"/>
    </row>
    <row r="2" spans="1:24" x14ac:dyDescent="0.2">
      <c r="E2" s="88" t="str">
        <f>_xll.qlForwardSpreadedTermStructure(,BtpCurve,F1)</f>
        <v>obj_01039#0000</v>
      </c>
      <c r="F2" s="88"/>
      <c r="I2" s="88"/>
      <c r="L2" s="88" t="s">
        <v>511</v>
      </c>
      <c r="O2" s="88"/>
      <c r="R2" s="88" t="s">
        <v>501</v>
      </c>
      <c r="S2" s="88" t="s">
        <v>501</v>
      </c>
    </row>
    <row r="3" spans="1:24" x14ac:dyDescent="0.2">
      <c r="A3" s="91" t="s">
        <v>502</v>
      </c>
      <c r="B3" s="92" t="s">
        <v>93</v>
      </c>
      <c r="C3" s="92"/>
      <c r="D3" s="92" t="s">
        <v>30</v>
      </c>
      <c r="E3" s="92" t="s">
        <v>500</v>
      </c>
      <c r="F3" s="92" t="s">
        <v>0</v>
      </c>
      <c r="G3" s="92" t="s">
        <v>113</v>
      </c>
      <c r="H3" s="92" t="s">
        <v>1</v>
      </c>
      <c r="I3" s="92" t="s">
        <v>504</v>
      </c>
      <c r="J3" s="92" t="s">
        <v>506</v>
      </c>
      <c r="K3" s="92" t="s">
        <v>508</v>
      </c>
      <c r="L3" s="92" t="s">
        <v>512</v>
      </c>
      <c r="M3" s="92" t="s">
        <v>513</v>
      </c>
      <c r="N3" s="92" t="s">
        <v>510</v>
      </c>
      <c r="O3" s="92" t="s">
        <v>505</v>
      </c>
      <c r="P3" s="92" t="s">
        <v>507</v>
      </c>
      <c r="Q3" s="92" t="s">
        <v>509</v>
      </c>
      <c r="R3" s="125" t="s">
        <v>0</v>
      </c>
      <c r="S3" s="125" t="s">
        <v>1</v>
      </c>
      <c r="T3" s="126" t="s">
        <v>501</v>
      </c>
      <c r="U3" s="149" t="s">
        <v>501</v>
      </c>
      <c r="V3" s="127" t="s">
        <v>503</v>
      </c>
      <c r="W3" s="128" t="str">
        <f>IF(UPPER(X1)="ABCD",_xll.MKV_PUBLISHTYPE("XLS_STRIPS","Id","string","Bid","real","Ask","real","Mid","real","Name","string","DV01","real","MidYield","real","BidYield","real","AskYield","real"),"--")</f>
        <v>--</v>
      </c>
      <c r="X3" s="127" t="s">
        <v>532</v>
      </c>
    </row>
    <row r="4" spans="1:24" x14ac:dyDescent="0.2">
      <c r="A4" s="72" t="s">
        <v>32</v>
      </c>
      <c r="B4" s="89">
        <v>41760</v>
      </c>
      <c r="C4" s="139" t="e">
        <f ca="1">_xll.BDP(A4&amp;" Corp", "days to mty")</f>
        <v>#NAME?</v>
      </c>
      <c r="D4" s="47" t="s">
        <v>300</v>
      </c>
      <c r="E4" s="47" t="s">
        <v>301</v>
      </c>
      <c r="F4" s="138" t="e">
        <f t="array" aca="1" ref="F4:F150" ca="1">ROUNDDOWN(_xll.qlYieldTSDiscount(E2,$B4:$B150,_xll.ohTrigger(BtpCurve!$P$2:$P$48))*100,2)</f>
        <v>#NUM!</v>
      </c>
      <c r="G4" s="138" t="e">
        <f t="array" aca="1" ref="G4:G150" ca="1">ROUND(_xll.qlYieldTSDiscount(BtpCurve,$B4:$B150,_xll.ohTrigger(BtpCurve!$P$2:$P$47))*100,2)</f>
        <v>#NUM!</v>
      </c>
      <c r="H4" s="138" t="e">
        <f ca="1">ROUNDUP(2*G4-F4,2)</f>
        <v>#NUM!</v>
      </c>
      <c r="I4" s="32" t="e">
        <f ca="1">ROUND(_xll.qlBondYieldFromCleanPrice(O4,F4,YieldDayCounter,YieldCompounding,YieldFrequency)*100,3)</f>
        <v>#VALUE!</v>
      </c>
      <c r="J4" s="32" t="e">
        <f ca="1">ROUND(_xll.qlBondYieldFromCleanPrice(P4,G4,YieldDayCounter,YieldCompounding,YieldFrequency)*100,3)</f>
        <v>#VALUE!</v>
      </c>
      <c r="K4" s="32" t="e">
        <f ca="1">ROUND(_xll.qlBondYieldFromCleanPrice(Q4,H4,YieldDayCounter,YieldCompounding,YieldFrequency)*100,3)</f>
        <v>#VALUE!</v>
      </c>
      <c r="L4" s="120" t="e">
        <f ca="1">_xll.qlBondDurationFromYield(P4,J4,YieldDayCounter,YieldCompounding,YieldFrequency,L$2)</f>
        <v>#VALUE!</v>
      </c>
      <c r="M4" s="120" t="e">
        <f ca="1">_xll.qlBondConvexityFromYield(P4,J4/100,YieldDayCounter,YieldCompounding,YieldFrequency)</f>
        <v>#VALUE!</v>
      </c>
      <c r="N4" s="121" t="e">
        <f ca="1">_xll.BDP(A4&amp;" Corp","risk mid")</f>
        <v>#NAME?</v>
      </c>
      <c r="O4" s="107" t="str">
        <f>_xll.qlZeroCouponBond(,,"EUR",3,"target",100,$B4,"f",100,,,Trigger)</f>
        <v>obj_00e52#0000</v>
      </c>
      <c r="P4" s="107" t="str">
        <f>_xll.qlZeroCouponBond(,,"EUR",3,"target",100,$B4,"f",100,,,Trigger)</f>
        <v>obj_00f48#0000</v>
      </c>
      <c r="Q4" s="107" t="str">
        <f>_xll.qlZeroCouponBond(,,"EUR",3,"target",100,$B4,"f",100,,,Trigger)</f>
        <v>obj_00ec0#0000</v>
      </c>
      <c r="R4" s="122" t="e">
        <f t="shared" ref="R4:R35" ca="1" si="0">F4</f>
        <v>#NUM!</v>
      </c>
      <c r="S4" s="129" t="e">
        <f ca="1">R4</f>
        <v>#NUM!</v>
      </c>
      <c r="T4" s="146" t="str">
        <f>IF(UPPER(U$1)="ABCD",_xll.RtContribute($E$3,$E4,$R$3:$S$3,$R4:$S4,"SCOPE:SERVER"),"--")</f>
        <v>--</v>
      </c>
      <c r="U4" s="150" t="str">
        <f>IF(OR(LEFT(T4,3)="Suc",LEFT(T4,3)="Sen"),"OK","")</f>
        <v/>
      </c>
      <c r="V4" s="132" t="str">
        <f t="shared" ref="V4:V35" si="1">V$3&amp;A4</f>
        <v>EUR.PRICING.XLS_STRIPS.IT0001247136</v>
      </c>
      <c r="W4" s="132" t="str">
        <f>IF(UPPER($X$1)="ABCD",_xll.MKV_PUBLISHRECORD(V4, "XLS_STRIPS"),"--")</f>
        <v>--</v>
      </c>
      <c r="X4" s="133" t="str">
        <f>IF(UPPER(X$1)="ABCD",_xll.MKV_SUPPLYRECORD(V4, "Bid",F4, "Ask",H4, "Id",A4, "Mid",G4, "Name",D4,"DV01",N4,"MidYield",J4,"BidYield",I4,"AskYield",K4),"--")</f>
        <v>--</v>
      </c>
    </row>
    <row r="5" spans="1:24" x14ac:dyDescent="0.2">
      <c r="A5" s="72" t="s">
        <v>302</v>
      </c>
      <c r="B5" s="89">
        <v>41852</v>
      </c>
      <c r="C5" s="139" t="e">
        <f ca="1">_xll.BDP(A5&amp;" Corp", "days to mty")</f>
        <v>#NAME?</v>
      </c>
      <c r="D5" s="47" t="s">
        <v>303</v>
      </c>
      <c r="E5" s="47" t="s">
        <v>304</v>
      </c>
      <c r="F5" s="138" t="e">
        <f ca="1"/>
        <v>#NUM!</v>
      </c>
      <c r="G5" s="138" t="e">
        <f ca="1"/>
        <v>#NUM!</v>
      </c>
      <c r="H5" s="138" t="e">
        <f t="shared" ref="H5:H68" ca="1" si="2">ROUNDUP(2*G5-F5,2)</f>
        <v>#NUM!</v>
      </c>
      <c r="I5" s="32" t="e">
        <f ca="1">ROUND(_xll.qlBondYieldFromCleanPrice(O5,F5,YieldDayCounter,YieldCompounding,YieldFrequency)*100,3)</f>
        <v>#VALUE!</v>
      </c>
      <c r="J5" s="32" t="e">
        <f ca="1">ROUND(_xll.qlBondYieldFromCleanPrice(P5,G5,YieldDayCounter,YieldCompounding,YieldFrequency)*100,3)</f>
        <v>#VALUE!</v>
      </c>
      <c r="K5" s="32" t="e">
        <f ca="1">ROUND(_xll.qlBondYieldFromCleanPrice(Q5,H5,YieldDayCounter,YieldCompounding,YieldFrequency)*100,3)</f>
        <v>#VALUE!</v>
      </c>
      <c r="L5" s="120" t="e">
        <f ca="1">_xll.qlBondDurationFromYield(P5,J5,YieldDayCounter,YieldCompounding,YieldFrequency,L$2)</f>
        <v>#VALUE!</v>
      </c>
      <c r="M5" s="120" t="e">
        <f ca="1">_xll.qlBondConvexityFromYield(P5,J5/100,YieldDayCounter,YieldCompounding,YieldFrequency)</f>
        <v>#VALUE!</v>
      </c>
      <c r="N5" s="121" t="e">
        <f ca="1">_xll.BDP(A5&amp;" Corp","risk mid")</f>
        <v>#NAME?</v>
      </c>
      <c r="O5" s="107" t="str">
        <f>_xll.qlZeroCouponBond(,,"EUR",3,"target",100,$B5,"f",100,,,Trigger)</f>
        <v>obj_00e4a#0000</v>
      </c>
      <c r="P5" s="107" t="str">
        <f>_xll.qlZeroCouponBond(,,"EUR",3,"target",100,$B5,"f",100,,,Trigger)</f>
        <v>obj_00e13#0000</v>
      </c>
      <c r="Q5" s="107" t="str">
        <f>_xll.qlZeroCouponBond(,,"EUR",3,"target",100,$B5,"f",100,,,Trigger)</f>
        <v>obj_00e7d#0000</v>
      </c>
      <c r="R5" s="123" t="e">
        <f t="shared" ca="1" si="0"/>
        <v>#NUM!</v>
      </c>
      <c r="S5" s="130" t="e">
        <f t="shared" ref="S5" ca="1" si="3">R5</f>
        <v>#NUM!</v>
      </c>
      <c r="T5" s="147" t="str">
        <f>IF(UPPER(U$1)="ABCD",_xll.RtContribute($E$3,$E5,$R$3:$S$3,$R5:$S5,"SCOPE:SERVER"),"--")</f>
        <v>--</v>
      </c>
      <c r="U5" s="151" t="str">
        <f t="shared" ref="U5:U68" si="4">IF(OR(LEFT(T5,3)="Suc",LEFT(T5,3)="Sen"),"OK","")</f>
        <v/>
      </c>
      <c r="V5" s="134" t="str">
        <f t="shared" si="1"/>
        <v>EUR.PRICING.XLS_STRIPS.IT0004848609</v>
      </c>
      <c r="W5" s="134" t="str">
        <f>IF(UPPER($X$1)="ABCD",_xll.MKV_PUBLISHRECORD(V5, "XLS_STRIPS"),"--")</f>
        <v>--</v>
      </c>
      <c r="X5" s="135" t="str">
        <f>IF(UPPER(X$1)="ABCD",_xll.MKV_SUPPLYRECORD(V5, "Bid",F5, "Ask",H5, "Id",A5, "Mid",G5, "Name",D5,"DV01",N5,"MidYield",J5,"BidYield",I5,"AskYield",K5),"--")</f>
        <v>--</v>
      </c>
    </row>
    <row r="6" spans="1:24" x14ac:dyDescent="0.2">
      <c r="A6" s="72" t="s">
        <v>117</v>
      </c>
      <c r="B6" s="89">
        <v>41883</v>
      </c>
      <c r="C6" s="139" t="e">
        <f ca="1">_xll.BDP(A6&amp;" Corp", "days to mty")</f>
        <v>#NAME?</v>
      </c>
      <c r="D6" s="47" t="s">
        <v>118</v>
      </c>
      <c r="E6" s="47" t="s">
        <v>119</v>
      </c>
      <c r="F6" s="138" t="e">
        <f ca="1"/>
        <v>#NUM!</v>
      </c>
      <c r="G6" s="138" t="e">
        <f ca="1"/>
        <v>#NUM!</v>
      </c>
      <c r="H6" s="138" t="e">
        <f t="shared" ca="1" si="2"/>
        <v>#NUM!</v>
      </c>
      <c r="I6" s="32" t="e">
        <f ca="1">ROUND(_xll.qlBondYieldFromCleanPrice(O6,F6,YieldDayCounter,YieldCompounding,YieldFrequency)*100,3)</f>
        <v>#VALUE!</v>
      </c>
      <c r="J6" s="32" t="e">
        <f ca="1">ROUND(_xll.qlBondYieldFromCleanPrice(P6,G6,YieldDayCounter,YieldCompounding,YieldFrequency)*100,3)</f>
        <v>#VALUE!</v>
      </c>
      <c r="K6" s="32" t="e">
        <f ca="1">ROUND(_xll.qlBondYieldFromCleanPrice(Q6,H6,YieldDayCounter,YieldCompounding,YieldFrequency)*100,3)</f>
        <v>#VALUE!</v>
      </c>
      <c r="L6" s="120" t="e">
        <f ca="1">_xll.qlBondDurationFromYield(P6,J6,YieldDayCounter,YieldCompounding,YieldFrequency,L$2)</f>
        <v>#VALUE!</v>
      </c>
      <c r="M6" s="120" t="e">
        <f ca="1">_xll.qlBondConvexityFromYield(P6,J6/100,YieldDayCounter,YieldCompounding,YieldFrequency)</f>
        <v>#VALUE!</v>
      </c>
      <c r="N6" s="121" t="e">
        <f ca="1">_xll.BDP(A6&amp;" Corp","risk mid")</f>
        <v>#NAME?</v>
      </c>
      <c r="O6" s="107" t="str">
        <f>_xll.qlZeroCouponBond(,,"EUR",3,"target",100,$B6,"f",100,,,Trigger)</f>
        <v>obj_00ece#0000</v>
      </c>
      <c r="P6" s="107" t="str">
        <f>_xll.qlZeroCouponBond(,,"EUR",3,"target",100,$B6,"f",100,,,Trigger)</f>
        <v>obj_00e36#0000</v>
      </c>
      <c r="Q6" s="107" t="str">
        <f>_xll.qlZeroCouponBond(,,"EUR",3,"target",100,$B6,"f",100,,,Trigger)</f>
        <v>obj_00df2#0000</v>
      </c>
      <c r="R6" s="123" t="e">
        <f t="shared" ca="1" si="0"/>
        <v>#NUM!</v>
      </c>
      <c r="S6" s="130" t="e">
        <f t="shared" ref="S6" ca="1" si="5">R6</f>
        <v>#NUM!</v>
      </c>
      <c r="T6" s="147" t="str">
        <f>IF(UPPER(U$1)="ABCD",_xll.RtContribute($E$3,$E6,$R$3:$S$3,$R6:$S6,"SCOPE:SERVER"),"--")</f>
        <v>--</v>
      </c>
      <c r="U6" s="151" t="str">
        <f t="shared" si="4"/>
        <v/>
      </c>
      <c r="V6" s="134" t="str">
        <f t="shared" si="1"/>
        <v>EUR.PRICING.XLS_STRIPS.IT0004957756</v>
      </c>
      <c r="W6" s="134" t="str">
        <f>IF(UPPER($X$1)="ABCD",_xll.MKV_PUBLISHRECORD(V6, "XLS_STRIPS"),"--")</f>
        <v>--</v>
      </c>
      <c r="X6" s="135" t="str">
        <f>IF(UPPER(X$1)="ABCD",_xll.MKV_SUPPLYRECORD(V6, "Bid",F6, "Ask",H6, "Id",A6, "Mid",G6, "Name",D6,"DV01",N6,"MidYield",J6,"BidYield",I6,"AskYield",K6),"--")</f>
        <v>--</v>
      </c>
    </row>
    <row r="7" spans="1:24" x14ac:dyDescent="0.2">
      <c r="A7" s="72" t="s">
        <v>33</v>
      </c>
      <c r="B7" s="89">
        <v>41944</v>
      </c>
      <c r="C7" s="139" t="e">
        <f ca="1">_xll.BDP(A7&amp;" Corp", "days to mty")</f>
        <v>#NAME?</v>
      </c>
      <c r="D7" s="47" t="s">
        <v>305</v>
      </c>
      <c r="E7" s="47" t="s">
        <v>306</v>
      </c>
      <c r="F7" s="138">
        <f ca="1"/>
        <v>99.99</v>
      </c>
      <c r="G7" s="138">
        <f ca="1"/>
        <v>99.99</v>
      </c>
      <c r="H7" s="138">
        <f t="shared" ca="1" si="2"/>
        <v>99.99</v>
      </c>
      <c r="I7" s="32">
        <f ca="1">ROUND(_xll.qlBondYieldFromCleanPrice(O7,F7,YieldDayCounter,YieldCompounding,YieldFrequency)*100,3)</f>
        <v>0.36599999999999999</v>
      </c>
      <c r="J7" s="32">
        <f ca="1">ROUND(_xll.qlBondYieldFromCleanPrice(P7,G7,YieldDayCounter,YieldCompounding,YieldFrequency)*100,3)</f>
        <v>0.36599999999999999</v>
      </c>
      <c r="K7" s="32">
        <f ca="1">ROUND(_xll.qlBondYieldFromCleanPrice(Q7,H7,YieldDayCounter,YieldCompounding,YieldFrequency)*100,3)</f>
        <v>0.36599999999999999</v>
      </c>
      <c r="L7" s="120">
        <f ca="1">_xll.qlBondDurationFromYield(P7,J7,YieldDayCounter,YieldCompounding,YieldFrequency,L$2)</f>
        <v>2.0056559497783746E-2</v>
      </c>
      <c r="M7" s="120">
        <f ca="1">_xll.qlBondConvexityFromYield(P7,J7/100,YieldDayCounter,YieldCompounding,YieldFrequency)</f>
        <v>2.7942953412883359E-2</v>
      </c>
      <c r="N7" s="121" t="e">
        <f ca="1">_xll.BDP(A7&amp;" Corp","risk mid")</f>
        <v>#NAME?</v>
      </c>
      <c r="O7" s="107" t="str">
        <f>_xll.qlZeroCouponBond(,,"EUR",3,"target",100,$B7,"f",100,,,Trigger)</f>
        <v>obj_00e4b#0000</v>
      </c>
      <c r="P7" s="107" t="str">
        <f>_xll.qlZeroCouponBond(,,"EUR",3,"target",100,$B7,"f",100,,,Trigger)</f>
        <v>obj_00f16#0000</v>
      </c>
      <c r="Q7" s="107" t="str">
        <f>_xll.qlZeroCouponBond(,,"EUR",3,"target",100,$B7,"f",100,,,Trigger)</f>
        <v>obj_00e93#0000</v>
      </c>
      <c r="R7" s="123">
        <f t="shared" ca="1" si="0"/>
        <v>99.99</v>
      </c>
      <c r="S7" s="130">
        <f t="shared" ref="S7" ca="1" si="6">R7</f>
        <v>99.99</v>
      </c>
      <c r="T7" s="147" t="str">
        <f>IF(UPPER(U$1)="ABCD",_xll.RtContribute($E$3,$E7,$R$3:$S$3,$R7:$S7,"SCOPE:SERVER"),"--")</f>
        <v>--</v>
      </c>
      <c r="U7" s="151" t="str">
        <f t="shared" si="4"/>
        <v/>
      </c>
      <c r="V7" s="134" t="str">
        <f t="shared" si="1"/>
        <v>EUR.PRICING.XLS_STRIPS.IT0001247144</v>
      </c>
      <c r="W7" s="134" t="str">
        <f>IF(UPPER($X$1)="ABCD",_xll.MKV_PUBLISHRECORD(V7, "XLS_STRIPS"),"--")</f>
        <v>--</v>
      </c>
      <c r="X7" s="135" t="str">
        <f>IF(UPPER(X$1)="ABCD",_xll.MKV_SUPPLYRECORD(V7, "Bid",F7, "Ask",H7, "Id",A7, "Mid",G7, "Name",D7,"DV01",N7,"MidYield",J7,"BidYield",I7,"AskYield",K7),"--")</f>
        <v>--</v>
      </c>
    </row>
    <row r="8" spans="1:24" x14ac:dyDescent="0.2">
      <c r="A8" s="72" t="s">
        <v>307</v>
      </c>
      <c r="B8" s="89">
        <v>42036</v>
      </c>
      <c r="C8" s="139" t="e">
        <f ca="1">_xll.BDP(A8&amp;" Corp", "days to mty")</f>
        <v>#NAME?</v>
      </c>
      <c r="D8" s="47" t="s">
        <v>308</v>
      </c>
      <c r="E8" s="47" t="s">
        <v>309</v>
      </c>
      <c r="F8" s="138">
        <f ca="1"/>
        <v>99.9</v>
      </c>
      <c r="G8" s="138">
        <f ca="1"/>
        <v>99.91</v>
      </c>
      <c r="H8" s="138">
        <f t="shared" ca="1" si="2"/>
        <v>99.92</v>
      </c>
      <c r="I8" s="32">
        <f ca="1">ROUND(_xll.qlBondYieldFromCleanPrice(O8,F8,YieldDayCounter,YieldCompounding,YieldFrequency)*100,3)</f>
        <v>0.36199999999999999</v>
      </c>
      <c r="J8" s="32">
        <f ca="1">ROUND(_xll.qlBondYieldFromCleanPrice(P8,G8,YieldDayCounter,YieldCompounding,YieldFrequency)*100,3)</f>
        <v>0.32600000000000001</v>
      </c>
      <c r="K8" s="32">
        <f ca="1">ROUND(_xll.qlBondYieldFromCleanPrice(Q8,H8,YieldDayCounter,YieldCompounding,YieldFrequency)*100,3)</f>
        <v>0.28999999999999998</v>
      </c>
      <c r="L8" s="120">
        <f ca="1">_xll.qlBondDurationFromYield(P8,J8,YieldDayCounter,YieldCompounding,YieldFrequency,L$2)</f>
        <v>0.20868199756193306</v>
      </c>
      <c r="M8" s="120">
        <f ca="1">_xll.qlBondConvexityFromYield(P8,J8/100,YieldDayCounter,YieldCompounding,YieldFrequency)</f>
        <v>0.35098985760743656</v>
      </c>
      <c r="N8" s="121" t="e">
        <f ca="1">_xll.BDP(A8&amp;" Corp","risk mid")</f>
        <v>#NAME?</v>
      </c>
      <c r="O8" s="107" t="str">
        <f>_xll.qlZeroCouponBond(,,"EUR",3,"target",100,$B8,"f",100,,,Trigger)</f>
        <v>obj_00ecc#0000</v>
      </c>
      <c r="P8" s="107" t="str">
        <f>_xll.qlZeroCouponBond(,,"EUR",3,"target",100,$B8,"f",100,,,Trigger)</f>
        <v>obj_00f45#0000</v>
      </c>
      <c r="Q8" s="107" t="str">
        <f>_xll.qlZeroCouponBond(,,"EUR",3,"target",100,$B8,"f",100,,,Trigger)</f>
        <v>obj_00e88#0000</v>
      </c>
      <c r="R8" s="123">
        <f t="shared" ca="1" si="0"/>
        <v>99.9</v>
      </c>
      <c r="S8" s="130">
        <f t="shared" ref="S8" ca="1" si="7">R8</f>
        <v>99.9</v>
      </c>
      <c r="T8" s="147" t="str">
        <f>IF(UPPER(U$1)="ABCD",_xll.RtContribute($E$3,$E8,$R$3:$S$3,$R8:$S8,"SCOPE:SERVER"),"--")</f>
        <v>--</v>
      </c>
      <c r="U8" s="151" t="str">
        <f t="shared" si="4"/>
        <v/>
      </c>
      <c r="V8" s="134" t="str">
        <f t="shared" si="1"/>
        <v>EUR.PRICING.XLS_STRIPS.IT0004848625</v>
      </c>
      <c r="W8" s="134" t="str">
        <f>IF(UPPER($X$1)="ABCD",_xll.MKV_PUBLISHRECORD(V8, "XLS_STRIPS"),"--")</f>
        <v>--</v>
      </c>
      <c r="X8" s="135" t="str">
        <f>IF(UPPER(X$1)="ABCD",_xll.MKV_SUPPLYRECORD(V8, "Bid",F8, "Ask",H8, "Id",A8, "Mid",G8, "Name",D8,"DV01",N8,"MidYield",J8,"BidYield",I8,"AskYield",K8),"--")</f>
        <v>--</v>
      </c>
    </row>
    <row r="9" spans="1:24" x14ac:dyDescent="0.2">
      <c r="A9" s="72" t="s">
        <v>120</v>
      </c>
      <c r="B9" s="89">
        <v>42064</v>
      </c>
      <c r="C9" s="139" t="e">
        <f ca="1">_xll.BDP(A9&amp;" Corp", "days to mty")</f>
        <v>#NAME?</v>
      </c>
      <c r="D9" s="47" t="s">
        <v>121</v>
      </c>
      <c r="E9" s="47" t="s">
        <v>122</v>
      </c>
      <c r="F9" s="138">
        <f ca="1"/>
        <v>99.86</v>
      </c>
      <c r="G9" s="138">
        <f ca="1"/>
        <v>99.88</v>
      </c>
      <c r="H9" s="138">
        <f t="shared" ca="1" si="2"/>
        <v>99.9</v>
      </c>
      <c r="I9" s="32">
        <f ca="1">ROUND(_xll.qlBondYieldFromCleanPrice(O9,F9,YieldDayCounter,YieldCompounding,YieldFrequency)*100,3)</f>
        <v>0.39700000000000002</v>
      </c>
      <c r="J9" s="32">
        <f ca="1">ROUND(_xll.qlBondYieldFromCleanPrice(P9,G9,YieldDayCounter,YieldCompounding,YieldFrequency)*100,3)</f>
        <v>0.34</v>
      </c>
      <c r="K9" s="32">
        <f ca="1">ROUND(_xll.qlBondYieldFromCleanPrice(Q9,H9,YieldDayCounter,YieldCompounding,YieldFrequency)*100,3)</f>
        <v>0.28299999999999997</v>
      </c>
      <c r="L9" s="120">
        <f ca="1">_xll.qlBondDurationFromYield(P9,J9,YieldDayCounter,YieldCompounding,YieldFrequency,L$2)</f>
        <v>0.26374974442854215</v>
      </c>
      <c r="M9" s="120">
        <f ca="1">_xll.qlBondConvexityFromYield(P9,J9/100,YieldDayCounter,YieldCompounding,YieldFrequency)</f>
        <v>0.47509749102150362</v>
      </c>
      <c r="N9" s="121" t="e">
        <f ca="1">_xll.BDP(A9&amp;" Corp","risk mid")</f>
        <v>#NAME?</v>
      </c>
      <c r="O9" s="107" t="str">
        <f>_xll.qlZeroCouponBond(,,"EUR",3,"target",100,$B9,"f",100,,,Trigger)</f>
        <v>obj_00eb0#0000</v>
      </c>
      <c r="P9" s="107" t="str">
        <f>_xll.qlZeroCouponBond(,,"EUR",3,"target",100,$B9,"f",100,,,Trigger)</f>
        <v>obj_00f2b#0000</v>
      </c>
      <c r="Q9" s="107" t="str">
        <f>_xll.qlZeroCouponBond(,,"EUR",3,"target",100,$B9,"f",100,,,Trigger)</f>
        <v>obj_00f0a#0000</v>
      </c>
      <c r="R9" s="123">
        <f t="shared" ca="1" si="0"/>
        <v>99.86</v>
      </c>
      <c r="S9" s="130">
        <f t="shared" ref="S9" ca="1" si="8">R9</f>
        <v>99.86</v>
      </c>
      <c r="T9" s="147" t="str">
        <f>IF(UPPER(U$1)="ABCD",_xll.RtContribute($E$3,$E9,$R$3:$S$3,$R9:$S9,"SCOPE:SERVER"),"--")</f>
        <v>--</v>
      </c>
      <c r="U9" s="151" t="str">
        <f t="shared" si="4"/>
        <v/>
      </c>
      <c r="V9" s="134" t="str">
        <f t="shared" si="1"/>
        <v>EUR.PRICING.XLS_STRIPS.IT0004957764</v>
      </c>
      <c r="W9" s="134" t="str">
        <f>IF(UPPER($X$1)="ABCD",_xll.MKV_PUBLISHRECORD(V9, "XLS_STRIPS"),"--")</f>
        <v>--</v>
      </c>
      <c r="X9" s="135" t="str">
        <f>IF(UPPER(X$1)="ABCD",_xll.MKV_SUPPLYRECORD(V9, "Bid",F9, "Ask",H9, "Id",A9, "Mid",G9, "Name",D9,"DV01",N9,"MidYield",J9,"BidYield",I9,"AskYield",K9),"--")</f>
        <v>--</v>
      </c>
    </row>
    <row r="10" spans="1:24" x14ac:dyDescent="0.2">
      <c r="A10" s="72" t="s">
        <v>34</v>
      </c>
      <c r="B10" s="89">
        <v>42125</v>
      </c>
      <c r="C10" s="139" t="e">
        <f ca="1">_xll.BDP(A10&amp;" Corp", "days to mty")</f>
        <v>#NAME?</v>
      </c>
      <c r="D10" s="47" t="s">
        <v>310</v>
      </c>
      <c r="E10" s="47" t="s">
        <v>311</v>
      </c>
      <c r="F10" s="138">
        <f ca="1"/>
        <v>99.76</v>
      </c>
      <c r="G10" s="138">
        <f ca="1"/>
        <v>99.79</v>
      </c>
      <c r="H10" s="138">
        <f t="shared" ca="1" si="2"/>
        <v>99.82</v>
      </c>
      <c r="I10" s="32">
        <f ca="1">ROUND(_xll.qlBondYieldFromCleanPrice(O10,F10,YieldDayCounter,YieldCompounding,YieldFrequency)*100,3)</f>
        <v>0.45800000000000002</v>
      </c>
      <c r="J10" s="32">
        <f ca="1">ROUND(_xll.qlBondYieldFromCleanPrice(P10,G10,YieldDayCounter,YieldCompounding,YieldFrequency)*100,3)</f>
        <v>0.4</v>
      </c>
      <c r="K10" s="32">
        <f ca="1">ROUND(_xll.qlBondYieldFromCleanPrice(Q10,H10,YieldDayCounter,YieldCompounding,YieldFrequency)*100,3)</f>
        <v>0.34300000000000003</v>
      </c>
      <c r="L10" s="120">
        <f ca="1">_xll.qlBondDurationFromYield(P10,J10,YieldDayCounter,YieldCompounding,YieldFrequency,L$2)</f>
        <v>0.37573385518591002</v>
      </c>
      <c r="M10" s="120">
        <f ca="1">_xll.qlBondConvexityFromYield(P10,J10/100,YieldDayCounter,YieldCompounding,YieldFrequency)</f>
        <v>0.79634868883895904</v>
      </c>
      <c r="N10" s="121" t="e">
        <f ca="1">_xll.BDP(A10&amp;" Corp","risk mid")</f>
        <v>#NAME?</v>
      </c>
      <c r="O10" s="107" t="str">
        <f>_xll.qlZeroCouponBond(,,"EUR",3,"target",100,$B10,"f",100,,,Trigger)</f>
        <v>obj_00e5d#0000</v>
      </c>
      <c r="P10" s="107" t="str">
        <f>_xll.qlZeroCouponBond(,,"EUR",3,"target",100,$B10,"f",100,,,Trigger)</f>
        <v>obj_00e2b#0000</v>
      </c>
      <c r="Q10" s="107" t="str">
        <f>_xll.qlZeroCouponBond(,,"EUR",3,"target",100,$B10,"f",100,,,Trigger)</f>
        <v>obj_00f22#0000</v>
      </c>
      <c r="R10" s="123">
        <f t="shared" ca="1" si="0"/>
        <v>99.76</v>
      </c>
      <c r="S10" s="130">
        <f t="shared" ref="S10" ca="1" si="9">R10</f>
        <v>99.76</v>
      </c>
      <c r="T10" s="147" t="str">
        <f>IF(UPPER(U$1)="ABCD",_xll.RtContribute($E$3,$E10,$R$3:$S$3,$R10:$S10,"SCOPE:SERVER"),"--")</f>
        <v>--</v>
      </c>
      <c r="U10" s="151" t="str">
        <f t="shared" si="4"/>
        <v/>
      </c>
      <c r="V10" s="134" t="str">
        <f t="shared" si="1"/>
        <v>EUR.PRICING.XLS_STRIPS.IT0001247151</v>
      </c>
      <c r="W10" s="134" t="str">
        <f>IF(UPPER($X$1)="ABCD",_xll.MKV_PUBLISHRECORD(V10, "XLS_STRIPS"),"--")</f>
        <v>--</v>
      </c>
      <c r="X10" s="135" t="str">
        <f>IF(UPPER(X$1)="ABCD",_xll.MKV_SUPPLYRECORD(V10, "Bid",F10, "Ask",H10, "Id",A10, "Mid",G10, "Name",D10,"DV01",N10,"MidYield",J10,"BidYield",I10,"AskYield",K10),"--")</f>
        <v>--</v>
      </c>
    </row>
    <row r="11" spans="1:24" x14ac:dyDescent="0.2">
      <c r="A11" s="72" t="s">
        <v>312</v>
      </c>
      <c r="B11" s="89">
        <v>42217</v>
      </c>
      <c r="C11" s="139" t="e">
        <f ca="1">_xll.BDP(A11&amp;" Corp", "days to mty")</f>
        <v>#NAME?</v>
      </c>
      <c r="D11" s="47" t="s">
        <v>313</v>
      </c>
      <c r="E11" s="47" t="s">
        <v>314</v>
      </c>
      <c r="F11" s="138">
        <f ca="1"/>
        <v>99.6</v>
      </c>
      <c r="G11" s="138">
        <f ca="1"/>
        <v>99.63</v>
      </c>
      <c r="H11" s="138">
        <f t="shared" ca="1" si="2"/>
        <v>99.66</v>
      </c>
      <c r="I11" s="32">
        <f ca="1">ROUND(_xll.qlBondYieldFromCleanPrice(O11,F11,YieldDayCounter,YieldCompounding,YieldFrequency)*100,3)</f>
        <v>0.51800000000000002</v>
      </c>
      <c r="J11" s="32">
        <f ca="1">ROUND(_xll.qlBondYieldFromCleanPrice(P11,G11,YieldDayCounter,YieldCompounding,YieldFrequency)*100,3)</f>
        <v>0.47899999999999998</v>
      </c>
      <c r="K11" s="32">
        <f ca="1">ROUND(_xll.qlBondYieldFromCleanPrice(Q11,H11,YieldDayCounter,YieldCompounding,YieldFrequency)*100,3)</f>
        <v>0.44</v>
      </c>
      <c r="L11" s="120">
        <f ca="1">_xll.qlBondDurationFromYield(P11,J11,YieldDayCounter,YieldCompounding,YieldFrequency,L$2)</f>
        <v>0.52423425676364077</v>
      </c>
      <c r="M11" s="120">
        <f ca="1">_xll.qlBondConvexityFromYield(P11,J11/100,YieldDayCounter,YieldCompounding,YieldFrequency)</f>
        <v>1.3634056962671501</v>
      </c>
      <c r="N11" s="121" t="e">
        <f ca="1">_xll.BDP(A11&amp;" Corp","risk mid")</f>
        <v>#NAME?</v>
      </c>
      <c r="O11" s="107" t="str">
        <f>_xll.qlZeroCouponBond(,,"EUR",3,"target",100,$B11,"f",100,,,Trigger)</f>
        <v>obj_00ded#0000</v>
      </c>
      <c r="P11" s="107" t="str">
        <f>_xll.qlZeroCouponBond(,,"EUR",3,"target",100,$B11,"f",100,,,Trigger)</f>
        <v>obj_00e12#0000</v>
      </c>
      <c r="Q11" s="107" t="str">
        <f>_xll.qlZeroCouponBond(,,"EUR",3,"target",100,$B11,"f",100,,,Trigger)</f>
        <v>obj_00e59#0000</v>
      </c>
      <c r="R11" s="123">
        <f t="shared" ca="1" si="0"/>
        <v>99.6</v>
      </c>
      <c r="S11" s="130">
        <f t="shared" ref="S11" ca="1" si="10">R11</f>
        <v>99.6</v>
      </c>
      <c r="T11" s="147" t="str">
        <f>IF(UPPER(U$1)="ABCD",_xll.RtContribute($E$3,$E11,$R$3:$S$3,$R11:$S11,"SCOPE:SERVER"),"--")</f>
        <v>--</v>
      </c>
      <c r="U11" s="151" t="str">
        <f t="shared" si="4"/>
        <v/>
      </c>
      <c r="V11" s="134" t="str">
        <f t="shared" si="1"/>
        <v>EUR.PRICING.XLS_STRIPS.IT0004848633</v>
      </c>
      <c r="W11" s="134" t="str">
        <f>IF(UPPER($X$1)="ABCD",_xll.MKV_PUBLISHRECORD(V11, "XLS_STRIPS"),"--")</f>
        <v>--</v>
      </c>
      <c r="X11" s="135" t="str">
        <f>IF(UPPER(X$1)="ABCD",_xll.MKV_SUPPLYRECORD(V11, "Bid",F11, "Ask",H11, "Id",A11, "Mid",G11, "Name",D11,"DV01",N11,"MidYield",J11,"BidYield",I11,"AskYield",K11),"--")</f>
        <v>--</v>
      </c>
    </row>
    <row r="12" spans="1:24" x14ac:dyDescent="0.2">
      <c r="A12" s="72" t="s">
        <v>123</v>
      </c>
      <c r="B12" s="89">
        <v>42248</v>
      </c>
      <c r="C12" s="139" t="e">
        <f ca="1">_xll.BDP(A12&amp;" Corp", "days to mty")</f>
        <v>#NAME?</v>
      </c>
      <c r="D12" s="47" t="s">
        <v>124</v>
      </c>
      <c r="E12" s="47" t="s">
        <v>125</v>
      </c>
      <c r="F12" s="138">
        <f ca="1"/>
        <v>99.55</v>
      </c>
      <c r="G12" s="138">
        <f ca="1"/>
        <v>99.58</v>
      </c>
      <c r="H12" s="138">
        <f t="shared" ca="1" si="2"/>
        <v>99.61</v>
      </c>
      <c r="I12" s="32">
        <f ca="1">ROUND(_xll.qlBondYieldFromCleanPrice(O12,F12,YieldDayCounter,YieldCompounding,YieldFrequency)*100,3)</f>
        <v>0.52900000000000003</v>
      </c>
      <c r="J12" s="32">
        <f ca="1">ROUND(_xll.qlBondYieldFromCleanPrice(P12,G12,YieldDayCounter,YieldCompounding,YieldFrequency)*100,3)</f>
        <v>0.49399999999999999</v>
      </c>
      <c r="K12" s="32">
        <f ca="1">ROUND(_xll.qlBondYieldFromCleanPrice(Q12,H12,YieldDayCounter,YieldCompounding,YieldFrequency)*100,3)</f>
        <v>0.45800000000000002</v>
      </c>
      <c r="L12" s="120">
        <f ca="1">_xll.qlBondDurationFromYield(P12,J12,YieldDayCounter,YieldCompounding,YieldFrequency,L$2)</f>
        <v>0.57215162017934762</v>
      </c>
      <c r="M12" s="120">
        <f ca="1">_xll.qlBondConvexityFromYield(P12,J12/100,YieldDayCounter,YieldCompounding,YieldFrequency)</f>
        <v>1.5699190807120242</v>
      </c>
      <c r="N12" s="121" t="e">
        <f ca="1">_xll.BDP(A12&amp;" Corp","risk mid")</f>
        <v>#NAME?</v>
      </c>
      <c r="O12" s="107" t="str">
        <f>_xll.qlZeroCouponBond(,,"EUR",3,"target",100,$B12,"f",100,,,Trigger)</f>
        <v>obj_00e95#0000</v>
      </c>
      <c r="P12" s="107" t="str">
        <f>_xll.qlZeroCouponBond(,,"EUR",3,"target",100,$B12,"f",100,,,Trigger)</f>
        <v>obj_00f24#0000</v>
      </c>
      <c r="Q12" s="107" t="str">
        <f>_xll.qlZeroCouponBond(,,"EUR",3,"target",100,$B12,"f",100,,,Trigger)</f>
        <v>obj_00f42#0000</v>
      </c>
      <c r="R12" s="123">
        <f t="shared" ca="1" si="0"/>
        <v>99.55</v>
      </c>
      <c r="S12" s="130">
        <f t="shared" ref="S12" ca="1" si="11">R12</f>
        <v>99.55</v>
      </c>
      <c r="T12" s="147" t="str">
        <f>IF(UPPER(U$1)="ABCD",_xll.RtContribute($E$3,$E12,$R$3:$S$3,$R12:$S12,"SCOPE:SERVER"),"--")</f>
        <v>--</v>
      </c>
      <c r="U12" s="151" t="str">
        <f t="shared" si="4"/>
        <v/>
      </c>
      <c r="V12" s="134" t="str">
        <f t="shared" si="1"/>
        <v>EUR.PRICING.XLS_STRIPS.IT0004957772</v>
      </c>
      <c r="W12" s="134" t="str">
        <f>IF(UPPER($X$1)="ABCD",_xll.MKV_PUBLISHRECORD(V12, "XLS_STRIPS"),"--")</f>
        <v>--</v>
      </c>
      <c r="X12" s="135" t="str">
        <f>IF(UPPER(X$1)="ABCD",_xll.MKV_SUPPLYRECORD(V12, "Bid",F12, "Ask",H12, "Id",A12, "Mid",G12, "Name",D12,"DV01",N12,"MidYield",J12,"BidYield",I12,"AskYield",K12),"--")</f>
        <v>--</v>
      </c>
    </row>
    <row r="13" spans="1:24" x14ac:dyDescent="0.2">
      <c r="A13" s="72" t="s">
        <v>315</v>
      </c>
      <c r="B13" s="89">
        <v>42309</v>
      </c>
      <c r="C13" s="139" t="e">
        <f ca="1">_xll.BDP(A13&amp;" Corp", "days to mty")</f>
        <v>#NAME?</v>
      </c>
      <c r="D13" s="47" t="s">
        <v>316</v>
      </c>
      <c r="E13" s="47" t="s">
        <v>317</v>
      </c>
      <c r="F13" s="138">
        <f ca="1"/>
        <v>99.44</v>
      </c>
      <c r="G13" s="138">
        <f ca="1"/>
        <v>99.48</v>
      </c>
      <c r="H13" s="138">
        <f t="shared" ca="1" si="2"/>
        <v>99.52</v>
      </c>
      <c r="I13" s="32">
        <f ca="1">ROUND(_xll.qlBondYieldFromCleanPrice(O13,F13,YieldDayCounter,YieldCompounding,YieldFrequency)*100,3)</f>
        <v>0.55000000000000004</v>
      </c>
      <c r="J13" s="32">
        <f ca="1">ROUND(_xll.qlBondYieldFromCleanPrice(P13,G13,YieldDayCounter,YieldCompounding,YieldFrequency)*100,3)</f>
        <v>0.51</v>
      </c>
      <c r="K13" s="32">
        <f ca="1">ROUND(_xll.qlBondYieldFromCleanPrice(Q13,H13,YieldDayCounter,YieldCompounding,YieldFrequency)*100,3)</f>
        <v>0.47099999999999997</v>
      </c>
      <c r="L13" s="120">
        <f ca="1">_xll.qlBondDurationFromYield(P13,J13,YieldDayCounter,YieldCompounding,YieldFrequency,L$2)</f>
        <v>0.67858114850766571</v>
      </c>
      <c r="M13" s="120">
        <f ca="1">_xll.qlBondConvexityFromYield(P13,J13/100,YieldDayCounter,YieldCompounding,YieldFrequency)</f>
        <v>2.0535806603661357</v>
      </c>
      <c r="N13" s="121" t="e">
        <f ca="1">_xll.BDP(A13&amp;" Corp","risk mid")</f>
        <v>#NAME?</v>
      </c>
      <c r="O13" s="107" t="str">
        <f>_xll.qlZeroCouponBond(,,"EUR",3,"target",100,$B13,"f",100,,,Trigger)</f>
        <v>obj_00ee6#0000</v>
      </c>
      <c r="P13" s="107" t="str">
        <f>_xll.qlZeroCouponBond(,,"EUR",3,"target",100,$B13,"f",100,,,Trigger)</f>
        <v>obj_00eaf#0000</v>
      </c>
      <c r="Q13" s="107" t="str">
        <f>_xll.qlZeroCouponBond(,,"EUR",3,"target",100,$B13,"f",100,,,Trigger)</f>
        <v>obj_00eb7#0000</v>
      </c>
      <c r="R13" s="123">
        <f t="shared" ca="1" si="0"/>
        <v>99.44</v>
      </c>
      <c r="S13" s="130">
        <f t="shared" ref="S13" ca="1" si="12">R13</f>
        <v>99.44</v>
      </c>
      <c r="T13" s="147" t="str">
        <f>IF(UPPER(U$1)="ABCD",_xll.RtContribute($E$3,$E13,$R$3:$S$3,$R13:$S13,"SCOPE:SERVER"),"--")</f>
        <v>--</v>
      </c>
      <c r="U13" s="151" t="str">
        <f t="shared" si="4"/>
        <v/>
      </c>
      <c r="V13" s="134" t="str">
        <f t="shared" si="1"/>
        <v>EUR.PRICING.XLS_STRIPS.IT0004871353</v>
      </c>
      <c r="W13" s="134" t="str">
        <f>IF(UPPER($X$1)="ABCD",_xll.MKV_PUBLISHRECORD(V13, "XLS_STRIPS"),"--")</f>
        <v>--</v>
      </c>
      <c r="X13" s="135" t="str">
        <f>IF(UPPER(X$1)="ABCD",_xll.MKV_SUPPLYRECORD(V13, "Bid",F13, "Ask",H13, "Id",A13, "Mid",G13, "Name",D13,"DV01",N13,"MidYield",J13,"BidYield",I13,"AskYield",K13),"--")</f>
        <v>--</v>
      </c>
    </row>
    <row r="14" spans="1:24" x14ac:dyDescent="0.2">
      <c r="A14" s="72" t="s">
        <v>35</v>
      </c>
      <c r="B14" s="89">
        <v>42401</v>
      </c>
      <c r="C14" s="139" t="e">
        <f ca="1">_xll.BDP(A14&amp;" Corp", "days to mty")</f>
        <v>#NAME?</v>
      </c>
      <c r="D14" s="47" t="s">
        <v>318</v>
      </c>
      <c r="E14" s="47" t="s">
        <v>319</v>
      </c>
      <c r="F14" s="138">
        <f ca="1"/>
        <v>99.22</v>
      </c>
      <c r="G14" s="138">
        <f ca="1"/>
        <v>99.26</v>
      </c>
      <c r="H14" s="138">
        <f t="shared" ca="1" si="2"/>
        <v>99.3</v>
      </c>
      <c r="I14" s="32">
        <f ca="1">ROUND(_xll.qlBondYieldFromCleanPrice(O14,F14,YieldDayCounter,YieldCompounding,YieldFrequency)*100,3)</f>
        <v>0.61699999999999999</v>
      </c>
      <c r="J14" s="32">
        <f ca="1">ROUND(_xll.qlBondYieldFromCleanPrice(P14,G14,YieldDayCounter,YieldCompounding,YieldFrequency)*100,3)</f>
        <v>0.58499999999999996</v>
      </c>
      <c r="K14" s="32">
        <f ca="1">ROUND(_xll.qlBondYieldFromCleanPrice(Q14,H14,YieldDayCounter,YieldCompounding,YieldFrequency)*100,3)</f>
        <v>0.55300000000000005</v>
      </c>
      <c r="L14" s="120">
        <f ca="1">_xll.qlBondDurationFromYield(P14,J14,YieldDayCounter,YieldCompounding,YieldFrequency,L$2)</f>
        <v>0.80376820362127832</v>
      </c>
      <c r="M14" s="120">
        <f ca="1">_xll.qlBondConvexityFromYield(P14,J14/100,YieldDayCounter,YieldCompounding,YieldFrequency)</f>
        <v>2.8633792658636277</v>
      </c>
      <c r="N14" s="121" t="e">
        <f ca="1">_xll.BDP(A14&amp;" Corp","risk mid")</f>
        <v>#NAME?</v>
      </c>
      <c r="O14" s="107" t="str">
        <f>_xll.qlZeroCouponBond(,,"EUR",3,"target",100,$B14,"f",100,,,Trigger)</f>
        <v>obj_00e1c#0000</v>
      </c>
      <c r="P14" s="107" t="str">
        <f>_xll.qlZeroCouponBond(,,"EUR",3,"target",100,$B14,"f",100,,,Trigger)</f>
        <v>obj_00dd7#0000</v>
      </c>
      <c r="Q14" s="107" t="str">
        <f>_xll.qlZeroCouponBond(,,"EUR",3,"target",100,$B14,"f",100,,,Trigger)</f>
        <v>obj_00e5b#0000</v>
      </c>
      <c r="R14" s="123">
        <f t="shared" ca="1" si="0"/>
        <v>99.22</v>
      </c>
      <c r="S14" s="130">
        <f t="shared" ref="S14" ca="1" si="13">R14</f>
        <v>99.22</v>
      </c>
      <c r="T14" s="147" t="str">
        <f>IF(UPPER(U$1)="ABCD",_xll.RtContribute($E$3,$E14,$R$3:$S$3,$R14:$S14,"SCOPE:SERVER"),"--")</f>
        <v>--</v>
      </c>
      <c r="U14" s="151" t="str">
        <f t="shared" si="4"/>
        <v/>
      </c>
      <c r="V14" s="134" t="str">
        <f t="shared" si="1"/>
        <v>EUR.PRICING.XLS_STRIPS.IT0003246318</v>
      </c>
      <c r="W14" s="134" t="str">
        <f>IF(UPPER($X$1)="ABCD",_xll.MKV_PUBLISHRECORD(V14, "XLS_STRIPS"),"--")</f>
        <v>--</v>
      </c>
      <c r="X14" s="135" t="str">
        <f>IF(UPPER(X$1)="ABCD",_xll.MKV_SUPPLYRECORD(V14, "Bid",F14, "Ask",H14, "Id",A14, "Mid",G14, "Name",D14,"DV01",N14,"MidYield",J14,"BidYield",I14,"AskYield",K14),"--")</f>
        <v>--</v>
      </c>
    </row>
    <row r="15" spans="1:24" x14ac:dyDescent="0.2">
      <c r="A15" s="72" t="s">
        <v>126</v>
      </c>
      <c r="B15" s="89">
        <v>42430</v>
      </c>
      <c r="C15" s="139" t="e">
        <f ca="1">_xll.BDP(A15&amp;" Corp", "days to mty")</f>
        <v>#NAME?</v>
      </c>
      <c r="D15" s="47" t="s">
        <v>127</v>
      </c>
      <c r="E15" s="47" t="s">
        <v>128</v>
      </c>
      <c r="F15" s="138">
        <f ca="1"/>
        <v>99.14</v>
      </c>
      <c r="G15" s="138">
        <f ca="1"/>
        <v>99.19</v>
      </c>
      <c r="H15" s="138">
        <f t="shared" ca="1" si="2"/>
        <v>99.24</v>
      </c>
      <c r="I15" s="32">
        <f ca="1">ROUND(_xll.qlBondYieldFromCleanPrice(O15,F15,YieldDayCounter,YieldCompounding,YieldFrequency)*100,3)</f>
        <v>0.64200000000000002</v>
      </c>
      <c r="J15" s="32">
        <f ca="1">ROUND(_xll.qlBondYieldFromCleanPrice(P15,G15,YieldDayCounter,YieldCompounding,YieldFrequency)*100,3)</f>
        <v>0.60399999999999998</v>
      </c>
      <c r="K15" s="32">
        <f ca="1">ROUND(_xll.qlBondYieldFromCleanPrice(Q15,H15,YieldDayCounter,YieldCompounding,YieldFrequency)*100,3)</f>
        <v>0.56599999999999995</v>
      </c>
      <c r="L15" s="120">
        <f ca="1">_xll.qlBondDurationFromYield(P15,J15,YieldDayCounter,YieldCompounding,YieldFrequency,L$2)</f>
        <v>0.84207289994192602</v>
      </c>
      <c r="M15" s="120">
        <f ca="1">_xll.qlBondConvexityFromYield(P15,J15/100,YieldDayCounter,YieldCompounding,YieldFrequency)</f>
        <v>3.1370250098953738</v>
      </c>
      <c r="N15" s="121" t="e">
        <f ca="1">_xll.BDP(A15&amp;" Corp","risk mid")</f>
        <v>#NAME?</v>
      </c>
      <c r="O15" s="107" t="str">
        <f>_xll.qlZeroCouponBond(,,"EUR",3,"target",100,$B15,"f",100,,,Trigger)</f>
        <v>obj_00f55#0000</v>
      </c>
      <c r="P15" s="107" t="str">
        <f>_xll.qlZeroCouponBond(,,"EUR",3,"target",100,$B15,"f",100,,,Trigger)</f>
        <v>obj_00e4f#0000</v>
      </c>
      <c r="Q15" s="107" t="str">
        <f>_xll.qlZeroCouponBond(,,"EUR",3,"target",100,$B15,"f",100,,,Trigger)</f>
        <v>obj_00ee4#0000</v>
      </c>
      <c r="R15" s="123">
        <f t="shared" ca="1" si="0"/>
        <v>99.14</v>
      </c>
      <c r="S15" s="130">
        <f t="shared" ref="S15" ca="1" si="14">R15</f>
        <v>99.14</v>
      </c>
      <c r="T15" s="147" t="str">
        <f>IF(UPPER(U$1)="ABCD",_xll.RtContribute($E$3,$E15,$R$3:$S$3,$R15:$S15,"SCOPE:SERVER"),"--")</f>
        <v>--</v>
      </c>
      <c r="U15" s="151" t="str">
        <f t="shared" si="4"/>
        <v/>
      </c>
      <c r="V15" s="134" t="str">
        <f t="shared" si="1"/>
        <v>EUR.PRICING.XLS_STRIPS.IT0004957780</v>
      </c>
      <c r="W15" s="134" t="str">
        <f>IF(UPPER($X$1)="ABCD",_xll.MKV_PUBLISHRECORD(V15, "XLS_STRIPS"),"--")</f>
        <v>--</v>
      </c>
      <c r="X15" s="135" t="str">
        <f>IF(UPPER(X$1)="ABCD",_xll.MKV_SUPPLYRECORD(V15, "Bid",F15, "Ask",H15, "Id",A15, "Mid",G15, "Name",D15,"DV01",N15,"MidYield",J15,"BidYield",I15,"AskYield",K15),"--")</f>
        <v>--</v>
      </c>
    </row>
    <row r="16" spans="1:24" x14ac:dyDescent="0.2">
      <c r="A16" s="72" t="s">
        <v>36</v>
      </c>
      <c r="B16" s="89">
        <v>42491</v>
      </c>
      <c r="C16" s="139" t="e">
        <f ca="1">_xll.BDP(A16&amp;" Corp", "days to mty")</f>
        <v>#NAME?</v>
      </c>
      <c r="D16" s="47" t="s">
        <v>320</v>
      </c>
      <c r="E16" s="47" t="s">
        <v>321</v>
      </c>
      <c r="F16" s="138">
        <f ca="1"/>
        <v>98.97</v>
      </c>
      <c r="G16" s="138">
        <f ca="1"/>
        <v>99.03</v>
      </c>
      <c r="H16" s="138">
        <f t="shared" ca="1" si="2"/>
        <v>99.09</v>
      </c>
      <c r="I16" s="32">
        <f ca="1">ROUND(_xll.qlBondYieldFromCleanPrice(O16,F16,YieldDayCounter,YieldCompounding,YieldFrequency)*100,3)</f>
        <v>0.68300000000000005</v>
      </c>
      <c r="J16" s="32">
        <f ca="1">ROUND(_xll.qlBondYieldFromCleanPrice(P16,G16,YieldDayCounter,YieldCompounding,YieldFrequency)*100,3)</f>
        <v>0.64300000000000002</v>
      </c>
      <c r="K16" s="32">
        <f ca="1">ROUND(_xll.qlBondYieldFromCleanPrice(Q16,H16,YieldDayCounter,YieldCompounding,YieldFrequency)*100,3)</f>
        <v>0.60299999999999998</v>
      </c>
      <c r="L16" s="120">
        <f ca="1">_xll.qlBondDurationFromYield(P16,J16,YieldDayCounter,YieldCompounding,YieldFrequency,L$2)</f>
        <v>0.92547044747746765</v>
      </c>
      <c r="M16" s="120">
        <f ca="1">_xll.qlBondConvexityFromYield(P16,J16/100,YieldDayCounter,YieldCompounding,YieldFrequency)</f>
        <v>3.7837979169160501</v>
      </c>
      <c r="N16" s="121" t="e">
        <f ca="1">_xll.BDP(A16&amp;" Corp","risk mid")</f>
        <v>#NAME?</v>
      </c>
      <c r="O16" s="107" t="str">
        <f>_xll.qlZeroCouponBond(,,"EUR",3,"target",100,$B16,"f",100,,,Trigger)</f>
        <v>obj_00f52#0000</v>
      </c>
      <c r="P16" s="107" t="str">
        <f>_xll.qlZeroCouponBond(,,"EUR",3,"target",100,$B16,"f",100,,,Trigger)</f>
        <v>obj_00e62#0000</v>
      </c>
      <c r="Q16" s="107" t="str">
        <f>_xll.qlZeroCouponBond(,,"EUR",3,"target",100,$B16,"f",100,,,Trigger)</f>
        <v>obj_00edb#0000</v>
      </c>
      <c r="R16" s="123">
        <f t="shared" ca="1" si="0"/>
        <v>98.97</v>
      </c>
      <c r="S16" s="130">
        <f t="shared" ref="S16" ca="1" si="15">R16</f>
        <v>98.97</v>
      </c>
      <c r="T16" s="147" t="str">
        <f>IF(UPPER(U$1)="ABCD",_xll.RtContribute($E$3,$E16,$R$3:$S$3,$R16:$S16,"SCOPE:SERVER"),"--")</f>
        <v>--</v>
      </c>
      <c r="U16" s="151" t="str">
        <f t="shared" si="4"/>
        <v/>
      </c>
      <c r="V16" s="134" t="str">
        <f t="shared" si="1"/>
        <v>EUR.PRICING.XLS_STRIPS.IT0001247177</v>
      </c>
      <c r="W16" s="134" t="str">
        <f>IF(UPPER($X$1)="ABCD",_xll.MKV_PUBLISHRECORD(V16, "XLS_STRIPS"),"--")</f>
        <v>--</v>
      </c>
      <c r="X16" s="135" t="str">
        <f>IF(UPPER(X$1)="ABCD",_xll.MKV_SUPPLYRECORD(V16, "Bid",F16, "Ask",H16, "Id",A16, "Mid",G16, "Name",D16,"DV01",N16,"MidYield",J16,"BidYield",I16,"AskYield",K16),"--")</f>
        <v>--</v>
      </c>
    </row>
    <row r="17" spans="1:24" x14ac:dyDescent="0.2">
      <c r="A17" s="72" t="s">
        <v>322</v>
      </c>
      <c r="B17" s="89">
        <v>42583</v>
      </c>
      <c r="C17" s="139" t="e">
        <f ca="1">_xll.BDP(A17&amp;" Corp", "days to mty")</f>
        <v>#NAME?</v>
      </c>
      <c r="D17" s="47" t="s">
        <v>323</v>
      </c>
      <c r="E17" s="47" t="s">
        <v>324</v>
      </c>
      <c r="F17" s="138">
        <f ca="1"/>
        <v>98.68</v>
      </c>
      <c r="G17" s="138">
        <f ca="1"/>
        <v>98.75</v>
      </c>
      <c r="H17" s="138">
        <f t="shared" ca="1" si="2"/>
        <v>98.82</v>
      </c>
      <c r="I17" s="32">
        <f ca="1">ROUND(_xll.qlBondYieldFromCleanPrice(O17,F17,YieldDayCounter,YieldCompounding,YieldFrequency)*100,3)</f>
        <v>0.754</v>
      </c>
      <c r="J17" s="32">
        <f ca="1">ROUND(_xll.qlBondYieldFromCleanPrice(P17,G17,YieldDayCounter,YieldCompounding,YieldFrequency)*100,3)</f>
        <v>0.71299999999999997</v>
      </c>
      <c r="K17" s="32">
        <f ca="1">ROUND(_xll.qlBondYieldFromCleanPrice(Q17,H17,YieldDayCounter,YieldCompounding,YieldFrequency)*100,3)</f>
        <v>0.67300000000000004</v>
      </c>
      <c r="L17" s="120">
        <f ca="1">_xll.qlBondDurationFromYield(P17,J17,YieldDayCounter,YieldCompounding,YieldFrequency,L$2)</f>
        <v>1.0331949875648745</v>
      </c>
      <c r="M17" s="120">
        <f ca="1">_xll.qlBondConvexityFromYield(P17,J17/100,YieldDayCounter,YieldCompounding,YieldFrequency)</f>
        <v>4.8331122202535806</v>
      </c>
      <c r="N17" s="121" t="e">
        <f ca="1">_xll.BDP(A17&amp;" Corp","risk mid")</f>
        <v>#NAME?</v>
      </c>
      <c r="O17" s="107" t="str">
        <f>_xll.qlZeroCouponBond(,,"EUR",3,"target",100,$B17,"f",100,,,Trigger)</f>
        <v>obj_00e19#0000</v>
      </c>
      <c r="P17" s="107" t="str">
        <f>_xll.qlZeroCouponBond(,,"EUR",3,"target",100,$B17,"f",100,,,Trigger)</f>
        <v>obj_00f02#0000</v>
      </c>
      <c r="Q17" s="107" t="str">
        <f>_xll.qlZeroCouponBond(,,"EUR",3,"target",100,$B17,"f",100,,,Trigger)</f>
        <v>obj_00e9b#0000</v>
      </c>
      <c r="R17" s="123">
        <f t="shared" ca="1" si="0"/>
        <v>98.68</v>
      </c>
      <c r="S17" s="130">
        <f t="shared" ref="S17" ca="1" si="16">R17</f>
        <v>98.68</v>
      </c>
      <c r="T17" s="147" t="str">
        <f>IF(UPPER(U$1)="ABCD",_xll.RtContribute($E$3,$E17,$R$3:$S$3,$R17:$S17,"SCOPE:SERVER"),"--")</f>
        <v>--</v>
      </c>
      <c r="U17" s="151" t="str">
        <f t="shared" si="4"/>
        <v/>
      </c>
      <c r="V17" s="134" t="str">
        <f t="shared" si="1"/>
        <v>EUR.PRICING.XLS_STRIPS.IT0004848666</v>
      </c>
      <c r="W17" s="134" t="str">
        <f>IF(UPPER($X$1)="ABCD",_xll.MKV_PUBLISHRECORD(V17, "XLS_STRIPS"),"--")</f>
        <v>--</v>
      </c>
      <c r="X17" s="135" t="str">
        <f>IF(UPPER(X$1)="ABCD",_xll.MKV_SUPPLYRECORD(V17, "Bid",F17, "Ask",H17, "Id",A17, "Mid",G17, "Name",D17,"DV01",N17,"MidYield",J17,"BidYield",I17,"AskYield",K17),"--")</f>
        <v>--</v>
      </c>
    </row>
    <row r="18" spans="1:24" x14ac:dyDescent="0.2">
      <c r="A18" s="72" t="s">
        <v>129</v>
      </c>
      <c r="B18" s="89">
        <v>42614</v>
      </c>
      <c r="C18" s="139" t="e">
        <f ca="1">_xll.BDP(A18&amp;" Corp", "days to mty")</f>
        <v>#NAME?</v>
      </c>
      <c r="D18" s="47" t="s">
        <v>130</v>
      </c>
      <c r="E18" s="47" t="s">
        <v>131</v>
      </c>
      <c r="F18" s="138">
        <f ca="1"/>
        <v>98.54</v>
      </c>
      <c r="G18" s="138">
        <f ca="1"/>
        <v>98.61</v>
      </c>
      <c r="H18" s="138">
        <f t="shared" ca="1" si="2"/>
        <v>98.68</v>
      </c>
      <c r="I18" s="32">
        <f ca="1">ROUND(_xll.qlBondYieldFromCleanPrice(O18,F18,YieldDayCounter,YieldCompounding,YieldFrequency)*100,3)</f>
        <v>0.79600000000000004</v>
      </c>
      <c r="J18" s="32">
        <f ca="1">ROUND(_xll.qlBondYieldFromCleanPrice(P18,G18,YieldDayCounter,YieldCompounding,YieldFrequency)*100,3)</f>
        <v>0.75800000000000001</v>
      </c>
      <c r="K18" s="32">
        <f ca="1">ROUND(_xll.qlBondYieldFromCleanPrice(Q18,H18,YieldDayCounter,YieldCompounding,YieldFrequency)*100,3)</f>
        <v>0.71899999999999997</v>
      </c>
      <c r="L18" s="120">
        <f ca="1">_xll.qlBondDurationFromYield(P18,J18,YieldDayCounter,YieldCompounding,YieldFrequency,L$2)</f>
        <v>1.0550594542366014</v>
      </c>
      <c r="M18" s="120">
        <f ca="1">_xll.qlBondConvexityFromYield(P18,J18/100,YieldDayCounter,YieldCompounding,YieldFrequency)</f>
        <v>5.215687733324744</v>
      </c>
      <c r="N18" s="121" t="e">
        <f ca="1">_xll.BDP(A18&amp;" Corp","risk mid")</f>
        <v>#NAME?</v>
      </c>
      <c r="O18" s="107" t="str">
        <f>_xll.qlZeroCouponBond(,,"EUR",3,"target",100,$B18,"f",100,,,Trigger)</f>
        <v>obj_00f21#0000</v>
      </c>
      <c r="P18" s="107" t="str">
        <f>_xll.qlZeroCouponBond(,,"EUR",3,"target",100,$B18,"f",100,,,Trigger)</f>
        <v>obj_00f72#0000</v>
      </c>
      <c r="Q18" s="107" t="str">
        <f>_xll.qlZeroCouponBond(,,"EUR",3,"target",100,$B18,"f",100,,,Trigger)</f>
        <v>obj_00efb#0000</v>
      </c>
      <c r="R18" s="123">
        <f t="shared" ca="1" si="0"/>
        <v>98.54</v>
      </c>
      <c r="S18" s="130">
        <f t="shared" ref="S18" ca="1" si="17">R18</f>
        <v>98.54</v>
      </c>
      <c r="T18" s="147" t="str">
        <f>IF(UPPER(U$1)="ABCD",_xll.RtContribute($E$3,$E18,$R$3:$S$3,$R18:$S18,"SCOPE:SERVER"),"--")</f>
        <v>--</v>
      </c>
      <c r="U18" s="151" t="str">
        <f t="shared" si="4"/>
        <v/>
      </c>
      <c r="V18" s="134" t="str">
        <f t="shared" si="1"/>
        <v>EUR.PRICING.XLS_STRIPS.IT0004957798</v>
      </c>
      <c r="W18" s="134" t="str">
        <f>IF(UPPER($X$1)="ABCD",_xll.MKV_PUBLISHRECORD(V18, "XLS_STRIPS"),"--")</f>
        <v>--</v>
      </c>
      <c r="X18" s="135" t="str">
        <f>IF(UPPER(X$1)="ABCD",_xll.MKV_SUPPLYRECORD(V18, "Bid",F18, "Ask",H18, "Id",A18, "Mid",G18, "Name",D18,"DV01",N18,"MidYield",J18,"BidYield",I18,"AskYield",K18),"--")</f>
        <v>--</v>
      </c>
    </row>
    <row r="19" spans="1:24" x14ac:dyDescent="0.2">
      <c r="A19" s="72" t="s">
        <v>37</v>
      </c>
      <c r="B19" s="89">
        <v>42675</v>
      </c>
      <c r="C19" s="139" t="e">
        <f ca="1">_xll.BDP(A19&amp;" Corp", "days to mty")</f>
        <v>#NAME?</v>
      </c>
      <c r="D19" s="47" t="s">
        <v>325</v>
      </c>
      <c r="E19" s="47" t="s">
        <v>326</v>
      </c>
      <c r="F19" s="138">
        <f ca="1"/>
        <v>98.33</v>
      </c>
      <c r="G19" s="138">
        <f ca="1"/>
        <v>98.4</v>
      </c>
      <c r="H19" s="138">
        <f t="shared" ca="1" si="2"/>
        <v>98.47</v>
      </c>
      <c r="I19" s="32">
        <f ca="1">ROUND(_xll.qlBondYieldFromCleanPrice(O19,F19,YieldDayCounter,YieldCompounding,YieldFrequency)*100,3)</f>
        <v>0.83599999999999997</v>
      </c>
      <c r="J19" s="32">
        <f ca="1">ROUND(_xll.qlBondYieldFromCleanPrice(P19,G19,YieldDayCounter,YieldCompounding,YieldFrequency)*100,3)</f>
        <v>0.80100000000000005</v>
      </c>
      <c r="K19" s="32">
        <f ca="1">ROUND(_xll.qlBondYieldFromCleanPrice(Q19,H19,YieldDayCounter,YieldCompounding,YieldFrequency)*100,3)</f>
        <v>0.76500000000000001</v>
      </c>
      <c r="L19" s="120">
        <f ca="1">_xll.qlBondDurationFromYield(P19,J19,YieldDayCounter,YieldCompounding,YieldFrequency,L$2)</f>
        <v>1.122663969027861</v>
      </c>
      <c r="M19" s="120">
        <f ca="1">_xll.qlBondConvexityFromYield(P19,J19/100,YieldDayCounter,YieldCompounding,YieldFrequency)</f>
        <v>6.0133497512762011</v>
      </c>
      <c r="N19" s="121" t="e">
        <f ca="1">_xll.BDP(A19&amp;" Corp","risk mid")</f>
        <v>#NAME?</v>
      </c>
      <c r="O19" s="107" t="str">
        <f>_xll.qlZeroCouponBond(,,"EUR",3,"target",100,$B19,"f",100,,,Trigger)</f>
        <v>obj_00f73#0000</v>
      </c>
      <c r="P19" s="107" t="str">
        <f>_xll.qlZeroCouponBond(,,"EUR",3,"target",100,$B19,"f",100,,,Trigger)</f>
        <v>obj_00e68#0000</v>
      </c>
      <c r="Q19" s="107" t="str">
        <f>_xll.qlZeroCouponBond(,,"EUR",3,"target",100,$B19,"f",100,,,Trigger)</f>
        <v>obj_00e8b#0000</v>
      </c>
      <c r="R19" s="123">
        <f t="shared" ca="1" si="0"/>
        <v>98.33</v>
      </c>
      <c r="S19" s="130">
        <f t="shared" ref="S19" ca="1" si="18">R19</f>
        <v>98.33</v>
      </c>
      <c r="T19" s="147" t="str">
        <f>IF(UPPER(U$1)="ABCD",_xll.RtContribute($E$3,$E19,$R$3:$S$3,$R19:$S19,"SCOPE:SERVER"),"--")</f>
        <v>--</v>
      </c>
      <c r="U19" s="151" t="str">
        <f t="shared" si="4"/>
        <v/>
      </c>
      <c r="V19" s="134" t="str">
        <f t="shared" si="1"/>
        <v>EUR.PRICING.XLS_STRIPS.IT0001247185</v>
      </c>
      <c r="W19" s="134" t="str">
        <f>IF(UPPER($X$1)="ABCD",_xll.MKV_PUBLISHRECORD(V19, "XLS_STRIPS"),"--")</f>
        <v>--</v>
      </c>
      <c r="X19" s="135" t="str">
        <f>IF(UPPER(X$1)="ABCD",_xll.MKV_SUPPLYRECORD(V19, "Bid",F19, "Ask",H19, "Id",A19, "Mid",G19, "Name",D19,"DV01",N19,"MidYield",J19,"BidYield",I19,"AskYield",K19),"--")</f>
        <v>--</v>
      </c>
    </row>
    <row r="20" spans="1:24" x14ac:dyDescent="0.2">
      <c r="A20" s="72" t="s">
        <v>327</v>
      </c>
      <c r="B20" s="89">
        <v>42767</v>
      </c>
      <c r="C20" s="139" t="e">
        <f ca="1">_xll.BDP(A20&amp;" Corp", "days to mty")</f>
        <v>#NAME?</v>
      </c>
      <c r="D20" s="47" t="s">
        <v>328</v>
      </c>
      <c r="E20" s="47" t="s">
        <v>329</v>
      </c>
      <c r="F20" s="138">
        <f ca="1"/>
        <v>98.06</v>
      </c>
      <c r="G20" s="138">
        <f ca="1"/>
        <v>98.14</v>
      </c>
      <c r="H20" s="138">
        <f t="shared" ca="1" si="2"/>
        <v>98.22</v>
      </c>
      <c r="I20" s="32">
        <f ca="1">ROUND(_xll.qlBondYieldFromCleanPrice(O20,F20,YieldDayCounter,YieldCompounding,YieldFrequency)*100,3)</f>
        <v>0.86499999999999999</v>
      </c>
      <c r="J20" s="32">
        <f ca="1">ROUND(_xll.qlBondYieldFromCleanPrice(P20,G20,YieldDayCounter,YieldCompounding,YieldFrequency)*100,3)</f>
        <v>0.82899999999999996</v>
      </c>
      <c r="K20" s="32">
        <f ca="1">ROUND(_xll.qlBondYieldFromCleanPrice(Q20,H20,YieldDayCounter,YieldCompounding,YieldFrequency)*100,3)</f>
        <v>0.79300000000000004</v>
      </c>
      <c r="L20" s="120">
        <f ca="1">_xll.qlBondDurationFromYield(P20,J20,YieldDayCounter,YieldCompounding,YieldFrequency,L$2)</f>
        <v>1.2432873716455584</v>
      </c>
      <c r="M20" s="120">
        <f ca="1">_xll.qlBondConvexityFromYield(P20,J20/100,YieldDayCounter,YieldCompounding,YieldFrequency)</f>
        <v>7.3230053058309972</v>
      </c>
      <c r="N20" s="121" t="e">
        <f ca="1">_xll.BDP(A20&amp;" Corp","risk mid")</f>
        <v>#NAME?</v>
      </c>
      <c r="O20" s="107" t="str">
        <f>_xll.qlZeroCouponBond(,,"EUR",3,"target",100,$B20,"f",100,,,Trigger)</f>
        <v>obj_00dd6#0000</v>
      </c>
      <c r="P20" s="107" t="str">
        <f>_xll.qlZeroCouponBond(,,"EUR",3,"target",100,$B20,"f",100,,,Trigger)</f>
        <v>obj_00f0f#0000</v>
      </c>
      <c r="Q20" s="107" t="str">
        <f>_xll.qlZeroCouponBond(,,"EUR",3,"target",100,$B20,"f",100,,,Trigger)</f>
        <v>obj_00e44#0000</v>
      </c>
      <c r="R20" s="123">
        <f t="shared" ca="1" si="0"/>
        <v>98.06</v>
      </c>
      <c r="S20" s="130">
        <f t="shared" ref="S20" ca="1" si="19">R20</f>
        <v>98.06</v>
      </c>
      <c r="T20" s="147" t="str">
        <f>IF(UPPER(U$1)="ABCD",_xll.RtContribute($E$3,$E20,$R$3:$S$3,$R20:$S20,"SCOPE:SERVER"),"--")</f>
        <v>--</v>
      </c>
      <c r="U20" s="151" t="str">
        <f t="shared" si="4"/>
        <v/>
      </c>
      <c r="V20" s="134" t="str">
        <f t="shared" si="1"/>
        <v>EUR.PRICING.XLS_STRIPS.IT0004848674</v>
      </c>
      <c r="W20" s="134" t="str">
        <f>IF(UPPER($X$1)="ABCD",_xll.MKV_PUBLISHRECORD(V20, "XLS_STRIPS"),"--")</f>
        <v>--</v>
      </c>
      <c r="X20" s="135" t="str">
        <f>IF(UPPER(X$1)="ABCD",_xll.MKV_SUPPLYRECORD(V20, "Bid",F20, "Ask",H20, "Id",A20, "Mid",G20, "Name",D20,"DV01",N20,"MidYield",J20,"BidYield",I20,"AskYield",K20),"--")</f>
        <v>--</v>
      </c>
    </row>
    <row r="21" spans="1:24" x14ac:dyDescent="0.2">
      <c r="A21" s="72" t="s">
        <v>132</v>
      </c>
      <c r="B21" s="89">
        <v>42795</v>
      </c>
      <c r="C21" s="139" t="e">
        <f ca="1">_xll.BDP(A21&amp;" Corp", "days to mty")</f>
        <v>#NAME?</v>
      </c>
      <c r="D21" s="47" t="s">
        <v>133</v>
      </c>
      <c r="E21" s="47" t="s">
        <v>134</v>
      </c>
      <c r="F21" s="138">
        <f ca="1"/>
        <v>97.94</v>
      </c>
      <c r="G21" s="138">
        <f ca="1"/>
        <v>98.03</v>
      </c>
      <c r="H21" s="138">
        <f t="shared" ca="1" si="2"/>
        <v>98.12</v>
      </c>
      <c r="I21" s="32">
        <f ca="1">ROUND(_xll.qlBondYieldFromCleanPrice(O21,F21,YieldDayCounter,YieldCompounding,YieldFrequency)*100,3)</f>
        <v>0.88900000000000001</v>
      </c>
      <c r="J21" s="32">
        <f ca="1">ROUND(_xll.qlBondYieldFromCleanPrice(P21,G21,YieldDayCounter,YieldCompounding,YieldFrequency)*100,3)</f>
        <v>0.85</v>
      </c>
      <c r="K21" s="32">
        <f ca="1">ROUND(_xll.qlBondYieldFromCleanPrice(Q21,H21,YieldDayCounter,YieldCompounding,YieldFrequency)*100,3)</f>
        <v>0.81100000000000005</v>
      </c>
      <c r="L21" s="120">
        <f ca="1">_xll.qlBondDurationFromYield(P21,J21,YieldDayCounter,YieldCompounding,YieldFrequency,L$2)</f>
        <v>1.2706405035172157</v>
      </c>
      <c r="M21" s="120">
        <f ca="1">_xll.qlBondConvexityFromYield(P21,J21/100,YieldDayCounter,YieldCompounding,YieldFrequency)</f>
        <v>7.7441937666868892</v>
      </c>
      <c r="N21" s="121" t="e">
        <f ca="1">_xll.BDP(A21&amp;" Corp","risk mid")</f>
        <v>#NAME?</v>
      </c>
      <c r="O21" s="107" t="str">
        <f>_xll.qlZeroCouponBond(,,"EUR",3,"target",100,$B21,"f",100,,,Trigger)</f>
        <v>obj_00e10#0000</v>
      </c>
      <c r="P21" s="107" t="str">
        <f>_xll.qlZeroCouponBond(,,"EUR",3,"target",100,$B21,"f",100,,,Trigger)</f>
        <v>obj_00f82#0000</v>
      </c>
      <c r="Q21" s="107" t="str">
        <f>_xll.qlZeroCouponBond(,,"EUR",3,"target",100,$B21,"f",100,,,Trigger)</f>
        <v>obj_00e14#0000</v>
      </c>
      <c r="R21" s="123">
        <f t="shared" ca="1" si="0"/>
        <v>97.94</v>
      </c>
      <c r="S21" s="130">
        <f t="shared" ref="S21" ca="1" si="20">R21</f>
        <v>97.94</v>
      </c>
      <c r="T21" s="147" t="str">
        <f>IF(UPPER(U$1)="ABCD",_xll.RtContribute($E$3,$E21,$R$3:$S$3,$R21:$S21,"SCOPE:SERVER"),"--")</f>
        <v>--</v>
      </c>
      <c r="U21" s="151" t="str">
        <f t="shared" si="4"/>
        <v/>
      </c>
      <c r="V21" s="134" t="str">
        <f t="shared" si="1"/>
        <v>EUR.PRICING.XLS_STRIPS.IT0004957806</v>
      </c>
      <c r="W21" s="134" t="str">
        <f>IF(UPPER($X$1)="ABCD",_xll.MKV_PUBLISHRECORD(V21, "XLS_STRIPS"),"--")</f>
        <v>--</v>
      </c>
      <c r="X21" s="135" t="str">
        <f>IF(UPPER(X$1)="ABCD",_xll.MKV_SUPPLYRECORD(V21, "Bid",F21, "Ask",H21, "Id",A21, "Mid",G21, "Name",D21,"DV01",N21,"MidYield",J21,"BidYield",I21,"AskYield",K21),"--")</f>
        <v>--</v>
      </c>
    </row>
    <row r="22" spans="1:24" x14ac:dyDescent="0.2">
      <c r="A22" s="72" t="s">
        <v>330</v>
      </c>
      <c r="B22" s="89">
        <v>42856</v>
      </c>
      <c r="C22" s="139" t="e">
        <f ca="1">_xll.BDP(A22&amp;" Corp", "days to mty")</f>
        <v>#NAME?</v>
      </c>
      <c r="D22" s="47" t="s">
        <v>331</v>
      </c>
      <c r="E22" s="47" t="s">
        <v>332</v>
      </c>
      <c r="F22" s="138">
        <f ca="1"/>
        <v>97.69</v>
      </c>
      <c r="G22" s="138">
        <f ca="1"/>
        <v>97.78</v>
      </c>
      <c r="H22" s="138">
        <f t="shared" ca="1" si="2"/>
        <v>97.87</v>
      </c>
      <c r="I22" s="32">
        <f ca="1">ROUND(_xll.qlBondYieldFromCleanPrice(O22,F22,YieldDayCounter,YieldCompounding,YieldFrequency)*100,3)</f>
        <v>0.93200000000000005</v>
      </c>
      <c r="J22" s="32">
        <f ca="1">ROUND(_xll.qlBondYieldFromCleanPrice(P22,G22,YieldDayCounter,YieldCompounding,YieldFrequency)*100,3)</f>
        <v>0.89500000000000002</v>
      </c>
      <c r="K22" s="32">
        <f ca="1">ROUND(_xll.qlBondYieldFromCleanPrice(Q22,H22,YieldDayCounter,YieldCompounding,YieldFrequency)*100,3)</f>
        <v>0.85799999999999998</v>
      </c>
      <c r="L22" s="120">
        <f ca="1">_xll.qlBondDurationFromYield(P22,J22,YieldDayCounter,YieldCompounding,YieldFrequency,L$2)</f>
        <v>1.3301044565728124</v>
      </c>
      <c r="M22" s="120">
        <f ca="1">_xll.qlBondConvexityFromYield(P22,J22/100,YieldDayCounter,YieldCompounding,YieldFrequency)</f>
        <v>8.7169777360997518</v>
      </c>
      <c r="N22" s="121" t="e">
        <f ca="1">_xll.BDP(A22&amp;" Corp","risk mid")</f>
        <v>#NAME?</v>
      </c>
      <c r="O22" s="107" t="str">
        <f>_xll.qlZeroCouponBond(,,"EUR",3,"target",100,$B22,"f",100,,,Trigger)</f>
        <v>obj_00e39#0000</v>
      </c>
      <c r="P22" s="107" t="str">
        <f>_xll.qlZeroCouponBond(,,"EUR",3,"target",100,$B22,"f",100,,,Trigger)</f>
        <v>obj_00dfe#0000</v>
      </c>
      <c r="Q22" s="107" t="str">
        <f>_xll.qlZeroCouponBond(,,"EUR",3,"target",100,$B22,"f",100,,,Trigger)</f>
        <v>obj_00ecb#0000</v>
      </c>
      <c r="R22" s="123">
        <f t="shared" ca="1" si="0"/>
        <v>97.69</v>
      </c>
      <c r="S22" s="130">
        <f t="shared" ref="S22" ca="1" si="21">R22</f>
        <v>97.69</v>
      </c>
      <c r="T22" s="147" t="str">
        <f>IF(UPPER(U$1)="ABCD",_xll.RtContribute($E$3,$E22,$R$3:$S$3,$R22:$S22,"SCOPE:SERVER"),"--")</f>
        <v>--</v>
      </c>
      <c r="U22" s="151" t="str">
        <f t="shared" si="4"/>
        <v/>
      </c>
      <c r="V22" s="134" t="str">
        <f t="shared" si="1"/>
        <v>EUR.PRICING.XLS_STRIPS.IT0004848807</v>
      </c>
      <c r="W22" s="134" t="str">
        <f>IF(UPPER($X$1)="ABCD",_xll.MKV_PUBLISHRECORD(V22, "XLS_STRIPS"),"--")</f>
        <v>--</v>
      </c>
      <c r="X22" s="135" t="str">
        <f>IF(UPPER(X$1)="ABCD",_xll.MKV_SUPPLYRECORD(V22, "Bid",F22, "Ask",H22, "Id",A22, "Mid",G22, "Name",D22,"DV01",N22,"MidYield",J22,"BidYield",I22,"AskYield",K22),"--")</f>
        <v>--</v>
      </c>
    </row>
    <row r="23" spans="1:24" x14ac:dyDescent="0.2">
      <c r="A23" s="72" t="s">
        <v>333</v>
      </c>
      <c r="B23" s="89">
        <v>42948</v>
      </c>
      <c r="C23" s="139" t="e">
        <f ca="1">_xll.BDP(A23&amp;" Corp", "days to mty")</f>
        <v>#NAME?</v>
      </c>
      <c r="D23" s="47" t="s">
        <v>334</v>
      </c>
      <c r="E23" s="47" t="s">
        <v>335</v>
      </c>
      <c r="F23" s="138">
        <f ca="1"/>
        <v>97.39</v>
      </c>
      <c r="G23" s="138">
        <f ca="1"/>
        <v>97.49</v>
      </c>
      <c r="H23" s="138">
        <f t="shared" ca="1" si="2"/>
        <v>97.59</v>
      </c>
      <c r="I23" s="32">
        <f ca="1">ROUND(_xll.qlBondYieldFromCleanPrice(O23,F23,YieldDayCounter,YieldCompounding,YieldFrequency)*100,3)</f>
        <v>0.95899999999999996</v>
      </c>
      <c r="J23" s="32">
        <f ca="1">ROUND(_xll.qlBondYieldFromCleanPrice(P23,G23,YieldDayCounter,YieldCompounding,YieldFrequency)*100,3)</f>
        <v>0.92200000000000004</v>
      </c>
      <c r="K23" s="32">
        <f ca="1">ROUND(_xll.qlBondYieldFromCleanPrice(Q23,H23,YieldDayCounter,YieldCompounding,YieldFrequency)*100,3)</f>
        <v>0.88500000000000001</v>
      </c>
      <c r="L23" s="120">
        <f ca="1">_xll.qlBondDurationFromYield(P23,J23,YieldDayCounter,YieldCompounding,YieldFrequency,L$2)</f>
        <v>1.4411358031730646</v>
      </c>
      <c r="M23" s="120">
        <f ca="1">_xll.qlBondConvexityFromYield(P23,J23/100,YieldDayCounter,YieldCompounding,YieldFrequency)</f>
        <v>10.252084182751315</v>
      </c>
      <c r="N23" s="121" t="e">
        <f ca="1">_xll.BDP(A23&amp;" Corp","risk mid")</f>
        <v>#NAME?</v>
      </c>
      <c r="O23" s="107" t="str">
        <f>_xll.qlZeroCouponBond(,,"EUR",3,"target",100,$B23,"f",100,,,Trigger)</f>
        <v>obj_00e91#0000</v>
      </c>
      <c r="P23" s="107" t="str">
        <f>_xll.qlZeroCouponBond(,,"EUR",3,"target",100,$B23,"f",100,,,Trigger)</f>
        <v>obj_00eae#0000</v>
      </c>
      <c r="Q23" s="107" t="str">
        <f>_xll.qlZeroCouponBond(,,"EUR",3,"target",100,$B23,"f",100,,,Trigger)</f>
        <v>obj_00e60#0000</v>
      </c>
      <c r="R23" s="123">
        <f t="shared" ca="1" si="0"/>
        <v>97.39</v>
      </c>
      <c r="S23" s="130">
        <f t="shared" ref="S23" ca="1" si="22">R23</f>
        <v>97.39</v>
      </c>
      <c r="T23" s="147" t="str">
        <f>IF(UPPER(U$1)="ABCD",_xll.RtContribute($E$3,$E23,$R$3:$S$3,$R23:$S23,"SCOPE:SERVER"),"--")</f>
        <v>--</v>
      </c>
      <c r="U23" s="151" t="str">
        <f t="shared" si="4"/>
        <v/>
      </c>
      <c r="V23" s="134" t="str">
        <f t="shared" si="1"/>
        <v>EUR.PRICING.XLS_STRIPS.IT0004848500</v>
      </c>
      <c r="W23" s="134" t="str">
        <f>IF(UPPER($X$1)="ABCD",_xll.MKV_PUBLISHRECORD(V23, "XLS_STRIPS"),"--")</f>
        <v>--</v>
      </c>
      <c r="X23" s="135" t="str">
        <f>IF(UPPER(X$1)="ABCD",_xll.MKV_SUPPLYRECORD(V23, "Bid",F23, "Ask",H23, "Id",A23, "Mid",G23, "Name",D23,"DV01",N23,"MidYield",J23,"BidYield",I23,"AskYield",K23),"--")</f>
        <v>--</v>
      </c>
    </row>
    <row r="24" spans="1:24" x14ac:dyDescent="0.2">
      <c r="A24" s="72" t="s">
        <v>135</v>
      </c>
      <c r="B24" s="89">
        <v>42979</v>
      </c>
      <c r="C24" s="139" t="e">
        <f ca="1">_xll.BDP(A24&amp;" Corp", "days to mty")</f>
        <v>#NAME?</v>
      </c>
      <c r="D24" s="47" t="s">
        <v>136</v>
      </c>
      <c r="E24" s="47" t="s">
        <v>137</v>
      </c>
      <c r="F24" s="138">
        <f ca="1"/>
        <v>97.29</v>
      </c>
      <c r="G24" s="138">
        <f ca="1"/>
        <v>97.39</v>
      </c>
      <c r="H24" s="138">
        <f t="shared" ca="1" si="2"/>
        <v>97.49</v>
      </c>
      <c r="I24" s="32">
        <f ca="1">ROUND(_xll.qlBondYieldFromCleanPrice(O24,F24,YieldDayCounter,YieldCompounding,YieldFrequency)*100,3)</f>
        <v>0.96699999999999997</v>
      </c>
      <c r="J24" s="32">
        <f ca="1">ROUND(_xll.qlBondYieldFromCleanPrice(P24,G24,YieldDayCounter,YieldCompounding,YieldFrequency)*100,3)</f>
        <v>0.93100000000000005</v>
      </c>
      <c r="K24" s="32">
        <f ca="1">ROUND(_xll.qlBondYieldFromCleanPrice(Q24,H24,YieldDayCounter,YieldCompounding,YieldFrequency)*100,3)</f>
        <v>0.89400000000000002</v>
      </c>
      <c r="L24" s="120">
        <f ca="1">_xll.qlBondDurationFromYield(P24,J24,YieldDayCounter,YieldCompounding,YieldFrequency,L$2)</f>
        <v>1.4784021338932911</v>
      </c>
      <c r="M24" s="120">
        <f ca="1">_xll.qlBondConvexityFromYield(P24,J24/100,YieldDayCounter,YieldCompounding,YieldFrequency)</f>
        <v>10.802566168731246</v>
      </c>
      <c r="N24" s="121" t="e">
        <f ca="1">_xll.BDP(A24&amp;" Corp","risk mid")</f>
        <v>#NAME?</v>
      </c>
      <c r="O24" s="107" t="str">
        <f>_xll.qlZeroCouponBond(,,"EUR",3,"target",100,$B24,"f",100,,,Trigger)</f>
        <v>obj_00e1f#0000</v>
      </c>
      <c r="P24" s="107" t="str">
        <f>_xll.qlZeroCouponBond(,,"EUR",3,"target",100,$B24,"f",100,,,Trigger)</f>
        <v>obj_00f1b#0000</v>
      </c>
      <c r="Q24" s="107" t="str">
        <f>_xll.qlZeroCouponBond(,,"EUR",3,"target",100,$B24,"f",100,,,Trigger)</f>
        <v>obj_00e02#0000</v>
      </c>
      <c r="R24" s="123">
        <f t="shared" ca="1" si="0"/>
        <v>97.29</v>
      </c>
      <c r="S24" s="130">
        <f t="shared" ref="S24" ca="1" si="23">R24</f>
        <v>97.29</v>
      </c>
      <c r="T24" s="147" t="str">
        <f>IF(UPPER(U$1)="ABCD",_xll.RtContribute($E$3,$E24,$R$3:$S$3,$R24:$S24,"SCOPE:SERVER"),"--")</f>
        <v>--</v>
      </c>
      <c r="U24" s="151" t="str">
        <f t="shared" si="4"/>
        <v/>
      </c>
      <c r="V24" s="134" t="str">
        <f t="shared" si="1"/>
        <v>EUR.PRICING.XLS_STRIPS.IT0004957814</v>
      </c>
      <c r="W24" s="134" t="str">
        <f>IF(UPPER($X$1)="ABCD",_xll.MKV_PUBLISHRECORD(V24, "XLS_STRIPS"),"--")</f>
        <v>--</v>
      </c>
      <c r="X24" s="135" t="str">
        <f>IF(UPPER(X$1)="ABCD",_xll.MKV_SUPPLYRECORD(V24, "Bid",F24, "Ask",H24, "Id",A24, "Mid",G24, "Name",D24,"DV01",N24,"MidYield",J24,"BidYield",I24,"AskYield",K24),"--")</f>
        <v>--</v>
      </c>
    </row>
    <row r="25" spans="1:24" x14ac:dyDescent="0.2">
      <c r="A25" s="72" t="s">
        <v>336</v>
      </c>
      <c r="B25" s="89">
        <v>43040</v>
      </c>
      <c r="C25" s="139" t="e">
        <f ca="1">_xll.BDP(A25&amp;" Corp", "days to mty")</f>
        <v>#NAME?</v>
      </c>
      <c r="D25" s="47" t="s">
        <v>337</v>
      </c>
      <c r="E25" s="47" t="s">
        <v>338</v>
      </c>
      <c r="F25" s="138">
        <f ca="1"/>
        <v>97.07</v>
      </c>
      <c r="G25" s="138">
        <f ca="1"/>
        <v>97.18</v>
      </c>
      <c r="H25" s="138">
        <f t="shared" ca="1" si="2"/>
        <v>97.29</v>
      </c>
      <c r="I25" s="32">
        <f ca="1">ROUND(_xll.qlBondYieldFromCleanPrice(O25,F25,YieldDayCounter,YieldCompounding,YieldFrequency)*100,3)</f>
        <v>0.98899999999999999</v>
      </c>
      <c r="J25" s="32">
        <f ca="1">ROUND(_xll.qlBondYieldFromCleanPrice(P25,G25,YieldDayCounter,YieldCompounding,YieldFrequency)*100,3)</f>
        <v>0.95099999999999996</v>
      </c>
      <c r="K25" s="32">
        <f ca="1">ROUND(_xll.qlBondYieldFromCleanPrice(Q25,H25,YieldDayCounter,YieldCompounding,YieldFrequency)*100,3)</f>
        <v>0.91300000000000003</v>
      </c>
      <c r="L25" s="120">
        <f ca="1">_xll.qlBondDurationFromYield(P25,J25,YieldDayCounter,YieldCompounding,YieldFrequency,L$2)</f>
        <v>1.5489071287643148</v>
      </c>
      <c r="M25" s="120">
        <f ca="1">_xll.qlBondConvexityFromYield(P25,J25/100,YieldDayCounter,YieldCompounding,YieldFrequency)</f>
        <v>11.925994052871033</v>
      </c>
      <c r="N25" s="121" t="e">
        <f ca="1">_xll.BDP(A25&amp;" Corp","risk mid")</f>
        <v>#NAME?</v>
      </c>
      <c r="O25" s="107" t="str">
        <f>_xll.qlZeroCouponBond(,,"EUR",3,"target",100,$B25,"f",100,,,Trigger)</f>
        <v>obj_00e28#0000</v>
      </c>
      <c r="P25" s="107" t="str">
        <f>_xll.qlZeroCouponBond(,,"EUR",3,"target",100,$B25,"f",100,,,Trigger)</f>
        <v>obj_00f6f#0000</v>
      </c>
      <c r="Q25" s="107" t="str">
        <f>_xll.qlZeroCouponBond(,,"EUR",3,"target",100,$B25,"f",100,,,Trigger)</f>
        <v>obj_00e37#0000</v>
      </c>
      <c r="R25" s="123">
        <f t="shared" ca="1" si="0"/>
        <v>97.07</v>
      </c>
      <c r="S25" s="130">
        <f t="shared" ref="S25" ca="1" si="24">R25</f>
        <v>97.07</v>
      </c>
      <c r="T25" s="147" t="str">
        <f>IF(UPPER(U$1)="ABCD",_xll.RtContribute($E$3,$E25,$R$3:$S$3,$R25:$S25,"SCOPE:SERVER"),"--")</f>
        <v>--</v>
      </c>
      <c r="U25" s="151" t="str">
        <f t="shared" si="4"/>
        <v/>
      </c>
      <c r="V25" s="134" t="str">
        <f t="shared" si="1"/>
        <v>EUR.PRICING.XLS_STRIPS.IT0004869316</v>
      </c>
      <c r="W25" s="134" t="str">
        <f>IF(UPPER($X$1)="ABCD",_xll.MKV_PUBLISHRECORD(V25, "XLS_STRIPS"),"--")</f>
        <v>--</v>
      </c>
      <c r="X25" s="135" t="str">
        <f>IF(UPPER(X$1)="ABCD",_xll.MKV_SUPPLYRECORD(V25, "Bid",F25, "Ask",H25, "Id",A25, "Mid",G25, "Name",D25,"DV01",N25,"MidYield",J25,"BidYield",I25,"AskYield",K25),"--")</f>
        <v>--</v>
      </c>
    </row>
    <row r="26" spans="1:24" x14ac:dyDescent="0.2">
      <c r="A26" s="72" t="s">
        <v>339</v>
      </c>
      <c r="B26" s="89">
        <v>43132</v>
      </c>
      <c r="C26" s="139" t="e">
        <f ca="1">_xll.BDP(A26&amp;" Corp", "days to mty")</f>
        <v>#NAME?</v>
      </c>
      <c r="D26" s="47" t="s">
        <v>340</v>
      </c>
      <c r="E26" s="47" t="s">
        <v>341</v>
      </c>
      <c r="F26" s="138">
        <f ca="1"/>
        <v>96.54</v>
      </c>
      <c r="G26" s="138">
        <f ca="1"/>
        <v>96.66</v>
      </c>
      <c r="H26" s="138">
        <f t="shared" ca="1" si="2"/>
        <v>96.78</v>
      </c>
      <c r="I26" s="32">
        <f ca="1">ROUND(_xll.qlBondYieldFromCleanPrice(O26,F26,YieldDayCounter,YieldCompounding,YieldFrequency)*100,3)</f>
        <v>1.081</v>
      </c>
      <c r="J26" s="32">
        <f ca="1">ROUND(_xll.qlBondYieldFromCleanPrice(P26,G26,YieldDayCounter,YieldCompounding,YieldFrequency)*100,3)</f>
        <v>1.0429999999999999</v>
      </c>
      <c r="K26" s="32">
        <f ca="1">ROUND(_xll.qlBondYieldFromCleanPrice(Q26,H26,YieldDayCounter,YieldCompounding,YieldFrequency)*100,3)</f>
        <v>1.0049999999999999</v>
      </c>
      <c r="L26" s="120">
        <f ca="1">_xll.qlBondDurationFromYield(P26,J26,YieldDayCounter,YieldCompounding,YieldFrequency,L$2)</f>
        <v>1.6025318662455827</v>
      </c>
      <c r="M26" s="120">
        <f ca="1">_xll.qlBondConvexityFromYield(P26,J26/100,YieldDayCounter,YieldCompounding,YieldFrequency)</f>
        <v>13.705481904229433</v>
      </c>
      <c r="N26" s="121" t="e">
        <f ca="1">_xll.BDP(A26&amp;" Corp","risk mid")</f>
        <v>#NAME?</v>
      </c>
      <c r="O26" s="107" t="str">
        <f>_xll.qlZeroCouponBond(,,"EUR",3,"target",100,$B26,"f",100,,,Trigger)</f>
        <v>obj_00f05#0000</v>
      </c>
      <c r="P26" s="107" t="str">
        <f>_xll.qlZeroCouponBond(,,"EUR",3,"target",100,$B26,"f",100,,,Trigger)</f>
        <v>obj_00e97#0000</v>
      </c>
      <c r="Q26" s="107" t="str">
        <f>_xll.qlZeroCouponBond(,,"EUR",3,"target",100,$B26,"f",100,,,Trigger)</f>
        <v>obj_00f58#0000</v>
      </c>
      <c r="R26" s="123">
        <f t="shared" ca="1" si="0"/>
        <v>96.54</v>
      </c>
      <c r="S26" s="130">
        <f t="shared" ref="S26" ca="1" si="25">R26</f>
        <v>96.54</v>
      </c>
      <c r="T26" s="147" t="str">
        <f>IF(UPPER(U$1)="ABCD",_xll.RtContribute($E$3,$E26,$R$3:$S$3,$R26:$S26,"SCOPE:SERVER"),"--")</f>
        <v>--</v>
      </c>
      <c r="U26" s="151" t="str">
        <f t="shared" si="4"/>
        <v/>
      </c>
      <c r="V26" s="134" t="str">
        <f t="shared" si="1"/>
        <v>EUR.PRICING.XLS_STRIPS.IT0004848682</v>
      </c>
      <c r="W26" s="134" t="str">
        <f>IF(UPPER($X$1)="ABCD",_xll.MKV_PUBLISHRECORD(V26, "XLS_STRIPS"),"--")</f>
        <v>--</v>
      </c>
      <c r="X26" s="135" t="str">
        <f>IF(UPPER(X$1)="ABCD",_xll.MKV_SUPPLYRECORD(V26, "Bid",F26, "Ask",H26, "Id",A26, "Mid",G26, "Name",D26,"DV01",N26,"MidYield",J26,"BidYield",I26,"AskYield",K26),"--")</f>
        <v>--</v>
      </c>
    </row>
    <row r="27" spans="1:24" x14ac:dyDescent="0.2">
      <c r="A27" s="72" t="s">
        <v>138</v>
      </c>
      <c r="B27" s="89">
        <v>43160</v>
      </c>
      <c r="C27" s="139" t="e">
        <f ca="1">_xll.BDP(A27&amp;" Corp", "days to mty")</f>
        <v>#NAME?</v>
      </c>
      <c r="D27" s="47" t="s">
        <v>139</v>
      </c>
      <c r="E27" s="47" t="s">
        <v>140</v>
      </c>
      <c r="F27" s="138">
        <f ca="1"/>
        <v>96.39</v>
      </c>
      <c r="G27" s="138">
        <f ca="1"/>
        <v>96.51</v>
      </c>
      <c r="H27" s="138">
        <f t="shared" ca="1" si="2"/>
        <v>96.63</v>
      </c>
      <c r="I27" s="32">
        <f ca="1">ROUND(_xll.qlBondYieldFromCleanPrice(O27,F27,YieldDayCounter,YieldCompounding,YieldFrequency)*100,3)</f>
        <v>1.103</v>
      </c>
      <c r="J27" s="32">
        <f ca="1">ROUND(_xll.qlBondYieldFromCleanPrice(P27,G27,YieldDayCounter,YieldCompounding,YieldFrequency)*100,3)</f>
        <v>1.0660000000000001</v>
      </c>
      <c r="K27" s="32">
        <f ca="1">ROUND(_xll.qlBondYieldFromCleanPrice(Q27,H27,YieldDayCounter,YieldCompounding,YieldFrequency)*100,3)</f>
        <v>1.028</v>
      </c>
      <c r="L27" s="120">
        <f ca="1">_xll.qlBondDurationFromYield(P27,J27,YieldDayCounter,YieldCompounding,YieldFrequency,L$2)</f>
        <v>1.6218223288997333</v>
      </c>
      <c r="M27" s="120">
        <f ca="1">_xll.qlBondConvexityFromYield(P27,J27/100,YieldDayCounter,YieldCompounding,YieldFrequency)</f>
        <v>14.27187624692894</v>
      </c>
      <c r="N27" s="121" t="e">
        <f ca="1">_xll.BDP(A27&amp;" Corp","risk mid")</f>
        <v>#NAME?</v>
      </c>
      <c r="O27" s="107" t="str">
        <f>_xll.qlZeroCouponBond(,,"EUR",3,"target",100,$B27,"f",100,,,Trigger)</f>
        <v>obj_00ee9#0000</v>
      </c>
      <c r="P27" s="107" t="str">
        <f>_xll.qlZeroCouponBond(,,"EUR",3,"target",100,$B27,"f",100,,,Trigger)</f>
        <v>obj_00f39#0000</v>
      </c>
      <c r="Q27" s="107" t="str">
        <f>_xll.qlZeroCouponBond(,,"EUR",3,"target",100,$B27,"f",100,,,Trigger)</f>
        <v>obj_00f2e#0000</v>
      </c>
      <c r="R27" s="123">
        <f t="shared" ca="1" si="0"/>
        <v>96.39</v>
      </c>
      <c r="S27" s="130">
        <f t="shared" ref="S27" ca="1" si="26">R27</f>
        <v>96.39</v>
      </c>
      <c r="T27" s="147" t="str">
        <f>IF(UPPER(U$1)="ABCD",_xll.RtContribute($E$3,$E27,$R$3:$S$3,$R27:$S27,"SCOPE:SERVER"),"--")</f>
        <v>--</v>
      </c>
      <c r="U27" s="151" t="str">
        <f t="shared" si="4"/>
        <v/>
      </c>
      <c r="V27" s="134" t="str">
        <f t="shared" si="1"/>
        <v>EUR.PRICING.XLS_STRIPS.IT0004957822</v>
      </c>
      <c r="W27" s="134" t="str">
        <f>IF(UPPER($X$1)="ABCD",_xll.MKV_PUBLISHRECORD(V27, "XLS_STRIPS"),"--")</f>
        <v>--</v>
      </c>
      <c r="X27" s="135" t="str">
        <f>IF(UPPER(X$1)="ABCD",_xll.MKV_SUPPLYRECORD(V27, "Bid",F27, "Ask",H27, "Id",A27, "Mid",G27, "Name",D27,"DV01",N27,"MidYield",J27,"BidYield",I27,"AskYield",K27),"--")</f>
        <v>--</v>
      </c>
    </row>
    <row r="28" spans="1:24" x14ac:dyDescent="0.2">
      <c r="A28" s="72" t="s">
        <v>38</v>
      </c>
      <c r="B28" s="89">
        <v>43221</v>
      </c>
      <c r="C28" s="139" t="e">
        <f ca="1">_xll.BDP(A28&amp;" Corp", "days to mty")</f>
        <v>#NAME?</v>
      </c>
      <c r="D28" s="47" t="s">
        <v>342</v>
      </c>
      <c r="E28" s="47" t="s">
        <v>343</v>
      </c>
      <c r="F28" s="138">
        <f ca="1"/>
        <v>96.1</v>
      </c>
      <c r="G28" s="138">
        <f ca="1"/>
        <v>96.23</v>
      </c>
      <c r="H28" s="138">
        <f t="shared" ca="1" si="2"/>
        <v>96.36</v>
      </c>
      <c r="I28" s="32">
        <f ca="1">ROUND(_xll.qlBondYieldFromCleanPrice(O28,F28,YieldDayCounter,YieldCompounding,YieldFrequency)*100,3)</f>
        <v>1.1359999999999999</v>
      </c>
      <c r="J28" s="32">
        <f ca="1">ROUND(_xll.qlBondYieldFromCleanPrice(P28,G28,YieldDayCounter,YieldCompounding,YieldFrequency)*100,3)</f>
        <v>1.0980000000000001</v>
      </c>
      <c r="K28" s="32">
        <f ca="1">ROUND(_xll.qlBondYieldFromCleanPrice(Q28,H28,YieldDayCounter,YieldCompounding,YieldFrequency)*100,3)</f>
        <v>1.0589999999999999</v>
      </c>
      <c r="L28" s="120">
        <f ca="1">_xll.qlBondDurationFromYield(P28,J28,YieldDayCounter,YieldCompounding,YieldFrequency,L$2)</f>
        <v>1.6780495449025166</v>
      </c>
      <c r="M28" s="120">
        <f ca="1">_xll.qlBondConvexityFromYield(P28,J28/100,YieldDayCounter,YieldCompounding,YieldFrequency)</f>
        <v>15.570989603273155</v>
      </c>
      <c r="N28" s="121" t="e">
        <f ca="1">_xll.BDP(A28&amp;" Corp","risk mid")</f>
        <v>#NAME?</v>
      </c>
      <c r="O28" s="107" t="str">
        <f>_xll.qlZeroCouponBond(,,"EUR",3,"target",100,$B28,"f",100,,,Trigger)</f>
        <v>obj_00f44#0000</v>
      </c>
      <c r="P28" s="107" t="str">
        <f>_xll.qlZeroCouponBond(,,"EUR",3,"target",100,$B28,"f",100,,,Trigger)</f>
        <v>obj_00f77#0000</v>
      </c>
      <c r="Q28" s="107" t="str">
        <f>_xll.qlZeroCouponBond(,,"EUR",3,"target",100,$B28,"f",100,,,Trigger)</f>
        <v>obj_00e7f#0000</v>
      </c>
      <c r="R28" s="123">
        <f t="shared" ca="1" si="0"/>
        <v>96.1</v>
      </c>
      <c r="S28" s="130">
        <f t="shared" ref="S28" ca="1" si="27">R28</f>
        <v>96.1</v>
      </c>
      <c r="T28" s="147" t="str">
        <f>IF(UPPER(U$1)="ABCD",_xll.RtContribute($E$3,$E28,$R$3:$S$3,$R28:$S28,"SCOPE:SERVER"),"--")</f>
        <v>--</v>
      </c>
      <c r="U28" s="151" t="str">
        <f t="shared" si="4"/>
        <v/>
      </c>
      <c r="V28" s="134" t="str">
        <f t="shared" si="1"/>
        <v>EUR.PRICING.XLS_STRIPS.IT0001247219</v>
      </c>
      <c r="W28" s="134" t="str">
        <f>IF(UPPER($X$1)="ABCD",_xll.MKV_PUBLISHRECORD(V28, "XLS_STRIPS"),"--")</f>
        <v>--</v>
      </c>
      <c r="X28" s="135" t="str">
        <f>IF(UPPER(X$1)="ABCD",_xll.MKV_SUPPLYRECORD(V28, "Bid",F28, "Ask",H28, "Id",A28, "Mid",G28, "Name",D28,"DV01",N28,"MidYield",J28,"BidYield",I28,"AskYield",K28),"--")</f>
        <v>--</v>
      </c>
    </row>
    <row r="29" spans="1:24" x14ac:dyDescent="0.2">
      <c r="A29" s="72" t="s">
        <v>344</v>
      </c>
      <c r="B29" s="89">
        <v>43313</v>
      </c>
      <c r="C29" s="139" t="e">
        <f ca="1">_xll.BDP(A29&amp;" Corp", "days to mty")</f>
        <v>#NAME?</v>
      </c>
      <c r="D29" s="47" t="s">
        <v>345</v>
      </c>
      <c r="E29" s="47" t="s">
        <v>346</v>
      </c>
      <c r="F29" s="138">
        <f ca="1"/>
        <v>95.69</v>
      </c>
      <c r="G29" s="138">
        <f ca="1"/>
        <v>95.82</v>
      </c>
      <c r="H29" s="138">
        <f t="shared" ca="1" si="2"/>
        <v>95.95</v>
      </c>
      <c r="I29" s="32">
        <f ca="1">ROUND(_xll.qlBondYieldFromCleanPrice(O29,F29,YieldDayCounter,YieldCompounding,YieldFrequency)*100,3)</f>
        <v>1.1759999999999999</v>
      </c>
      <c r="J29" s="32">
        <f ca="1">ROUND(_xll.qlBondYieldFromCleanPrice(P29,G29,YieldDayCounter,YieldCompounding,YieldFrequency)*100,3)</f>
        <v>1.139</v>
      </c>
      <c r="K29" s="32">
        <f ca="1">ROUND(_xll.qlBondYieldFromCleanPrice(Q29,H29,YieldDayCounter,YieldCompounding,YieldFrequency)*100,3)</f>
        <v>1.103</v>
      </c>
      <c r="L29" s="120">
        <f ca="1">_xll.qlBondDurationFromYield(P29,J29,YieldDayCounter,YieldCompounding,YieldFrequency,L$2)</f>
        <v>1.762441801635638</v>
      </c>
      <c r="M29" s="120">
        <f ca="1">_xll.qlBondConvexityFromYield(P29,J29/100,YieldDayCounter,YieldCompounding,YieldFrequency)</f>
        <v>17.578999975721853</v>
      </c>
      <c r="N29" s="121" t="e">
        <f ca="1">_xll.BDP(A29&amp;" Corp","risk mid")</f>
        <v>#NAME?</v>
      </c>
      <c r="O29" s="107" t="str">
        <f>_xll.qlZeroCouponBond(,,"EUR",3,"target",100,$B29,"f",100,,,Trigger)</f>
        <v>obj_00f14#0000</v>
      </c>
      <c r="P29" s="107" t="str">
        <f>_xll.qlZeroCouponBond(,,"EUR",3,"target",100,$B29,"f",100,,,Trigger)</f>
        <v>obj_00ea8#0000</v>
      </c>
      <c r="Q29" s="107" t="str">
        <f>_xll.qlZeroCouponBond(,,"EUR",3,"target",100,$B29,"f",100,,,Trigger)</f>
        <v>obj_00f26#0000</v>
      </c>
      <c r="R29" s="123">
        <f t="shared" ca="1" si="0"/>
        <v>95.69</v>
      </c>
      <c r="S29" s="130">
        <f t="shared" ref="S29" ca="1" si="28">R29</f>
        <v>95.69</v>
      </c>
      <c r="T29" s="147" t="str">
        <f>IF(UPPER(U$1)="ABCD",_xll.RtContribute($E$3,$E29,$R$3:$S$3,$R29:$S29,"SCOPE:SERVER"),"--")</f>
        <v>--</v>
      </c>
      <c r="U29" s="151" t="str">
        <f t="shared" si="4"/>
        <v/>
      </c>
      <c r="V29" s="134" t="str">
        <f t="shared" si="1"/>
        <v>EUR.PRICING.XLS_STRIPS.IT0004848716</v>
      </c>
      <c r="W29" s="134" t="str">
        <f>IF(UPPER($X$1)="ABCD",_xll.MKV_PUBLISHRECORD(V29, "XLS_STRIPS"),"--")</f>
        <v>--</v>
      </c>
      <c r="X29" s="135" t="str">
        <f>IF(UPPER(X$1)="ABCD",_xll.MKV_SUPPLYRECORD(V29, "Bid",F29, "Ask",H29, "Id",A29, "Mid",G29, "Name",D29,"DV01",N29,"MidYield",J29,"BidYield",I29,"AskYield",K29),"--")</f>
        <v>--</v>
      </c>
    </row>
    <row r="30" spans="1:24" x14ac:dyDescent="0.2">
      <c r="A30" s="72" t="s">
        <v>141</v>
      </c>
      <c r="B30" s="89">
        <v>43344</v>
      </c>
      <c r="C30" s="139" t="e">
        <f ca="1">_xll.BDP(A30&amp;" Corp", "days to mty")</f>
        <v>#NAME?</v>
      </c>
      <c r="D30" s="47" t="s">
        <v>142</v>
      </c>
      <c r="E30" s="47" t="s">
        <v>143</v>
      </c>
      <c r="F30" s="138">
        <f ca="1"/>
        <v>95.58</v>
      </c>
      <c r="G30" s="138">
        <f ca="1"/>
        <v>95.72</v>
      </c>
      <c r="H30" s="138">
        <f t="shared" ca="1" si="2"/>
        <v>95.86</v>
      </c>
      <c r="I30" s="32">
        <f ca="1">ROUND(_xll.qlBondYieldFromCleanPrice(O30,F30,YieldDayCounter,YieldCompounding,YieldFrequency)*100,3)</f>
        <v>1.1779999999999999</v>
      </c>
      <c r="J30" s="32">
        <f ca="1">ROUND(_xll.qlBondYieldFromCleanPrice(P30,G30,YieldDayCounter,YieldCompounding,YieldFrequency)*100,3)</f>
        <v>1.1399999999999999</v>
      </c>
      <c r="K30" s="32">
        <f ca="1">ROUND(_xll.qlBondYieldFromCleanPrice(Q30,H30,YieldDayCounter,YieldCompounding,YieldFrequency)*100,3)</f>
        <v>1.101</v>
      </c>
      <c r="L30" s="120">
        <f ca="1">_xll.qlBondDurationFromYield(P30,J30,YieldDayCounter,YieldCompounding,YieldFrequency,L$2)</f>
        <v>1.803866342337729</v>
      </c>
      <c r="M30" s="120">
        <f ca="1">_xll.qlBondConvexityFromYield(P30,J30/100,YieldDayCounter,YieldCompounding,YieldFrequency)</f>
        <v>18.341421064797903</v>
      </c>
      <c r="N30" s="121" t="e">
        <f ca="1">_xll.BDP(A30&amp;" Corp","risk mid")</f>
        <v>#NAME?</v>
      </c>
      <c r="O30" s="107" t="str">
        <f>_xll.qlZeroCouponBond(,,"EUR",3,"target",100,$B30,"f",100,,,Trigger)</f>
        <v>obj_00de9#0000</v>
      </c>
      <c r="P30" s="107" t="str">
        <f>_xll.qlZeroCouponBond(,,"EUR",3,"target",100,$B30,"f",100,,,Trigger)</f>
        <v>obj_00ef2#0000</v>
      </c>
      <c r="Q30" s="107" t="str">
        <f>_xll.qlZeroCouponBond(,,"EUR",3,"target",100,$B30,"f",100,,,Trigger)</f>
        <v>obj_00f0c#0000</v>
      </c>
      <c r="R30" s="123">
        <f t="shared" ca="1" si="0"/>
        <v>95.58</v>
      </c>
      <c r="S30" s="130">
        <f t="shared" ref="S30" ca="1" si="29">R30</f>
        <v>95.58</v>
      </c>
      <c r="T30" s="147" t="str">
        <f>IF(UPPER(U$1)="ABCD",_xll.RtContribute($E$3,$E30,$R$3:$S$3,$R30:$S30,"SCOPE:SERVER"),"--")</f>
        <v>--</v>
      </c>
      <c r="U30" s="151" t="str">
        <f t="shared" si="4"/>
        <v/>
      </c>
      <c r="V30" s="134" t="str">
        <f t="shared" si="1"/>
        <v>EUR.PRICING.XLS_STRIPS.IT0004957830</v>
      </c>
      <c r="W30" s="134" t="str">
        <f>IF(UPPER($X$1)="ABCD",_xll.MKV_PUBLISHRECORD(V30, "XLS_STRIPS"),"--")</f>
        <v>--</v>
      </c>
      <c r="X30" s="135" t="str">
        <f>IF(UPPER(X$1)="ABCD",_xll.MKV_SUPPLYRECORD(V30, "Bid",F30, "Ask",H30, "Id",A30, "Mid",G30, "Name",D30,"DV01",N30,"MidYield",J30,"BidYield",I30,"AskYield",K30),"--")</f>
        <v>--</v>
      </c>
    </row>
    <row r="31" spans="1:24" x14ac:dyDescent="0.2">
      <c r="A31" s="72" t="s">
        <v>39</v>
      </c>
      <c r="B31" s="89">
        <v>43405</v>
      </c>
      <c r="C31" s="139" t="e">
        <f ca="1">_xll.BDP(A31&amp;" Corp", "days to mty")</f>
        <v>#NAME?</v>
      </c>
      <c r="D31" s="47" t="s">
        <v>347</v>
      </c>
      <c r="E31" s="47" t="s">
        <v>348</v>
      </c>
      <c r="F31" s="138">
        <f ca="1"/>
        <v>95.4</v>
      </c>
      <c r="G31" s="138">
        <f ca="1"/>
        <v>95.54</v>
      </c>
      <c r="H31" s="138">
        <f t="shared" ca="1" si="2"/>
        <v>95.68</v>
      </c>
      <c r="I31" s="32">
        <f ca="1">ROUND(_xll.qlBondYieldFromCleanPrice(O31,F31,YieldDayCounter,YieldCompounding,YieldFrequency)*100,3)</f>
        <v>1.1779999999999999</v>
      </c>
      <c r="J31" s="32">
        <f ca="1">ROUND(_xll.qlBondYieldFromCleanPrice(P31,G31,YieldDayCounter,YieldCompounding,YieldFrequency)*100,3)</f>
        <v>1.141</v>
      </c>
      <c r="K31" s="32">
        <f ca="1">ROUND(_xll.qlBondYieldFromCleanPrice(Q31,H31,YieldDayCounter,YieldCompounding,YieldFrequency)*100,3)</f>
        <v>1.1040000000000001</v>
      </c>
      <c r="L31" s="120">
        <f ca="1">_xll.qlBondDurationFromYield(P31,J31,YieldDayCounter,YieldCompounding,YieldFrequency,L$2)</f>
        <v>1.8785230304620166</v>
      </c>
      <c r="M31" s="120">
        <f ca="1">_xll.qlBondConvexityFromYield(P31,J31/100,YieldDayCounter,YieldCompounding,YieldFrequency)</f>
        <v>19.744598416668239</v>
      </c>
      <c r="N31" s="121" t="e">
        <f ca="1">_xll.BDP(A31&amp;" Corp","risk mid")</f>
        <v>#NAME?</v>
      </c>
      <c r="O31" s="107" t="str">
        <f>_xll.qlZeroCouponBond(,,"EUR",3,"target",100,$B31,"f",100,,,Trigger)</f>
        <v>obj_00df9#0000</v>
      </c>
      <c r="P31" s="107" t="str">
        <f>_xll.qlZeroCouponBond(,,"EUR",3,"target",100,$B31,"f",100,,,Trigger)</f>
        <v>obj_00ebf#0000</v>
      </c>
      <c r="Q31" s="107" t="str">
        <f>_xll.qlZeroCouponBond(,,"EUR",3,"target",100,$B31,"f",100,,,Trigger)</f>
        <v>obj_00e40#0000</v>
      </c>
      <c r="R31" s="123">
        <f t="shared" ca="1" si="0"/>
        <v>95.4</v>
      </c>
      <c r="S31" s="130">
        <f t="shared" ref="S31" ca="1" si="30">R31</f>
        <v>95.4</v>
      </c>
      <c r="T31" s="147" t="str">
        <f>IF(UPPER(U$1)="ABCD",_xll.RtContribute($E$3,$E31,$R$3:$S$3,$R31:$S31,"SCOPE:SERVER"),"--")</f>
        <v>--</v>
      </c>
      <c r="U31" s="151" t="str">
        <f t="shared" si="4"/>
        <v/>
      </c>
      <c r="V31" s="134" t="str">
        <f t="shared" si="1"/>
        <v>EUR.PRICING.XLS_STRIPS.IT0001247227</v>
      </c>
      <c r="W31" s="134" t="str">
        <f>IF(UPPER($X$1)="ABCD",_xll.MKV_PUBLISHRECORD(V31, "XLS_STRIPS"),"--")</f>
        <v>--</v>
      </c>
      <c r="X31" s="135" t="str">
        <f>IF(UPPER(X$1)="ABCD",_xll.MKV_SUPPLYRECORD(V31, "Bid",F31, "Ask",H31, "Id",A31, "Mid",G31, "Name",D31,"DV01",N31,"MidYield",J31,"BidYield",I31,"AskYield",K31),"--")</f>
        <v>--</v>
      </c>
    </row>
    <row r="32" spans="1:24" x14ac:dyDescent="0.2">
      <c r="A32" s="72" t="s">
        <v>349</v>
      </c>
      <c r="B32" s="89">
        <v>43497</v>
      </c>
      <c r="C32" s="139" t="e">
        <f ca="1">_xll.BDP(A32&amp;" Corp", "days to mty")</f>
        <v>#NAME?</v>
      </c>
      <c r="D32" s="47" t="s">
        <v>350</v>
      </c>
      <c r="E32" s="47" t="s">
        <v>351</v>
      </c>
      <c r="F32" s="138">
        <f ca="1"/>
        <v>94.88</v>
      </c>
      <c r="G32" s="138">
        <f ca="1"/>
        <v>95.03</v>
      </c>
      <c r="H32" s="138">
        <f t="shared" ca="1" si="2"/>
        <v>95.18</v>
      </c>
      <c r="I32" s="32">
        <f ca="1">ROUND(_xll.qlBondYieldFromCleanPrice(O32,F32,YieldDayCounter,YieldCompounding,YieldFrequency)*100,3)</f>
        <v>1.2370000000000001</v>
      </c>
      <c r="J32" s="32">
        <f ca="1">ROUND(_xll.qlBondYieldFromCleanPrice(P32,G32,YieldDayCounter,YieldCompounding,YieldFrequency)*100,3)</f>
        <v>1.2</v>
      </c>
      <c r="K32" s="32">
        <f ca="1">ROUND(_xll.qlBondYieldFromCleanPrice(Q32,H32,YieldDayCounter,YieldCompounding,YieldFrequency)*100,3)</f>
        <v>1.163</v>
      </c>
      <c r="L32" s="120">
        <f ca="1">_xll.qlBondDurationFromYield(P32,J32,YieldDayCounter,YieldCompounding,YieldFrequency,L$2)</f>
        <v>1.9427148194271482</v>
      </c>
      <c r="M32" s="120">
        <f ca="1">_xll.qlBondConvexityFromYield(P32,J32/100,YieldDayCounter,YieldCompounding,YieldFrequency)</f>
        <v>22.009418999388284</v>
      </c>
      <c r="N32" s="121" t="e">
        <f ca="1">_xll.BDP(A32&amp;" Corp","risk mid")</f>
        <v>#NAME?</v>
      </c>
      <c r="O32" s="107" t="str">
        <f>_xll.qlZeroCouponBond(,,"EUR",3,"target",100,$B32,"f",100,,,Trigger)</f>
        <v>obj_00e90#0000</v>
      </c>
      <c r="P32" s="107" t="str">
        <f>_xll.qlZeroCouponBond(,,"EUR",3,"target",100,$B32,"f",100,,,Trigger)</f>
        <v>obj_00eed#0000</v>
      </c>
      <c r="Q32" s="107" t="str">
        <f>_xll.qlZeroCouponBond(,,"EUR",3,"target",100,$B32,"f",100,,,Trigger)</f>
        <v>obj_00f7c#0000</v>
      </c>
      <c r="R32" s="123">
        <f t="shared" ca="1" si="0"/>
        <v>94.88</v>
      </c>
      <c r="S32" s="130">
        <f t="shared" ref="S32" ca="1" si="31">R32</f>
        <v>94.88</v>
      </c>
      <c r="T32" s="147" t="str">
        <f>IF(UPPER(U$1)="ABCD",_xll.RtContribute($E$3,$E32,$R$3:$S$3,$R32:$S32,"SCOPE:SERVER"),"--")</f>
        <v>--</v>
      </c>
      <c r="U32" s="151" t="str">
        <f t="shared" si="4"/>
        <v/>
      </c>
      <c r="V32" s="134" t="str">
        <f t="shared" si="1"/>
        <v>EUR.PRICING.XLS_STRIPS.IT0004848583</v>
      </c>
      <c r="W32" s="134" t="str">
        <f>IF(UPPER($X$1)="ABCD",_xll.MKV_PUBLISHRECORD(V32, "XLS_STRIPS"),"--")</f>
        <v>--</v>
      </c>
      <c r="X32" s="135" t="str">
        <f>IF(UPPER(X$1)="ABCD",_xll.MKV_SUPPLYRECORD(V32, "Bid",F32, "Ask",H32, "Id",A32, "Mid",G32, "Name",D32,"DV01",N32,"MidYield",J32,"BidYield",I32,"AskYield",K32),"--")</f>
        <v>--</v>
      </c>
    </row>
    <row r="33" spans="1:24" x14ac:dyDescent="0.2">
      <c r="A33" s="72" t="s">
        <v>144</v>
      </c>
      <c r="B33" s="89">
        <v>43525</v>
      </c>
      <c r="C33" s="139" t="e">
        <f ca="1">_xll.BDP(A33&amp;" Corp", "days to mty")</f>
        <v>#NAME?</v>
      </c>
      <c r="D33" s="47" t="s">
        <v>145</v>
      </c>
      <c r="E33" s="47" t="s">
        <v>146</v>
      </c>
      <c r="F33" s="138">
        <f ca="1"/>
        <v>94.75</v>
      </c>
      <c r="G33" s="138">
        <f ca="1"/>
        <v>94.9</v>
      </c>
      <c r="H33" s="138">
        <f t="shared" ca="1" si="2"/>
        <v>95.05</v>
      </c>
      <c r="I33" s="32">
        <f ca="1">ROUND(_xll.qlBondYieldFromCleanPrice(O33,F33,YieldDayCounter,YieldCompounding,YieldFrequency)*100,3)</f>
        <v>1.2470000000000001</v>
      </c>
      <c r="J33" s="32">
        <f ca="1">ROUND(_xll.qlBondYieldFromCleanPrice(P33,G33,YieldDayCounter,YieldCompounding,YieldFrequency)*100,3)</f>
        <v>1.21</v>
      </c>
      <c r="K33" s="32">
        <f ca="1">ROUND(_xll.qlBondYieldFromCleanPrice(Q33,H33,YieldDayCounter,YieldCompounding,YieldFrequency)*100,3)</f>
        <v>1.1739999999999999</v>
      </c>
      <c r="L33" s="120">
        <f ca="1">_xll.qlBondDurationFromYield(P33,J33,YieldDayCounter,YieldCompounding,YieldFrequency,L$2)</f>
        <v>1.9686357156139591</v>
      </c>
      <c r="M33" s="120">
        <f ca="1">_xll.qlBondConvexityFromYield(P33,J33/100,YieldDayCounter,YieldCompounding,YieldFrequency)</f>
        <v>22.72585140875108</v>
      </c>
      <c r="N33" s="121" t="e">
        <f ca="1">_xll.BDP(A33&amp;" Corp","risk mid")</f>
        <v>#NAME?</v>
      </c>
      <c r="O33" s="107" t="str">
        <f>_xll.qlZeroCouponBond(,,"EUR",3,"target",100,$B33,"f",100,,,Trigger)</f>
        <v>obj_00e1b#0000</v>
      </c>
      <c r="P33" s="107" t="str">
        <f>_xll.qlZeroCouponBond(,,"EUR",3,"target",100,$B33,"f",100,,,Trigger)</f>
        <v>obj_00e34#0000</v>
      </c>
      <c r="Q33" s="107" t="str">
        <f>_xll.qlZeroCouponBond(,,"EUR",3,"target",100,$B33,"f",100,,,Trigger)</f>
        <v>obj_00ee0#0000</v>
      </c>
      <c r="R33" s="123">
        <f t="shared" ca="1" si="0"/>
        <v>94.75</v>
      </c>
      <c r="S33" s="130">
        <f t="shared" ref="S33" ca="1" si="32">R33</f>
        <v>94.75</v>
      </c>
      <c r="T33" s="147" t="str">
        <f>IF(UPPER(U$1)="ABCD",_xll.RtContribute($E$3,$E33,$R$3:$S$3,$R33:$S33,"SCOPE:SERVER"),"--")</f>
        <v>--</v>
      </c>
      <c r="U33" s="151" t="str">
        <f t="shared" si="4"/>
        <v/>
      </c>
      <c r="V33" s="134" t="str">
        <f t="shared" si="1"/>
        <v>EUR.PRICING.XLS_STRIPS.IT0004957848</v>
      </c>
      <c r="W33" s="134" t="str">
        <f>IF(UPPER($X$1)="ABCD",_xll.MKV_PUBLISHRECORD(V33, "XLS_STRIPS"),"--")</f>
        <v>--</v>
      </c>
      <c r="X33" s="135" t="str">
        <f>IF(UPPER(X$1)="ABCD",_xll.MKV_SUPPLYRECORD(V33, "Bid",F33, "Ask",H33, "Id",A33, "Mid",G33, "Name",D33,"DV01",N33,"MidYield",J33,"BidYield",I33,"AskYield",K33),"--")</f>
        <v>--</v>
      </c>
    </row>
    <row r="34" spans="1:24" x14ac:dyDescent="0.2">
      <c r="A34" s="72" t="s">
        <v>40</v>
      </c>
      <c r="B34" s="89">
        <v>43586</v>
      </c>
      <c r="C34" s="139" t="e">
        <f ca="1">_xll.BDP(A34&amp;" Corp", "days to mty")</f>
        <v>#NAME?</v>
      </c>
      <c r="D34" s="47" t="s">
        <v>352</v>
      </c>
      <c r="E34" s="47" t="s">
        <v>353</v>
      </c>
      <c r="F34" s="138">
        <f ca="1"/>
        <v>94.44</v>
      </c>
      <c r="G34" s="138">
        <f ca="1"/>
        <v>94.6</v>
      </c>
      <c r="H34" s="138">
        <f t="shared" ca="1" si="2"/>
        <v>94.76</v>
      </c>
      <c r="I34" s="32">
        <f ca="1">ROUND(_xll.qlBondYieldFromCleanPrice(O34,F34,YieldDayCounter,YieldCompounding,YieldFrequency)*100,3)</f>
        <v>1.2729999999999999</v>
      </c>
      <c r="J34" s="32">
        <f ca="1">ROUND(_xll.qlBondYieldFromCleanPrice(P34,G34,YieldDayCounter,YieldCompounding,YieldFrequency)*100,3)</f>
        <v>1.236</v>
      </c>
      <c r="K34" s="32">
        <f ca="1">ROUND(_xll.qlBondYieldFromCleanPrice(Q34,H34,YieldDayCounter,YieldCompounding,YieldFrequency)*100,3)</f>
        <v>1.198</v>
      </c>
      <c r="L34" s="120">
        <f ca="1">_xll.qlBondDurationFromYield(P34,J34,YieldDayCounter,YieldCompounding,YieldFrequency,L$2)</f>
        <v>2.0217119611831302</v>
      </c>
      <c r="M34" s="120">
        <f ca="1">_xll.qlBondConvexityFromYield(P34,J34/100,YieldDayCounter,YieldCompounding,YieldFrequency)</f>
        <v>24.350243669608911</v>
      </c>
      <c r="N34" s="121" t="e">
        <f ca="1">_xll.BDP(A34&amp;" Corp","risk mid")</f>
        <v>#NAME?</v>
      </c>
      <c r="O34" s="107" t="str">
        <f>_xll.qlZeroCouponBond(,,"EUR",3,"target",100,$B34,"f",100,,,Trigger)</f>
        <v>obj_00ddb#0000</v>
      </c>
      <c r="P34" s="107" t="str">
        <f>_xll.qlZeroCouponBond(,,"EUR",3,"target",100,$B34,"f",100,,,Trigger)</f>
        <v>obj_00e38#0000</v>
      </c>
      <c r="Q34" s="107" t="str">
        <f>_xll.qlZeroCouponBond(,,"EUR",3,"target",100,$B34,"f",100,,,Trigger)</f>
        <v>obj_00edf#0000</v>
      </c>
      <c r="R34" s="123">
        <f t="shared" ca="1" si="0"/>
        <v>94.44</v>
      </c>
      <c r="S34" s="130">
        <f t="shared" ref="S34" ca="1" si="33">R34</f>
        <v>94.44</v>
      </c>
      <c r="T34" s="147" t="str">
        <f>IF(UPPER(U$1)="ABCD",_xll.RtContribute($E$3,$E34,$R$3:$S$3,$R34:$S34,"SCOPE:SERVER"),"--")</f>
        <v>--</v>
      </c>
      <c r="U34" s="151" t="str">
        <f t="shared" si="4"/>
        <v/>
      </c>
      <c r="V34" s="134" t="str">
        <f t="shared" si="1"/>
        <v>EUR.PRICING.XLS_STRIPS.IT0001247235</v>
      </c>
      <c r="W34" s="134" t="str">
        <f>IF(UPPER($X$1)="ABCD",_xll.MKV_PUBLISHRECORD(V34, "XLS_STRIPS"),"--")</f>
        <v>--</v>
      </c>
      <c r="X34" s="135" t="str">
        <f>IF(UPPER(X$1)="ABCD",_xll.MKV_SUPPLYRECORD(V34, "Bid",F34, "Ask",H34, "Id",A34, "Mid",G34, "Name",D34,"DV01",N34,"MidYield",J34,"BidYield",I34,"AskYield",K34),"--")</f>
        <v>--</v>
      </c>
    </row>
    <row r="35" spans="1:24" x14ac:dyDescent="0.2">
      <c r="A35" s="72" t="s">
        <v>41</v>
      </c>
      <c r="B35" s="89">
        <v>43678</v>
      </c>
      <c r="C35" s="139" t="e">
        <f ca="1">_xll.BDP(A35&amp;" Corp", "days to mty")</f>
        <v>#NAME?</v>
      </c>
      <c r="D35" s="47" t="s">
        <v>354</v>
      </c>
      <c r="E35" s="47" t="s">
        <v>355</v>
      </c>
      <c r="F35" s="138">
        <f ca="1"/>
        <v>93.83</v>
      </c>
      <c r="G35" s="138">
        <f ca="1"/>
        <v>93.99</v>
      </c>
      <c r="H35" s="138">
        <f t="shared" ca="1" si="2"/>
        <v>94.15</v>
      </c>
      <c r="I35" s="32">
        <f ca="1">ROUND(_xll.qlBondYieldFromCleanPrice(O35,F35,YieldDayCounter,YieldCompounding,YieldFrequency)*100,3)</f>
        <v>1.3440000000000001</v>
      </c>
      <c r="J35" s="32">
        <f ca="1">ROUND(_xll.qlBondYieldFromCleanPrice(P35,G35,YieldDayCounter,YieldCompounding,YieldFrequency)*100,3)</f>
        <v>1.3080000000000001</v>
      </c>
      <c r="K35" s="32">
        <f ca="1">ROUND(_xll.qlBondYieldFromCleanPrice(Q35,H35,YieldDayCounter,YieldCompounding,YieldFrequency)*100,3)</f>
        <v>1.272</v>
      </c>
      <c r="L35" s="120">
        <f ca="1">_xll.qlBondDurationFromYield(P35,J35,YieldDayCounter,YieldCompounding,YieldFrequency,L$2)</f>
        <v>2.0666650839248835</v>
      </c>
      <c r="M35" s="120">
        <f ca="1">_xll.qlBondConvexityFromYield(P35,J35/100,YieldDayCounter,YieldCompounding,YieldFrequency)</f>
        <v>26.815378144380457</v>
      </c>
      <c r="N35" s="121" t="e">
        <f ca="1">_xll.BDP(A35&amp;" Corp","risk mid")</f>
        <v>#NAME?</v>
      </c>
      <c r="O35" s="107" t="str">
        <f>_xll.qlZeroCouponBond(,,"EUR",3,"target",100,$B35,"f",100,,,Trigger)</f>
        <v>obj_00f3c#0000</v>
      </c>
      <c r="P35" s="107" t="str">
        <f>_xll.qlZeroCouponBond(,,"EUR",3,"target",100,$B35,"f",100,,,Trigger)</f>
        <v>obj_00e92#0000</v>
      </c>
      <c r="Q35" s="107" t="str">
        <f>_xll.qlZeroCouponBond(,,"EUR",3,"target",100,$B35,"f",100,,,Trigger)</f>
        <v>obj_00eb2#0000</v>
      </c>
      <c r="R35" s="123">
        <f t="shared" ca="1" si="0"/>
        <v>93.83</v>
      </c>
      <c r="S35" s="130">
        <f t="shared" ref="S35" ca="1" si="34">R35</f>
        <v>93.83</v>
      </c>
      <c r="T35" s="147" t="str">
        <f>IF(UPPER(U$1)="ABCD",_xll.RtContribute($E$3,$E35,$R$3:$S$3,$R35:$S35,"SCOPE:SERVER"),"--")</f>
        <v>--</v>
      </c>
      <c r="U35" s="151" t="str">
        <f t="shared" si="4"/>
        <v/>
      </c>
      <c r="V35" s="134" t="str">
        <f t="shared" si="1"/>
        <v>EUR.PRICING.XLS_STRIPS.IT0003268585</v>
      </c>
      <c r="W35" s="134" t="str">
        <f>IF(UPPER($X$1)="ABCD",_xll.MKV_PUBLISHRECORD(V35, "XLS_STRIPS"),"--")</f>
        <v>--</v>
      </c>
      <c r="X35" s="135" t="str">
        <f>IF(UPPER(X$1)="ABCD",_xll.MKV_SUPPLYRECORD(V35, "Bid",F35, "Ask",H35, "Id",A35, "Mid",G35, "Name",D35,"DV01",N35,"MidYield",J35,"BidYield",I35,"AskYield",K35),"--")</f>
        <v>--</v>
      </c>
    </row>
    <row r="36" spans="1:24" x14ac:dyDescent="0.2">
      <c r="A36" s="72" t="s">
        <v>147</v>
      </c>
      <c r="B36" s="89">
        <v>43709</v>
      </c>
      <c r="C36" s="139" t="e">
        <f ca="1">_xll.BDP(A36&amp;" Corp", "days to mty")</f>
        <v>#NAME?</v>
      </c>
      <c r="D36" s="47" t="s">
        <v>148</v>
      </c>
      <c r="E36" s="47" t="s">
        <v>149</v>
      </c>
      <c r="F36" s="138">
        <f ca="1"/>
        <v>93.58</v>
      </c>
      <c r="G36" s="138">
        <f ca="1"/>
        <v>93.75</v>
      </c>
      <c r="H36" s="138">
        <f t="shared" ca="1" si="2"/>
        <v>93.92</v>
      </c>
      <c r="I36" s="32">
        <f ca="1">ROUND(_xll.qlBondYieldFromCleanPrice(O36,F36,YieldDayCounter,YieldCompounding,YieldFrequency)*100,3)</f>
        <v>1.375</v>
      </c>
      <c r="J36" s="32">
        <f ca="1">ROUND(_xll.qlBondYieldFromCleanPrice(P36,G36,YieldDayCounter,YieldCompounding,YieldFrequency)*100,3)</f>
        <v>1.337</v>
      </c>
      <c r="K36" s="32">
        <f ca="1">ROUND(_xll.qlBondYieldFromCleanPrice(Q36,H36,YieldDayCounter,YieldCompounding,YieldFrequency)*100,3)</f>
        <v>1.3</v>
      </c>
      <c r="L36" s="120">
        <f ca="1">_xll.qlBondDurationFromYield(P36,J36,YieldDayCounter,YieldCompounding,YieldFrequency,L$2)</f>
        <v>2.0785341234811052</v>
      </c>
      <c r="M36" s="120">
        <f ca="1">_xll.qlBondConvexityFromYield(P36,J36/100,YieldDayCounter,YieldCompounding,YieldFrequency)</f>
        <v>27.707326419005469</v>
      </c>
      <c r="N36" s="121" t="e">
        <f ca="1">_xll.BDP(A36&amp;" Corp","risk mid")</f>
        <v>#NAME?</v>
      </c>
      <c r="O36" s="107" t="str">
        <f>_xll.qlZeroCouponBond(,,"EUR",3,"target",100,$B36,"f",100,,,Trigger)</f>
        <v>obj_00e7b#0000</v>
      </c>
      <c r="P36" s="107" t="str">
        <f>_xll.qlZeroCouponBond(,,"EUR",3,"target",100,$B36,"f",100,,,Trigger)</f>
        <v>obj_00df6#0000</v>
      </c>
      <c r="Q36" s="107" t="str">
        <f>_xll.qlZeroCouponBond(,,"EUR",3,"target",100,$B36,"f",100,,,Trigger)</f>
        <v>obj_00eb9#0000</v>
      </c>
      <c r="R36" s="123">
        <f t="shared" ref="R36:R67" ca="1" si="35">F36</f>
        <v>93.58</v>
      </c>
      <c r="S36" s="130">
        <f t="shared" ref="S36" ca="1" si="36">R36</f>
        <v>93.58</v>
      </c>
      <c r="T36" s="147" t="str">
        <f>IF(UPPER(U$1)="ABCD",_xll.RtContribute($E$3,$E36,$R$3:$S$3,$R36:$S36,"SCOPE:SERVER"),"--")</f>
        <v>--</v>
      </c>
      <c r="U36" s="151" t="str">
        <f t="shared" si="4"/>
        <v/>
      </c>
      <c r="V36" s="134" t="str">
        <f t="shared" ref="V36:V67" si="37">V$3&amp;A36</f>
        <v>EUR.PRICING.XLS_STRIPS.IT0004957855</v>
      </c>
      <c r="W36" s="134" t="str">
        <f>IF(UPPER($X$1)="ABCD",_xll.MKV_PUBLISHRECORD(V36, "XLS_STRIPS"),"--")</f>
        <v>--</v>
      </c>
      <c r="X36" s="135" t="str">
        <f>IF(UPPER(X$1)="ABCD",_xll.MKV_SUPPLYRECORD(V36, "Bid",F36, "Ask",H36, "Id",A36, "Mid",G36, "Name",D36,"DV01",N36,"MidYield",J36,"BidYield",I36,"AskYield",K36),"--")</f>
        <v>--</v>
      </c>
    </row>
    <row r="37" spans="1:24" x14ac:dyDescent="0.2">
      <c r="A37" s="72" t="s">
        <v>42</v>
      </c>
      <c r="B37" s="89">
        <v>43770</v>
      </c>
      <c r="C37" s="139" t="e">
        <f ca="1">_xll.BDP(A37&amp;" Corp", "days to mty")</f>
        <v>#NAME?</v>
      </c>
      <c r="D37" s="47" t="s">
        <v>356</v>
      </c>
      <c r="E37" s="47" t="s">
        <v>357</v>
      </c>
      <c r="F37" s="138">
        <f ca="1"/>
        <v>93.04</v>
      </c>
      <c r="G37" s="138">
        <f ca="1"/>
        <v>93.21</v>
      </c>
      <c r="H37" s="138">
        <f t="shared" ca="1" si="2"/>
        <v>93.38</v>
      </c>
      <c r="I37" s="32">
        <f ca="1">ROUND(_xll.qlBondYieldFromCleanPrice(O37,F37,YieldDayCounter,YieldCompounding,YieldFrequency)*100,3)</f>
        <v>1.4470000000000001</v>
      </c>
      <c r="J37" s="32">
        <f ca="1">ROUND(_xll.qlBondYieldFromCleanPrice(P37,G37,YieldDayCounter,YieldCompounding,YieldFrequency)*100,3)</f>
        <v>1.41</v>
      </c>
      <c r="K37" s="32">
        <f ca="1">ROUND(_xll.qlBondYieldFromCleanPrice(Q37,H37,YieldDayCounter,YieldCompounding,YieldFrequency)*100,3)</f>
        <v>1.373</v>
      </c>
      <c r="L37" s="120">
        <f ca="1">_xll.qlBondDurationFromYield(P37,J37,YieldDayCounter,YieldCompounding,YieldFrequency,L$2)</f>
        <v>2.083783322912522</v>
      </c>
      <c r="M37" s="120">
        <f ca="1">_xll.qlBondConvexityFromYield(P37,J37/100,YieldDayCounter,YieldCompounding,YieldFrequency)</f>
        <v>29.406467594734078</v>
      </c>
      <c r="N37" s="121" t="e">
        <f ca="1">_xll.BDP(A37&amp;" Corp","risk mid")</f>
        <v>#NAME?</v>
      </c>
      <c r="O37" s="107" t="str">
        <f>_xll.qlZeroCouponBond(,,"EUR",3,"target",100,$B37,"f",100,,,Trigger)</f>
        <v>obj_00ebb#0000</v>
      </c>
      <c r="P37" s="107" t="str">
        <f>_xll.qlZeroCouponBond(,,"EUR",3,"target",100,$B37,"f",100,,,Trigger)</f>
        <v>obj_00e77#0000</v>
      </c>
      <c r="Q37" s="107" t="str">
        <f>_xll.qlZeroCouponBond(,,"EUR",3,"target",100,$B37,"f",100,,,Trigger)</f>
        <v>obj_00e0e#0000</v>
      </c>
      <c r="R37" s="123">
        <f t="shared" ca="1" si="35"/>
        <v>93.04</v>
      </c>
      <c r="S37" s="130">
        <f t="shared" ref="S37" ca="1" si="38">R37</f>
        <v>93.04</v>
      </c>
      <c r="T37" s="147" t="str">
        <f>IF(UPPER(U$1)="ABCD",_xll.RtContribute($E$3,$E37,$R$3:$S$3,$R37:$S37,"SCOPE:SERVER"),"--")</f>
        <v>--</v>
      </c>
      <c r="U37" s="151" t="str">
        <f t="shared" si="4"/>
        <v/>
      </c>
      <c r="V37" s="134" t="str">
        <f t="shared" si="37"/>
        <v>EUR.PRICING.XLS_STRIPS.IT0001247243</v>
      </c>
      <c r="W37" s="134" t="str">
        <f>IF(UPPER($X$1)="ABCD",_xll.MKV_PUBLISHRECORD(V37, "XLS_STRIPS"),"--")</f>
        <v>--</v>
      </c>
      <c r="X37" s="135" t="str">
        <f>IF(UPPER(X$1)="ABCD",_xll.MKV_SUPPLYRECORD(V37, "Bid",F37, "Ask",H37, "Id",A37, "Mid",G37, "Name",D37,"DV01",N37,"MidYield",J37,"BidYield",I37,"AskYield",K37),"--")</f>
        <v>--</v>
      </c>
    </row>
    <row r="38" spans="1:24" x14ac:dyDescent="0.2">
      <c r="A38" s="72" t="s">
        <v>358</v>
      </c>
      <c r="B38" s="89">
        <v>43862</v>
      </c>
      <c r="C38" s="139" t="e">
        <f ca="1">_xll.BDP(A38&amp;" Corp", "days to mty")</f>
        <v>#NAME?</v>
      </c>
      <c r="D38" s="47" t="s">
        <v>359</v>
      </c>
      <c r="E38" s="47" t="s">
        <v>360</v>
      </c>
      <c r="F38" s="138">
        <f ca="1"/>
        <v>92.37</v>
      </c>
      <c r="G38" s="138">
        <f ca="1"/>
        <v>92.54</v>
      </c>
      <c r="H38" s="138">
        <f t="shared" ca="1" si="2"/>
        <v>92.71</v>
      </c>
      <c r="I38" s="32">
        <f ca="1">ROUND(_xll.qlBondYieldFromCleanPrice(O38,F38,YieldDayCounter,YieldCompounding,YieldFrequency)*100,3)</f>
        <v>1.5149999999999999</v>
      </c>
      <c r="J38" s="32">
        <f ca="1">ROUND(_xll.qlBondYieldFromCleanPrice(P38,G38,YieldDayCounter,YieldCompounding,YieldFrequency)*100,3)</f>
        <v>1.4790000000000001</v>
      </c>
      <c r="K38" s="32">
        <f ca="1">ROUND(_xll.qlBondYieldFromCleanPrice(Q38,H38,YieldDayCounter,YieldCompounding,YieldFrequency)*100,3)</f>
        <v>1.444</v>
      </c>
      <c r="L38" s="120">
        <f ca="1">_xll.qlBondDurationFromYield(P38,J38,YieldDayCounter,YieldCompounding,YieldFrequency,L$2)</f>
        <v>2.1296700503406698</v>
      </c>
      <c r="M38" s="120">
        <f ca="1">_xll.qlBondConvexityFromYield(P38,J38/100,YieldDayCounter,YieldCompounding,YieldFrequency)</f>
        <v>32.192762171837835</v>
      </c>
      <c r="N38" s="121" t="e">
        <f ca="1">_xll.BDP(A38&amp;" Corp","risk mid")</f>
        <v>#NAME?</v>
      </c>
      <c r="O38" s="107" t="str">
        <f>_xll.qlZeroCouponBond(,,"EUR",3,"target",100,$B38,"f",100,,,Trigger)</f>
        <v>obj_00dfc#0000</v>
      </c>
      <c r="P38" s="107" t="str">
        <f>_xll.qlZeroCouponBond(,,"EUR",3,"target",100,$B38,"f",100,,,Trigger)</f>
        <v>obj_00e6e#0000</v>
      </c>
      <c r="Q38" s="107" t="str">
        <f>_xll.qlZeroCouponBond(,,"EUR",3,"target",100,$B38,"f",100,,,Trigger)</f>
        <v>obj_00e63#0000</v>
      </c>
      <c r="R38" s="123">
        <f t="shared" ca="1" si="35"/>
        <v>92.37</v>
      </c>
      <c r="S38" s="130">
        <f t="shared" ref="S38" ca="1" si="39">R38</f>
        <v>92.37</v>
      </c>
      <c r="T38" s="147" t="str">
        <f>IF(UPPER(U$1)="ABCD",_xll.RtContribute($E$3,$E38,$R$3:$S$3,$R38:$S38,"SCOPE:SERVER"),"--")</f>
        <v>--</v>
      </c>
      <c r="U38" s="151" t="str">
        <f t="shared" si="4"/>
        <v/>
      </c>
      <c r="V38" s="134" t="str">
        <f t="shared" si="37"/>
        <v>EUR.PRICING.XLS_STRIPS.IT0004848617</v>
      </c>
      <c r="W38" s="134" t="str">
        <f>IF(UPPER($X$1)="ABCD",_xll.MKV_PUBLISHRECORD(V38, "XLS_STRIPS"),"--")</f>
        <v>--</v>
      </c>
      <c r="X38" s="135" t="str">
        <f>IF(UPPER(X$1)="ABCD",_xll.MKV_SUPPLYRECORD(V38, "Bid",F38, "Ask",H38, "Id",A38, "Mid",G38, "Name",D38,"DV01",N38,"MidYield",J38,"BidYield",I38,"AskYield",K38),"--")</f>
        <v>--</v>
      </c>
    </row>
    <row r="39" spans="1:24" x14ac:dyDescent="0.2">
      <c r="A39" s="72" t="s">
        <v>150</v>
      </c>
      <c r="B39" s="89">
        <v>43891</v>
      </c>
      <c r="C39" s="139" t="e">
        <f ca="1">_xll.BDP(A39&amp;" Corp", "days to mty")</f>
        <v>#NAME?</v>
      </c>
      <c r="D39" s="47" t="s">
        <v>151</v>
      </c>
      <c r="E39" s="47" t="s">
        <v>152</v>
      </c>
      <c r="F39" s="138">
        <f ca="1"/>
        <v>92.24</v>
      </c>
      <c r="G39" s="138">
        <f ca="1"/>
        <v>92.42</v>
      </c>
      <c r="H39" s="138">
        <f t="shared" ca="1" si="2"/>
        <v>92.6</v>
      </c>
      <c r="I39" s="32">
        <f ca="1">ROUND(_xll.qlBondYieldFromCleanPrice(O39,F39,YieldDayCounter,YieldCompounding,YieldFrequency)*100,3)</f>
        <v>1.52</v>
      </c>
      <c r="J39" s="32">
        <f ca="1">ROUND(_xll.qlBondYieldFromCleanPrice(P39,G39,YieldDayCounter,YieldCompounding,YieldFrequency)*100,3)</f>
        <v>1.4830000000000001</v>
      </c>
      <c r="K39" s="32">
        <f ca="1">ROUND(_xll.qlBondYieldFromCleanPrice(Q39,H39,YieldDayCounter,YieldCompounding,YieldFrequency)*100,3)</f>
        <v>1.446</v>
      </c>
      <c r="L39" s="120">
        <f ca="1">_xll.qlBondDurationFromYield(P39,J39,YieldDayCounter,YieldCompounding,YieldFrequency,L$2)</f>
        <v>2.1560308729497564</v>
      </c>
      <c r="M39" s="120">
        <f ca="1">_xll.qlBondConvexityFromYield(P39,J39/100,YieldDayCounter,YieldCompounding,YieldFrequency)</f>
        <v>33.025772487631897</v>
      </c>
      <c r="N39" s="121" t="e">
        <f ca="1">_xll.BDP(A39&amp;" Corp","risk mid")</f>
        <v>#NAME?</v>
      </c>
      <c r="O39" s="107" t="str">
        <f>_xll.qlZeroCouponBond(,,"EUR",3,"target",100,$B39,"f",100,,,Trigger)</f>
        <v>obj_00e18#0000</v>
      </c>
      <c r="P39" s="107" t="str">
        <f>_xll.qlZeroCouponBond(,,"EUR",3,"target",100,$B39,"f",100,,,Trigger)</f>
        <v>obj_00e2e#0000</v>
      </c>
      <c r="Q39" s="107" t="str">
        <f>_xll.qlZeroCouponBond(,,"EUR",3,"target",100,$B39,"f",100,,,Trigger)</f>
        <v>obj_00ddf#0000</v>
      </c>
      <c r="R39" s="123">
        <f t="shared" ca="1" si="35"/>
        <v>92.24</v>
      </c>
      <c r="S39" s="130">
        <f t="shared" ref="S39" ca="1" si="40">R39</f>
        <v>92.24</v>
      </c>
      <c r="T39" s="147" t="str">
        <f>IF(UPPER(U$1)="ABCD",_xll.RtContribute($E$3,$E39,$R$3:$S$3,$R39:$S39,"SCOPE:SERVER"),"--")</f>
        <v>--</v>
      </c>
      <c r="U39" s="151" t="str">
        <f t="shared" si="4"/>
        <v/>
      </c>
      <c r="V39" s="134" t="str">
        <f t="shared" si="37"/>
        <v>EUR.PRICING.XLS_STRIPS.IT0004957863</v>
      </c>
      <c r="W39" s="134" t="str">
        <f>IF(UPPER($X$1)="ABCD",_xll.MKV_PUBLISHRECORD(V39, "XLS_STRIPS"),"--")</f>
        <v>--</v>
      </c>
      <c r="X39" s="135" t="str">
        <f>IF(UPPER(X$1)="ABCD",_xll.MKV_SUPPLYRECORD(V39, "Bid",F39, "Ask",H39, "Id",A39, "Mid",G39, "Name",D39,"DV01",N39,"MidYield",J39,"BidYield",I39,"AskYield",K39),"--")</f>
        <v>--</v>
      </c>
    </row>
    <row r="40" spans="1:24" x14ac:dyDescent="0.2">
      <c r="A40" s="72" t="s">
        <v>43</v>
      </c>
      <c r="B40" s="89">
        <v>43952</v>
      </c>
      <c r="C40" s="139" t="e">
        <f ca="1">_xll.BDP(A40&amp;" Corp", "days to mty")</f>
        <v>#NAME?</v>
      </c>
      <c r="D40" s="47" t="s">
        <v>361</v>
      </c>
      <c r="E40" s="47" t="s">
        <v>362</v>
      </c>
      <c r="F40" s="138">
        <f ca="1"/>
        <v>91.83</v>
      </c>
      <c r="G40" s="138">
        <f ca="1"/>
        <v>92.01</v>
      </c>
      <c r="H40" s="138">
        <f t="shared" ca="1" si="2"/>
        <v>92.19</v>
      </c>
      <c r="I40" s="32">
        <f ca="1">ROUND(_xll.qlBondYieldFromCleanPrice(O40,F40,YieldDayCounter,YieldCompounding,YieldFrequency)*100,3)</f>
        <v>1.554</v>
      </c>
      <c r="J40" s="32">
        <f ca="1">ROUND(_xll.qlBondYieldFromCleanPrice(P40,G40,YieldDayCounter,YieldCompounding,YieldFrequency)*100,3)</f>
        <v>1.518</v>
      </c>
      <c r="K40" s="32">
        <f ca="1">ROUND(_xll.qlBondYieldFromCleanPrice(Q40,H40,YieldDayCounter,YieldCompounding,YieldFrequency)*100,3)</f>
        <v>1.482</v>
      </c>
      <c r="L40" s="120">
        <f ca="1">_xll.qlBondDurationFromYield(P40,J40,YieldDayCounter,YieldCompounding,YieldFrequency,L$2)</f>
        <v>2.1946097685704027</v>
      </c>
      <c r="M40" s="120">
        <f ca="1">_xll.qlBondConvexityFromYield(P40,J40/100,YieldDayCounter,YieldCompounding,YieldFrequency)</f>
        <v>34.992568394555406</v>
      </c>
      <c r="N40" s="121" t="e">
        <f ca="1">_xll.BDP(A40&amp;" Corp","risk mid")</f>
        <v>#NAME?</v>
      </c>
      <c r="O40" s="107" t="str">
        <f>_xll.qlZeroCouponBond(,,"EUR",3,"target",100,$B40,"f",100,,,Trigger)</f>
        <v>obj_00e99#0000</v>
      </c>
      <c r="P40" s="107" t="str">
        <f>_xll.qlZeroCouponBond(,,"EUR",3,"target",100,$B40,"f",100,,,Trigger)</f>
        <v>obj_00f04#0000</v>
      </c>
      <c r="Q40" s="107" t="str">
        <f>_xll.qlZeroCouponBond(,,"EUR",3,"target",100,$B40,"f",100,,,Trigger)</f>
        <v>obj_00f5a#0000</v>
      </c>
      <c r="R40" s="123">
        <f t="shared" ca="1" si="35"/>
        <v>91.83</v>
      </c>
      <c r="S40" s="130">
        <f t="shared" ref="S40" ca="1" si="41">R40</f>
        <v>91.83</v>
      </c>
      <c r="T40" s="147" t="str">
        <f>IF(UPPER(U$1)="ABCD",_xll.RtContribute($E$3,$E40,$R$3:$S$3,$R40:$S40,"SCOPE:SERVER"),"--")</f>
        <v>--</v>
      </c>
      <c r="U40" s="151" t="str">
        <f t="shared" si="4"/>
        <v/>
      </c>
      <c r="V40" s="134" t="str">
        <f t="shared" si="37"/>
        <v>EUR.PRICING.XLS_STRIPS.IT0001247250</v>
      </c>
      <c r="W40" s="134" t="str">
        <f>IF(UPPER($X$1)="ABCD",_xll.MKV_PUBLISHRECORD(V40, "XLS_STRIPS"),"--")</f>
        <v>--</v>
      </c>
      <c r="X40" s="135" t="str">
        <f>IF(UPPER(X$1)="ABCD",_xll.MKV_SUPPLYRECORD(V40, "Bid",F40, "Ask",H40, "Id",A40, "Mid",G40, "Name",D40,"DV01",N40,"MidYield",J40,"BidYield",I40,"AskYield",K40),"--")</f>
        <v>--</v>
      </c>
    </row>
    <row r="41" spans="1:24" x14ac:dyDescent="0.2">
      <c r="A41" s="72" t="s">
        <v>44</v>
      </c>
      <c r="B41" s="89">
        <v>44044</v>
      </c>
      <c r="C41" s="139" t="e">
        <f ca="1">_xll.BDP(A41&amp;" Corp", "days to mty")</f>
        <v>#NAME?</v>
      </c>
      <c r="D41" s="47" t="s">
        <v>363</v>
      </c>
      <c r="E41" s="47" t="s">
        <v>364</v>
      </c>
      <c r="F41" s="138">
        <f ca="1"/>
        <v>90.95</v>
      </c>
      <c r="G41" s="138">
        <f ca="1"/>
        <v>91.14</v>
      </c>
      <c r="H41" s="138">
        <f t="shared" ca="1" si="2"/>
        <v>91.33</v>
      </c>
      <c r="I41" s="32">
        <f ca="1">ROUND(_xll.qlBondYieldFromCleanPrice(O41,F41,YieldDayCounter,YieldCompounding,YieldFrequency)*100,3)</f>
        <v>1.6559999999999999</v>
      </c>
      <c r="J41" s="32">
        <f ca="1">ROUND(_xll.qlBondYieldFromCleanPrice(P41,G41,YieldDayCounter,YieldCompounding,YieldFrequency)*100,3)</f>
        <v>1.619</v>
      </c>
      <c r="K41" s="32">
        <f ca="1">ROUND(_xll.qlBondYieldFromCleanPrice(Q41,H41,YieldDayCounter,YieldCompounding,YieldFrequency)*100,3)</f>
        <v>1.583</v>
      </c>
      <c r="L41" s="120">
        <f ca="1">_xll.qlBondDurationFromYield(P41,J41,YieldDayCounter,YieldCompounding,YieldFrequency,L$2)</f>
        <v>2.2051708536668286</v>
      </c>
      <c r="M41" s="120">
        <f ca="1">_xll.qlBondConvexityFromYield(P41,J41/100,YieldDayCounter,YieldCompounding,YieldFrequency)</f>
        <v>37.893014871668257</v>
      </c>
      <c r="N41" s="121" t="e">
        <f ca="1">_xll.BDP(A41&amp;" Corp","risk mid")</f>
        <v>#NAME?</v>
      </c>
      <c r="O41" s="107" t="str">
        <f>_xll.qlZeroCouponBond(,,"EUR",3,"target",100,$B41,"f",100,,,Trigger)</f>
        <v>obj_00e69#0000</v>
      </c>
      <c r="P41" s="107" t="str">
        <f>_xll.qlZeroCouponBond(,,"EUR",3,"target",100,$B41,"f",100,,,Trigger)</f>
        <v>obj_00e21#0000</v>
      </c>
      <c r="Q41" s="107" t="str">
        <f>_xll.qlZeroCouponBond(,,"EUR",3,"target",100,$B41,"f",100,,,Trigger)</f>
        <v>obj_00ee3#0000</v>
      </c>
      <c r="R41" s="123">
        <f t="shared" ca="1" si="35"/>
        <v>90.95</v>
      </c>
      <c r="S41" s="130">
        <f t="shared" ref="S41" ca="1" si="42">R41</f>
        <v>90.95</v>
      </c>
      <c r="T41" s="147" t="str">
        <f>IF(UPPER(U$1)="ABCD",_xll.RtContribute($E$3,$E41,$R$3:$S$3,$R41:$S41,"SCOPE:SERVER"),"--")</f>
        <v>--</v>
      </c>
      <c r="U41" s="151" t="str">
        <f t="shared" si="4"/>
        <v/>
      </c>
      <c r="V41" s="134" t="str">
        <f t="shared" si="37"/>
        <v>EUR.PRICING.XLS_STRIPS.IT0003268635</v>
      </c>
      <c r="W41" s="134" t="str">
        <f>IF(UPPER($X$1)="ABCD",_xll.MKV_PUBLISHRECORD(V41, "XLS_STRIPS"),"--")</f>
        <v>--</v>
      </c>
      <c r="X41" s="135" t="str">
        <f>IF(UPPER(X$1)="ABCD",_xll.MKV_SUPPLYRECORD(V41, "Bid",F41, "Ask",H41, "Id",A41, "Mid",G41, "Name",D41,"DV01",N41,"MidYield",J41,"BidYield",I41,"AskYield",K41),"--")</f>
        <v>--</v>
      </c>
    </row>
    <row r="42" spans="1:24" x14ac:dyDescent="0.2">
      <c r="A42" s="72" t="s">
        <v>153</v>
      </c>
      <c r="B42" s="89">
        <v>44075</v>
      </c>
      <c r="C42" s="139" t="e">
        <f ca="1">_xll.BDP(A42&amp;" Corp", "days to mty")</f>
        <v>#NAME?</v>
      </c>
      <c r="D42" s="47" t="s">
        <v>154</v>
      </c>
      <c r="E42" s="47" t="s">
        <v>155</v>
      </c>
      <c r="F42" s="138">
        <f ca="1"/>
        <v>90.66</v>
      </c>
      <c r="G42" s="138">
        <f ca="1"/>
        <v>90.85</v>
      </c>
      <c r="H42" s="138">
        <f t="shared" ca="1" si="2"/>
        <v>91.04</v>
      </c>
      <c r="I42" s="32">
        <f ca="1">ROUND(_xll.qlBondYieldFromCleanPrice(O42,F42,YieldDayCounter,YieldCompounding,YieldFrequency)*100,3)</f>
        <v>1.6890000000000001</v>
      </c>
      <c r="J42" s="32">
        <f ca="1">ROUND(_xll.qlBondYieldFromCleanPrice(P42,G42,YieldDayCounter,YieldCompounding,YieldFrequency)*100,3)</f>
        <v>1.653</v>
      </c>
      <c r="K42" s="32">
        <f ca="1">ROUND(_xll.qlBondYieldFromCleanPrice(Q42,H42,YieldDayCounter,YieldCompounding,YieldFrequency)*100,3)</f>
        <v>1.6160000000000001</v>
      </c>
      <c r="L42" s="120">
        <f ca="1">_xll.qlBondDurationFromYield(P42,J42,YieldDayCounter,YieldCompounding,YieldFrequency,L$2)</f>
        <v>2.2068580929317543</v>
      </c>
      <c r="M42" s="120">
        <f ca="1">_xll.qlBondConvexityFromYield(P42,J42/100,YieldDayCounter,YieldCompounding,YieldFrequency)</f>
        <v>38.838790633921043</v>
      </c>
      <c r="N42" s="121" t="e">
        <f ca="1">_xll.BDP(A42&amp;" Corp","risk mid")</f>
        <v>#NAME?</v>
      </c>
      <c r="O42" s="107" t="str">
        <f>_xll.qlZeroCouponBond(,,"EUR",3,"target",100,$B42,"f",100,,,Trigger)</f>
        <v>obj_00f41#0000</v>
      </c>
      <c r="P42" s="107" t="str">
        <f>_xll.qlZeroCouponBond(,,"EUR",3,"target",100,$B42,"f",100,,,Trigger)</f>
        <v>obj_00eca#0000</v>
      </c>
      <c r="Q42" s="107" t="str">
        <f>_xll.qlZeroCouponBond(,,"EUR",3,"target",100,$B42,"f",100,,,Trigger)</f>
        <v>obj_00e3e#0000</v>
      </c>
      <c r="R42" s="123">
        <f t="shared" ca="1" si="35"/>
        <v>90.66</v>
      </c>
      <c r="S42" s="130">
        <f t="shared" ref="S42" ca="1" si="43">R42</f>
        <v>90.66</v>
      </c>
      <c r="T42" s="147" t="str">
        <f>IF(UPPER(U$1)="ABCD",_xll.RtContribute($E$3,$E42,$R$3:$S$3,$R42:$S42,"SCOPE:SERVER"),"--")</f>
        <v>--</v>
      </c>
      <c r="U42" s="151" t="str">
        <f t="shared" si="4"/>
        <v/>
      </c>
      <c r="V42" s="134" t="str">
        <f t="shared" si="37"/>
        <v>EUR.PRICING.XLS_STRIPS.IT0004957871</v>
      </c>
      <c r="W42" s="134" t="str">
        <f>IF(UPPER($X$1)="ABCD",_xll.MKV_PUBLISHRECORD(V42, "XLS_STRIPS"),"--")</f>
        <v>--</v>
      </c>
      <c r="X42" s="135" t="str">
        <f>IF(UPPER(X$1)="ABCD",_xll.MKV_SUPPLYRECORD(V42, "Bid",F42, "Ask",H42, "Id",A42, "Mid",G42, "Name",D42,"DV01",N42,"MidYield",J42,"BidYield",I42,"AskYield",K42),"--")</f>
        <v>--</v>
      </c>
    </row>
    <row r="43" spans="1:24" x14ac:dyDescent="0.2">
      <c r="A43" s="72" t="s">
        <v>45</v>
      </c>
      <c r="B43" s="89">
        <v>44136</v>
      </c>
      <c r="C43" s="139" t="e">
        <f ca="1">_xll.BDP(A43&amp;" Corp", "days to mty")</f>
        <v>#NAME?</v>
      </c>
      <c r="D43" s="47" t="s">
        <v>365</v>
      </c>
      <c r="E43" s="47" t="s">
        <v>366</v>
      </c>
      <c r="F43" s="138">
        <f ca="1"/>
        <v>90.14</v>
      </c>
      <c r="G43" s="138">
        <f ca="1"/>
        <v>90.34</v>
      </c>
      <c r="H43" s="138">
        <f t="shared" ca="1" si="2"/>
        <v>90.54</v>
      </c>
      <c r="I43" s="32">
        <f ca="1">ROUND(_xll.qlBondYieldFromCleanPrice(O43,F43,YieldDayCounter,YieldCompounding,YieldFrequency)*100,3)</f>
        <v>1.738</v>
      </c>
      <c r="J43" s="32">
        <f ca="1">ROUND(_xll.qlBondYieldFromCleanPrice(P43,G43,YieldDayCounter,YieldCompounding,YieldFrequency)*100,3)</f>
        <v>1.7010000000000001</v>
      </c>
      <c r="K43" s="32">
        <f ca="1">ROUND(_xll.qlBondYieldFromCleanPrice(Q43,H43,YieldDayCounter,YieldCompounding,YieldFrequency)*100,3)</f>
        <v>1.663</v>
      </c>
      <c r="L43" s="120">
        <f ca="1">_xll.qlBondDurationFromYield(P43,J43,YieldDayCounter,YieldCompounding,YieldFrequency,L$2)</f>
        <v>2.2305285206392358</v>
      </c>
      <c r="M43" s="120">
        <f ca="1">_xll.qlBondConvexityFromYield(P43,J43/100,YieldDayCounter,YieldCompounding,YieldFrequency)</f>
        <v>40.917310033291272</v>
      </c>
      <c r="N43" s="121" t="e">
        <f ca="1">_xll.BDP(A43&amp;" Corp","risk mid")</f>
        <v>#NAME?</v>
      </c>
      <c r="O43" s="107" t="str">
        <f>_xll.qlZeroCouponBond(,,"EUR",3,"target",100,$B43,"f",100,,,Trigger)</f>
        <v>obj_00f6b#0000</v>
      </c>
      <c r="P43" s="107" t="str">
        <f>_xll.qlZeroCouponBond(,,"EUR",3,"target",100,$B43,"f",100,,,Trigger)</f>
        <v>obj_00ee2#0000</v>
      </c>
      <c r="Q43" s="107" t="str">
        <f>_xll.qlZeroCouponBond(,,"EUR",3,"target",100,$B43,"f",100,,,Trigger)</f>
        <v>obj_00f88#0000</v>
      </c>
      <c r="R43" s="123">
        <f t="shared" ca="1" si="35"/>
        <v>90.14</v>
      </c>
      <c r="S43" s="130">
        <f t="shared" ref="S43" ca="1" si="44">R43</f>
        <v>90.14</v>
      </c>
      <c r="T43" s="147" t="str">
        <f>IF(UPPER(U$1)="ABCD",_xll.RtContribute($E$3,$E43,$R$3:$S$3,$R43:$S43,"SCOPE:SERVER"),"--")</f>
        <v>--</v>
      </c>
      <c r="U43" s="151" t="str">
        <f t="shared" si="4"/>
        <v/>
      </c>
      <c r="V43" s="134" t="str">
        <f t="shared" si="37"/>
        <v>EUR.PRICING.XLS_STRIPS.IT0001247268</v>
      </c>
      <c r="W43" s="134" t="str">
        <f>IF(UPPER($X$1)="ABCD",_xll.MKV_PUBLISHRECORD(V43, "XLS_STRIPS"),"--")</f>
        <v>--</v>
      </c>
      <c r="X43" s="135" t="str">
        <f>IF(UPPER(X$1)="ABCD",_xll.MKV_SUPPLYRECORD(V43, "Bid",F43, "Ask",H43, "Id",A43, "Mid",G43, "Name",D43,"DV01",N43,"MidYield",J43,"BidYield",I43,"AskYield",K43),"--")</f>
        <v>--</v>
      </c>
    </row>
    <row r="44" spans="1:24" x14ac:dyDescent="0.2">
      <c r="A44" s="72" t="s">
        <v>46</v>
      </c>
      <c r="B44" s="89">
        <v>44228</v>
      </c>
      <c r="C44" s="139" t="e">
        <f ca="1">_xll.BDP(A44&amp;" Corp", "days to mty")</f>
        <v>#NAME?</v>
      </c>
      <c r="D44" s="47" t="s">
        <v>367</v>
      </c>
      <c r="E44" s="47" t="s">
        <v>368</v>
      </c>
      <c r="F44" s="138">
        <f ca="1"/>
        <v>89.26</v>
      </c>
      <c r="G44" s="138">
        <f ca="1"/>
        <v>89.46</v>
      </c>
      <c r="H44" s="138">
        <f t="shared" ca="1" si="2"/>
        <v>89.66</v>
      </c>
      <c r="I44" s="32">
        <f ca="1">ROUND(_xll.qlBondYieldFromCleanPrice(O44,F44,YieldDayCounter,YieldCompounding,YieldFrequency)*100,3)</f>
        <v>1.827</v>
      </c>
      <c r="J44" s="32">
        <f ca="1">ROUND(_xll.qlBondYieldFromCleanPrice(P44,G44,YieldDayCounter,YieldCompounding,YieldFrequency)*100,3)</f>
        <v>1.7909999999999999</v>
      </c>
      <c r="K44" s="32">
        <f ca="1">ROUND(_xll.qlBondYieldFromCleanPrice(Q44,H44,YieldDayCounter,YieldCompounding,YieldFrequency)*100,3)</f>
        <v>1.7549999999999999</v>
      </c>
      <c r="L44" s="120">
        <f ca="1">_xll.qlBondDurationFromYield(P44,J44,YieldDayCounter,YieldCompounding,YieldFrequency,L$2)</f>
        <v>2.2479299902327936</v>
      </c>
      <c r="M44" s="120">
        <f ca="1">_xll.qlBondConvexityFromYield(P44,J44/100,YieldDayCounter,YieldCompounding,YieldFrequency)</f>
        <v>44.044888713677103</v>
      </c>
      <c r="N44" s="121" t="e">
        <f ca="1">_xll.BDP(A44&amp;" Corp","risk mid")</f>
        <v>#NAME?</v>
      </c>
      <c r="O44" s="107" t="str">
        <f>_xll.qlZeroCouponBond(,,"EUR",3,"target",100,$B44,"f",100,,,Trigger)</f>
        <v>obj_00e7e#0000</v>
      </c>
      <c r="P44" s="107" t="str">
        <f>_xll.qlZeroCouponBond(,,"EUR",3,"target",100,$B44,"f",100,,,Trigger)</f>
        <v>obj_00e16#0000</v>
      </c>
      <c r="Q44" s="107" t="str">
        <f>_xll.qlZeroCouponBond(,,"EUR",3,"target",100,$B44,"f",100,,,Trigger)</f>
        <v>obj_00efa#0000</v>
      </c>
      <c r="R44" s="123">
        <f t="shared" ca="1" si="35"/>
        <v>89.26</v>
      </c>
      <c r="S44" s="130">
        <f t="shared" ref="S44" ca="1" si="45">R44</f>
        <v>89.26</v>
      </c>
      <c r="T44" s="147" t="str">
        <f>IF(UPPER(U$1)="ABCD",_xll.RtContribute($E$3,$E44,$R$3:$S$3,$R44:$S44,"SCOPE:SERVER"),"--")</f>
        <v>--</v>
      </c>
      <c r="U44" s="151" t="str">
        <f t="shared" si="4"/>
        <v/>
      </c>
      <c r="V44" s="134" t="str">
        <f t="shared" si="37"/>
        <v>EUR.PRICING.XLS_STRIPS.IT0003268676</v>
      </c>
      <c r="W44" s="134" t="str">
        <f>IF(UPPER($X$1)="ABCD",_xll.MKV_PUBLISHRECORD(V44, "XLS_STRIPS"),"--")</f>
        <v>--</v>
      </c>
      <c r="X44" s="135" t="str">
        <f>IF(UPPER(X$1)="ABCD",_xll.MKV_SUPPLYRECORD(V44, "Bid",F44, "Ask",H44, "Id",A44, "Mid",G44, "Name",D44,"DV01",N44,"MidYield",J44,"BidYield",I44,"AskYield",K44),"--")</f>
        <v>--</v>
      </c>
    </row>
    <row r="45" spans="1:24" x14ac:dyDescent="0.2">
      <c r="A45" s="72" t="s">
        <v>156</v>
      </c>
      <c r="B45" s="89">
        <v>44256</v>
      </c>
      <c r="C45" s="139" t="e">
        <f ca="1">_xll.BDP(A45&amp;" Corp", "days to mty")</f>
        <v>#NAME?</v>
      </c>
      <c r="D45" s="47" t="s">
        <v>157</v>
      </c>
      <c r="E45" s="47" t="s">
        <v>158</v>
      </c>
      <c r="F45" s="138">
        <f ca="1"/>
        <v>88.9</v>
      </c>
      <c r="G45" s="138">
        <f ca="1"/>
        <v>89.11</v>
      </c>
      <c r="H45" s="138">
        <f t="shared" ca="1" si="2"/>
        <v>89.32</v>
      </c>
      <c r="I45" s="32">
        <f ca="1">ROUND(_xll.qlBondYieldFromCleanPrice(O45,F45,YieldDayCounter,YieldCompounding,YieldFrequency)*100,3)</f>
        <v>1.87</v>
      </c>
      <c r="J45" s="32">
        <f ca="1">ROUND(_xll.qlBondYieldFromCleanPrice(P45,G45,YieldDayCounter,YieldCompounding,YieldFrequency)*100,3)</f>
        <v>1.8320000000000001</v>
      </c>
      <c r="K45" s="32">
        <f ca="1">ROUND(_xll.qlBondYieldFromCleanPrice(Q45,H45,YieldDayCounter,YieldCompounding,YieldFrequency)*100,3)</f>
        <v>1.794</v>
      </c>
      <c r="L45" s="120">
        <f ca="1">_xll.qlBondDurationFromYield(P45,J45,YieldDayCounter,YieldCompounding,YieldFrequency,L$2)</f>
        <v>2.2424734927637182</v>
      </c>
      <c r="M45" s="120">
        <f ca="1">_xll.qlBondConvexityFromYield(P45,J45/100,YieldDayCounter,YieldCompounding,YieldFrequency)</f>
        <v>45.017339870279116</v>
      </c>
      <c r="N45" s="121" t="e">
        <f ca="1">_xll.BDP(A45&amp;" Corp","risk mid")</f>
        <v>#NAME?</v>
      </c>
      <c r="O45" s="107" t="str">
        <f>_xll.qlZeroCouponBond(,,"EUR",3,"target",100,$B45,"f",100,,,Trigger)</f>
        <v>obj_00f2a#0000</v>
      </c>
      <c r="P45" s="107" t="str">
        <f>_xll.qlZeroCouponBond(,,"EUR",3,"target",100,$B45,"f",100,,,Trigger)</f>
        <v>obj_00e74#0000</v>
      </c>
      <c r="Q45" s="107" t="str">
        <f>_xll.qlZeroCouponBond(,,"EUR",3,"target",100,$B45,"f",100,,,Trigger)</f>
        <v>obj_00f76#0000</v>
      </c>
      <c r="R45" s="123">
        <f t="shared" ca="1" si="35"/>
        <v>88.9</v>
      </c>
      <c r="S45" s="130">
        <f t="shared" ref="S45" ca="1" si="46">R45</f>
        <v>88.9</v>
      </c>
      <c r="T45" s="147" t="str">
        <f>IF(UPPER(U$1)="ABCD",_xll.RtContribute($E$3,$E45,$R$3:$S$3,$R45:$S45,"SCOPE:SERVER"),"--")</f>
        <v>--</v>
      </c>
      <c r="U45" s="151" t="str">
        <f t="shared" si="4"/>
        <v/>
      </c>
      <c r="V45" s="134" t="str">
        <f t="shared" si="37"/>
        <v>EUR.PRICING.XLS_STRIPS.IT0004957889</v>
      </c>
      <c r="W45" s="134" t="str">
        <f>IF(UPPER($X$1)="ABCD",_xll.MKV_PUBLISHRECORD(V45, "XLS_STRIPS"),"--")</f>
        <v>--</v>
      </c>
      <c r="X45" s="135" t="str">
        <f>IF(UPPER(X$1)="ABCD",_xll.MKV_SUPPLYRECORD(V45, "Bid",F45, "Ask",H45, "Id",A45, "Mid",G45, "Name",D45,"DV01",N45,"MidYield",J45,"BidYield",I45,"AskYield",K45),"--")</f>
        <v>--</v>
      </c>
    </row>
    <row r="46" spans="1:24" x14ac:dyDescent="0.2">
      <c r="A46" s="72" t="s">
        <v>47</v>
      </c>
      <c r="B46" s="89">
        <v>44317</v>
      </c>
      <c r="C46" s="139" t="e">
        <f ca="1">_xll.BDP(A46&amp;" Corp", "days to mty")</f>
        <v>#NAME?</v>
      </c>
      <c r="D46" s="47" t="s">
        <v>369</v>
      </c>
      <c r="E46" s="47" t="s">
        <v>370</v>
      </c>
      <c r="F46" s="138">
        <f ca="1"/>
        <v>88.05</v>
      </c>
      <c r="G46" s="138">
        <f ca="1"/>
        <v>88.26</v>
      </c>
      <c r="H46" s="138">
        <f t="shared" ca="1" si="2"/>
        <v>88.47</v>
      </c>
      <c r="I46" s="32">
        <f ca="1">ROUND(_xll.qlBondYieldFromCleanPrice(O46,F46,YieldDayCounter,YieldCompounding,YieldFrequency)*100,3)</f>
        <v>1.97</v>
      </c>
      <c r="J46" s="32">
        <f ca="1">ROUND(_xll.qlBondYieldFromCleanPrice(P46,G46,YieldDayCounter,YieldCompounding,YieldFrequency)*100,3)</f>
        <v>1.9330000000000001</v>
      </c>
      <c r="K46" s="32">
        <f ca="1">ROUND(_xll.qlBondYieldFromCleanPrice(Q46,H46,YieldDayCounter,YieldCompounding,YieldFrequency)*100,3)</f>
        <v>1.8959999999999999</v>
      </c>
      <c r="L46" s="120">
        <f ca="1">_xll.qlBondDurationFromYield(P46,J46,YieldDayCounter,YieldCompounding,YieldFrequency,L$2)</f>
        <v>2.2241008084667158</v>
      </c>
      <c r="M46" s="120">
        <f ca="1">_xll.qlBondConvexityFromYield(P46,J46/100,YieldDayCounter,YieldCompounding,YieldFrequency)</f>
        <v>47.232897380029904</v>
      </c>
      <c r="N46" s="121" t="e">
        <f ca="1">_xll.BDP(A46&amp;" Corp","risk mid")</f>
        <v>#NAME?</v>
      </c>
      <c r="O46" s="107" t="str">
        <f>_xll.qlZeroCouponBond(,,"EUR",3,"target",100,$B46,"f",100,,,Trigger)</f>
        <v>obj_00eda#0000</v>
      </c>
      <c r="P46" s="107" t="str">
        <f>_xll.qlZeroCouponBond(,,"EUR",3,"target",100,$B46,"f",100,,,Trigger)</f>
        <v>obj_00e08#0000</v>
      </c>
      <c r="Q46" s="107" t="str">
        <f>_xll.qlZeroCouponBond(,,"EUR",3,"target",100,$B46,"f",100,,,Trigger)</f>
        <v>obj_00dda#0000</v>
      </c>
      <c r="R46" s="123">
        <f t="shared" ca="1" si="35"/>
        <v>88.05</v>
      </c>
      <c r="S46" s="130">
        <f t="shared" ref="S46" ca="1" si="47">R46</f>
        <v>88.05</v>
      </c>
      <c r="T46" s="147" t="str">
        <f>IF(UPPER(U$1)="ABCD",_xll.RtContribute($E$3,$E46,$R$3:$S$3,$R46:$S46,"SCOPE:SERVER"),"--")</f>
        <v>--</v>
      </c>
      <c r="U46" s="151" t="str">
        <f t="shared" si="4"/>
        <v/>
      </c>
      <c r="V46" s="134" t="str">
        <f t="shared" si="37"/>
        <v>EUR.PRICING.XLS_STRIPS.IT0001247276</v>
      </c>
      <c r="W46" s="134" t="str">
        <f>IF(UPPER($X$1)="ABCD",_xll.MKV_PUBLISHRECORD(V46, "XLS_STRIPS"),"--")</f>
        <v>--</v>
      </c>
      <c r="X46" s="135" t="str">
        <f>IF(UPPER(X$1)="ABCD",_xll.MKV_SUPPLYRECORD(V46, "Bid",F46, "Ask",H46, "Id",A46, "Mid",G46, "Name",D46,"DV01",N46,"MidYield",J46,"BidYield",I46,"AskYield",K46),"--")</f>
        <v>--</v>
      </c>
    </row>
    <row r="47" spans="1:24" x14ac:dyDescent="0.2">
      <c r="A47" s="72" t="s">
        <v>371</v>
      </c>
      <c r="B47" s="89">
        <v>44409</v>
      </c>
      <c r="C47" s="139" t="e">
        <f ca="1">_xll.BDP(A47&amp;" Corp", "days to mty")</f>
        <v>#NAME?</v>
      </c>
      <c r="D47" s="47" t="s">
        <v>372</v>
      </c>
      <c r="E47" s="47" t="s">
        <v>373</v>
      </c>
      <c r="F47" s="138">
        <f ca="1"/>
        <v>87.2</v>
      </c>
      <c r="G47" s="138">
        <f ca="1"/>
        <v>87.41</v>
      </c>
      <c r="H47" s="138">
        <f t="shared" ca="1" si="2"/>
        <v>87.62</v>
      </c>
      <c r="I47" s="32">
        <f ca="1">ROUND(_xll.qlBondYieldFromCleanPrice(O47,F47,YieldDayCounter,YieldCompounding,YieldFrequency)*100,3)</f>
        <v>2.0430000000000001</v>
      </c>
      <c r="J47" s="32">
        <f ca="1">ROUND(_xll.qlBondYieldFromCleanPrice(P47,G47,YieldDayCounter,YieldCompounding,YieldFrequency)*100,3)</f>
        <v>2.0070000000000001</v>
      </c>
      <c r="K47" s="32">
        <f ca="1">ROUND(_xll.qlBondYieldFromCleanPrice(Q47,H47,YieldDayCounter,YieldCompounding,YieldFrequency)*100,3)</f>
        <v>1.9710000000000001</v>
      </c>
      <c r="L47" s="120">
        <f ca="1">_xll.qlBondDurationFromYield(P47,J47,YieldDayCounter,YieldCompounding,YieldFrequency,L$2)</f>
        <v>2.2522789290741692</v>
      </c>
      <c r="M47" s="120">
        <f ca="1">_xll.qlBondConvexityFromYield(P47,J47/100,YieldDayCounter,YieldCompounding,YieldFrequency)</f>
        <v>50.589702184264766</v>
      </c>
      <c r="N47" s="121" t="e">
        <f ca="1">_xll.BDP(A47&amp;" Corp","risk mid")</f>
        <v>#NAME?</v>
      </c>
      <c r="O47" s="107" t="str">
        <f>_xll.qlZeroCouponBond(,,"EUR",3,"target",100,$B47,"f",100,,,Trigger)</f>
        <v>obj_00ed9#0000</v>
      </c>
      <c r="P47" s="107" t="str">
        <f>_xll.qlZeroCouponBond(,,"EUR",3,"target",100,$B47,"f",100,,,Trigger)</f>
        <v>obj_00e71#0000</v>
      </c>
      <c r="Q47" s="107" t="str">
        <f>_xll.qlZeroCouponBond(,,"EUR",3,"target",100,$B47,"f",100,,,Trigger)</f>
        <v>obj_00eec#0000</v>
      </c>
      <c r="R47" s="123">
        <f t="shared" ca="1" si="35"/>
        <v>87.2</v>
      </c>
      <c r="S47" s="130">
        <f t="shared" ref="S47" ca="1" si="48">R47</f>
        <v>87.2</v>
      </c>
      <c r="T47" s="147" t="str">
        <f>IF(UPPER(U$1)="ABCD",_xll.RtContribute($E$3,$E47,$R$3:$S$3,$R47:$S47,"SCOPE:SERVER"),"--")</f>
        <v>--</v>
      </c>
      <c r="U47" s="151" t="str">
        <f t="shared" si="4"/>
        <v/>
      </c>
      <c r="V47" s="134" t="str">
        <f t="shared" si="37"/>
        <v>EUR.PRICING.XLS_STRIPS.IT0004848658</v>
      </c>
      <c r="W47" s="134" t="str">
        <f>IF(UPPER($X$1)="ABCD",_xll.MKV_PUBLISHRECORD(V47, "XLS_STRIPS"),"--")</f>
        <v>--</v>
      </c>
      <c r="X47" s="135" t="str">
        <f>IF(UPPER(X$1)="ABCD",_xll.MKV_SUPPLYRECORD(V47, "Bid",F47, "Ask",H47, "Id",A47, "Mid",G47, "Name",D47,"DV01",N47,"MidYield",J47,"BidYield",I47,"AskYield",K47),"--")</f>
        <v>--</v>
      </c>
    </row>
    <row r="48" spans="1:24" x14ac:dyDescent="0.2">
      <c r="A48" s="72" t="s">
        <v>159</v>
      </c>
      <c r="B48" s="89">
        <v>44440</v>
      </c>
      <c r="C48" s="139" t="e">
        <f ca="1">_xll.BDP(A48&amp;" Corp", "days to mty")</f>
        <v>#NAME?</v>
      </c>
      <c r="D48" s="47" t="s">
        <v>160</v>
      </c>
      <c r="E48" s="47" t="s">
        <v>161</v>
      </c>
      <c r="F48" s="138">
        <f ca="1"/>
        <v>86.8</v>
      </c>
      <c r="G48" s="138">
        <f ca="1"/>
        <v>87.01</v>
      </c>
      <c r="H48" s="138">
        <f t="shared" ca="1" si="2"/>
        <v>87.22</v>
      </c>
      <c r="I48" s="32">
        <f ca="1">ROUND(_xll.qlBondYieldFromCleanPrice(O48,F48,YieldDayCounter,YieldCompounding,YieldFrequency)*100,3)</f>
        <v>2.0870000000000002</v>
      </c>
      <c r="J48" s="32">
        <f ca="1">ROUND(_xll.qlBondYieldFromCleanPrice(P48,G48,YieldDayCounter,YieldCompounding,YieldFrequency)*100,3)</f>
        <v>2.0510000000000002</v>
      </c>
      <c r="K48" s="32">
        <f ca="1">ROUND(_xll.qlBondYieldFromCleanPrice(Q48,H48,YieldDayCounter,YieldCompounding,YieldFrequency)*100,3)</f>
        <v>2.0150000000000001</v>
      </c>
      <c r="L48" s="120">
        <f ca="1">_xll.qlBondDurationFromYield(P48,J48,YieldDayCounter,YieldCompounding,YieldFrequency,L$2)</f>
        <v>2.2467369782195816</v>
      </c>
      <c r="M48" s="120">
        <f ca="1">_xll.qlBondConvexityFromYield(P48,J48/100,YieldDayCounter,YieldCompounding,YieldFrequency)</f>
        <v>51.700499608217747</v>
      </c>
      <c r="N48" s="121" t="e">
        <f ca="1">_xll.BDP(A48&amp;" Corp","risk mid")</f>
        <v>#NAME?</v>
      </c>
      <c r="O48" s="107" t="str">
        <f>_xll.qlZeroCouponBond(,,"EUR",3,"target",100,$B48,"f",100,,,Trigger)</f>
        <v>obj_00eb8#0000</v>
      </c>
      <c r="P48" s="107" t="str">
        <f>_xll.qlZeroCouponBond(,,"EUR",3,"target",100,$B48,"f",100,,,Trigger)</f>
        <v>obj_00f7b#0000</v>
      </c>
      <c r="Q48" s="107" t="str">
        <f>_xll.qlZeroCouponBond(,,"EUR",3,"target",100,$B48,"f",100,,,Trigger)</f>
        <v>obj_00e31#0000</v>
      </c>
      <c r="R48" s="123">
        <f t="shared" ca="1" si="35"/>
        <v>86.8</v>
      </c>
      <c r="S48" s="130">
        <f t="shared" ref="S48" ca="1" si="49">R48</f>
        <v>86.8</v>
      </c>
      <c r="T48" s="147" t="str">
        <f>IF(UPPER(U$1)="ABCD",_xll.RtContribute($E$3,$E48,$R$3:$S$3,$R48:$S48,"SCOPE:SERVER"),"--")</f>
        <v>--</v>
      </c>
      <c r="U48" s="151" t="str">
        <f t="shared" si="4"/>
        <v/>
      </c>
      <c r="V48" s="134" t="str">
        <f t="shared" si="37"/>
        <v>EUR.PRICING.XLS_STRIPS.IT0004957897</v>
      </c>
      <c r="W48" s="134" t="str">
        <f>IF(UPPER($X$1)="ABCD",_xll.MKV_PUBLISHRECORD(V48, "XLS_STRIPS"),"--")</f>
        <v>--</v>
      </c>
      <c r="X48" s="135" t="str">
        <f>IF(UPPER(X$1)="ABCD",_xll.MKV_SUPPLYRECORD(V48, "Bid",F48, "Ask",H48, "Id",A48, "Mid",G48, "Name",D48,"DV01",N48,"MidYield",J48,"BidYield",I48,"AskYield",K48),"--")</f>
        <v>--</v>
      </c>
    </row>
    <row r="49" spans="1:24" x14ac:dyDescent="0.2">
      <c r="A49" s="72" t="s">
        <v>48</v>
      </c>
      <c r="B49" s="89">
        <v>44501</v>
      </c>
      <c r="C49" s="139" t="e">
        <f ca="1">_xll.BDP(A49&amp;" Corp", "days to mty")</f>
        <v>#NAME?</v>
      </c>
      <c r="D49" s="47" t="s">
        <v>374</v>
      </c>
      <c r="E49" s="47" t="s">
        <v>375</v>
      </c>
      <c r="F49" s="138">
        <f ca="1"/>
        <v>86.03</v>
      </c>
      <c r="G49" s="138">
        <f ca="1"/>
        <v>86.24</v>
      </c>
      <c r="H49" s="138">
        <f t="shared" ca="1" si="2"/>
        <v>86.45</v>
      </c>
      <c r="I49" s="32">
        <f ca="1">ROUND(_xll.qlBondYieldFromCleanPrice(O49,F49,YieldDayCounter,YieldCompounding,YieldFrequency)*100,3)</f>
        <v>2.1659999999999999</v>
      </c>
      <c r="J49" s="32">
        <f ca="1">ROUND(_xll.qlBondYieldFromCleanPrice(P49,G49,YieldDayCounter,YieldCompounding,YieldFrequency)*100,3)</f>
        <v>2.1309999999999998</v>
      </c>
      <c r="K49" s="32">
        <f ca="1">ROUND(_xll.qlBondYieldFromCleanPrice(Q49,H49,YieldDayCounter,YieldCompounding,YieldFrequency)*100,3)</f>
        <v>2.0950000000000002</v>
      </c>
      <c r="L49" s="120">
        <f ca="1">_xll.qlBondDurationFromYield(P49,J49,YieldDayCounter,YieldCompounding,YieldFrequency,L$2)</f>
        <v>2.2427076998464317</v>
      </c>
      <c r="M49" s="120">
        <f ca="1">_xll.qlBondConvexityFromYield(P49,J49/100,YieldDayCounter,YieldCompounding,YieldFrequency)</f>
        <v>54.003111230692738</v>
      </c>
      <c r="N49" s="121" t="e">
        <f ca="1">_xll.BDP(A49&amp;" Corp","risk mid")</f>
        <v>#NAME?</v>
      </c>
      <c r="O49" s="107" t="str">
        <f>_xll.qlZeroCouponBond(,,"EUR",3,"target",100,$B49,"f",100,,,Trigger)</f>
        <v>obj_00f80#0000</v>
      </c>
      <c r="P49" s="107" t="str">
        <f>_xll.qlZeroCouponBond(,,"EUR",3,"target",100,$B49,"f",100,,,Trigger)</f>
        <v>obj_00ed1#0000</v>
      </c>
      <c r="Q49" s="107" t="str">
        <f>_xll.qlZeroCouponBond(,,"EUR",3,"target",100,$B49,"f",100,,,Trigger)</f>
        <v>obj_00f59#0000</v>
      </c>
      <c r="R49" s="123">
        <f t="shared" ca="1" si="35"/>
        <v>86.03</v>
      </c>
      <c r="S49" s="130">
        <f t="shared" ref="S49" ca="1" si="50">R49</f>
        <v>86.03</v>
      </c>
      <c r="T49" s="147" t="str">
        <f>IF(UPPER(U$1)="ABCD",_xll.RtContribute($E$3,$E49,$R$3:$S$3,$R49:$S49,"SCOPE:SERVER"),"--")</f>
        <v>--</v>
      </c>
      <c r="U49" s="151" t="str">
        <f t="shared" si="4"/>
        <v/>
      </c>
      <c r="V49" s="134" t="str">
        <f t="shared" si="37"/>
        <v>EUR.PRICING.XLS_STRIPS.IT0001247284</v>
      </c>
      <c r="W49" s="134" t="str">
        <f>IF(UPPER($X$1)="ABCD",_xll.MKV_PUBLISHRECORD(V49, "XLS_STRIPS"),"--")</f>
        <v>--</v>
      </c>
      <c r="X49" s="135" t="str">
        <f>IF(UPPER(X$1)="ABCD",_xll.MKV_SUPPLYRECORD(V49, "Bid",F49, "Ask",H49, "Id",A49, "Mid",G49, "Name",D49,"DV01",N49,"MidYield",J49,"BidYield",I49,"AskYield",K49),"--")</f>
        <v>--</v>
      </c>
    </row>
    <row r="50" spans="1:24" x14ac:dyDescent="0.2">
      <c r="A50" s="72" t="s">
        <v>49</v>
      </c>
      <c r="B50" s="89">
        <v>44593</v>
      </c>
      <c r="C50" s="139" t="e">
        <f ca="1">_xll.BDP(A50&amp;" Corp", "days to mty")</f>
        <v>#NAME?</v>
      </c>
      <c r="D50" s="47" t="s">
        <v>376</v>
      </c>
      <c r="E50" s="47" t="s">
        <v>377</v>
      </c>
      <c r="F50" s="138">
        <f ca="1"/>
        <v>85.02</v>
      </c>
      <c r="G50" s="138">
        <f ca="1"/>
        <v>85.24</v>
      </c>
      <c r="H50" s="138">
        <f t="shared" ca="1" si="2"/>
        <v>85.46</v>
      </c>
      <c r="I50" s="32">
        <f ca="1">ROUND(_xll.qlBondYieldFromCleanPrice(O50,F50,YieldDayCounter,YieldCompounding,YieldFrequency)*100,3)</f>
        <v>2.2559999999999998</v>
      </c>
      <c r="J50" s="32">
        <f ca="1">ROUND(_xll.qlBondYieldFromCleanPrice(P50,G50,YieldDayCounter,YieldCompounding,YieldFrequency)*100,3)</f>
        <v>2.2200000000000002</v>
      </c>
      <c r="K50" s="32">
        <f ca="1">ROUND(_xll.qlBondYieldFromCleanPrice(Q50,H50,YieldDayCounter,YieldCompounding,YieldFrequency)*100,3)</f>
        <v>2.1840000000000002</v>
      </c>
      <c r="L50" s="120">
        <f ca="1">_xll.qlBondDurationFromYield(P50,J50,YieldDayCounter,YieldCompounding,YieldFrequency,L$2)</f>
        <v>2.2589977027142005</v>
      </c>
      <c r="M50" s="120">
        <f ca="1">_xll.qlBondConvexityFromYield(P50,J50/100,YieldDayCounter,YieldCompounding,YieldFrequency)</f>
        <v>57.598873036729657</v>
      </c>
      <c r="N50" s="121" t="e">
        <f ca="1">_xll.BDP(A50&amp;" Corp","risk mid")</f>
        <v>#NAME?</v>
      </c>
      <c r="O50" s="107" t="str">
        <f>_xll.qlZeroCouponBond(,,"EUR",3,"target",100,$B50,"f",100,,,Trigger)</f>
        <v>obj_00ebe#0000</v>
      </c>
      <c r="P50" s="107" t="str">
        <f>_xll.qlZeroCouponBond(,,"EUR",3,"target",100,$B50,"f",100,,,Trigger)</f>
        <v>obj_00e56#0000</v>
      </c>
      <c r="Q50" s="107" t="str">
        <f>_xll.qlZeroCouponBond(,,"EUR",3,"target",100,$B50,"f",100,,,Trigger)</f>
        <v>obj_00e8c#0000</v>
      </c>
      <c r="R50" s="123">
        <f t="shared" ca="1" si="35"/>
        <v>85.02</v>
      </c>
      <c r="S50" s="130">
        <f t="shared" ref="S50" ca="1" si="51">R50</f>
        <v>85.02</v>
      </c>
      <c r="T50" s="147" t="str">
        <f>IF(UPPER(U$1)="ABCD",_xll.RtContribute($E$3,$E50,$R$3:$S$3,$R50:$S50,"SCOPE:SERVER"),"--")</f>
        <v>--</v>
      </c>
      <c r="U50" s="151" t="str">
        <f t="shared" si="4"/>
        <v/>
      </c>
      <c r="V50" s="134" t="str">
        <f t="shared" si="37"/>
        <v>EUR.PRICING.XLS_STRIPS.IT0003268726</v>
      </c>
      <c r="W50" s="134" t="str">
        <f>IF(UPPER($X$1)="ABCD",_xll.MKV_PUBLISHRECORD(V50, "XLS_STRIPS"),"--")</f>
        <v>--</v>
      </c>
      <c r="X50" s="135" t="str">
        <f>IF(UPPER(X$1)="ABCD",_xll.MKV_SUPPLYRECORD(V50, "Bid",F50, "Ask",H50, "Id",A50, "Mid",G50, "Name",D50,"DV01",N50,"MidYield",J50,"BidYield",I50,"AskYield",K50),"--")</f>
        <v>--</v>
      </c>
    </row>
    <row r="51" spans="1:24" x14ac:dyDescent="0.2">
      <c r="A51" s="72" t="s">
        <v>162</v>
      </c>
      <c r="B51" s="89">
        <v>44621</v>
      </c>
      <c r="C51" s="139" t="e">
        <f ca="1">_xll.BDP(A51&amp;" Corp", "days to mty")</f>
        <v>#NAME?</v>
      </c>
      <c r="D51" s="47" t="s">
        <v>163</v>
      </c>
      <c r="E51" s="47" t="s">
        <v>164</v>
      </c>
      <c r="F51" s="138">
        <f ca="1"/>
        <v>84.74</v>
      </c>
      <c r="G51" s="138">
        <f ca="1"/>
        <v>84.96</v>
      </c>
      <c r="H51" s="138">
        <f t="shared" ca="1" si="2"/>
        <v>85.18</v>
      </c>
      <c r="I51" s="32">
        <f ca="1">ROUND(_xll.qlBondYieldFromCleanPrice(O51,F51,YieldDayCounter,YieldCompounding,YieldFrequency)*100,3)</f>
        <v>2.278</v>
      </c>
      <c r="J51" s="32">
        <f ca="1">ROUND(_xll.qlBondYieldFromCleanPrice(P51,G51,YieldDayCounter,YieldCompounding,YieldFrequency)*100,3)</f>
        <v>2.242</v>
      </c>
      <c r="K51" s="32">
        <f ca="1">ROUND(_xll.qlBondYieldFromCleanPrice(Q51,H51,YieldDayCounter,YieldCompounding,YieldFrequency)*100,3)</f>
        <v>2.206</v>
      </c>
      <c r="L51" s="120">
        <f ca="1">_xll.qlBondDurationFromYield(P51,J51,YieldDayCounter,YieldCompounding,YieldFrequency,L$2)</f>
        <v>2.2673303305079733</v>
      </c>
      <c r="M51" s="120">
        <f ca="1">_xll.qlBondConvexityFromYield(P51,J51/100,YieldDayCounter,YieldCompounding,YieldFrequency)</f>
        <v>58.72070131069102</v>
      </c>
      <c r="N51" s="121" t="e">
        <f ca="1">_xll.BDP(A51&amp;" Corp","risk mid")</f>
        <v>#NAME?</v>
      </c>
      <c r="O51" s="107" t="str">
        <f>_xll.qlZeroCouponBond(,,"EUR",3,"target",100,$B51,"f",100,,,Trigger)</f>
        <v>obj_00ede#0000</v>
      </c>
      <c r="P51" s="107" t="str">
        <f>_xll.qlZeroCouponBond(,,"EUR",3,"target",100,$B51,"f",100,,,Trigger)</f>
        <v>obj_00f11#0000</v>
      </c>
      <c r="Q51" s="107" t="str">
        <f>_xll.qlZeroCouponBond(,,"EUR",3,"target",100,$B51,"f",100,,,Trigger)</f>
        <v>obj_00e4d#0000</v>
      </c>
      <c r="R51" s="123">
        <f t="shared" ca="1" si="35"/>
        <v>84.74</v>
      </c>
      <c r="S51" s="130">
        <f t="shared" ref="S51" ca="1" si="52">R51</f>
        <v>84.74</v>
      </c>
      <c r="T51" s="147" t="str">
        <f>IF(UPPER(U$1)="ABCD",_xll.RtContribute($E$3,$E51,$R$3:$S$3,$R51:$S51,"SCOPE:SERVER"),"--")</f>
        <v>--</v>
      </c>
      <c r="U51" s="151" t="str">
        <f t="shared" si="4"/>
        <v/>
      </c>
      <c r="V51" s="134" t="str">
        <f t="shared" si="37"/>
        <v>EUR.PRICING.XLS_STRIPS.IT0004957905</v>
      </c>
      <c r="W51" s="134" t="str">
        <f>IF(UPPER($X$1)="ABCD",_xll.MKV_PUBLISHRECORD(V51, "XLS_STRIPS"),"--")</f>
        <v>--</v>
      </c>
      <c r="X51" s="135" t="str">
        <f>IF(UPPER(X$1)="ABCD",_xll.MKV_SUPPLYRECORD(V51, "Bid",F51, "Ask",H51, "Id",A51, "Mid",G51, "Name",D51,"DV01",N51,"MidYield",J51,"BidYield",I51,"AskYield",K51),"--")</f>
        <v>--</v>
      </c>
    </row>
    <row r="52" spans="1:24" x14ac:dyDescent="0.2">
      <c r="A52" s="72" t="s">
        <v>50</v>
      </c>
      <c r="B52" s="89">
        <v>44682</v>
      </c>
      <c r="C52" s="139" t="e">
        <f ca="1">_xll.BDP(A52&amp;" Corp", "days to mty")</f>
        <v>#NAME?</v>
      </c>
      <c r="D52" s="47" t="s">
        <v>378</v>
      </c>
      <c r="E52" s="47" t="s">
        <v>379</v>
      </c>
      <c r="F52" s="138">
        <f ca="1"/>
        <v>84.13</v>
      </c>
      <c r="G52" s="138">
        <f ca="1"/>
        <v>84.35</v>
      </c>
      <c r="H52" s="138">
        <f t="shared" ca="1" si="2"/>
        <v>84.57</v>
      </c>
      <c r="I52" s="32">
        <f ca="1">ROUND(_xll.qlBondYieldFromCleanPrice(O52,F52,YieldDayCounter,YieldCompounding,YieldFrequency)*100,3)</f>
        <v>2.3239999999999998</v>
      </c>
      <c r="J52" s="32">
        <f ca="1">ROUND(_xll.qlBondYieldFromCleanPrice(P52,G52,YieldDayCounter,YieldCompounding,YieldFrequency)*100,3)</f>
        <v>2.2890000000000001</v>
      </c>
      <c r="K52" s="32">
        <f ca="1">ROUND(_xll.qlBondYieldFromCleanPrice(Q52,H52,YieldDayCounter,YieldCompounding,YieldFrequency)*100,3)</f>
        <v>2.2530000000000001</v>
      </c>
      <c r="L52" s="120">
        <f ca="1">_xll.qlBondDurationFromYield(P52,J52,YieldDayCounter,YieldCompounding,YieldFrequency,L$2)</f>
        <v>2.2865758422637512</v>
      </c>
      <c r="M52" s="120">
        <f ca="1">_xll.qlBondConvexityFromYield(P52,J52/100,YieldDayCounter,YieldCompounding,YieldFrequency)</f>
        <v>61.243378860156952</v>
      </c>
      <c r="N52" s="121" t="e">
        <f ca="1">_xll.BDP(A52&amp;" Corp","risk mid")</f>
        <v>#NAME?</v>
      </c>
      <c r="O52" s="107" t="str">
        <f>_xll.qlZeroCouponBond(,,"EUR",3,"target",100,$B52,"f",100,,,Trigger)</f>
        <v>obj_00f6a#0000</v>
      </c>
      <c r="P52" s="107" t="str">
        <f>_xll.qlZeroCouponBond(,,"EUR",3,"target",100,$B52,"f",100,,,Trigger)</f>
        <v>obj_00e8e#0000</v>
      </c>
      <c r="Q52" s="107" t="str">
        <f>_xll.qlZeroCouponBond(,,"EUR",3,"target",100,$B52,"f",100,,,Trigger)</f>
        <v>obj_00f64#0000</v>
      </c>
      <c r="R52" s="123">
        <f t="shared" ca="1" si="35"/>
        <v>84.13</v>
      </c>
      <c r="S52" s="130">
        <f t="shared" ref="S52" ca="1" si="53">R52</f>
        <v>84.13</v>
      </c>
      <c r="T52" s="147" t="str">
        <f>IF(UPPER(U$1)="ABCD",_xll.RtContribute($E$3,$E52,$R$3:$S$3,$R52:$S52,"SCOPE:SERVER"),"--")</f>
        <v>--</v>
      </c>
      <c r="U52" s="151" t="str">
        <f t="shared" si="4"/>
        <v/>
      </c>
      <c r="V52" s="134" t="str">
        <f t="shared" si="37"/>
        <v>EUR.PRICING.XLS_STRIPS.IT0001247292</v>
      </c>
      <c r="W52" s="134" t="str">
        <f>IF(UPPER($X$1)="ABCD",_xll.MKV_PUBLISHRECORD(V52, "XLS_STRIPS"),"--")</f>
        <v>--</v>
      </c>
      <c r="X52" s="135" t="str">
        <f>IF(UPPER(X$1)="ABCD",_xll.MKV_SUPPLYRECORD(V52, "Bid",F52, "Ask",H52, "Id",A52, "Mid",G52, "Name",D52,"DV01",N52,"MidYield",J52,"BidYield",I52,"AskYield",K52),"--")</f>
        <v>--</v>
      </c>
    </row>
    <row r="53" spans="1:24" x14ac:dyDescent="0.2">
      <c r="A53" s="72" t="s">
        <v>51</v>
      </c>
      <c r="B53" s="89">
        <v>44774</v>
      </c>
      <c r="C53" s="139" t="e">
        <f ca="1">_xll.BDP(A53&amp;" Corp", "days to mty")</f>
        <v>#NAME?</v>
      </c>
      <c r="D53" s="47" t="s">
        <v>380</v>
      </c>
      <c r="E53" s="47" t="s">
        <v>381</v>
      </c>
      <c r="F53" s="138">
        <f ca="1"/>
        <v>83.09</v>
      </c>
      <c r="G53" s="138">
        <f ca="1"/>
        <v>83.32</v>
      </c>
      <c r="H53" s="138">
        <f t="shared" ca="1" si="2"/>
        <v>83.55</v>
      </c>
      <c r="I53" s="32">
        <f ca="1">ROUND(_xll.qlBondYieldFromCleanPrice(O53,F53,YieldDayCounter,YieldCompounding,YieldFrequency)*100,3)</f>
        <v>2.4129999999999998</v>
      </c>
      <c r="J53" s="32">
        <f ca="1">ROUND(_xll.qlBondYieldFromCleanPrice(P53,G53,YieldDayCounter,YieldCompounding,YieldFrequency)*100,3)</f>
        <v>2.3759999999999999</v>
      </c>
      <c r="K53" s="32">
        <f ca="1">ROUND(_xll.qlBondYieldFromCleanPrice(Q53,H53,YieldDayCounter,YieldCompounding,YieldFrequency)*100,3)</f>
        <v>2.34</v>
      </c>
      <c r="L53" s="120">
        <f ca="1">_xll.qlBondDurationFromYield(P53,J53,YieldDayCounter,YieldCompounding,YieldFrequency,L$2)</f>
        <v>2.3014997078491204</v>
      </c>
      <c r="M53" s="120">
        <f ca="1">_xll.qlBondConvexityFromYield(P53,J53/100,YieldDayCounter,YieldCompounding,YieldFrequency)</f>
        <v>65.014444752114429</v>
      </c>
      <c r="N53" s="121" t="e">
        <f ca="1">_xll.BDP(A53&amp;" Corp","risk mid")</f>
        <v>#NAME?</v>
      </c>
      <c r="O53" s="107" t="str">
        <f>_xll.qlZeroCouponBond(,,"EUR",3,"target",100,$B53,"f",100,,,Trigger)</f>
        <v>obj_00e32#0000</v>
      </c>
      <c r="P53" s="107" t="str">
        <f>_xll.qlZeroCouponBond(,,"EUR",3,"target",100,$B53,"f",100,,,Trigger)</f>
        <v>obj_00f32#0000</v>
      </c>
      <c r="Q53" s="107" t="str">
        <f>_xll.qlZeroCouponBond(,,"EUR",3,"target",100,$B53,"f",100,,,Trigger)</f>
        <v>obj_00f62#0000</v>
      </c>
      <c r="R53" s="123">
        <f t="shared" ca="1" si="35"/>
        <v>83.09</v>
      </c>
      <c r="S53" s="130">
        <f t="shared" ref="S53" ca="1" si="54">R53</f>
        <v>83.09</v>
      </c>
      <c r="T53" s="147" t="str">
        <f>IF(UPPER(U$1)="ABCD",_xll.RtContribute($E$3,$E53,$R$3:$S$3,$R53:$S53,"SCOPE:SERVER"),"--")</f>
        <v>--</v>
      </c>
      <c r="U53" s="151" t="str">
        <f t="shared" si="4"/>
        <v/>
      </c>
      <c r="V53" s="134" t="str">
        <f t="shared" si="37"/>
        <v>EUR.PRICING.XLS_STRIPS.IT0003268742</v>
      </c>
      <c r="W53" s="134" t="str">
        <f>IF(UPPER($X$1)="ABCD",_xll.MKV_PUBLISHRECORD(V53, "XLS_STRIPS"),"--")</f>
        <v>--</v>
      </c>
      <c r="X53" s="135" t="str">
        <f>IF(UPPER(X$1)="ABCD",_xll.MKV_SUPPLYRECORD(V53, "Bid",F53, "Ask",H53, "Id",A53, "Mid",G53, "Name",D53,"DV01",N53,"MidYield",J53,"BidYield",I53,"AskYield",K53),"--")</f>
        <v>--</v>
      </c>
    </row>
    <row r="54" spans="1:24" x14ac:dyDescent="0.2">
      <c r="A54" s="72" t="s">
        <v>165</v>
      </c>
      <c r="B54" s="89">
        <v>44805</v>
      </c>
      <c r="C54" s="139" t="e">
        <f ca="1">_xll.BDP(A54&amp;" Corp", "days to mty")</f>
        <v>#NAME?</v>
      </c>
      <c r="D54" s="47" t="s">
        <v>166</v>
      </c>
      <c r="E54" s="47" t="s">
        <v>167</v>
      </c>
      <c r="F54" s="138">
        <f ca="1"/>
        <v>82.68</v>
      </c>
      <c r="G54" s="138">
        <f ca="1"/>
        <v>82.91</v>
      </c>
      <c r="H54" s="138">
        <f t="shared" ca="1" si="2"/>
        <v>83.14</v>
      </c>
      <c r="I54" s="32">
        <f ca="1">ROUND(_xll.qlBondYieldFromCleanPrice(O54,F54,YieldDayCounter,YieldCompounding,YieldFrequency)*100,3)</f>
        <v>2.4510000000000001</v>
      </c>
      <c r="J54" s="32">
        <f ca="1">ROUND(_xll.qlBondYieldFromCleanPrice(P54,G54,YieldDayCounter,YieldCompounding,YieldFrequency)*100,3)</f>
        <v>2.415</v>
      </c>
      <c r="K54" s="32">
        <f ca="1">ROUND(_xll.qlBondYieldFromCleanPrice(Q54,H54,YieldDayCounter,YieldCompounding,YieldFrequency)*100,3)</f>
        <v>2.379</v>
      </c>
      <c r="L54" s="120">
        <f ca="1">_xll.qlBondDurationFromYield(P54,J54,YieldDayCounter,YieldCompounding,YieldFrequency,L$2)</f>
        <v>2.3000862432058402</v>
      </c>
      <c r="M54" s="120">
        <f ca="1">_xll.qlBondConvexityFromYield(P54,J54/100,YieldDayCounter,YieldCompounding,YieldFrequency)</f>
        <v>66.311091634014545</v>
      </c>
      <c r="N54" s="121" t="e">
        <f ca="1">_xll.BDP(A54&amp;" Corp","risk mid")</f>
        <v>#NAME?</v>
      </c>
      <c r="O54" s="107" t="str">
        <f>_xll.qlZeroCouponBond(,,"EUR",3,"target",100,$B54,"f",100,,,Trigger)</f>
        <v>obj_00f06#0000</v>
      </c>
      <c r="P54" s="107" t="str">
        <f>_xll.qlZeroCouponBond(,,"EUR",3,"target",100,$B54,"f",100,,,Trigger)</f>
        <v>obj_00ec9#0000</v>
      </c>
      <c r="Q54" s="107" t="str">
        <f>_xll.qlZeroCouponBond(,,"EUR",3,"target",100,$B54,"f",100,,,Trigger)</f>
        <v>obj_00e5c#0000</v>
      </c>
      <c r="R54" s="123">
        <f t="shared" ca="1" si="35"/>
        <v>82.68</v>
      </c>
      <c r="S54" s="130">
        <f t="shared" ref="S54" ca="1" si="55">R54</f>
        <v>82.68</v>
      </c>
      <c r="T54" s="147" t="str">
        <f>IF(UPPER(U$1)="ABCD",_xll.RtContribute($E$3,$E54,$R$3:$S$3,$R54:$S54,"SCOPE:SERVER"),"--")</f>
        <v>--</v>
      </c>
      <c r="U54" s="151" t="str">
        <f t="shared" si="4"/>
        <v/>
      </c>
      <c r="V54" s="134" t="str">
        <f t="shared" si="37"/>
        <v>EUR.PRICING.XLS_STRIPS.IT0004957913</v>
      </c>
      <c r="W54" s="134" t="str">
        <f>IF(UPPER($X$1)="ABCD",_xll.MKV_PUBLISHRECORD(V54, "XLS_STRIPS"),"--")</f>
        <v>--</v>
      </c>
      <c r="X54" s="135" t="str">
        <f>IF(UPPER(X$1)="ABCD",_xll.MKV_SUPPLYRECORD(V54, "Bid",F54, "Ask",H54, "Id",A54, "Mid",G54, "Name",D54,"DV01",N54,"MidYield",J54,"BidYield",I54,"AskYield",K54),"--")</f>
        <v>--</v>
      </c>
    </row>
    <row r="55" spans="1:24" x14ac:dyDescent="0.2">
      <c r="A55" s="72" t="s">
        <v>382</v>
      </c>
      <c r="B55" s="89">
        <v>44866</v>
      </c>
      <c r="C55" s="139" t="e">
        <f ca="1">_xll.BDP(A55&amp;" Corp", "days to mty")</f>
        <v>#NAME?</v>
      </c>
      <c r="D55" s="47" t="s">
        <v>383</v>
      </c>
      <c r="E55" s="47" t="s">
        <v>384</v>
      </c>
      <c r="F55" s="138">
        <f ca="1"/>
        <v>81.81</v>
      </c>
      <c r="G55" s="138">
        <f ca="1"/>
        <v>82.05</v>
      </c>
      <c r="H55" s="138">
        <f t="shared" ca="1" si="2"/>
        <v>82.29</v>
      </c>
      <c r="I55" s="32">
        <f ca="1">ROUND(_xll.qlBondYieldFromCleanPrice(O55,F55,YieldDayCounter,YieldCompounding,YieldFrequency)*100,3)</f>
        <v>2.5339999999999998</v>
      </c>
      <c r="J55" s="32">
        <f ca="1">ROUND(_xll.qlBondYieldFromCleanPrice(P55,G55,YieldDayCounter,YieldCompounding,YieldFrequency)*100,3)</f>
        <v>2.4969999999999999</v>
      </c>
      <c r="K55" s="32">
        <f ca="1">ROUND(_xll.qlBondYieldFromCleanPrice(Q55,H55,YieldDayCounter,YieldCompounding,YieldFrequency)*100,3)</f>
        <v>2.46</v>
      </c>
      <c r="L55" s="120">
        <f ca="1">_xll.qlBondDurationFromYield(P55,J55,YieldDayCounter,YieldCompounding,YieldFrequency,L$2)</f>
        <v>2.2939427532797194</v>
      </c>
      <c r="M55" s="120">
        <f ca="1">_xll.qlBondConvexityFromYield(P55,J55/100,YieldDayCounter,YieldCompounding,YieldFrequency)</f>
        <v>68.889774933207164</v>
      </c>
      <c r="N55" s="121" t="e">
        <f ca="1">_xll.BDP(A55&amp;" Corp","risk mid")</f>
        <v>#NAME?</v>
      </c>
      <c r="O55" s="107" t="str">
        <f>_xll.qlZeroCouponBond(,,"EUR",3,"target",100,$B55,"f",100,,,Trigger)</f>
        <v>obj_00deb#0000</v>
      </c>
      <c r="P55" s="107" t="str">
        <f>_xll.qlZeroCouponBond(,,"EUR",3,"target",100,$B55,"f",100,,,Trigger)</f>
        <v>obj_00f1a#0000</v>
      </c>
      <c r="Q55" s="107" t="str">
        <f>_xll.qlZeroCouponBond(,,"EUR",3,"target",100,$B55,"f",100,,,Trigger)</f>
        <v>obj_00e43#0000</v>
      </c>
      <c r="R55" s="123">
        <f t="shared" ca="1" si="35"/>
        <v>81.81</v>
      </c>
      <c r="S55" s="130">
        <f t="shared" ref="S55" ca="1" si="56">R55</f>
        <v>81.81</v>
      </c>
      <c r="T55" s="147" t="str">
        <f>IF(UPPER(U$1)="ABCD",_xll.RtContribute($E$3,$E55,$R$3:$S$3,$R55:$S55,"SCOPE:SERVER"),"--")</f>
        <v>--</v>
      </c>
      <c r="U55" s="151" t="str">
        <f t="shared" si="4"/>
        <v/>
      </c>
      <c r="V55" s="134" t="str">
        <f t="shared" si="37"/>
        <v>EUR.PRICING.XLS_STRIPS.IT0004869324</v>
      </c>
      <c r="W55" s="134" t="str">
        <f>IF(UPPER($X$1)="ABCD",_xll.MKV_PUBLISHRECORD(V55, "XLS_STRIPS"),"--")</f>
        <v>--</v>
      </c>
      <c r="X55" s="135" t="str">
        <f>IF(UPPER(X$1)="ABCD",_xll.MKV_SUPPLYRECORD(V55, "Bid",F55, "Ask",H55, "Id",A55, "Mid",G55, "Name",D55,"DV01",N55,"MidYield",J55,"BidYield",I55,"AskYield",K55),"--")</f>
        <v>--</v>
      </c>
    </row>
    <row r="56" spans="1:24" x14ac:dyDescent="0.2">
      <c r="A56" s="72" t="s">
        <v>52</v>
      </c>
      <c r="B56" s="89">
        <v>44958</v>
      </c>
      <c r="C56" s="139" t="e">
        <f ca="1">_xll.BDP(A56&amp;" Corp", "days to mty")</f>
        <v>#NAME?</v>
      </c>
      <c r="D56" s="47" t="s">
        <v>385</v>
      </c>
      <c r="E56" s="47" t="s">
        <v>386</v>
      </c>
      <c r="F56" s="138">
        <f ca="1"/>
        <v>80.98</v>
      </c>
      <c r="G56" s="138">
        <f ca="1"/>
        <v>81.22</v>
      </c>
      <c r="H56" s="138">
        <f t="shared" ca="1" si="2"/>
        <v>81.459999999999994</v>
      </c>
      <c r="I56" s="32">
        <f ca="1">ROUND(_xll.qlBondYieldFromCleanPrice(O56,F56,YieldDayCounter,YieldCompounding,YieldFrequency)*100,3)</f>
        <v>2.5830000000000002</v>
      </c>
      <c r="J56" s="32">
        <f ca="1">ROUND(_xll.qlBondYieldFromCleanPrice(P56,G56,YieldDayCounter,YieldCompounding,YieldFrequency)*100,3)</f>
        <v>2.5459999999999998</v>
      </c>
      <c r="K56" s="32">
        <f ca="1">ROUND(_xll.qlBondYieldFromCleanPrice(Q56,H56,YieldDayCounter,YieldCompounding,YieldFrequency)*100,3)</f>
        <v>2.5089999999999999</v>
      </c>
      <c r="L56" s="120">
        <f ca="1">_xll.qlBondDurationFromYield(P56,J56,YieldDayCounter,YieldCompounding,YieldFrequency,L$2)</f>
        <v>2.3333256070896011</v>
      </c>
      <c r="M56" s="120">
        <f ca="1">_xll.qlBondConvexityFromYield(P56,J56/100,YieldDayCounter,YieldCompounding,YieldFrequency)</f>
        <v>72.969679367614035</v>
      </c>
      <c r="N56" s="121" t="e">
        <f ca="1">_xll.BDP(A56&amp;" Corp","risk mid")</f>
        <v>#NAME?</v>
      </c>
      <c r="O56" s="107" t="str">
        <f>_xll.qlZeroCouponBond(,,"EUR",3,"target",100,$B56,"f",100,,,Trigger)</f>
        <v>obj_00e8f#0000</v>
      </c>
      <c r="P56" s="107" t="str">
        <f>_xll.qlZeroCouponBond(,,"EUR",3,"target",100,$B56,"f",100,,,Trigger)</f>
        <v>obj_00f37#0000</v>
      </c>
      <c r="Q56" s="107" t="str">
        <f>_xll.qlZeroCouponBond(,,"EUR",3,"target",100,$B56,"f",100,,,Trigger)</f>
        <v>obj_00e65#0000</v>
      </c>
      <c r="R56" s="123">
        <f t="shared" ca="1" si="35"/>
        <v>80.98</v>
      </c>
      <c r="S56" s="130">
        <f t="shared" ref="S56" ca="1" si="57">R56</f>
        <v>80.98</v>
      </c>
      <c r="T56" s="147" t="str">
        <f>IF(UPPER(U$1)="ABCD",_xll.RtContribute($E$3,$E56,$R$3:$S$3,$R56:$S56,"SCOPE:SERVER"),"--")</f>
        <v>--</v>
      </c>
      <c r="U56" s="151" t="str">
        <f t="shared" si="4"/>
        <v/>
      </c>
      <c r="V56" s="134" t="str">
        <f t="shared" si="37"/>
        <v>EUR.PRICING.XLS_STRIPS.IT0003268775</v>
      </c>
      <c r="W56" s="134" t="str">
        <f>IF(UPPER($X$1)="ABCD",_xll.MKV_PUBLISHRECORD(V56, "XLS_STRIPS"),"--")</f>
        <v>--</v>
      </c>
      <c r="X56" s="135" t="str">
        <f>IF(UPPER(X$1)="ABCD",_xll.MKV_SUPPLYRECORD(V56, "Bid",F56, "Ask",H56, "Id",A56, "Mid",G56, "Name",D56,"DV01",N56,"MidYield",J56,"BidYield",I56,"AskYield",K56),"--")</f>
        <v>--</v>
      </c>
    </row>
    <row r="57" spans="1:24" x14ac:dyDescent="0.2">
      <c r="A57" s="72" t="s">
        <v>168</v>
      </c>
      <c r="B57" s="89">
        <v>44986</v>
      </c>
      <c r="C57" s="139" t="e">
        <f ca="1">_xll.BDP(A57&amp;" Corp", "days to mty")</f>
        <v>#NAME?</v>
      </c>
      <c r="D57" s="47" t="s">
        <v>169</v>
      </c>
      <c r="E57" s="47" t="s">
        <v>170</v>
      </c>
      <c r="F57" s="138">
        <f ca="1"/>
        <v>80.8</v>
      </c>
      <c r="G57" s="138">
        <f ca="1"/>
        <v>81.040000000000006</v>
      </c>
      <c r="H57" s="138">
        <f t="shared" ca="1" si="2"/>
        <v>81.28</v>
      </c>
      <c r="I57" s="32">
        <f ca="1">ROUND(_xll.qlBondYieldFromCleanPrice(O57,F57,YieldDayCounter,YieldCompounding,YieldFrequency)*100,3)</f>
        <v>2.5859999999999999</v>
      </c>
      <c r="J57" s="32">
        <f ca="1">ROUND(_xll.qlBondYieldFromCleanPrice(P57,G57,YieldDayCounter,YieldCompounding,YieldFrequency)*100,3)</f>
        <v>2.5489999999999999</v>
      </c>
      <c r="K57" s="32">
        <f ca="1">ROUND(_xll.qlBondYieldFromCleanPrice(Q57,H57,YieldDayCounter,YieldCompounding,YieldFrequency)*100,3)</f>
        <v>2.5129999999999999</v>
      </c>
      <c r="L57" s="120">
        <f ca="1">_xll.qlBondDurationFromYield(P57,J57,YieldDayCounter,YieldCompounding,YieldFrequency,L$2)</f>
        <v>2.3529684225153145</v>
      </c>
      <c r="M57" s="120">
        <f ca="1">_xll.qlBondConvexityFromYield(P57,J57/100,YieldDayCounter,YieldCompounding,YieldFrequency)</f>
        <v>74.251060786258577</v>
      </c>
      <c r="N57" s="121" t="e">
        <f ca="1">_xll.BDP(A57&amp;" Corp","risk mid")</f>
        <v>#NAME?</v>
      </c>
      <c r="O57" s="107" t="str">
        <f>_xll.qlZeroCouponBond(,,"EUR",3,"target",100,$B57,"f",100,,,Trigger)</f>
        <v>obj_00e0d#0000</v>
      </c>
      <c r="P57" s="107" t="str">
        <f>_xll.qlZeroCouponBond(,,"EUR",3,"target",100,$B57,"f",100,,,Trigger)</f>
        <v>obj_00ec1#0000</v>
      </c>
      <c r="Q57" s="107" t="str">
        <f>_xll.qlZeroCouponBond(,,"EUR",3,"target",100,$B57,"f",100,,,Trigger)</f>
        <v>obj_00ef5#0000</v>
      </c>
      <c r="R57" s="123">
        <f t="shared" ca="1" si="35"/>
        <v>80.8</v>
      </c>
      <c r="S57" s="130">
        <f t="shared" ref="S57" ca="1" si="58">R57</f>
        <v>80.8</v>
      </c>
      <c r="T57" s="147" t="str">
        <f>IF(UPPER(U$1)="ABCD",_xll.RtContribute($E$3,$E57,$R$3:$S$3,$R57:$S57,"SCOPE:SERVER"),"--")</f>
        <v>--</v>
      </c>
      <c r="U57" s="151" t="str">
        <f t="shared" si="4"/>
        <v/>
      </c>
      <c r="V57" s="134" t="str">
        <f t="shared" si="37"/>
        <v>EUR.PRICING.XLS_STRIPS.IT0004957921</v>
      </c>
      <c r="W57" s="134" t="str">
        <f>IF(UPPER($X$1)="ABCD",_xll.MKV_PUBLISHRECORD(V57, "XLS_STRIPS"),"--")</f>
        <v>--</v>
      </c>
      <c r="X57" s="135" t="str">
        <f>IF(UPPER(X$1)="ABCD",_xll.MKV_SUPPLYRECORD(V57, "Bid",F57, "Ask",H57, "Id",A57, "Mid",G57, "Name",D57,"DV01",N57,"MidYield",J57,"BidYield",I57,"AskYield",K57),"--")</f>
        <v>--</v>
      </c>
    </row>
    <row r="58" spans="1:24" x14ac:dyDescent="0.2">
      <c r="A58" s="72" t="s">
        <v>53</v>
      </c>
      <c r="B58" s="89">
        <v>45047</v>
      </c>
      <c r="C58" s="139" t="e">
        <f ca="1">_xll.BDP(A58&amp;" Corp", "days to mty")</f>
        <v>#NAME?</v>
      </c>
      <c r="D58" s="47" t="s">
        <v>387</v>
      </c>
      <c r="E58" s="47" t="s">
        <v>388</v>
      </c>
      <c r="F58" s="138">
        <f ca="1"/>
        <v>80.41</v>
      </c>
      <c r="G58" s="138">
        <f ca="1"/>
        <v>80.66</v>
      </c>
      <c r="H58" s="138">
        <f t="shared" ca="1" si="2"/>
        <v>80.91</v>
      </c>
      <c r="I58" s="32">
        <f ca="1">ROUND(_xll.qlBondYieldFromCleanPrice(O58,F58,YieldDayCounter,YieldCompounding,YieldFrequency)*100,3)</f>
        <v>2.5920000000000001</v>
      </c>
      <c r="J58" s="32">
        <f ca="1">ROUND(_xll.qlBondYieldFromCleanPrice(P58,G58,YieldDayCounter,YieldCompounding,YieldFrequency)*100,3)</f>
        <v>2.5550000000000002</v>
      </c>
      <c r="K58" s="32">
        <f ca="1">ROUND(_xll.qlBondYieldFromCleanPrice(Q58,H58,YieldDayCounter,YieldCompounding,YieldFrequency)*100,3)</f>
        <v>2.5169999999999999</v>
      </c>
      <c r="L58" s="120">
        <f ca="1">_xll.qlBondDurationFromYield(P58,J58,YieldDayCounter,YieldCompounding,YieldFrequency,L$2)</f>
        <v>2.3967786062462668</v>
      </c>
      <c r="M58" s="120">
        <f ca="1">_xll.qlBondConvexityFromYield(P58,J58/100,YieldDayCounter,YieldCompounding,YieldFrequency)</f>
        <v>77.128660878230264</v>
      </c>
      <c r="N58" s="121" t="e">
        <f ca="1">_xll.BDP(A58&amp;" Corp","risk mid")</f>
        <v>#NAME?</v>
      </c>
      <c r="O58" s="107" t="str">
        <f>_xll.qlZeroCouponBond(,,"EUR",3,"target",100,$B58,"f",100,,,Trigger)</f>
        <v>obj_00dd4#0000</v>
      </c>
      <c r="P58" s="107" t="str">
        <f>_xll.qlZeroCouponBond(,,"EUR",3,"target",100,$B58,"f",100,,,Trigger)</f>
        <v>obj_00e3c#0000</v>
      </c>
      <c r="Q58" s="107" t="str">
        <f>_xll.qlZeroCouponBond(,,"EUR",3,"target",100,$B58,"f",100,,,Trigger)</f>
        <v>obj_00def#0000</v>
      </c>
      <c r="R58" s="123">
        <f t="shared" ca="1" si="35"/>
        <v>80.41</v>
      </c>
      <c r="S58" s="130">
        <f t="shared" ref="S58" ca="1" si="59">R58</f>
        <v>80.41</v>
      </c>
      <c r="T58" s="147" t="str">
        <f>IF(UPPER(U$1)="ABCD",_xll.RtContribute($E$3,$E58,$R$3:$S$3,$R58:$S58,"SCOPE:SERVER"),"--")</f>
        <v>--</v>
      </c>
      <c r="U58" s="151" t="str">
        <f t="shared" si="4"/>
        <v/>
      </c>
      <c r="V58" s="134" t="str">
        <f t="shared" si="37"/>
        <v>EUR.PRICING.XLS_STRIPS.IT0001247318</v>
      </c>
      <c r="W58" s="134" t="str">
        <f>IF(UPPER($X$1)="ABCD",_xll.MKV_PUBLISHRECORD(V58, "XLS_STRIPS"),"--")</f>
        <v>--</v>
      </c>
      <c r="X58" s="135" t="str">
        <f>IF(UPPER(X$1)="ABCD",_xll.MKV_SUPPLYRECORD(V58, "Bid",F58, "Ask",H58, "Id",A58, "Mid",G58, "Name",D58,"DV01",N58,"MidYield",J58,"BidYield",I58,"AskYield",K58),"--")</f>
        <v>--</v>
      </c>
    </row>
    <row r="59" spans="1:24" x14ac:dyDescent="0.2">
      <c r="A59" s="72" t="s">
        <v>389</v>
      </c>
      <c r="B59" s="89">
        <v>45139</v>
      </c>
      <c r="C59" s="139" t="e">
        <f ca="1">_xll.BDP(A59&amp;" Corp", "days to mty")</f>
        <v>#NAME?</v>
      </c>
      <c r="D59" s="47" t="s">
        <v>390</v>
      </c>
      <c r="E59" s="47" t="s">
        <v>391</v>
      </c>
      <c r="F59" s="138">
        <f ca="1"/>
        <v>79.66</v>
      </c>
      <c r="G59" s="138">
        <f ca="1"/>
        <v>79.91</v>
      </c>
      <c r="H59" s="138">
        <f t="shared" ca="1" si="2"/>
        <v>80.16</v>
      </c>
      <c r="I59" s="32">
        <f ca="1">ROUND(_xll.qlBondYieldFromCleanPrice(O59,F59,YieldDayCounter,YieldCompounding,YieldFrequency)*100,3)</f>
        <v>2.6269999999999998</v>
      </c>
      <c r="J59" s="32">
        <f ca="1">ROUND(_xll.qlBondYieldFromCleanPrice(P59,G59,YieldDayCounter,YieldCompounding,YieldFrequency)*100,3)</f>
        <v>2.59</v>
      </c>
      <c r="K59" s="32">
        <f ca="1">ROUND(_xll.qlBondYieldFromCleanPrice(Q59,H59,YieldDayCounter,YieldCompounding,YieldFrequency)*100,3)</f>
        <v>2.5539999999999998</v>
      </c>
      <c r="L59" s="120">
        <f ca="1">_xll.qlBondDurationFromYield(P59,J59,YieldDayCounter,YieldCompounding,YieldFrequency,L$2)</f>
        <v>2.4428587781890339</v>
      </c>
      <c r="M59" s="120">
        <f ca="1">_xll.qlBondConvexityFromYield(P59,J59/100,YieldDayCounter,YieldCompounding,YieldFrequency)</f>
        <v>81.408775881145687</v>
      </c>
      <c r="N59" s="121" t="e">
        <f ca="1">_xll.BDP(A59&amp;" Corp","risk mid")</f>
        <v>#NAME?</v>
      </c>
      <c r="O59" s="107" t="str">
        <f>_xll.qlZeroCouponBond(,,"EUR",3,"target",100,$B59,"f",100,,,Trigger)</f>
        <v>obj_00e72#0000</v>
      </c>
      <c r="P59" s="107" t="str">
        <f>_xll.qlZeroCouponBond(,,"EUR",3,"target",100,$B59,"f",100,,,Trigger)</f>
        <v>obj_00ebd#0000</v>
      </c>
      <c r="Q59" s="107" t="str">
        <f>_xll.qlZeroCouponBond(,,"EUR",3,"target",100,$B59,"f",100,,,Trigger)</f>
        <v>obj_00eea#0000</v>
      </c>
      <c r="R59" s="123">
        <f t="shared" ca="1" si="35"/>
        <v>79.66</v>
      </c>
      <c r="S59" s="130">
        <f t="shared" ref="S59" ca="1" si="60">R59</f>
        <v>79.66</v>
      </c>
      <c r="T59" s="147" t="str">
        <f>IF(UPPER(U$1)="ABCD",_xll.RtContribute($E$3,$E59,$R$3:$S$3,$R59:$S59,"SCOPE:SERVER"),"--")</f>
        <v>--</v>
      </c>
      <c r="U59" s="151" t="str">
        <f t="shared" si="4"/>
        <v/>
      </c>
      <c r="V59" s="134" t="str">
        <f t="shared" si="37"/>
        <v>EUR.PRICING.XLS_STRIPS.IT0004848708</v>
      </c>
      <c r="W59" s="134" t="str">
        <f>IF(UPPER($X$1)="ABCD",_xll.MKV_PUBLISHRECORD(V59, "XLS_STRIPS"),"--")</f>
        <v>--</v>
      </c>
      <c r="X59" s="135" t="str">
        <f>IF(UPPER(X$1)="ABCD",_xll.MKV_SUPPLYRECORD(V59, "Bid",F59, "Ask",H59, "Id",A59, "Mid",G59, "Name",D59,"DV01",N59,"MidYield",J59,"BidYield",I59,"AskYield",K59),"--")</f>
        <v>--</v>
      </c>
    </row>
    <row r="60" spans="1:24" x14ac:dyDescent="0.2">
      <c r="A60" s="72" t="s">
        <v>171</v>
      </c>
      <c r="B60" s="89">
        <v>45170</v>
      </c>
      <c r="C60" s="139" t="e">
        <f ca="1">_xll.BDP(A60&amp;" Corp", "days to mty")</f>
        <v>#NAME?</v>
      </c>
      <c r="D60" s="47" t="s">
        <v>172</v>
      </c>
      <c r="E60" s="47" t="s">
        <v>173</v>
      </c>
      <c r="F60" s="138">
        <f ca="1"/>
        <v>79.37</v>
      </c>
      <c r="G60" s="138">
        <f ca="1"/>
        <v>79.62</v>
      </c>
      <c r="H60" s="138">
        <f t="shared" ca="1" si="2"/>
        <v>79.87</v>
      </c>
      <c r="I60" s="32">
        <f ca="1">ROUND(_xll.qlBondYieldFromCleanPrice(O60,F60,YieldDayCounter,YieldCompounding,YieldFrequency)*100,3)</f>
        <v>2.6440000000000001</v>
      </c>
      <c r="J60" s="32">
        <f ca="1">ROUND(_xll.qlBondYieldFromCleanPrice(P60,G60,YieldDayCounter,YieldCompounding,YieldFrequency)*100,3)</f>
        <v>2.6070000000000002</v>
      </c>
      <c r="K60" s="32">
        <f ca="1">ROUND(_xll.qlBondYieldFromCleanPrice(Q60,H60,YieldDayCounter,YieldCompounding,YieldFrequency)*100,3)</f>
        <v>2.5710000000000002</v>
      </c>
      <c r="L60" s="120">
        <f ca="1">_xll.qlBondDurationFromYield(P60,J60,YieldDayCounter,YieldCompounding,YieldFrequency,L$2)</f>
        <v>2.45489174398335</v>
      </c>
      <c r="M60" s="120">
        <f ca="1">_xll.qlBondConvexityFromYield(P60,J60/100,YieldDayCounter,YieldCompounding,YieldFrequency)</f>
        <v>82.884263173073933</v>
      </c>
      <c r="N60" s="121" t="e">
        <f ca="1">_xll.BDP(A60&amp;" Corp","risk mid")</f>
        <v>#NAME?</v>
      </c>
      <c r="O60" s="107" t="str">
        <f>_xll.qlZeroCouponBond(,,"EUR",3,"target",100,$B60,"f",100,,,Trigger)</f>
        <v>obj_00ee1#0000</v>
      </c>
      <c r="P60" s="107" t="str">
        <f>_xll.qlZeroCouponBond(,,"EUR",3,"target",100,$B60,"f",100,,,Trigger)</f>
        <v>obj_00dd8#0000</v>
      </c>
      <c r="Q60" s="107" t="str">
        <f>_xll.qlZeroCouponBond(,,"EUR",3,"target",100,$B60,"f",100,,,Trigger)</f>
        <v>obj_00ef0#0000</v>
      </c>
      <c r="R60" s="123">
        <f t="shared" ca="1" si="35"/>
        <v>79.37</v>
      </c>
      <c r="S60" s="130">
        <f t="shared" ref="S60" ca="1" si="61">R60</f>
        <v>79.37</v>
      </c>
      <c r="T60" s="147" t="str">
        <f>IF(UPPER(U$1)="ABCD",_xll.RtContribute($E$3,$E60,$R$3:$S$3,$R60:$S60,"SCOPE:SERVER"),"--")</f>
        <v>--</v>
      </c>
      <c r="U60" s="151" t="str">
        <f t="shared" si="4"/>
        <v/>
      </c>
      <c r="V60" s="134" t="str">
        <f t="shared" si="37"/>
        <v>EUR.PRICING.XLS_STRIPS.IT0004957939</v>
      </c>
      <c r="W60" s="134" t="str">
        <f>IF(UPPER($X$1)="ABCD",_xll.MKV_PUBLISHRECORD(V60, "XLS_STRIPS"),"--")</f>
        <v>--</v>
      </c>
      <c r="X60" s="135" t="str">
        <f>IF(UPPER(X$1)="ABCD",_xll.MKV_SUPPLYRECORD(V60, "Bid",F60, "Ask",H60, "Id",A60, "Mid",G60, "Name",D60,"DV01",N60,"MidYield",J60,"BidYield",I60,"AskYield",K60),"--")</f>
        <v>--</v>
      </c>
    </row>
    <row r="61" spans="1:24" x14ac:dyDescent="0.2">
      <c r="A61" s="72" t="s">
        <v>392</v>
      </c>
      <c r="B61" s="89">
        <v>45231</v>
      </c>
      <c r="C61" s="139" t="e">
        <f ca="1">_xll.BDP(A61&amp;" Corp", "days to mty")</f>
        <v>#NAME?</v>
      </c>
      <c r="D61" s="47" t="s">
        <v>393</v>
      </c>
      <c r="E61" s="47" t="s">
        <v>394</v>
      </c>
      <c r="F61" s="138">
        <f ca="1"/>
        <v>78.84</v>
      </c>
      <c r="G61" s="138">
        <f ca="1"/>
        <v>79.09</v>
      </c>
      <c r="H61" s="138">
        <f t="shared" ca="1" si="2"/>
        <v>79.34</v>
      </c>
      <c r="I61" s="32">
        <f ca="1">ROUND(_xll.qlBondYieldFromCleanPrice(O61,F61,YieldDayCounter,YieldCompounding,YieldFrequency)*100,3)</f>
        <v>2.67</v>
      </c>
      <c r="J61" s="32">
        <f ca="1">ROUND(_xll.qlBondYieldFromCleanPrice(P61,G61,YieldDayCounter,YieldCompounding,YieldFrequency)*100,3)</f>
        <v>2.6339999999999999</v>
      </c>
      <c r="K61" s="32">
        <f ca="1">ROUND(_xll.qlBondYieldFromCleanPrice(Q61,H61,YieldDayCounter,YieldCompounding,YieldFrequency)*100,3)</f>
        <v>2.5979999999999999</v>
      </c>
      <c r="L61" s="120">
        <f ca="1">_xll.qlBondDurationFromYield(P61,J61,YieldDayCounter,YieldCompounding,YieldFrequency,L$2)</f>
        <v>2.4826411139843638</v>
      </c>
      <c r="M61" s="120">
        <f ca="1">_xll.qlBondConvexityFromYield(P61,J61/100,YieldDayCounter,YieldCompounding,YieldFrequency)</f>
        <v>85.835549663526805</v>
      </c>
      <c r="N61" s="121" t="e">
        <f ca="1">_xll.BDP(A61&amp;" Corp","risk mid")</f>
        <v>#NAME?</v>
      </c>
      <c r="O61" s="107" t="str">
        <f>_xll.qlZeroCouponBond(,,"EUR",3,"target",100,$B61,"f",100,,,Trigger)</f>
        <v>obj_00e03#0000</v>
      </c>
      <c r="P61" s="107" t="str">
        <f>_xll.qlZeroCouponBond(,,"EUR",3,"target",100,$B61,"f",100,,,Trigger)</f>
        <v>obj_00ec5#0000</v>
      </c>
      <c r="Q61" s="107" t="str">
        <f>_xll.qlZeroCouponBond(,,"EUR",3,"target",100,$B61,"f",100,,,Trigger)</f>
        <v>obj_00e7c#0000</v>
      </c>
      <c r="R61" s="123">
        <f t="shared" ca="1" si="35"/>
        <v>78.84</v>
      </c>
      <c r="S61" s="130">
        <f t="shared" ref="S61" ca="1" si="62">R61</f>
        <v>78.84</v>
      </c>
      <c r="T61" s="147" t="str">
        <f>IF(UPPER(U$1)="ABCD",_xll.RtContribute($E$3,$E61,$R$3:$S$3,$R61:$S61,"SCOPE:SERVER"),"--")</f>
        <v>--</v>
      </c>
      <c r="U61" s="151" t="str">
        <f t="shared" si="4"/>
        <v/>
      </c>
      <c r="V61" s="134" t="str">
        <f t="shared" si="37"/>
        <v>EUR.PRICING.XLS_STRIPS.IT0004848435</v>
      </c>
      <c r="W61" s="134" t="str">
        <f>IF(UPPER($X$1)="ABCD",_xll.MKV_PUBLISHRECORD(V61, "XLS_STRIPS"),"--")</f>
        <v>--</v>
      </c>
      <c r="X61" s="135" t="str">
        <f>IF(UPPER(X$1)="ABCD",_xll.MKV_SUPPLYRECORD(V61, "Bid",F61, "Ask",H61, "Id",A61, "Mid",G61, "Name",D61,"DV01",N61,"MidYield",J61,"BidYield",I61,"AskYield",K61),"--")</f>
        <v>--</v>
      </c>
    </row>
    <row r="62" spans="1:24" x14ac:dyDescent="0.2">
      <c r="A62" s="72" t="s">
        <v>54</v>
      </c>
      <c r="B62" s="89">
        <v>45323</v>
      </c>
      <c r="C62" s="139" t="e">
        <f ca="1">_xll.BDP(A62&amp;" Corp", "days to mty")</f>
        <v>#NAME?</v>
      </c>
      <c r="D62" s="47" t="s">
        <v>395</v>
      </c>
      <c r="E62" s="47" t="s">
        <v>396</v>
      </c>
      <c r="F62" s="138">
        <f ca="1"/>
        <v>78.09</v>
      </c>
      <c r="G62" s="138">
        <f ca="1"/>
        <v>78.349999999999994</v>
      </c>
      <c r="H62" s="138">
        <f t="shared" ca="1" si="2"/>
        <v>78.61</v>
      </c>
      <c r="I62" s="32">
        <f ca="1">ROUND(_xll.qlBondYieldFromCleanPrice(O62,F62,YieldDayCounter,YieldCompounding,YieldFrequency)*100,3)</f>
        <v>2.7029999999999998</v>
      </c>
      <c r="J62" s="32">
        <f ca="1">ROUND(_xll.qlBondYieldFromCleanPrice(P62,G62,YieldDayCounter,YieldCompounding,YieldFrequency)*100,3)</f>
        <v>2.6659999999999999</v>
      </c>
      <c r="K62" s="32">
        <f ca="1">ROUND(_xll.qlBondYieldFromCleanPrice(Q62,H62,YieldDayCounter,YieldCompounding,YieldFrequency)*100,3)</f>
        <v>2.629</v>
      </c>
      <c r="L62" s="120">
        <f ca="1">_xll.qlBondDurationFromYield(P62,J62,YieldDayCounter,YieldCompounding,YieldFrequency,L$2)</f>
        <v>2.529725205329985</v>
      </c>
      <c r="M62" s="120">
        <f ca="1">_xll.qlBondConvexityFromYield(P62,J62/100,YieldDayCounter,YieldCompounding,YieldFrequency)</f>
        <v>90.396356968605687</v>
      </c>
      <c r="N62" s="121" t="e">
        <f ca="1">_xll.BDP(A62&amp;" Corp","risk mid")</f>
        <v>#NAME?</v>
      </c>
      <c r="O62" s="107" t="str">
        <f>_xll.qlZeroCouponBond(,,"EUR",3,"target",100,$B62,"f",100,,,Trigger)</f>
        <v>obj_00e80#0000</v>
      </c>
      <c r="P62" s="107" t="str">
        <f>_xll.qlZeroCouponBond(,,"EUR",3,"target",100,$B62,"f",100,,,Trigger)</f>
        <v>obj_00ef6#0000</v>
      </c>
      <c r="Q62" s="107" t="str">
        <f>_xll.qlZeroCouponBond(,,"EUR",3,"target",100,$B62,"f",100,,,Trigger)</f>
        <v>obj_00ebc#0000</v>
      </c>
      <c r="R62" s="123">
        <f t="shared" ca="1" si="35"/>
        <v>78.09</v>
      </c>
      <c r="S62" s="130">
        <f t="shared" ref="S62" ca="1" si="63">R62</f>
        <v>78.09</v>
      </c>
      <c r="T62" s="147" t="str">
        <f>IF(UPPER(U$1)="ABCD",_xll.RtContribute($E$3,$E62,$R$3:$S$3,$R62:$S62,"SCOPE:SERVER"),"--")</f>
        <v>--</v>
      </c>
      <c r="U62" s="151" t="str">
        <f t="shared" si="4"/>
        <v/>
      </c>
      <c r="V62" s="134" t="str">
        <f t="shared" si="37"/>
        <v>EUR.PRICING.XLS_STRIPS.IT0003268809</v>
      </c>
      <c r="W62" s="134" t="str">
        <f>IF(UPPER($X$1)="ABCD",_xll.MKV_PUBLISHRECORD(V62, "XLS_STRIPS"),"--")</f>
        <v>--</v>
      </c>
      <c r="X62" s="135" t="str">
        <f>IF(UPPER(X$1)="ABCD",_xll.MKV_SUPPLYRECORD(V62, "Bid",F62, "Ask",H62, "Id",A62, "Mid",G62, "Name",D62,"DV01",N62,"MidYield",J62,"BidYield",I62,"AskYield",K62),"--")</f>
        <v>--</v>
      </c>
    </row>
    <row r="63" spans="1:24" x14ac:dyDescent="0.2">
      <c r="A63" s="72" t="s">
        <v>174</v>
      </c>
      <c r="B63" s="89">
        <v>45352</v>
      </c>
      <c r="C63" s="139" t="e">
        <f ca="1">_xll.BDP(A63&amp;" Corp", "days to mty")</f>
        <v>#NAME?</v>
      </c>
      <c r="D63" s="47" t="s">
        <v>175</v>
      </c>
      <c r="E63" s="47" t="s">
        <v>176</v>
      </c>
      <c r="F63" s="138">
        <f ca="1"/>
        <v>77.78</v>
      </c>
      <c r="G63" s="138">
        <f ca="1"/>
        <v>78.040000000000006</v>
      </c>
      <c r="H63" s="138">
        <f t="shared" ca="1" si="2"/>
        <v>78.3</v>
      </c>
      <c r="I63" s="32">
        <f ca="1">ROUND(_xll.qlBondYieldFromCleanPrice(O63,F63,YieldDayCounter,YieldCompounding,YieldFrequency)*100,3)</f>
        <v>2.7240000000000002</v>
      </c>
      <c r="J63" s="32">
        <f ca="1">ROUND(_xll.qlBondYieldFromCleanPrice(P63,G63,YieldDayCounter,YieldCompounding,YieldFrequency)*100,3)</f>
        <v>2.6869999999999998</v>
      </c>
      <c r="K63" s="32">
        <f ca="1">ROUND(_xll.qlBondYieldFromCleanPrice(Q63,H63,YieldDayCounter,YieldCompounding,YieldFrequency)*100,3)</f>
        <v>2.6509999999999998</v>
      </c>
      <c r="L63" s="120">
        <f ca="1">_xll.qlBondDurationFromYield(P63,J63,YieldDayCounter,YieldCompounding,YieldFrequency,L$2)</f>
        <v>2.5361228455402363</v>
      </c>
      <c r="M63" s="120">
        <f ca="1">_xll.qlBondConvexityFromYield(P63,J63/100,YieldDayCounter,YieldCompounding,YieldFrequency)</f>
        <v>91.787085645908604</v>
      </c>
      <c r="N63" s="121" t="e">
        <f ca="1">_xll.BDP(A63&amp;" Corp","risk mid")</f>
        <v>#NAME?</v>
      </c>
      <c r="O63" s="107" t="str">
        <f>_xll.qlZeroCouponBond(,,"EUR",3,"target",100,$B63,"f",100,,,Trigger)</f>
        <v>obj_00f1f#0000</v>
      </c>
      <c r="P63" s="107" t="str">
        <f>_xll.qlZeroCouponBond(,,"EUR",3,"target",100,$B63,"f",100,,,Trigger)</f>
        <v>obj_00e98#0000</v>
      </c>
      <c r="Q63" s="107" t="str">
        <f>_xll.qlZeroCouponBond(,,"EUR",3,"target",100,$B63,"f",100,,,Trigger)</f>
        <v>obj_00e55#0000</v>
      </c>
      <c r="R63" s="123">
        <f t="shared" ca="1" si="35"/>
        <v>77.78</v>
      </c>
      <c r="S63" s="130">
        <f t="shared" ref="S63" ca="1" si="64">R63</f>
        <v>77.78</v>
      </c>
      <c r="T63" s="147" t="str">
        <f>IF(UPPER(U$1)="ABCD",_xll.RtContribute($E$3,$E63,$R$3:$S$3,$R63:$S63,"SCOPE:SERVER"),"--")</f>
        <v>--</v>
      </c>
      <c r="U63" s="151" t="str">
        <f t="shared" si="4"/>
        <v/>
      </c>
      <c r="V63" s="134" t="str">
        <f t="shared" si="37"/>
        <v>EUR.PRICING.XLS_STRIPS.IT0004957947</v>
      </c>
      <c r="W63" s="134" t="str">
        <f>IF(UPPER($X$1)="ABCD",_xll.MKV_PUBLISHRECORD(V63, "XLS_STRIPS"),"--")</f>
        <v>--</v>
      </c>
      <c r="X63" s="135" t="str">
        <f>IF(UPPER(X$1)="ABCD",_xll.MKV_SUPPLYRECORD(V63, "Bid",F63, "Ask",H63, "Id",A63, "Mid",G63, "Name",D63,"DV01",N63,"MidYield",J63,"BidYield",I63,"AskYield",K63),"--")</f>
        <v>--</v>
      </c>
    </row>
    <row r="64" spans="1:24" x14ac:dyDescent="0.2">
      <c r="A64" s="72" t="s">
        <v>55</v>
      </c>
      <c r="B64" s="89">
        <v>45413</v>
      </c>
      <c r="C64" s="139" t="e">
        <f ca="1">_xll.BDP(A64&amp;" Corp", "days to mty")</f>
        <v>#NAME?</v>
      </c>
      <c r="D64" s="47" t="s">
        <v>397</v>
      </c>
      <c r="E64" s="47" t="s">
        <v>398</v>
      </c>
      <c r="F64" s="138">
        <f ca="1"/>
        <v>77.03</v>
      </c>
      <c r="G64" s="138">
        <f ca="1"/>
        <v>77.290000000000006</v>
      </c>
      <c r="H64" s="138">
        <f t="shared" ca="1" si="2"/>
        <v>77.55</v>
      </c>
      <c r="I64" s="32">
        <f ca="1">ROUND(_xll.qlBondYieldFromCleanPrice(O64,F64,YieldDayCounter,YieldCompounding,YieldFrequency)*100,3)</f>
        <v>2.7789999999999999</v>
      </c>
      <c r="J64" s="32">
        <f ca="1">ROUND(_xll.qlBondYieldFromCleanPrice(P64,G64,YieldDayCounter,YieldCompounding,YieldFrequency)*100,3)</f>
        <v>2.7429999999999999</v>
      </c>
      <c r="K64" s="32">
        <f ca="1">ROUND(_xll.qlBondYieldFromCleanPrice(Q64,H64,YieldDayCounter,YieldCompounding,YieldFrequency)*100,3)</f>
        <v>2.706</v>
      </c>
      <c r="L64" s="120">
        <f ca="1">_xll.qlBondDurationFromYield(P64,J64,YieldDayCounter,YieldCompounding,YieldFrequency,L$2)</f>
        <v>2.5435607654836971</v>
      </c>
      <c r="M64" s="120">
        <f ca="1">_xll.qlBondConvexityFromYield(P64,J64/100,YieldDayCounter,YieldCompounding,YieldFrequency)</f>
        <v>94.884619257245447</v>
      </c>
      <c r="N64" s="121" t="e">
        <f ca="1">_xll.BDP(A64&amp;" Corp","risk mid")</f>
        <v>#NAME?</v>
      </c>
      <c r="O64" s="107" t="str">
        <f>_xll.qlZeroCouponBond(,,"EUR",3,"target",100,$B64,"f",100,,,Trigger)</f>
        <v>obj_00f4e#0000</v>
      </c>
      <c r="P64" s="107" t="str">
        <f>_xll.qlZeroCouponBond(,,"EUR",3,"target",100,$B64,"f",100,,,Trigger)</f>
        <v>obj_00e9d#0000</v>
      </c>
      <c r="Q64" s="107" t="str">
        <f>_xll.qlZeroCouponBond(,,"EUR",3,"target",100,$B64,"f",100,,,Trigger)</f>
        <v>obj_00e6b#0000</v>
      </c>
      <c r="R64" s="123">
        <f t="shared" ca="1" si="35"/>
        <v>77.03</v>
      </c>
      <c r="S64" s="130">
        <f t="shared" ref="S64" ca="1" si="65">R64</f>
        <v>77.03</v>
      </c>
      <c r="T64" s="147" t="str">
        <f>IF(UPPER(U$1)="ABCD",_xll.RtContribute($E$3,$E64,$R$3:$S$3,$R64:$S64,"SCOPE:SERVER"),"--")</f>
        <v>--</v>
      </c>
      <c r="U64" s="151" t="str">
        <f t="shared" si="4"/>
        <v/>
      </c>
      <c r="V64" s="134" t="str">
        <f t="shared" si="37"/>
        <v>EUR.PRICING.XLS_STRIPS.IT0001247334</v>
      </c>
      <c r="W64" s="134" t="str">
        <f>IF(UPPER($X$1)="ABCD",_xll.MKV_PUBLISHRECORD(V64, "XLS_STRIPS"),"--")</f>
        <v>--</v>
      </c>
      <c r="X64" s="135" t="str">
        <f>IF(UPPER(X$1)="ABCD",_xll.MKV_SUPPLYRECORD(V64, "Bid",F64, "Ask",H64, "Id",A64, "Mid",G64, "Name",D64,"DV01",N64,"MidYield",J64,"BidYield",I64,"AskYield",K64),"--")</f>
        <v>--</v>
      </c>
    </row>
    <row r="65" spans="1:24" x14ac:dyDescent="0.2">
      <c r="A65" s="72" t="s">
        <v>56</v>
      </c>
      <c r="B65" s="89">
        <v>45505</v>
      </c>
      <c r="C65" s="139" t="e">
        <f ca="1">_xll.BDP(A65&amp;" Corp", "days to mty")</f>
        <v>#NAME?</v>
      </c>
      <c r="D65" s="47" t="s">
        <v>399</v>
      </c>
      <c r="E65" s="47" t="s">
        <v>400</v>
      </c>
      <c r="F65" s="138">
        <f ca="1"/>
        <v>76.2</v>
      </c>
      <c r="G65" s="138">
        <f ca="1"/>
        <v>76.47</v>
      </c>
      <c r="H65" s="138">
        <f t="shared" ca="1" si="2"/>
        <v>76.739999999999995</v>
      </c>
      <c r="I65" s="32">
        <f ca="1">ROUND(_xll.qlBondYieldFromCleanPrice(O65,F65,YieldDayCounter,YieldCompounding,YieldFrequency)*100,3)</f>
        <v>2.8210000000000002</v>
      </c>
      <c r="J65" s="32">
        <f ca="1">ROUND(_xll.qlBondYieldFromCleanPrice(P65,G65,YieldDayCounter,YieldCompounding,YieldFrequency)*100,3)</f>
        <v>2.7839999999999998</v>
      </c>
      <c r="K65" s="32">
        <f ca="1">ROUND(_xll.qlBondYieldFromCleanPrice(Q65,H65,YieldDayCounter,YieldCompounding,YieldFrequency)*100,3)</f>
        <v>2.7469999999999999</v>
      </c>
      <c r="L65" s="120">
        <f ca="1">_xll.qlBondDurationFromYield(P65,J65,YieldDayCounter,YieldCompounding,YieldFrequency,L$2)</f>
        <v>2.5818876886095747</v>
      </c>
      <c r="M65" s="120">
        <f ca="1">_xll.qlBondConvexityFromYield(P65,J65/100,YieldDayCounter,YieldCompounding,YieldFrequency)</f>
        <v>99.597313455425294</v>
      </c>
      <c r="N65" s="121" t="e">
        <f ca="1">_xll.BDP(A65&amp;" Corp","risk mid")</f>
        <v>#NAME?</v>
      </c>
      <c r="O65" s="107" t="str">
        <f>_xll.qlZeroCouponBond(,,"EUR",3,"target",100,$B65,"f",100,,,Trigger)</f>
        <v>obj_00f3e#0000</v>
      </c>
      <c r="P65" s="107" t="str">
        <f>_xll.qlZeroCouponBond(,,"EUR",3,"target",100,$B65,"f",100,,,Trigger)</f>
        <v>obj_00f1d#0000</v>
      </c>
      <c r="Q65" s="107" t="str">
        <f>_xll.qlZeroCouponBond(,,"EUR",3,"target",100,$B65,"f",100,,,Trigger)</f>
        <v>obj_00f49#0000</v>
      </c>
      <c r="R65" s="123">
        <f t="shared" ca="1" si="35"/>
        <v>76.2</v>
      </c>
      <c r="S65" s="130">
        <f t="shared" ref="S65" ca="1" si="66">R65</f>
        <v>76.2</v>
      </c>
      <c r="T65" s="147" t="str">
        <f>IF(UPPER(U$1)="ABCD",_xll.RtContribute($E$3,$E65,$R$3:$S$3,$R65:$S65,"SCOPE:SERVER"),"--")</f>
        <v>--</v>
      </c>
      <c r="U65" s="151" t="str">
        <f t="shared" si="4"/>
        <v/>
      </c>
      <c r="V65" s="134" t="str">
        <f t="shared" si="37"/>
        <v>EUR.PRICING.XLS_STRIPS.IT0003268817</v>
      </c>
      <c r="W65" s="134" t="str">
        <f>IF(UPPER($X$1)="ABCD",_xll.MKV_PUBLISHRECORD(V65, "XLS_STRIPS"),"--")</f>
        <v>--</v>
      </c>
      <c r="X65" s="135" t="str">
        <f>IF(UPPER(X$1)="ABCD",_xll.MKV_SUPPLYRECORD(V65, "Bid",F65, "Ask",H65, "Id",A65, "Mid",G65, "Name",D65,"DV01",N65,"MidYield",J65,"BidYield",I65,"AskYield",K65),"--")</f>
        <v>--</v>
      </c>
    </row>
    <row r="66" spans="1:24" x14ac:dyDescent="0.2">
      <c r="A66" s="72" t="s">
        <v>177</v>
      </c>
      <c r="B66" s="89">
        <v>45536</v>
      </c>
      <c r="C66" s="139" t="e">
        <f ca="1">_xll.BDP(A66&amp;" Corp", "days to mty")</f>
        <v>#NAME?</v>
      </c>
      <c r="D66" s="47" t="s">
        <v>178</v>
      </c>
      <c r="E66" s="47" t="s">
        <v>179</v>
      </c>
      <c r="F66" s="138">
        <f ca="1"/>
        <v>76.12</v>
      </c>
      <c r="G66" s="138">
        <f ca="1"/>
        <v>76.39</v>
      </c>
      <c r="H66" s="138">
        <f t="shared" ca="1" si="2"/>
        <v>76.66</v>
      </c>
      <c r="I66" s="32">
        <f ca="1">ROUND(_xll.qlBondYieldFromCleanPrice(O66,F66,YieldDayCounter,YieldCompounding,YieldFrequency)*100,3)</f>
        <v>2.8069999999999999</v>
      </c>
      <c r="J66" s="32">
        <f ca="1">ROUND(_xll.qlBondYieldFromCleanPrice(P66,G66,YieldDayCounter,YieldCompounding,YieldFrequency)*100,3)</f>
        <v>2.77</v>
      </c>
      <c r="K66" s="32">
        <f ca="1">ROUND(_xll.qlBondYieldFromCleanPrice(Q66,H66,YieldDayCounter,YieldCompounding,YieldFrequency)*100,3)</f>
        <v>2.7330000000000001</v>
      </c>
      <c r="L66" s="120">
        <f ca="1">_xll.qlBondDurationFromYield(P66,J66,YieldDayCounter,YieldCompounding,YieldFrequency,L$2)</f>
        <v>2.6147305693833802</v>
      </c>
      <c r="M66" s="120">
        <f ca="1">_xll.qlBondConvexityFromYield(P66,J66/100,YieldDayCounter,YieldCompounding,YieldFrequency)</f>
        <v>101.33670743484305</v>
      </c>
      <c r="N66" s="121" t="e">
        <f ca="1">_xll.BDP(A66&amp;" Corp","risk mid")</f>
        <v>#NAME?</v>
      </c>
      <c r="O66" s="107" t="str">
        <f>_xll.qlZeroCouponBond(,,"EUR",3,"target",100,$B66,"f",100,,,Trigger)</f>
        <v>obj_00f81#0000</v>
      </c>
      <c r="P66" s="107" t="str">
        <f>_xll.qlZeroCouponBond(,,"EUR",3,"target",100,$B66,"f",100,,,Trigger)</f>
        <v>obj_00e05#0000</v>
      </c>
      <c r="Q66" s="107" t="str">
        <f>_xll.qlZeroCouponBond(,,"EUR",3,"target",100,$B66,"f",100,,,Trigger)</f>
        <v>obj_00e1e#0000</v>
      </c>
      <c r="R66" s="123">
        <f t="shared" ca="1" si="35"/>
        <v>76.12</v>
      </c>
      <c r="S66" s="130">
        <f t="shared" ref="S66" ca="1" si="67">R66</f>
        <v>76.12</v>
      </c>
      <c r="T66" s="147" t="str">
        <f>IF(UPPER(U$1)="ABCD",_xll.RtContribute($E$3,$E66,$R$3:$S$3,$R66:$S66,"SCOPE:SERVER"),"--")</f>
        <v>--</v>
      </c>
      <c r="U66" s="151" t="str">
        <f t="shared" si="4"/>
        <v/>
      </c>
      <c r="V66" s="134" t="str">
        <f t="shared" si="37"/>
        <v>EUR.PRICING.XLS_STRIPS.IT0004976442</v>
      </c>
      <c r="W66" s="134" t="str">
        <f>IF(UPPER($X$1)="ABCD",_xll.MKV_PUBLISHRECORD(V66, "XLS_STRIPS"),"--")</f>
        <v>--</v>
      </c>
      <c r="X66" s="135" t="str">
        <f>IF(UPPER(X$1)="ABCD",_xll.MKV_SUPPLYRECORD(V66, "Bid",F66, "Ask",H66, "Id",A66, "Mid",G66, "Name",D66,"DV01",N66,"MidYield",J66,"BidYield",I66,"AskYield",K66),"--")</f>
        <v>--</v>
      </c>
    </row>
    <row r="67" spans="1:24" x14ac:dyDescent="0.2">
      <c r="A67" s="72" t="s">
        <v>57</v>
      </c>
      <c r="B67" s="89">
        <v>45597</v>
      </c>
      <c r="C67" s="139" t="e">
        <f ca="1">_xll.BDP(A67&amp;" Corp", "days to mty")</f>
        <v>#NAME?</v>
      </c>
      <c r="D67" s="47" t="s">
        <v>401</v>
      </c>
      <c r="E67" s="47" t="s">
        <v>402</v>
      </c>
      <c r="F67" s="138">
        <f ca="1"/>
        <v>76.540000000000006</v>
      </c>
      <c r="G67" s="138">
        <f ca="1"/>
        <v>76.81</v>
      </c>
      <c r="H67" s="138">
        <f t="shared" ca="1" si="2"/>
        <v>77.08</v>
      </c>
      <c r="I67" s="32">
        <f ca="1">ROUND(_xll.qlBondYieldFromCleanPrice(O67,F67,YieldDayCounter,YieldCompounding,YieldFrequency)*100,3)</f>
        <v>2.7040000000000002</v>
      </c>
      <c r="J67" s="32">
        <f ca="1">ROUND(_xll.qlBondYieldFromCleanPrice(P67,G67,YieldDayCounter,YieldCompounding,YieldFrequency)*100,3)</f>
        <v>2.6680000000000001</v>
      </c>
      <c r="K67" s="32">
        <f ca="1">ROUND(_xll.qlBondYieldFromCleanPrice(Q67,H67,YieldDayCounter,YieldCompounding,YieldFrequency)*100,3)</f>
        <v>2.6320000000000001</v>
      </c>
      <c r="L67" s="120">
        <f ca="1">_xll.qlBondDurationFromYield(P67,J67,YieldDayCounter,YieldCompounding,YieldFrequency,L$2)</f>
        <v>2.7322567634185329</v>
      </c>
      <c r="M67" s="120">
        <f ca="1">_xll.qlBondConvexityFromYield(P67,J67/100,YieldDayCounter,YieldCompounding,YieldFrequency)</f>
        <v>104.79433375935756</v>
      </c>
      <c r="N67" s="121" t="e">
        <f ca="1">_xll.BDP(A67&amp;" Corp","risk mid")</f>
        <v>#NAME?</v>
      </c>
      <c r="O67" s="107" t="str">
        <f>_xll.qlZeroCouponBond(,,"EUR",3,"target",100,$B67,"f",100,,,Trigger)</f>
        <v>obj_00f66#0000</v>
      </c>
      <c r="P67" s="107" t="str">
        <f>_xll.qlZeroCouponBond(,,"EUR",3,"target",100,$B67,"f",100,,,Trigger)</f>
        <v>obj_00f29#0000</v>
      </c>
      <c r="Q67" s="107" t="str">
        <f>_xll.qlZeroCouponBond(,,"EUR",3,"target",100,$B67,"f",100,,,Trigger)</f>
        <v>obj_00f5b#0000</v>
      </c>
      <c r="R67" s="123">
        <f t="shared" ca="1" si="35"/>
        <v>76.540000000000006</v>
      </c>
      <c r="S67" s="130">
        <f t="shared" ref="S67" ca="1" si="68">R67</f>
        <v>76.540000000000006</v>
      </c>
      <c r="T67" s="147" t="str">
        <f>IF(UPPER(U$1)="ABCD",_xll.RtContribute($E$3,$E67,$R$3:$S$3,$R67:$S67,"SCOPE:SERVER"),"--")</f>
        <v>--</v>
      </c>
      <c r="U67" s="151" t="str">
        <f t="shared" si="4"/>
        <v/>
      </c>
      <c r="V67" s="134" t="str">
        <f t="shared" si="37"/>
        <v>EUR.PRICING.XLS_STRIPS.IT0001247342</v>
      </c>
      <c r="W67" s="134" t="str">
        <f>IF(UPPER($X$1)="ABCD",_xll.MKV_PUBLISHRECORD(V67, "XLS_STRIPS"),"--")</f>
        <v>--</v>
      </c>
      <c r="X67" s="135" t="str">
        <f>IF(UPPER(X$1)="ABCD",_xll.MKV_SUPPLYRECORD(V67, "Bid",F67, "Ask",H67, "Id",A67, "Mid",G67, "Name",D67,"DV01",N67,"MidYield",J67,"BidYield",I67,"AskYield",K67),"--")</f>
        <v>--</v>
      </c>
    </row>
    <row r="68" spans="1:24" x14ac:dyDescent="0.2">
      <c r="A68" s="72" t="s">
        <v>58</v>
      </c>
      <c r="B68" s="89">
        <v>45689</v>
      </c>
      <c r="C68" s="139" t="e">
        <f ca="1">_xll.BDP(A68&amp;" Corp", "days to mty")</f>
        <v>#NAME?</v>
      </c>
      <c r="D68" s="47" t="s">
        <v>403</v>
      </c>
      <c r="E68" s="47" t="s">
        <v>404</v>
      </c>
      <c r="F68" s="138">
        <f ca="1"/>
        <v>74.75</v>
      </c>
      <c r="G68" s="138">
        <f ca="1"/>
        <v>75.02</v>
      </c>
      <c r="H68" s="138">
        <f t="shared" ca="1" si="2"/>
        <v>75.290000000000006</v>
      </c>
      <c r="I68" s="32">
        <f ca="1">ROUND(_xll.qlBondYieldFromCleanPrice(O68,F68,YieldDayCounter,YieldCompounding,YieldFrequency)*100,3)</f>
        <v>2.8719999999999999</v>
      </c>
      <c r="J68" s="32">
        <f ca="1">ROUND(_xll.qlBondYieldFromCleanPrice(P68,G68,YieldDayCounter,YieldCompounding,YieldFrequency)*100,3)</f>
        <v>2.835</v>
      </c>
      <c r="K68" s="32">
        <f ca="1">ROUND(_xll.qlBondYieldFromCleanPrice(Q68,H68,YieldDayCounter,YieldCompounding,YieldFrequency)*100,3)</f>
        <v>2.8</v>
      </c>
      <c r="L68" s="120">
        <f ca="1">_xll.qlBondDurationFromYield(P68,J68,YieldDayCounter,YieldCompounding,YieldFrequency,L$2)</f>
        <v>2.6804307835187791</v>
      </c>
      <c r="M68" s="120">
        <f ca="1">_xll.qlBondConvexityFromYield(P68,J68/100,YieldDayCounter,YieldCompounding,YieldFrequency)</f>
        <v>109.64177632160893</v>
      </c>
      <c r="N68" s="121" t="e">
        <f ca="1">_xll.BDP(A68&amp;" Corp","risk mid")</f>
        <v>#NAME?</v>
      </c>
      <c r="O68" s="107" t="str">
        <f>_xll.qlZeroCouponBond(,,"EUR",3,"target",100,$B68,"f",100,,,Trigger)</f>
        <v>obj_00dde#0000</v>
      </c>
      <c r="P68" s="107" t="str">
        <f>_xll.qlZeroCouponBond(,,"EUR",3,"target",100,$B68,"f",100,,,Trigger)</f>
        <v>obj_00f4a#0000</v>
      </c>
      <c r="Q68" s="107" t="str">
        <f>_xll.qlZeroCouponBond(,,"EUR",3,"target",100,$B68,"f",100,,,Trigger)</f>
        <v>obj_00e26#0000</v>
      </c>
      <c r="R68" s="123">
        <f t="shared" ref="R68:R99" ca="1" si="69">F68</f>
        <v>74.75</v>
      </c>
      <c r="S68" s="130">
        <f t="shared" ref="S68" ca="1" si="70">R68</f>
        <v>74.75</v>
      </c>
      <c r="T68" s="147" t="str">
        <f>IF(UPPER(U$1)="ABCD",_xll.RtContribute($E$3,$E68,$R$3:$S$3,$R68:$S68,"SCOPE:SERVER"),"--")</f>
        <v>--</v>
      </c>
      <c r="U68" s="151" t="str">
        <f t="shared" si="4"/>
        <v/>
      </c>
      <c r="V68" s="134" t="str">
        <f t="shared" ref="V68:V99" si="71">V$3&amp;A68</f>
        <v>EUR.PRICING.XLS_STRIPS.IT0003268825</v>
      </c>
      <c r="W68" s="134" t="str">
        <f>IF(UPPER($X$1)="ABCD",_xll.MKV_PUBLISHRECORD(V68, "XLS_STRIPS"),"--")</f>
        <v>--</v>
      </c>
      <c r="X68" s="135" t="str">
        <f>IF(UPPER(X$1)="ABCD",_xll.MKV_SUPPLYRECORD(V68, "Bid",F68, "Ask",H68, "Id",A68, "Mid",G68, "Name",D68,"DV01",N68,"MidYield",J68,"BidYield",I68,"AskYield",K68),"--")</f>
        <v>--</v>
      </c>
    </row>
    <row r="69" spans="1:24" x14ac:dyDescent="0.2">
      <c r="A69" s="72" t="s">
        <v>180</v>
      </c>
      <c r="B69" s="89">
        <v>45717</v>
      </c>
      <c r="C69" s="139" t="e">
        <f ca="1">_xll.BDP(A69&amp;" Corp", "days to mty")</f>
        <v>#NAME?</v>
      </c>
      <c r="D69" s="47" t="s">
        <v>181</v>
      </c>
      <c r="E69" s="47" t="s">
        <v>182</v>
      </c>
      <c r="F69" s="138">
        <f ca="1"/>
        <v>73.83</v>
      </c>
      <c r="G69" s="138">
        <f ca="1"/>
        <v>74.099999999999994</v>
      </c>
      <c r="H69" s="138">
        <f t="shared" ref="H69:H132" ca="1" si="72">ROUNDUP(2*G69-F69,2)</f>
        <v>74.37</v>
      </c>
      <c r="I69" s="32">
        <f ca="1">ROUND(_xll.qlBondYieldFromCleanPrice(O69,F69,YieldDayCounter,YieldCompounding,YieldFrequency)*100,3)</f>
        <v>2.9729999999999999</v>
      </c>
      <c r="J69" s="32">
        <f ca="1">ROUND(_xll.qlBondYieldFromCleanPrice(P69,G69,YieldDayCounter,YieldCompounding,YieldFrequency)*100,3)</f>
        <v>2.9369999999999998</v>
      </c>
      <c r="K69" s="32">
        <f ca="1">ROUND(_xll.qlBondYieldFromCleanPrice(Q69,H69,YieldDayCounter,YieldCompounding,YieldFrequency)*100,3)</f>
        <v>2.9009999999999998</v>
      </c>
      <c r="L69" s="120">
        <f ca="1">_xll.qlBondDurationFromYield(P69,J69,YieldDayCounter,YieldCompounding,YieldFrequency,L$2)</f>
        <v>2.630471014366687</v>
      </c>
      <c r="M69" s="120">
        <f ca="1">_xll.qlBondConvexityFromYield(P69,J69/100,YieldDayCounter,YieldCompounding,YieldFrequency)</f>
        <v>110.99095591779822</v>
      </c>
      <c r="N69" s="121" t="e">
        <f ca="1">_xll.BDP(A69&amp;" Corp","risk mid")</f>
        <v>#NAME?</v>
      </c>
      <c r="O69" s="107" t="str">
        <f>_xll.qlZeroCouponBond(,,"EUR",3,"target",100,$B69,"f",100,,,Trigger)</f>
        <v>obj_00e0b#0000</v>
      </c>
      <c r="P69" s="107" t="str">
        <f>_xll.qlZeroCouponBond(,,"EUR",3,"target",100,$B69,"f",100,,,Trigger)</f>
        <v>obj_00f6e#0000</v>
      </c>
      <c r="Q69" s="107" t="str">
        <f>_xll.qlZeroCouponBond(,,"EUR",3,"target",100,$B69,"f",100,,,Trigger)</f>
        <v>obj_00ed8#0000</v>
      </c>
      <c r="R69" s="123">
        <f t="shared" ca="1" si="69"/>
        <v>73.83</v>
      </c>
      <c r="S69" s="130">
        <f t="shared" ref="S69" ca="1" si="73">R69</f>
        <v>73.83</v>
      </c>
      <c r="T69" s="147" t="str">
        <f>IF(UPPER(U$1)="ABCD",_xll.RtContribute($E$3,$E69,$R$3:$S$3,$R69:$S69,"SCOPE:SERVER"),"--")</f>
        <v>--</v>
      </c>
      <c r="U69" s="151" t="str">
        <f t="shared" ref="U69:U132" si="74">IF(OR(LEFT(T69,3)="Suc",LEFT(T69,3)="Sen"),"OK","")</f>
        <v/>
      </c>
      <c r="V69" s="134" t="str">
        <f t="shared" si="71"/>
        <v>EUR.PRICING.XLS_STRIPS.IT0004976459</v>
      </c>
      <c r="W69" s="134" t="str">
        <f>IF(UPPER($X$1)="ABCD",_xll.MKV_PUBLISHRECORD(V69, "XLS_STRIPS"),"--")</f>
        <v>--</v>
      </c>
      <c r="X69" s="135" t="str">
        <f>IF(UPPER(X$1)="ABCD",_xll.MKV_SUPPLYRECORD(V69, "Bid",F69, "Ask",H69, "Id",A69, "Mid",G69, "Name",D69,"DV01",N69,"MidYield",J69,"BidYield",I69,"AskYield",K69),"--")</f>
        <v>--</v>
      </c>
    </row>
    <row r="70" spans="1:24" x14ac:dyDescent="0.2">
      <c r="A70" s="72" t="s">
        <v>59</v>
      </c>
      <c r="B70" s="89">
        <v>45778</v>
      </c>
      <c r="C70" s="139" t="e">
        <f ca="1">_xll.BDP(A70&amp;" Corp", "days to mty")</f>
        <v>#NAME?</v>
      </c>
      <c r="D70" s="47" t="s">
        <v>405</v>
      </c>
      <c r="E70" s="47" t="s">
        <v>406</v>
      </c>
      <c r="F70" s="138">
        <f ca="1"/>
        <v>72.45</v>
      </c>
      <c r="G70" s="138">
        <f ca="1"/>
        <v>72.73</v>
      </c>
      <c r="H70" s="138">
        <f t="shared" ca="1" si="72"/>
        <v>73.010000000000005</v>
      </c>
      <c r="I70" s="32">
        <f ca="1">ROUND(_xll.qlBondYieldFromCleanPrice(O70,F70,YieldDayCounter,YieldCompounding,YieldFrequency)*100,3)</f>
        <v>3.1110000000000002</v>
      </c>
      <c r="J70" s="32">
        <f ca="1">ROUND(_xll.qlBondYieldFromCleanPrice(P70,G70,YieldDayCounter,YieldCompounding,YieldFrequency)*100,3)</f>
        <v>3.073</v>
      </c>
      <c r="K70" s="32">
        <f ca="1">ROUND(_xll.qlBondYieldFromCleanPrice(Q70,H70,YieldDayCounter,YieldCompounding,YieldFrequency)*100,3)</f>
        <v>3.0350000000000001</v>
      </c>
      <c r="L70" s="120">
        <f ca="1">_xll.qlBondDurationFromYield(P70,J70,YieldDayCounter,YieldCompounding,YieldFrequency,L$2)</f>
        <v>2.5829972858348826</v>
      </c>
      <c r="M70" s="120">
        <f ca="1">_xll.qlBondConvexityFromYield(P70,J70/100,YieldDayCounter,YieldCompounding,YieldFrequency)</f>
        <v>114.08319154886301</v>
      </c>
      <c r="N70" s="121" t="e">
        <f ca="1">_xll.BDP(A70&amp;" Corp","risk mid")</f>
        <v>#NAME?</v>
      </c>
      <c r="O70" s="107" t="str">
        <f>_xll.qlZeroCouponBond(,,"EUR",3,"target",100,$B70,"f",100,,,Trigger)</f>
        <v>obj_00f70#0000</v>
      </c>
      <c r="P70" s="107" t="str">
        <f>_xll.qlZeroCouponBond(,,"EUR",3,"target",100,$B70,"f",100,,,Trigger)</f>
        <v>obj_00efc#0000</v>
      </c>
      <c r="Q70" s="107" t="str">
        <f>_xll.qlZeroCouponBond(,,"EUR",3,"target",100,$B70,"f",100,,,Trigger)</f>
        <v>obj_00ed3#0000</v>
      </c>
      <c r="R70" s="123">
        <f t="shared" ca="1" si="69"/>
        <v>72.45</v>
      </c>
      <c r="S70" s="130">
        <f t="shared" ref="S70" ca="1" si="75">R70</f>
        <v>72.45</v>
      </c>
      <c r="T70" s="147" t="str">
        <f>IF(UPPER(U$1)="ABCD",_xll.RtContribute($E$3,$E70,$R$3:$S$3,$R70:$S70,"SCOPE:SERVER"),"--")</f>
        <v>--</v>
      </c>
      <c r="U70" s="151" t="str">
        <f t="shared" si="74"/>
        <v/>
      </c>
      <c r="V70" s="134" t="str">
        <f t="shared" si="71"/>
        <v>EUR.PRICING.XLS_STRIPS.IT0001247359</v>
      </c>
      <c r="W70" s="134" t="str">
        <f>IF(UPPER($X$1)="ABCD",_xll.MKV_PUBLISHRECORD(V70, "XLS_STRIPS"),"--")</f>
        <v>--</v>
      </c>
      <c r="X70" s="135" t="str">
        <f>IF(UPPER(X$1)="ABCD",_xll.MKV_SUPPLYRECORD(V70, "Bid",F70, "Ask",H70, "Id",A70, "Mid",G70, "Name",D70,"DV01",N70,"MidYield",J70,"BidYield",I70,"AskYield",K70),"--")</f>
        <v>--</v>
      </c>
    </row>
    <row r="71" spans="1:24" x14ac:dyDescent="0.2">
      <c r="A71" s="72" t="s">
        <v>60</v>
      </c>
      <c r="B71" s="89">
        <v>45870</v>
      </c>
      <c r="C71" s="139" t="e">
        <f ca="1">_xll.BDP(A71&amp;" Corp", "days to mty")</f>
        <v>#NAME?</v>
      </c>
      <c r="D71" s="47" t="s">
        <v>407</v>
      </c>
      <c r="E71" s="47" t="s">
        <v>408</v>
      </c>
      <c r="F71" s="138">
        <f ca="1"/>
        <v>71.33</v>
      </c>
      <c r="G71" s="138">
        <f ca="1"/>
        <v>71.61</v>
      </c>
      <c r="H71" s="138">
        <f t="shared" ca="1" si="72"/>
        <v>71.89</v>
      </c>
      <c r="I71" s="32">
        <f ca="1">ROUND(_xll.qlBondYieldFromCleanPrice(O71,F71,YieldDayCounter,YieldCompounding,YieldFrequency)*100,3)</f>
        <v>3.1869999999999998</v>
      </c>
      <c r="J71" s="32">
        <f ca="1">ROUND(_xll.qlBondYieldFromCleanPrice(P71,G71,YieldDayCounter,YieldCompounding,YieldFrequency)*100,3)</f>
        <v>3.149</v>
      </c>
      <c r="K71" s="32">
        <f ca="1">ROUND(_xll.qlBondYieldFromCleanPrice(Q71,H71,YieldDayCounter,YieldCompounding,YieldFrequency)*100,3)</f>
        <v>3.1120000000000001</v>
      </c>
      <c r="L71" s="120">
        <f ca="1">_xll.qlBondDurationFromYield(P71,J71,YieldDayCounter,YieldCompounding,YieldFrequency,L$2)</f>
        <v>2.5957732016627211</v>
      </c>
      <c r="M71" s="120">
        <f ca="1">_xll.qlBondConvexityFromYield(P71,J71/100,YieldDayCounter,YieldCompounding,YieldFrequency)</f>
        <v>119.13833973844017</v>
      </c>
      <c r="N71" s="121" t="e">
        <f ca="1">_xll.BDP(A71&amp;" Corp","risk mid")</f>
        <v>#NAME?</v>
      </c>
      <c r="O71" s="107" t="str">
        <f>_xll.qlZeroCouponBond(,,"EUR",3,"target",100,$B71,"f",100,,,Trigger)</f>
        <v>obj_00f18#0000</v>
      </c>
      <c r="P71" s="107" t="str">
        <f>_xll.qlZeroCouponBond(,,"EUR",3,"target",100,$B71,"f",100,,,Trigger)</f>
        <v>obj_00e35#0000</v>
      </c>
      <c r="Q71" s="107" t="str">
        <f>_xll.qlZeroCouponBond(,,"EUR",3,"target",100,$B71,"f",100,,,Trigger)</f>
        <v>obj_00ef7#0000</v>
      </c>
      <c r="R71" s="123">
        <f t="shared" ca="1" si="69"/>
        <v>71.33</v>
      </c>
      <c r="S71" s="130">
        <f t="shared" ref="S71" ca="1" si="76">R71</f>
        <v>71.33</v>
      </c>
      <c r="T71" s="147" t="str">
        <f>IF(UPPER(U$1)="ABCD",_xll.RtContribute($E$3,$E71,$R$3:$S$3,$R71:$S71,"SCOPE:SERVER"),"--")</f>
        <v>--</v>
      </c>
      <c r="U71" s="151" t="str">
        <f t="shared" si="74"/>
        <v/>
      </c>
      <c r="V71" s="134" t="str">
        <f t="shared" si="71"/>
        <v>EUR.PRICING.XLS_STRIPS.IT0003268833</v>
      </c>
      <c r="W71" s="134" t="str">
        <f>IF(UPPER($X$1)="ABCD",_xll.MKV_PUBLISHRECORD(V71, "XLS_STRIPS"),"--")</f>
        <v>--</v>
      </c>
      <c r="X71" s="135" t="str">
        <f>IF(UPPER(X$1)="ABCD",_xll.MKV_SUPPLYRECORD(V71, "Bid",F71, "Ask",H71, "Id",A71, "Mid",G71, "Name",D71,"DV01",N71,"MidYield",J71,"BidYield",I71,"AskYield",K71),"--")</f>
        <v>--</v>
      </c>
    </row>
    <row r="72" spans="1:24" x14ac:dyDescent="0.2">
      <c r="A72" s="72" t="s">
        <v>183</v>
      </c>
      <c r="B72" s="89">
        <v>45901</v>
      </c>
      <c r="C72" s="139" t="e">
        <f ca="1">_xll.BDP(A72&amp;" Corp", "days to mty")</f>
        <v>#NAME?</v>
      </c>
      <c r="D72" s="47" t="s">
        <v>184</v>
      </c>
      <c r="E72" s="47" t="s">
        <v>185</v>
      </c>
      <c r="F72" s="138">
        <f ca="1"/>
        <v>71.13</v>
      </c>
      <c r="G72" s="138">
        <f ca="1"/>
        <v>71.41</v>
      </c>
      <c r="H72" s="138">
        <f t="shared" ca="1" si="72"/>
        <v>71.69</v>
      </c>
      <c r="I72" s="32">
        <f ca="1">ROUND(_xll.qlBondYieldFromCleanPrice(O72,F72,YieldDayCounter,YieldCompounding,YieldFrequency)*100,3)</f>
        <v>3.1880000000000002</v>
      </c>
      <c r="J72" s="32">
        <f ca="1">ROUND(_xll.qlBondYieldFromCleanPrice(P72,G72,YieldDayCounter,YieldCompounding,YieldFrequency)*100,3)</f>
        <v>3.1509999999999998</v>
      </c>
      <c r="K72" s="32">
        <f ca="1">ROUND(_xll.qlBondYieldFromCleanPrice(Q72,H72,YieldDayCounter,YieldCompounding,YieldFrequency)*100,3)</f>
        <v>3.1139999999999999</v>
      </c>
      <c r="L72" s="120">
        <f ca="1">_xll.qlBondDurationFromYield(P72,J72,YieldDayCounter,YieldCompounding,YieldFrequency,L$2)</f>
        <v>2.6149830210908083</v>
      </c>
      <c r="M72" s="120">
        <f ca="1">_xll.qlBondConvexityFromYield(P72,J72/100,YieldDayCounter,YieldCompounding,YieldFrequency)</f>
        <v>120.93966248958532</v>
      </c>
      <c r="N72" s="121" t="e">
        <f ca="1">_xll.BDP(A72&amp;" Corp","risk mid")</f>
        <v>#NAME?</v>
      </c>
      <c r="O72" s="107" t="str">
        <f>_xll.qlZeroCouponBond(,,"EUR",3,"target",100,$B72,"f",100,,,Trigger)</f>
        <v>obj_00ead#0000</v>
      </c>
      <c r="P72" s="107" t="str">
        <f>_xll.qlZeroCouponBond(,,"EUR",3,"target",100,$B72,"f",100,,,Trigger)</f>
        <v>obj_00de6#0000</v>
      </c>
      <c r="Q72" s="107" t="str">
        <f>_xll.qlZeroCouponBond(,,"EUR",3,"target",100,$B72,"f",100,,,Trigger)</f>
        <v>obj_00e50#0000</v>
      </c>
      <c r="R72" s="123">
        <f t="shared" ca="1" si="69"/>
        <v>71.13</v>
      </c>
      <c r="S72" s="130">
        <f t="shared" ref="S72" ca="1" si="77">R72</f>
        <v>71.13</v>
      </c>
      <c r="T72" s="147" t="str">
        <f>IF(UPPER(U$1)="ABCD",_xll.RtContribute($E$3,$E72,$R$3:$S$3,$R72:$S72,"SCOPE:SERVER"),"--")</f>
        <v>--</v>
      </c>
      <c r="U72" s="151" t="str">
        <f t="shared" si="74"/>
        <v/>
      </c>
      <c r="V72" s="134" t="str">
        <f t="shared" si="71"/>
        <v>EUR.PRICING.XLS_STRIPS.IT0004976467</v>
      </c>
      <c r="W72" s="134" t="str">
        <f>IF(UPPER($X$1)="ABCD",_xll.MKV_PUBLISHRECORD(V72, "XLS_STRIPS"),"--")</f>
        <v>--</v>
      </c>
      <c r="X72" s="135" t="str">
        <f>IF(UPPER(X$1)="ABCD",_xll.MKV_SUPPLYRECORD(V72, "Bid",F72, "Ask",H72, "Id",A72, "Mid",G72, "Name",D72,"DV01",N72,"MidYield",J72,"BidYield",I72,"AskYield",K72),"--")</f>
        <v>--</v>
      </c>
    </row>
    <row r="73" spans="1:24" x14ac:dyDescent="0.2">
      <c r="A73" s="72" t="s">
        <v>61</v>
      </c>
      <c r="B73" s="89">
        <v>45962</v>
      </c>
      <c r="C73" s="139" t="e">
        <f ca="1">_xll.BDP(A73&amp;" Corp", "days to mty")</f>
        <v>#NAME?</v>
      </c>
      <c r="D73" s="47" t="s">
        <v>409</v>
      </c>
      <c r="E73" s="47" t="s">
        <v>410</v>
      </c>
      <c r="F73" s="138">
        <f ca="1"/>
        <v>70.89</v>
      </c>
      <c r="G73" s="138">
        <f ca="1"/>
        <v>71.17</v>
      </c>
      <c r="H73" s="138">
        <f t="shared" ca="1" si="72"/>
        <v>71.45</v>
      </c>
      <c r="I73" s="32">
        <f ca="1">ROUND(_xll.qlBondYieldFromCleanPrice(O73,F73,YieldDayCounter,YieldCompounding,YieldFrequency)*100,3)</f>
        <v>3.169</v>
      </c>
      <c r="J73" s="32">
        <f ca="1">ROUND(_xll.qlBondYieldFromCleanPrice(P73,G73,YieldDayCounter,YieldCompounding,YieldFrequency)*100,3)</f>
        <v>3.1320000000000001</v>
      </c>
      <c r="K73" s="32">
        <f ca="1">ROUND(_xll.qlBondYieldFromCleanPrice(Q73,H73,YieldDayCounter,YieldCompounding,YieldFrequency)*100,3)</f>
        <v>3.0950000000000002</v>
      </c>
      <c r="L73" s="120">
        <f ca="1">_xll.qlBondDurationFromYield(P73,J73,YieldDayCounter,YieldCompounding,YieldFrequency,L$2)</f>
        <v>2.6687795886432655</v>
      </c>
      <c r="M73" s="120">
        <f ca="1">_xll.qlBondConvexityFromYield(P73,J73/100,YieldDayCounter,YieldCompounding,YieldFrequency)</f>
        <v>124.69751422616579</v>
      </c>
      <c r="N73" s="121" t="e">
        <f ca="1">_xll.BDP(A73&amp;" Corp","risk mid")</f>
        <v>#NAME?</v>
      </c>
      <c r="O73" s="107" t="str">
        <f>_xll.qlZeroCouponBond(,,"EUR",3,"target",100,$B73,"f",100,,,Trigger)</f>
        <v>obj_00e87#0000</v>
      </c>
      <c r="P73" s="107" t="str">
        <f>_xll.qlZeroCouponBond(,,"EUR",3,"target",100,$B73,"f",100,,,Trigger)</f>
        <v>obj_00e3b#0000</v>
      </c>
      <c r="Q73" s="107" t="str">
        <f>_xll.qlZeroCouponBond(,,"EUR",3,"target",100,$B73,"f",100,,,Trigger)</f>
        <v>obj_00ddd#0000</v>
      </c>
      <c r="R73" s="123">
        <f t="shared" ca="1" si="69"/>
        <v>70.89</v>
      </c>
      <c r="S73" s="130">
        <f t="shared" ref="S73" ca="1" si="78">R73</f>
        <v>70.89</v>
      </c>
      <c r="T73" s="147" t="str">
        <f>IF(UPPER(U$1)="ABCD",_xll.RtContribute($E$3,$E73,$R$3:$S$3,$R73:$S73,"SCOPE:SERVER"),"--")</f>
        <v>--</v>
      </c>
      <c r="U73" s="151" t="str">
        <f t="shared" si="74"/>
        <v/>
      </c>
      <c r="V73" s="134" t="str">
        <f t="shared" si="71"/>
        <v>EUR.PRICING.XLS_STRIPS.IT0001247367</v>
      </c>
      <c r="W73" s="134" t="str">
        <f>IF(UPPER($X$1)="ABCD",_xll.MKV_PUBLISHRECORD(V73, "XLS_STRIPS"),"--")</f>
        <v>--</v>
      </c>
      <c r="X73" s="135" t="str">
        <f>IF(UPPER(X$1)="ABCD",_xll.MKV_SUPPLYRECORD(V73, "Bid",F73, "Ask",H73, "Id",A73, "Mid",G73, "Name",D73,"DV01",N73,"MidYield",J73,"BidYield",I73,"AskYield",K73),"--")</f>
        <v>--</v>
      </c>
    </row>
    <row r="74" spans="1:24" x14ac:dyDescent="0.2">
      <c r="A74" s="72" t="s">
        <v>62</v>
      </c>
      <c r="B74" s="89">
        <v>46054</v>
      </c>
      <c r="C74" s="139" t="e">
        <f ca="1">_xll.BDP(A74&amp;" Corp", "days to mty")</f>
        <v>#NAME?</v>
      </c>
      <c r="D74" s="47" t="s">
        <v>411</v>
      </c>
      <c r="E74" s="47" t="s">
        <v>412</v>
      </c>
      <c r="F74" s="138">
        <f ca="1"/>
        <v>70.62</v>
      </c>
      <c r="G74" s="138">
        <f ca="1"/>
        <v>70.91</v>
      </c>
      <c r="H74" s="138">
        <f t="shared" ca="1" si="72"/>
        <v>71.2</v>
      </c>
      <c r="I74" s="32">
        <f ca="1">ROUND(_xll.qlBondYieldFromCleanPrice(O74,F74,YieldDayCounter,YieldCompounding,YieldFrequency)*100,3)</f>
        <v>3.133</v>
      </c>
      <c r="J74" s="32">
        <f ca="1">ROUND(_xll.qlBondYieldFromCleanPrice(P74,G74,YieldDayCounter,YieldCompounding,YieldFrequency)*100,3)</f>
        <v>3.0950000000000002</v>
      </c>
      <c r="K74" s="32">
        <f ca="1">ROUND(_xll.qlBondYieldFromCleanPrice(Q74,H74,YieldDayCounter,YieldCompounding,YieldFrequency)*100,3)</f>
        <v>3.0579999999999998</v>
      </c>
      <c r="L74" s="120">
        <f ca="1">_xll.qlBondDurationFromYield(P74,J74,YieldDayCounter,YieldCompounding,YieldFrequency,L$2)</f>
        <v>2.7537759044608356</v>
      </c>
      <c r="M74" s="120">
        <f ca="1">_xll.qlBondConvexityFromYield(P74,J74/100,YieldDayCounter,YieldCompounding,YieldFrequency)</f>
        <v>130.25349197564591</v>
      </c>
      <c r="N74" s="121" t="e">
        <f ca="1">_xll.BDP(A74&amp;" Corp","risk mid")</f>
        <v>#NAME?</v>
      </c>
      <c r="O74" s="107" t="str">
        <f>_xll.qlZeroCouponBond(,,"EUR",3,"target",100,$B74,"f",100,,,Trigger)</f>
        <v>obj_00de8#0000</v>
      </c>
      <c r="P74" s="107" t="str">
        <f>_xll.qlZeroCouponBond(,,"EUR",3,"target",100,$B74,"f",100,,,Trigger)</f>
        <v>obj_00e4c#0000</v>
      </c>
      <c r="Q74" s="107" t="str">
        <f>_xll.qlZeroCouponBond(,,"EUR",3,"target",100,$B74,"f",100,,,Trigger)</f>
        <v>obj_00f5c#0000</v>
      </c>
      <c r="R74" s="123">
        <f t="shared" ca="1" si="69"/>
        <v>70.62</v>
      </c>
      <c r="S74" s="130">
        <f t="shared" ref="S74" ca="1" si="79">R74</f>
        <v>70.62</v>
      </c>
      <c r="T74" s="147" t="str">
        <f>IF(UPPER(U$1)="ABCD",_xll.RtContribute($E$3,$E74,$R$3:$S$3,$R74:$S74,"SCOPE:SERVER"),"--")</f>
        <v>--</v>
      </c>
      <c r="U74" s="151" t="str">
        <f t="shared" si="74"/>
        <v/>
      </c>
      <c r="V74" s="134" t="str">
        <f t="shared" si="71"/>
        <v>EUR.PRICING.XLS_STRIPS.IT0003268841</v>
      </c>
      <c r="W74" s="134" t="str">
        <f>IF(UPPER($X$1)="ABCD",_xll.MKV_PUBLISHRECORD(V74, "XLS_STRIPS"),"--")</f>
        <v>--</v>
      </c>
      <c r="X74" s="135" t="str">
        <f>IF(UPPER(X$1)="ABCD",_xll.MKV_SUPPLYRECORD(V74, "Bid",F74, "Ask",H74, "Id",A74, "Mid",G74, "Name",D74,"DV01",N74,"MidYield",J74,"BidYield",I74,"AskYield",K74),"--")</f>
        <v>--</v>
      </c>
    </row>
    <row r="75" spans="1:24" x14ac:dyDescent="0.2">
      <c r="A75" s="72" t="s">
        <v>186</v>
      </c>
      <c r="B75" s="89">
        <v>46082</v>
      </c>
      <c r="C75" s="139" t="e">
        <f ca="1">_xll.BDP(A75&amp;" Corp", "days to mty")</f>
        <v>#NAME?</v>
      </c>
      <c r="D75" s="47" t="s">
        <v>187</v>
      </c>
      <c r="E75" s="47" t="s">
        <v>188</v>
      </c>
      <c r="F75" s="138">
        <f ca="1"/>
        <v>70.510000000000005</v>
      </c>
      <c r="G75" s="138">
        <f ca="1"/>
        <v>70.790000000000006</v>
      </c>
      <c r="H75" s="138">
        <f t="shared" ca="1" si="72"/>
        <v>71.069999999999993</v>
      </c>
      <c r="I75" s="32">
        <f ca="1">ROUND(_xll.qlBondYieldFromCleanPrice(O75,F75,YieldDayCounter,YieldCompounding,YieldFrequency)*100,3)</f>
        <v>3.125</v>
      </c>
      <c r="J75" s="32">
        <f ca="1">ROUND(_xll.qlBondYieldFromCleanPrice(P75,G75,YieldDayCounter,YieldCompounding,YieldFrequency)*100,3)</f>
        <v>3.089</v>
      </c>
      <c r="K75" s="32">
        <f ca="1">ROUND(_xll.qlBondYieldFromCleanPrice(Q75,H75,YieldDayCounter,YieldCompounding,YieldFrequency)*100,3)</f>
        <v>3.0539999999999998</v>
      </c>
      <c r="L75" s="120">
        <f ca="1">_xll.qlBondDurationFromYield(P75,J75,YieldDayCounter,YieldCompounding,YieldFrequency,L$2)</f>
        <v>2.7765773190350322</v>
      </c>
      <c r="M75" s="120">
        <f ca="1">_xll.qlBondConvexityFromYield(P75,J75/100,YieldDayCounter,YieldCompounding,YieldFrequency)</f>
        <v>131.97437059467774</v>
      </c>
      <c r="N75" s="121" t="e">
        <f ca="1">_xll.BDP(A75&amp;" Corp","risk mid")</f>
        <v>#NAME?</v>
      </c>
      <c r="O75" s="107" t="str">
        <f>_xll.qlZeroCouponBond(,,"EUR",3,"target",100,$B75,"f",100,,,Trigger)</f>
        <v>obj_00df3#0000</v>
      </c>
      <c r="P75" s="107" t="str">
        <f>_xll.qlZeroCouponBond(,,"EUR",3,"target",100,$B75,"f",100,,,Trigger)</f>
        <v>obj_00e86#0000</v>
      </c>
      <c r="Q75" s="107" t="str">
        <f>_xll.qlZeroCouponBond(,,"EUR",3,"target",100,$B75,"f",100,,,Trigger)</f>
        <v>obj_00e47#0000</v>
      </c>
      <c r="R75" s="123">
        <f t="shared" ca="1" si="69"/>
        <v>70.510000000000005</v>
      </c>
      <c r="S75" s="130">
        <f t="shared" ref="S75" ca="1" si="80">R75</f>
        <v>70.510000000000005</v>
      </c>
      <c r="T75" s="147" t="str">
        <f>IF(UPPER(U$1)="ABCD",_xll.RtContribute($E$3,$E75,$R$3:$S$3,$R75:$S75,"SCOPE:SERVER"),"--")</f>
        <v>--</v>
      </c>
      <c r="U75" s="151" t="str">
        <f t="shared" si="74"/>
        <v/>
      </c>
      <c r="V75" s="134" t="str">
        <f t="shared" si="71"/>
        <v>EUR.PRICING.XLS_STRIPS.IT0004976475</v>
      </c>
      <c r="W75" s="134" t="str">
        <f>IF(UPPER($X$1)="ABCD",_xll.MKV_PUBLISHRECORD(V75, "XLS_STRIPS"),"--")</f>
        <v>--</v>
      </c>
      <c r="X75" s="135" t="str">
        <f>IF(UPPER(X$1)="ABCD",_xll.MKV_SUPPLYRECORD(V75, "Bid",F75, "Ask",H75, "Id",A75, "Mid",G75, "Name",D75,"DV01",N75,"MidYield",J75,"BidYield",I75,"AskYield",K75),"--")</f>
        <v>--</v>
      </c>
    </row>
    <row r="76" spans="1:24" x14ac:dyDescent="0.2">
      <c r="A76" s="72" t="s">
        <v>63</v>
      </c>
      <c r="B76" s="89">
        <v>46143</v>
      </c>
      <c r="C76" s="139" t="e">
        <f ca="1">_xll.BDP(A76&amp;" Corp", "days to mty")</f>
        <v>#NAME?</v>
      </c>
      <c r="D76" s="47" t="s">
        <v>413</v>
      </c>
      <c r="E76" s="47" t="s">
        <v>414</v>
      </c>
      <c r="F76" s="138">
        <f ca="1"/>
        <v>70.08</v>
      </c>
      <c r="G76" s="138">
        <f ca="1"/>
        <v>70.37</v>
      </c>
      <c r="H76" s="138">
        <f t="shared" ca="1" si="72"/>
        <v>70.66</v>
      </c>
      <c r="I76" s="32">
        <f ca="1">ROUND(_xll.qlBondYieldFromCleanPrice(O76,F76,YieldDayCounter,YieldCompounding,YieldFrequency)*100,3)</f>
        <v>3.133</v>
      </c>
      <c r="J76" s="32">
        <f ca="1">ROUND(_xll.qlBondYieldFromCleanPrice(P76,G76,YieldDayCounter,YieldCompounding,YieldFrequency)*100,3)</f>
        <v>3.0960000000000001</v>
      </c>
      <c r="K76" s="32">
        <f ca="1">ROUND(_xll.qlBondYieldFromCleanPrice(Q76,H76,YieldDayCounter,YieldCompounding,YieldFrequency)*100,3)</f>
        <v>3.0590000000000002</v>
      </c>
      <c r="L76" s="120">
        <f ca="1">_xll.qlBondDurationFromYield(P76,J76,YieldDayCounter,YieldCompounding,YieldFrequency,L$2)</f>
        <v>2.8139715325342456</v>
      </c>
      <c r="M76" s="120">
        <f ca="1">_xll.qlBondConvexityFromYield(P76,J76/100,YieldDayCounter,YieldCompounding,YieldFrequency)</f>
        <v>135.83427647246069</v>
      </c>
      <c r="N76" s="121" t="e">
        <f ca="1">_xll.BDP(A76&amp;" Corp","risk mid")</f>
        <v>#NAME?</v>
      </c>
      <c r="O76" s="107" t="str">
        <f>_xll.qlZeroCouponBond(,,"EUR",3,"target",100,$B76,"f",100,,,Trigger)</f>
        <v>obj_00f19#0000</v>
      </c>
      <c r="P76" s="107" t="str">
        <f>_xll.qlZeroCouponBond(,,"EUR",3,"target",100,$B76,"f",100,,,Trigger)</f>
        <v>obj_00f28#0000</v>
      </c>
      <c r="Q76" s="107" t="str">
        <f>_xll.qlZeroCouponBond(,,"EUR",3,"target",100,$B76,"f",100,,,Trigger)</f>
        <v>obj_00ec8#0000</v>
      </c>
      <c r="R76" s="123">
        <f t="shared" ca="1" si="69"/>
        <v>70.08</v>
      </c>
      <c r="S76" s="130">
        <f t="shared" ref="S76" ca="1" si="81">R76</f>
        <v>70.08</v>
      </c>
      <c r="T76" s="147" t="str">
        <f>IF(UPPER(U$1)="ABCD",_xll.RtContribute($E$3,$E76,$R$3:$S$3,$R76:$S76,"SCOPE:SERVER"),"--")</f>
        <v>--</v>
      </c>
      <c r="U76" s="151" t="str">
        <f t="shared" si="74"/>
        <v/>
      </c>
      <c r="V76" s="134" t="str">
        <f t="shared" si="71"/>
        <v>EUR.PRICING.XLS_STRIPS.IT0001247375</v>
      </c>
      <c r="W76" s="134" t="str">
        <f>IF(UPPER($X$1)="ABCD",_xll.MKV_PUBLISHRECORD(V76, "XLS_STRIPS"),"--")</f>
        <v>--</v>
      </c>
      <c r="X76" s="135" t="str">
        <f>IF(UPPER(X$1)="ABCD",_xll.MKV_SUPPLYRECORD(V76, "Bid",F76, "Ask",H76, "Id",A76, "Mid",G76, "Name",D76,"DV01",N76,"MidYield",J76,"BidYield",I76,"AskYield",K76),"--")</f>
        <v>--</v>
      </c>
    </row>
    <row r="77" spans="1:24" x14ac:dyDescent="0.2">
      <c r="A77" s="72" t="s">
        <v>64</v>
      </c>
      <c r="B77" s="89">
        <v>46235</v>
      </c>
      <c r="C77" s="139" t="e">
        <f ca="1">_xll.BDP(A77&amp;" Corp", "days to mty")</f>
        <v>#NAME?</v>
      </c>
      <c r="D77" s="47" t="s">
        <v>415</v>
      </c>
      <c r="E77" s="47" t="s">
        <v>416</v>
      </c>
      <c r="F77" s="138">
        <f ca="1"/>
        <v>69.09</v>
      </c>
      <c r="G77" s="138">
        <f ca="1"/>
        <v>69.38</v>
      </c>
      <c r="H77" s="138">
        <f t="shared" ca="1" si="72"/>
        <v>69.67</v>
      </c>
      <c r="I77" s="32">
        <f ca="1">ROUND(_xll.qlBondYieldFromCleanPrice(O77,F77,YieldDayCounter,YieldCompounding,YieldFrequency)*100,3)</f>
        <v>3.19</v>
      </c>
      <c r="J77" s="32">
        <f ca="1">ROUND(_xll.qlBondYieldFromCleanPrice(P77,G77,YieldDayCounter,YieldCompounding,YieldFrequency)*100,3)</f>
        <v>3.153</v>
      </c>
      <c r="K77" s="32">
        <f ca="1">ROUND(_xll.qlBondYieldFromCleanPrice(Q77,H77,YieldDayCounter,YieldCompounding,YieldFrequency)*100,3)</f>
        <v>3.117</v>
      </c>
      <c r="L77" s="120">
        <f ca="1">_xll.qlBondDurationFromYield(P77,J77,YieldDayCounter,YieldCompounding,YieldFrequency,L$2)</f>
        <v>2.8353822455462128</v>
      </c>
      <c r="M77" s="120">
        <f ca="1">_xll.qlBondConvexityFromYield(P77,J77/100,YieldDayCounter,YieldCompounding,YieldFrequency)</f>
        <v>141.37817510327906</v>
      </c>
      <c r="N77" s="121" t="e">
        <f ca="1">_xll.BDP(A77&amp;" Corp","risk mid")</f>
        <v>#NAME?</v>
      </c>
      <c r="O77" s="107" t="str">
        <f>_xll.qlZeroCouponBond(,,"EUR",3,"target",100,$B77,"f",100,,,Trigger)</f>
        <v>obj_00f69#0000</v>
      </c>
      <c r="P77" s="107" t="str">
        <f>_xll.qlZeroCouponBond(,,"EUR",3,"target",100,$B77,"f",100,,,Trigger)</f>
        <v>obj_00e48#0000</v>
      </c>
      <c r="Q77" s="107" t="str">
        <f>_xll.qlZeroCouponBond(,,"EUR",3,"target",100,$B77,"f",100,,,Trigger)</f>
        <v>obj_00e0f#0000</v>
      </c>
      <c r="R77" s="123">
        <f t="shared" ca="1" si="69"/>
        <v>69.09</v>
      </c>
      <c r="S77" s="130">
        <f t="shared" ref="S77" ca="1" si="82">R77</f>
        <v>69.09</v>
      </c>
      <c r="T77" s="147" t="str">
        <f>IF(UPPER(U$1)="ABCD",_xll.RtContribute($E$3,$E77,$R$3:$S$3,$R77:$S77,"SCOPE:SERVER"),"--")</f>
        <v>--</v>
      </c>
      <c r="U77" s="151" t="str">
        <f t="shared" si="74"/>
        <v/>
      </c>
      <c r="V77" s="134" t="str">
        <f t="shared" si="71"/>
        <v>EUR.PRICING.XLS_STRIPS.IT0003268858</v>
      </c>
      <c r="W77" s="134" t="str">
        <f>IF(UPPER($X$1)="ABCD",_xll.MKV_PUBLISHRECORD(V77, "XLS_STRIPS"),"--")</f>
        <v>--</v>
      </c>
      <c r="X77" s="135" t="str">
        <f>IF(UPPER(X$1)="ABCD",_xll.MKV_SUPPLYRECORD(V77, "Bid",F77, "Ask",H77, "Id",A77, "Mid",G77, "Name",D77,"DV01",N77,"MidYield",J77,"BidYield",I77,"AskYield",K77),"--")</f>
        <v>--</v>
      </c>
    </row>
    <row r="78" spans="1:24" x14ac:dyDescent="0.2">
      <c r="A78" s="72" t="s">
        <v>189</v>
      </c>
      <c r="B78" s="89">
        <v>46266</v>
      </c>
      <c r="C78" s="139" t="e">
        <f ca="1">_xll.BDP(A78&amp;" Corp", "days to mty")</f>
        <v>#NAME?</v>
      </c>
      <c r="D78" s="47" t="s">
        <v>190</v>
      </c>
      <c r="E78" s="47" t="s">
        <v>191</v>
      </c>
      <c r="F78" s="138">
        <f ca="1"/>
        <v>68.7</v>
      </c>
      <c r="G78" s="138">
        <f ca="1"/>
        <v>68.989999999999995</v>
      </c>
      <c r="H78" s="138">
        <f t="shared" ca="1" si="72"/>
        <v>69.28</v>
      </c>
      <c r="I78" s="32">
        <f ca="1">ROUND(_xll.qlBondYieldFromCleanPrice(O78,F78,YieldDayCounter,YieldCompounding,YieldFrequency)*100,3)</f>
        <v>3.218</v>
      </c>
      <c r="J78" s="32">
        <f ca="1">ROUND(_xll.qlBondYieldFromCleanPrice(P78,G78,YieldDayCounter,YieldCompounding,YieldFrequency)*100,3)</f>
        <v>3.181</v>
      </c>
      <c r="K78" s="32">
        <f ca="1">ROUND(_xll.qlBondYieldFromCleanPrice(Q78,H78,YieldDayCounter,YieldCompounding,YieldFrequency)*100,3)</f>
        <v>3.1440000000000001</v>
      </c>
      <c r="L78" s="120">
        <f ca="1">_xll.qlBondDurationFromYield(P78,J78,YieldDayCounter,YieldCompounding,YieldFrequency,L$2)</f>
        <v>2.8353969195283297</v>
      </c>
      <c r="M78" s="120">
        <f ca="1">_xll.qlBondConvexityFromYield(P78,J78/100,YieldDayCounter,YieldCompounding,YieldFrequency)</f>
        <v>143.13956877113793</v>
      </c>
      <c r="N78" s="121" t="e">
        <f ca="1">_xll.BDP(A78&amp;" Corp","risk mid")</f>
        <v>#NAME?</v>
      </c>
      <c r="O78" s="107" t="str">
        <f>_xll.qlZeroCouponBond(,,"EUR",3,"target",100,$B78,"f",100,,,Trigger)</f>
        <v>obj_00e9e#0000</v>
      </c>
      <c r="P78" s="107" t="str">
        <f>_xll.qlZeroCouponBond(,,"EUR",3,"target",100,$B78,"f",100,,,Trigger)</f>
        <v>obj_00ed5#0000</v>
      </c>
      <c r="Q78" s="107" t="str">
        <f>_xll.qlZeroCouponBond(,,"EUR",3,"target",100,$B78,"f",100,,,Trigger)</f>
        <v>obj_00ee5#0000</v>
      </c>
      <c r="R78" s="123">
        <f t="shared" ca="1" si="69"/>
        <v>68.7</v>
      </c>
      <c r="S78" s="130">
        <f t="shared" ref="S78" ca="1" si="83">R78</f>
        <v>68.7</v>
      </c>
      <c r="T78" s="147" t="str">
        <f>IF(UPPER(U$1)="ABCD",_xll.RtContribute($E$3,$E78,$R$3:$S$3,$R78:$S78,"SCOPE:SERVER"),"--")</f>
        <v>--</v>
      </c>
      <c r="U78" s="151" t="str">
        <f t="shared" si="74"/>
        <v/>
      </c>
      <c r="V78" s="134" t="str">
        <f t="shared" si="71"/>
        <v>EUR.PRICING.XLS_STRIPS.IT0004976483</v>
      </c>
      <c r="W78" s="134" t="str">
        <f>IF(UPPER($X$1)="ABCD",_xll.MKV_PUBLISHRECORD(V78, "XLS_STRIPS"),"--")</f>
        <v>--</v>
      </c>
      <c r="X78" s="135" t="str">
        <f>IF(UPPER(X$1)="ABCD",_xll.MKV_SUPPLYRECORD(V78, "Bid",F78, "Ask",H78, "Id",A78, "Mid",G78, "Name",D78,"DV01",N78,"MidYield",J78,"BidYield",I78,"AskYield",K78),"--")</f>
        <v>--</v>
      </c>
    </row>
    <row r="79" spans="1:24" x14ac:dyDescent="0.2">
      <c r="A79" s="72" t="s">
        <v>417</v>
      </c>
      <c r="B79" s="89">
        <v>46327</v>
      </c>
      <c r="C79" s="139" t="e">
        <f ca="1">_xll.BDP(A79&amp;" Corp", "days to mty")</f>
        <v>#NAME?</v>
      </c>
      <c r="D79" s="47" t="s">
        <v>418</v>
      </c>
      <c r="E79" s="47" t="s">
        <v>419</v>
      </c>
      <c r="F79" s="138">
        <f ca="1"/>
        <v>67.930000000000007</v>
      </c>
      <c r="G79" s="138">
        <f ca="1"/>
        <v>68.22</v>
      </c>
      <c r="H79" s="138">
        <f t="shared" ca="1" si="72"/>
        <v>68.510000000000005</v>
      </c>
      <c r="I79" s="32">
        <f ca="1">ROUND(_xll.qlBondYieldFromCleanPrice(O79,F79,YieldDayCounter,YieldCompounding,YieldFrequency)*100,3)</f>
        <v>3.2679999999999998</v>
      </c>
      <c r="J79" s="32">
        <f ca="1">ROUND(_xll.qlBondYieldFromCleanPrice(P79,G79,YieldDayCounter,YieldCompounding,YieldFrequency)*100,3)</f>
        <v>3.2320000000000002</v>
      </c>
      <c r="K79" s="32">
        <f ca="1">ROUND(_xll.qlBondYieldFromCleanPrice(Q79,H79,YieldDayCounter,YieldCompounding,YieldFrequency)*100,3)</f>
        <v>3.1949999999999998</v>
      </c>
      <c r="L79" s="120">
        <f ca="1">_xll.qlBondDurationFromYield(P79,J79,YieldDayCounter,YieldCompounding,YieldFrequency,L$2)</f>
        <v>2.841365201854106</v>
      </c>
      <c r="M79" s="120">
        <f ca="1">_xll.qlBondConvexityFromYield(P79,J79/100,YieldDayCounter,YieldCompounding,YieldFrequency)</f>
        <v>146.96379110359882</v>
      </c>
      <c r="N79" s="121" t="e">
        <f ca="1">_xll.BDP(A79&amp;" Corp","risk mid")</f>
        <v>#NAME?</v>
      </c>
      <c r="O79" s="107" t="str">
        <f>_xll.qlZeroCouponBond(,,"EUR",3,"target",100,$B79,"f",100,,,Trigger)</f>
        <v>obj_00e30#0000</v>
      </c>
      <c r="P79" s="107" t="str">
        <f>_xll.qlZeroCouponBond(,,"EUR",3,"target",100,$B79,"f",100,,,Trigger)</f>
        <v>obj_00f6d#0000</v>
      </c>
      <c r="Q79" s="107" t="str">
        <f>_xll.qlZeroCouponBond(,,"EUR",3,"target",100,$B79,"f",100,,,Trigger)</f>
        <v>obj_00f84#0000</v>
      </c>
      <c r="R79" s="123">
        <f t="shared" ca="1" si="69"/>
        <v>67.930000000000007</v>
      </c>
      <c r="S79" s="130">
        <f t="shared" ref="S79" ca="1" si="84">R79</f>
        <v>67.930000000000007</v>
      </c>
      <c r="T79" s="147" t="str">
        <f>IF(UPPER(U$1)="ABCD",_xll.RtContribute($E$3,$E79,$R$3:$S$3,$R79:$S79,"SCOPE:SERVER"),"--")</f>
        <v>--</v>
      </c>
      <c r="U79" s="151" t="str">
        <f t="shared" si="74"/>
        <v/>
      </c>
      <c r="V79" s="134" t="str">
        <f t="shared" si="71"/>
        <v>EUR.PRICING.XLS_STRIPS.IT0004848443</v>
      </c>
      <c r="W79" s="134" t="str">
        <f>IF(UPPER($X$1)="ABCD",_xll.MKV_PUBLISHRECORD(V79, "XLS_STRIPS"),"--")</f>
        <v>--</v>
      </c>
      <c r="X79" s="135" t="str">
        <f>IF(UPPER(X$1)="ABCD",_xll.MKV_SUPPLYRECORD(V79, "Bid",F79, "Ask",H79, "Id",A79, "Mid",G79, "Name",D79,"DV01",N79,"MidYield",J79,"BidYield",I79,"AskYield",K79),"--")</f>
        <v>--</v>
      </c>
    </row>
    <row r="80" spans="1:24" x14ac:dyDescent="0.2">
      <c r="A80" s="72" t="s">
        <v>65</v>
      </c>
      <c r="B80" s="89">
        <v>46419</v>
      </c>
      <c r="C80" s="139" t="e">
        <f ca="1">_xll.BDP(A80&amp;" Corp", "days to mty")</f>
        <v>#NAME?</v>
      </c>
      <c r="D80" s="47" t="s">
        <v>420</v>
      </c>
      <c r="E80" s="47" t="s">
        <v>421</v>
      </c>
      <c r="F80" s="138">
        <f ca="1"/>
        <v>66.84</v>
      </c>
      <c r="G80" s="138">
        <f ca="1"/>
        <v>67.13</v>
      </c>
      <c r="H80" s="138">
        <f t="shared" ca="1" si="72"/>
        <v>67.42</v>
      </c>
      <c r="I80" s="32">
        <f ca="1">ROUND(_xll.qlBondYieldFromCleanPrice(O80,F80,YieldDayCounter,YieldCompounding,YieldFrequency)*100,3)</f>
        <v>3.3370000000000002</v>
      </c>
      <c r="J80" s="32">
        <f ca="1">ROUND(_xll.qlBondYieldFromCleanPrice(P80,G80,YieldDayCounter,YieldCompounding,YieldFrequency)*100,3)</f>
        <v>3.3</v>
      </c>
      <c r="K80" s="32">
        <f ca="1">ROUND(_xll.qlBondYieldFromCleanPrice(Q80,H80,YieldDayCounter,YieldCompounding,YieldFrequency)*100,3)</f>
        <v>3.2639999999999998</v>
      </c>
      <c r="L80" s="120">
        <f ca="1">_xll.qlBondDurationFromYield(P80,J80,YieldDayCounter,YieldCompounding,YieldFrequency,L$2)</f>
        <v>2.8544122331952848</v>
      </c>
      <c r="M80" s="120">
        <f ca="1">_xll.qlBondConvexityFromYield(P80,J80/100,YieldDayCounter,YieldCompounding,YieldFrequency)</f>
        <v>152.6811503591033</v>
      </c>
      <c r="N80" s="121" t="e">
        <f ca="1">_xll.BDP(A80&amp;" Corp","risk mid")</f>
        <v>#NAME?</v>
      </c>
      <c r="O80" s="107" t="str">
        <f>_xll.qlZeroCouponBond(,,"EUR",3,"target",100,$B80,"f",100,,,Trigger)</f>
        <v>obj_00f60#0000</v>
      </c>
      <c r="P80" s="107" t="str">
        <f>_xll.qlZeroCouponBond(,,"EUR",3,"target",100,$B80,"f",100,,,Trigger)</f>
        <v>obj_00f03#0000</v>
      </c>
      <c r="Q80" s="107" t="str">
        <f>_xll.qlZeroCouponBond(,,"EUR",3,"target",100,$B80,"f",100,,,Trigger)</f>
        <v>obj_00dd2#0000</v>
      </c>
      <c r="R80" s="123">
        <f t="shared" ca="1" si="69"/>
        <v>66.84</v>
      </c>
      <c r="S80" s="130">
        <f t="shared" ref="S80" ca="1" si="85">R80</f>
        <v>66.84</v>
      </c>
      <c r="T80" s="147" t="str">
        <f>IF(UPPER(U$1)="ABCD",_xll.RtContribute($E$3,$E80,$R$3:$S$3,$R80:$S80,"SCOPE:SERVER"),"--")</f>
        <v>--</v>
      </c>
      <c r="U80" s="151" t="str">
        <f t="shared" si="74"/>
        <v/>
      </c>
      <c r="V80" s="134" t="str">
        <f t="shared" si="71"/>
        <v>EUR.PRICING.XLS_STRIPS.IT0003268874</v>
      </c>
      <c r="W80" s="134" t="str">
        <f>IF(UPPER($X$1)="ABCD",_xll.MKV_PUBLISHRECORD(V80, "XLS_STRIPS"),"--")</f>
        <v>--</v>
      </c>
      <c r="X80" s="135" t="str">
        <f>IF(UPPER(X$1)="ABCD",_xll.MKV_SUPPLYRECORD(V80, "Bid",F80, "Ask",H80, "Id",A80, "Mid",G80, "Name",D80,"DV01",N80,"MidYield",J80,"BidYield",I80,"AskYield",K80),"--")</f>
        <v>--</v>
      </c>
    </row>
    <row r="81" spans="1:24" x14ac:dyDescent="0.2">
      <c r="A81" s="72" t="s">
        <v>192</v>
      </c>
      <c r="B81" s="89">
        <v>46447</v>
      </c>
      <c r="C81" s="139" t="e">
        <f ca="1">_xll.BDP(A81&amp;" Corp", "days to mty")</f>
        <v>#NAME?</v>
      </c>
      <c r="D81" s="47" t="s">
        <v>193</v>
      </c>
      <c r="E81" s="47" t="s">
        <v>194</v>
      </c>
      <c r="F81" s="138">
        <f ca="1"/>
        <v>66.53</v>
      </c>
      <c r="G81" s="138">
        <f ca="1"/>
        <v>66.819999999999993</v>
      </c>
      <c r="H81" s="138">
        <f t="shared" ca="1" si="72"/>
        <v>67.11</v>
      </c>
      <c r="I81" s="32">
        <f ca="1">ROUND(_xll.qlBondYieldFromCleanPrice(O81,F81,YieldDayCounter,YieldCompounding,YieldFrequency)*100,3)</f>
        <v>3.355</v>
      </c>
      <c r="J81" s="32">
        <f ca="1">ROUND(_xll.qlBondYieldFromCleanPrice(P81,G81,YieldDayCounter,YieldCompounding,YieldFrequency)*100,3)</f>
        <v>3.3180000000000001</v>
      </c>
      <c r="K81" s="32">
        <f ca="1">ROUND(_xll.qlBondYieldFromCleanPrice(Q81,H81,YieldDayCounter,YieldCompounding,YieldFrequency)*100,3)</f>
        <v>3.282</v>
      </c>
      <c r="L81" s="120">
        <f ca="1">_xll.qlBondDurationFromYield(P81,J81,YieldDayCounter,YieldCompounding,YieldFrequency,L$2)</f>
        <v>2.8602790485194194</v>
      </c>
      <c r="M81" s="120">
        <f ca="1">_xll.qlBondConvexityFromYield(P81,J81/100,YieldDayCounter,YieldCompounding,YieldFrequency)</f>
        <v>154.46945297334634</v>
      </c>
      <c r="N81" s="121" t="e">
        <f ca="1">_xll.BDP(A81&amp;" Corp","risk mid")</f>
        <v>#NAME?</v>
      </c>
      <c r="O81" s="107" t="str">
        <f>_xll.qlZeroCouponBond(,,"EUR",3,"target",100,$B81,"f",100,,,Trigger)</f>
        <v>obj_00e53#0000</v>
      </c>
      <c r="P81" s="107" t="str">
        <f>_xll.qlZeroCouponBond(,,"EUR",3,"target",100,$B81,"f",100,,,Trigger)</f>
        <v>obj_00f65#0000</v>
      </c>
      <c r="Q81" s="107" t="str">
        <f>_xll.qlZeroCouponBond(,,"EUR",3,"target",100,$B81,"f",100,,,Trigger)</f>
        <v>obj_00f47#0000</v>
      </c>
      <c r="R81" s="123">
        <f t="shared" ca="1" si="69"/>
        <v>66.53</v>
      </c>
      <c r="S81" s="130">
        <f t="shared" ref="S81" ca="1" si="86">R81</f>
        <v>66.53</v>
      </c>
      <c r="T81" s="147" t="str">
        <f>IF(UPPER(U$1)="ABCD",_xll.RtContribute($E$3,$E81,$R$3:$S$3,$R81:$S81,"SCOPE:SERVER"),"--")</f>
        <v>--</v>
      </c>
      <c r="U81" s="151" t="str">
        <f t="shared" si="74"/>
        <v/>
      </c>
      <c r="V81" s="134" t="str">
        <f t="shared" si="71"/>
        <v>EUR.PRICING.XLS_STRIPS.IT0004976491</v>
      </c>
      <c r="W81" s="134" t="str">
        <f>IF(UPPER($X$1)="ABCD",_xll.MKV_PUBLISHRECORD(V81, "XLS_STRIPS"),"--")</f>
        <v>--</v>
      </c>
      <c r="X81" s="135" t="str">
        <f>IF(UPPER(X$1)="ABCD",_xll.MKV_SUPPLYRECORD(V81, "Bid",F81, "Ask",H81, "Id",A81, "Mid",G81, "Name",D81,"DV01",N81,"MidYield",J81,"BidYield",I81,"AskYield",K81),"--")</f>
        <v>--</v>
      </c>
    </row>
    <row r="82" spans="1:24" x14ac:dyDescent="0.2">
      <c r="A82" s="72" t="s">
        <v>66</v>
      </c>
      <c r="B82" s="89">
        <v>46508</v>
      </c>
      <c r="C82" s="139" t="e">
        <f ca="1">_xll.BDP(A82&amp;" Corp", "days to mty")</f>
        <v>#NAME?</v>
      </c>
      <c r="D82" s="47" t="s">
        <v>422</v>
      </c>
      <c r="E82" s="47" t="s">
        <v>423</v>
      </c>
      <c r="F82" s="138">
        <f ca="1"/>
        <v>65.89</v>
      </c>
      <c r="G82" s="138">
        <f ca="1"/>
        <v>66.19</v>
      </c>
      <c r="H82" s="138">
        <f t="shared" ca="1" si="72"/>
        <v>66.489999999999995</v>
      </c>
      <c r="I82" s="32">
        <f ca="1">ROUND(_xll.qlBondYieldFromCleanPrice(O82,F82,YieldDayCounter,YieldCompounding,YieldFrequency)*100,3)</f>
        <v>3.387</v>
      </c>
      <c r="J82" s="32">
        <f ca="1">ROUND(_xll.qlBondYieldFromCleanPrice(P82,G82,YieldDayCounter,YieldCompounding,YieldFrequency)*100,3)</f>
        <v>3.35</v>
      </c>
      <c r="K82" s="32">
        <f ca="1">ROUND(_xll.qlBondYieldFromCleanPrice(Q82,H82,YieldDayCounter,YieldCompounding,YieldFrequency)*100,3)</f>
        <v>3.3130000000000002</v>
      </c>
      <c r="L82" s="120">
        <f ca="1">_xll.qlBondDurationFromYield(P82,J82,YieldDayCounter,YieldCompounding,YieldFrequency,L$2)</f>
        <v>2.8789167060305467</v>
      </c>
      <c r="M82" s="120">
        <f ca="1">_xll.qlBondConvexityFromYield(P82,J82/100,YieldDayCounter,YieldCompounding,YieldFrequency)</f>
        <v>158.55490489753043</v>
      </c>
      <c r="N82" s="121" t="e">
        <f ca="1">_xll.BDP(A82&amp;" Corp","risk mid")</f>
        <v>#NAME?</v>
      </c>
      <c r="O82" s="107" t="str">
        <f>_xll.qlZeroCouponBond(,,"EUR",3,"target",100,$B82,"f",100,,,Trigger)</f>
        <v>obj_00eb5#0000</v>
      </c>
      <c r="P82" s="107" t="str">
        <f>_xll.qlZeroCouponBond(,,"EUR",3,"target",100,$B82,"f",100,,,Trigger)</f>
        <v>obj_00df8#0000</v>
      </c>
      <c r="Q82" s="107" t="str">
        <f>_xll.qlZeroCouponBond(,,"EUR",3,"target",100,$B82,"f",100,,,Trigger)</f>
        <v>obj_00dea#0000</v>
      </c>
      <c r="R82" s="123">
        <f t="shared" ca="1" si="69"/>
        <v>65.89</v>
      </c>
      <c r="S82" s="130">
        <f t="shared" ref="S82" ca="1" si="87">R82</f>
        <v>65.89</v>
      </c>
      <c r="T82" s="147" t="str">
        <f>IF(UPPER(U$1)="ABCD",_xll.RtContribute($E$3,$E82,$R$3:$S$3,$R82:$S82,"SCOPE:SERVER"),"--")</f>
        <v>--</v>
      </c>
      <c r="U82" s="151" t="str">
        <f t="shared" si="74"/>
        <v/>
      </c>
      <c r="V82" s="134" t="str">
        <f t="shared" si="71"/>
        <v>EUR.PRICING.XLS_STRIPS.IT0001247391</v>
      </c>
      <c r="W82" s="134" t="str">
        <f>IF(UPPER($X$1)="ABCD",_xll.MKV_PUBLISHRECORD(V82, "XLS_STRIPS"),"--")</f>
        <v>--</v>
      </c>
      <c r="X82" s="135" t="str">
        <f>IF(UPPER(X$1)="ABCD",_xll.MKV_SUPPLYRECORD(V82, "Bid",F82, "Ask",H82, "Id",A82, "Mid",G82, "Name",D82,"DV01",N82,"MidYield",J82,"BidYield",I82,"AskYield",K82),"--")</f>
        <v>--</v>
      </c>
    </row>
    <row r="83" spans="1:24" x14ac:dyDescent="0.2">
      <c r="A83" s="72" t="s">
        <v>67</v>
      </c>
      <c r="B83" s="89">
        <v>46600</v>
      </c>
      <c r="C83" s="139" t="e">
        <f ca="1">_xll.BDP(A83&amp;" Corp", "days to mty")</f>
        <v>#NAME?</v>
      </c>
      <c r="D83" s="47" t="s">
        <v>424</v>
      </c>
      <c r="E83" s="47" t="s">
        <v>425</v>
      </c>
      <c r="F83" s="138">
        <f ca="1"/>
        <v>65.02</v>
      </c>
      <c r="G83" s="138">
        <f ca="1"/>
        <v>65.319999999999993</v>
      </c>
      <c r="H83" s="138">
        <f t="shared" ca="1" si="72"/>
        <v>65.62</v>
      </c>
      <c r="I83" s="32">
        <f ca="1">ROUND(_xll.qlBondYieldFromCleanPrice(O83,F83,YieldDayCounter,YieldCompounding,YieldFrequency)*100,3)</f>
        <v>3.4279999999999999</v>
      </c>
      <c r="J83" s="32">
        <f ca="1">ROUND(_xll.qlBondYieldFromCleanPrice(P83,G83,YieldDayCounter,YieldCompounding,YieldFrequency)*100,3)</f>
        <v>3.39</v>
      </c>
      <c r="K83" s="32">
        <f ca="1">ROUND(_xll.qlBondYieldFromCleanPrice(Q83,H83,YieldDayCounter,YieldCompounding,YieldFrequency)*100,3)</f>
        <v>3.3530000000000002</v>
      </c>
      <c r="L83" s="120">
        <f ca="1">_xll.qlBondDurationFromYield(P83,J83,YieldDayCounter,YieldCompounding,YieldFrequency,L$2)</f>
        <v>2.9094767060879327</v>
      </c>
      <c r="M83" s="120">
        <f ca="1">_xll.qlBondConvexityFromYield(P83,J83/100,YieldDayCounter,YieldCompounding,YieldFrequency)</f>
        <v>164.56533373235092</v>
      </c>
      <c r="N83" s="121" t="e">
        <f ca="1">_xll.BDP(A83&amp;" Corp","risk mid")</f>
        <v>#NAME?</v>
      </c>
      <c r="O83" s="107" t="str">
        <f>_xll.qlZeroCouponBond(,,"EUR",3,"target",100,$B83,"f",100,,,Trigger)</f>
        <v>obj_00f31#0000</v>
      </c>
      <c r="P83" s="107" t="str">
        <f>_xll.qlZeroCouponBond(,,"EUR",3,"target",100,$B83,"f",100,,,Trigger)</f>
        <v>obj_00ea9#0000</v>
      </c>
      <c r="Q83" s="107" t="str">
        <f>_xll.qlZeroCouponBond(,,"EUR",3,"target",100,$B83,"f",100,,,Trigger)</f>
        <v>obj_00f34#0000</v>
      </c>
      <c r="R83" s="123">
        <f t="shared" ca="1" si="69"/>
        <v>65.02</v>
      </c>
      <c r="S83" s="130">
        <f t="shared" ref="S83" ca="1" si="88">R83</f>
        <v>65.02</v>
      </c>
      <c r="T83" s="147" t="str">
        <f>IF(UPPER(U$1)="ABCD",_xll.RtContribute($E$3,$E83,$R$3:$S$3,$R83:$S83,"SCOPE:SERVER"),"--")</f>
        <v>--</v>
      </c>
      <c r="U83" s="151" t="str">
        <f t="shared" si="74"/>
        <v/>
      </c>
      <c r="V83" s="134" t="str">
        <f t="shared" si="71"/>
        <v>EUR.PRICING.XLS_STRIPS.IT0003268882</v>
      </c>
      <c r="W83" s="134" t="str">
        <f>IF(UPPER($X$1)="ABCD",_xll.MKV_PUBLISHRECORD(V83, "XLS_STRIPS"),"--")</f>
        <v>--</v>
      </c>
      <c r="X83" s="135" t="str">
        <f>IF(UPPER(X$1)="ABCD",_xll.MKV_SUPPLYRECORD(V83, "Bid",F83, "Ask",H83, "Id",A83, "Mid",G83, "Name",D83,"DV01",N83,"MidYield",J83,"BidYield",I83,"AskYield",K83),"--")</f>
        <v>--</v>
      </c>
    </row>
    <row r="84" spans="1:24" x14ac:dyDescent="0.2">
      <c r="A84" s="72" t="s">
        <v>195</v>
      </c>
      <c r="B84" s="89">
        <v>46631</v>
      </c>
      <c r="C84" s="139" t="e">
        <f ca="1">_xll.BDP(A84&amp;" Corp", "days to mty")</f>
        <v>#NAME?</v>
      </c>
      <c r="D84" s="47" t="s">
        <v>196</v>
      </c>
      <c r="E84" s="47" t="s">
        <v>197</v>
      </c>
      <c r="F84" s="138">
        <f ca="1"/>
        <v>64.75</v>
      </c>
      <c r="G84" s="138">
        <f ca="1"/>
        <v>65.05</v>
      </c>
      <c r="H84" s="138">
        <f t="shared" ca="1" si="72"/>
        <v>65.349999999999994</v>
      </c>
      <c r="I84" s="32">
        <f ca="1">ROUND(_xll.qlBondYieldFromCleanPrice(O84,F84,YieldDayCounter,YieldCompounding,YieldFrequency)*100,3)</f>
        <v>3.4390000000000001</v>
      </c>
      <c r="J84" s="32">
        <f ca="1">ROUND(_xll.qlBondYieldFromCleanPrice(P84,G84,YieldDayCounter,YieldCompounding,YieldFrequency)*100,3)</f>
        <v>3.4020000000000001</v>
      </c>
      <c r="K84" s="32">
        <f ca="1">ROUND(_xll.qlBondYieldFromCleanPrice(Q84,H84,YieldDayCounter,YieldCompounding,YieldFrequency)*100,3)</f>
        <v>3.3650000000000002</v>
      </c>
      <c r="L84" s="120">
        <f ca="1">_xll.qlBondDurationFromYield(P84,J84,YieldDayCounter,YieldCompounding,YieldFrequency,L$2)</f>
        <v>2.9202168379254756</v>
      </c>
      <c r="M84" s="120">
        <f ca="1">_xll.qlBondConvexityFromYield(P84,J84/100,YieldDayCounter,YieldCompounding,YieldFrequency)</f>
        <v>166.57405197804434</v>
      </c>
      <c r="N84" s="121" t="e">
        <f ca="1">_xll.BDP(A84&amp;" Corp","risk mid")</f>
        <v>#NAME?</v>
      </c>
      <c r="O84" s="107" t="str">
        <f>_xll.qlZeroCouponBond(,,"EUR",3,"target",100,$B84,"f",100,,,Trigger)</f>
        <v>obj_00eb3#0000</v>
      </c>
      <c r="P84" s="107" t="str">
        <f>_xll.qlZeroCouponBond(,,"EUR",3,"target",100,$B84,"f",100,,,Trigger)</f>
        <v>obj_00df5#0000</v>
      </c>
      <c r="Q84" s="107" t="str">
        <f>_xll.qlZeroCouponBond(,,"EUR",3,"target",100,$B84,"f",100,,,Trigger)</f>
        <v>obj_00e75#0000</v>
      </c>
      <c r="R84" s="123">
        <f t="shared" ca="1" si="69"/>
        <v>64.75</v>
      </c>
      <c r="S84" s="130">
        <f t="shared" ref="S84" ca="1" si="89">R84</f>
        <v>64.75</v>
      </c>
      <c r="T84" s="147" t="str">
        <f>IF(UPPER(U$1)="ABCD",_xll.RtContribute($E$3,$E84,$R$3:$S$3,$R84:$S84,"SCOPE:SERVER"),"--")</f>
        <v>--</v>
      </c>
      <c r="U84" s="151" t="str">
        <f t="shared" si="74"/>
        <v/>
      </c>
      <c r="V84" s="134" t="str">
        <f t="shared" si="71"/>
        <v>EUR.PRICING.XLS_STRIPS.IT0004976509</v>
      </c>
      <c r="W84" s="134" t="str">
        <f>IF(UPPER($X$1)="ABCD",_xll.MKV_PUBLISHRECORD(V84, "XLS_STRIPS"),"--")</f>
        <v>--</v>
      </c>
      <c r="X84" s="135" t="str">
        <f>IF(UPPER(X$1)="ABCD",_xll.MKV_SUPPLYRECORD(V84, "Bid",F84, "Ask",H84, "Id",A84, "Mid",G84, "Name",D84,"DV01",N84,"MidYield",J84,"BidYield",I84,"AskYield",K84),"--")</f>
        <v>--</v>
      </c>
    </row>
    <row r="85" spans="1:24" x14ac:dyDescent="0.2">
      <c r="A85" s="72" t="s">
        <v>426</v>
      </c>
      <c r="B85" s="89">
        <v>46692</v>
      </c>
      <c r="C85" s="139" t="e">
        <f ca="1">_xll.BDP(A85&amp;" Corp", "days to mty")</f>
        <v>#NAME?</v>
      </c>
      <c r="D85" s="47" t="s">
        <v>427</v>
      </c>
      <c r="E85" s="47" t="s">
        <v>428</v>
      </c>
      <c r="F85" s="138">
        <f ca="1"/>
        <v>64.25</v>
      </c>
      <c r="G85" s="138">
        <f ca="1"/>
        <v>64.55</v>
      </c>
      <c r="H85" s="138">
        <f t="shared" ca="1" si="72"/>
        <v>64.849999999999994</v>
      </c>
      <c r="I85" s="32">
        <f ca="1">ROUND(_xll.qlBondYieldFromCleanPrice(O85,F85,YieldDayCounter,YieldCompounding,YieldFrequency)*100,3)</f>
        <v>3.456</v>
      </c>
      <c r="J85" s="32">
        <f ca="1">ROUND(_xll.qlBondYieldFromCleanPrice(P85,G85,YieldDayCounter,YieldCompounding,YieldFrequency)*100,3)</f>
        <v>3.419</v>
      </c>
      <c r="K85" s="32">
        <f ca="1">ROUND(_xll.qlBondYieldFromCleanPrice(Q85,H85,YieldDayCounter,YieldCompounding,YieldFrequency)*100,3)</f>
        <v>3.3820000000000001</v>
      </c>
      <c r="L85" s="120">
        <f ca="1">_xll.qlBondDurationFromYield(P85,J85,YieldDayCounter,YieldCompounding,YieldFrequency,L$2)</f>
        <v>2.9468019480016245</v>
      </c>
      <c r="M85" s="120">
        <f ca="1">_xll.qlBondConvexityFromYield(P85,J85/100,YieldDayCounter,YieldCompounding,YieldFrequency)</f>
        <v>170.71893733414396</v>
      </c>
      <c r="N85" s="121" t="e">
        <f ca="1">_xll.BDP(A85&amp;" Corp","risk mid")</f>
        <v>#NAME?</v>
      </c>
      <c r="O85" s="107" t="str">
        <f>_xll.qlZeroCouponBond(,,"EUR",3,"target",100,$B85,"f",100,,,Trigger)</f>
        <v>obj_00ea0#0000</v>
      </c>
      <c r="P85" s="107" t="str">
        <f>_xll.qlZeroCouponBond(,,"EUR",3,"target",100,$B85,"f",100,,,Trigger)</f>
        <v>obj_00f68#0000</v>
      </c>
      <c r="Q85" s="107" t="str">
        <f>_xll.qlZeroCouponBond(,,"EUR",3,"target",100,$B85,"f",100,,,Trigger)</f>
        <v>obj_00f7a#0000</v>
      </c>
      <c r="R85" s="123">
        <f t="shared" ca="1" si="69"/>
        <v>64.25</v>
      </c>
      <c r="S85" s="130">
        <f t="shared" ref="S85" ca="1" si="90">R85</f>
        <v>64.25</v>
      </c>
      <c r="T85" s="147" t="str">
        <f>IF(UPPER(U$1)="ABCD",_xll.RtContribute($E$3,$E85,$R$3:$S$3,$R85:$S85,"SCOPE:SERVER"),"--")</f>
        <v>--</v>
      </c>
      <c r="U85" s="151" t="str">
        <f t="shared" si="74"/>
        <v/>
      </c>
      <c r="V85" s="134" t="str">
        <f t="shared" si="71"/>
        <v>EUR.PRICING.XLS_STRIPS.IT0004848476</v>
      </c>
      <c r="W85" s="134" t="str">
        <f>IF(UPPER($X$1)="ABCD",_xll.MKV_PUBLISHRECORD(V85, "XLS_STRIPS"),"--")</f>
        <v>--</v>
      </c>
      <c r="X85" s="135" t="str">
        <f>IF(UPPER(X$1)="ABCD",_xll.MKV_SUPPLYRECORD(V85, "Bid",F85, "Ask",H85, "Id",A85, "Mid",G85, "Name",D85,"DV01",N85,"MidYield",J85,"BidYield",I85,"AskYield",K85),"--")</f>
        <v>--</v>
      </c>
    </row>
    <row r="86" spans="1:24" x14ac:dyDescent="0.2">
      <c r="A86" s="72" t="s">
        <v>68</v>
      </c>
      <c r="B86" s="89">
        <v>46784</v>
      </c>
      <c r="C86" s="139" t="e">
        <f ca="1">_xll.BDP(A86&amp;" Corp", "days to mty")</f>
        <v>#NAME?</v>
      </c>
      <c r="D86" s="47" t="s">
        <v>429</v>
      </c>
      <c r="E86" s="47" t="s">
        <v>430</v>
      </c>
      <c r="F86" s="138">
        <f ca="1"/>
        <v>63.57</v>
      </c>
      <c r="G86" s="138">
        <f ca="1"/>
        <v>63.87</v>
      </c>
      <c r="H86" s="138">
        <f t="shared" ca="1" si="72"/>
        <v>64.17</v>
      </c>
      <c r="I86" s="32">
        <f ca="1">ROUND(_xll.qlBondYieldFromCleanPrice(O86,F86,YieldDayCounter,YieldCompounding,YieldFrequency)*100,3)</f>
        <v>3.472</v>
      </c>
      <c r="J86" s="32">
        <f ca="1">ROUND(_xll.qlBondYieldFromCleanPrice(P86,G86,YieldDayCounter,YieldCompounding,YieldFrequency)*100,3)</f>
        <v>3.4350000000000001</v>
      </c>
      <c r="K86" s="32">
        <f ca="1">ROUND(_xll.qlBondYieldFromCleanPrice(Q86,H86,YieldDayCounter,YieldCompounding,YieldFrequency)*100,3)</f>
        <v>3.399</v>
      </c>
      <c r="L86" s="120">
        <f ca="1">_xll.qlBondDurationFromYield(P86,J86,YieldDayCounter,YieldCompounding,YieldFrequency,L$2)</f>
        <v>2.9930039690506702</v>
      </c>
      <c r="M86" s="120">
        <f ca="1">_xll.qlBondConvexityFromYield(P86,J86/100,YieldDayCounter,YieldCompounding,YieldFrequency)</f>
        <v>177.09680990954806</v>
      </c>
      <c r="N86" s="121" t="e">
        <f ca="1">_xll.BDP(A86&amp;" Corp","risk mid")</f>
        <v>#NAME?</v>
      </c>
      <c r="O86" s="107" t="str">
        <f>_xll.qlZeroCouponBond(,,"EUR",3,"target",100,$B86,"f",100,,,Trigger)</f>
        <v>obj_00e84#0000</v>
      </c>
      <c r="P86" s="107" t="str">
        <f>_xll.qlZeroCouponBond(,,"EUR",3,"target",100,$B86,"f",100,,,Trigger)</f>
        <v>obj_00f8a#0000</v>
      </c>
      <c r="Q86" s="107" t="str">
        <f>_xll.qlZeroCouponBond(,,"EUR",3,"target",100,$B86,"f",100,,,Trigger)</f>
        <v>obj_00eee#0000</v>
      </c>
      <c r="R86" s="123">
        <f t="shared" ca="1" si="69"/>
        <v>63.57</v>
      </c>
      <c r="S86" s="130">
        <f t="shared" ref="S86" ca="1" si="91">R86</f>
        <v>63.57</v>
      </c>
      <c r="T86" s="147" t="str">
        <f>IF(UPPER(U$1)="ABCD",_xll.RtContribute($E$3,$E86,$R$3:$S$3,$R86:$S86,"SCOPE:SERVER"),"--")</f>
        <v>--</v>
      </c>
      <c r="U86" s="151" t="str">
        <f t="shared" si="74"/>
        <v/>
      </c>
      <c r="V86" s="134" t="str">
        <f t="shared" si="71"/>
        <v>EUR.PRICING.XLS_STRIPS.IT0003268890</v>
      </c>
      <c r="W86" s="134" t="str">
        <f>IF(UPPER($X$1)="ABCD",_xll.MKV_PUBLISHRECORD(V86, "XLS_STRIPS"),"--")</f>
        <v>--</v>
      </c>
      <c r="X86" s="135" t="str">
        <f>IF(UPPER(X$1)="ABCD",_xll.MKV_SUPPLYRECORD(V86, "Bid",F86, "Ask",H86, "Id",A86, "Mid",G86, "Name",D86,"DV01",N86,"MidYield",J86,"BidYield",I86,"AskYield",K86),"--")</f>
        <v>--</v>
      </c>
    </row>
    <row r="87" spans="1:24" x14ac:dyDescent="0.2">
      <c r="A87" s="72" t="s">
        <v>198</v>
      </c>
      <c r="B87" s="89">
        <v>46813</v>
      </c>
      <c r="C87" s="139" t="e">
        <f ca="1">_xll.BDP(A87&amp;" Corp", "days to mty")</f>
        <v>#NAME?</v>
      </c>
      <c r="D87" s="47" t="s">
        <v>199</v>
      </c>
      <c r="E87" s="47" t="s">
        <v>200</v>
      </c>
      <c r="F87" s="138">
        <f ca="1"/>
        <v>63.37</v>
      </c>
      <c r="G87" s="138">
        <f ca="1"/>
        <v>63.67</v>
      </c>
      <c r="H87" s="138">
        <f t="shared" ca="1" si="72"/>
        <v>63.97</v>
      </c>
      <c r="I87" s="32">
        <f ca="1">ROUND(_xll.qlBondYieldFromCleanPrice(O87,F87,YieldDayCounter,YieldCompounding,YieldFrequency)*100,3)</f>
        <v>3.476</v>
      </c>
      <c r="J87" s="32">
        <f ca="1">ROUND(_xll.qlBondYieldFromCleanPrice(P87,G87,YieldDayCounter,YieldCompounding,YieldFrequency)*100,3)</f>
        <v>3.4390000000000001</v>
      </c>
      <c r="K87" s="32">
        <f ca="1">ROUND(_xll.qlBondYieldFromCleanPrice(Q87,H87,YieldDayCounter,YieldCompounding,YieldFrequency)*100,3)</f>
        <v>3.403</v>
      </c>
      <c r="L87" s="120">
        <f ca="1">_xll.qlBondDurationFromYield(P87,J87,YieldDayCounter,YieldCompounding,YieldFrequency,L$2)</f>
        <v>3.007588405385639</v>
      </c>
      <c r="M87" s="120">
        <f ca="1">_xll.qlBondConvexityFromYield(P87,J87/100,YieldDayCounter,YieldCompounding,YieldFrequency)</f>
        <v>179.06369826513404</v>
      </c>
      <c r="N87" s="121" t="e">
        <f ca="1">_xll.BDP(A87&amp;" Corp","risk mid")</f>
        <v>#NAME?</v>
      </c>
      <c r="O87" s="107" t="str">
        <f>_xll.qlZeroCouponBond(,,"EUR",3,"target",100,$B87,"f",100,,,Trigger)</f>
        <v>obj_00f25#0000</v>
      </c>
      <c r="P87" s="107" t="str">
        <f>_xll.qlZeroCouponBond(,,"EUR",3,"target",100,$B87,"f",100,,,Trigger)</f>
        <v>obj_00e07#0000</v>
      </c>
      <c r="Q87" s="107" t="str">
        <f>_xll.qlZeroCouponBond(,,"EUR",3,"target",100,$B87,"f",100,,,Trigger)</f>
        <v>obj_00dec#0000</v>
      </c>
      <c r="R87" s="123">
        <f t="shared" ca="1" si="69"/>
        <v>63.37</v>
      </c>
      <c r="S87" s="130">
        <f t="shared" ref="S87" ca="1" si="92">R87</f>
        <v>63.37</v>
      </c>
      <c r="T87" s="147" t="str">
        <f>IF(UPPER(U$1)="ABCD",_xll.RtContribute($E$3,$E87,$R$3:$S$3,$R87:$S87,"SCOPE:SERVER"),"--")</f>
        <v>--</v>
      </c>
      <c r="U87" s="151" t="str">
        <f t="shared" si="74"/>
        <v/>
      </c>
      <c r="V87" s="134" t="str">
        <f t="shared" si="71"/>
        <v>EUR.PRICING.XLS_STRIPS.IT0004976517</v>
      </c>
      <c r="W87" s="134" t="str">
        <f>IF(UPPER($X$1)="ABCD",_xll.MKV_PUBLISHRECORD(V87, "XLS_STRIPS"),"--")</f>
        <v>--</v>
      </c>
      <c r="X87" s="135" t="str">
        <f>IF(UPPER(X$1)="ABCD",_xll.MKV_SUPPLYRECORD(V87, "Bid",F87, "Ask",H87, "Id",A87, "Mid",G87, "Name",D87,"DV01",N87,"MidYield",J87,"BidYield",I87,"AskYield",K87),"--")</f>
        <v>--</v>
      </c>
    </row>
    <row r="88" spans="1:24" x14ac:dyDescent="0.2">
      <c r="A88" s="72" t="s">
        <v>69</v>
      </c>
      <c r="B88" s="89">
        <v>46874</v>
      </c>
      <c r="C88" s="139" t="e">
        <f ca="1">_xll.BDP(A88&amp;" Corp", "days to mty")</f>
        <v>#NAME?</v>
      </c>
      <c r="D88" s="47" t="s">
        <v>431</v>
      </c>
      <c r="E88" s="47" t="s">
        <v>432</v>
      </c>
      <c r="F88" s="138">
        <f ca="1"/>
        <v>62.96</v>
      </c>
      <c r="G88" s="138">
        <f ca="1"/>
        <v>63.26</v>
      </c>
      <c r="H88" s="138">
        <f t="shared" ca="1" si="72"/>
        <v>63.56</v>
      </c>
      <c r="I88" s="32">
        <f ca="1">ROUND(_xll.qlBondYieldFromCleanPrice(O88,F88,YieldDayCounter,YieldCompounding,YieldFrequency)*100,3)</f>
        <v>3.4809999999999999</v>
      </c>
      <c r="J88" s="32">
        <f ca="1">ROUND(_xll.qlBondYieldFromCleanPrice(P88,G88,YieldDayCounter,YieldCompounding,YieldFrequency)*100,3)</f>
        <v>3.4449999999999998</v>
      </c>
      <c r="K88" s="32">
        <f ca="1">ROUND(_xll.qlBondYieldFromCleanPrice(Q88,H88,YieldDayCounter,YieldCompounding,YieldFrequency)*100,3)</f>
        <v>3.4089999999999998</v>
      </c>
      <c r="L88" s="120">
        <f ca="1">_xll.qlBondDurationFromYield(P88,J88,YieldDayCounter,YieldCompounding,YieldFrequency,L$2)</f>
        <v>3.041743069787509</v>
      </c>
      <c r="M88" s="120">
        <f ca="1">_xll.qlBondConvexityFromYield(P88,J88/100,YieldDayCounter,YieldCompounding,YieldFrequency)</f>
        <v>183.46713951161504</v>
      </c>
      <c r="N88" s="121" t="e">
        <f ca="1">_xll.BDP(A88&amp;" Corp","risk mid")</f>
        <v>#NAME?</v>
      </c>
      <c r="O88" s="107" t="str">
        <f>_xll.qlZeroCouponBond(,,"EUR",3,"target",100,$B88,"f",100,,,Trigger)</f>
        <v>obj_00eaa#0000</v>
      </c>
      <c r="P88" s="107" t="str">
        <f>_xll.qlZeroCouponBond(,,"EUR",3,"target",100,$B88,"f",100,,,Trigger)</f>
        <v>obj_00f5f#0000</v>
      </c>
      <c r="Q88" s="107" t="str">
        <f>_xll.qlZeroCouponBond(,,"EUR",3,"target",100,$B88,"f",100,,,Trigger)</f>
        <v>obj_00f85#0000</v>
      </c>
      <c r="R88" s="123">
        <f t="shared" ca="1" si="69"/>
        <v>62.96</v>
      </c>
      <c r="S88" s="130">
        <f t="shared" ref="S88" ca="1" si="93">R88</f>
        <v>62.96</v>
      </c>
      <c r="T88" s="147" t="str">
        <f>IF(UPPER(U$1)="ABCD",_xll.RtContribute($E$3,$E88,$R$3:$S$3,$R88:$S88,"SCOPE:SERVER"),"--")</f>
        <v>--</v>
      </c>
      <c r="U88" s="151" t="str">
        <f t="shared" si="74"/>
        <v/>
      </c>
      <c r="V88" s="134" t="str">
        <f t="shared" si="71"/>
        <v>EUR.PRICING.XLS_STRIPS.IT0001312781</v>
      </c>
      <c r="W88" s="134" t="str">
        <f>IF(UPPER($X$1)="ABCD",_xll.MKV_PUBLISHRECORD(V88, "XLS_STRIPS"),"--")</f>
        <v>--</v>
      </c>
      <c r="X88" s="135" t="str">
        <f>IF(UPPER(X$1)="ABCD",_xll.MKV_SUPPLYRECORD(V88, "Bid",F88, "Ask",H88, "Id",A88, "Mid",G88, "Name",D88,"DV01",N88,"MidYield",J88,"BidYield",I88,"AskYield",K88),"--")</f>
        <v>--</v>
      </c>
    </row>
    <row r="89" spans="1:24" x14ac:dyDescent="0.2">
      <c r="A89" s="72" t="s">
        <v>70</v>
      </c>
      <c r="B89" s="89">
        <v>46966</v>
      </c>
      <c r="C89" s="139" t="e">
        <f ca="1">_xll.BDP(A89&amp;" Corp", "days to mty")</f>
        <v>#NAME?</v>
      </c>
      <c r="D89" s="47" t="s">
        <v>433</v>
      </c>
      <c r="E89" s="47" t="s">
        <v>434</v>
      </c>
      <c r="F89" s="138">
        <f ca="1"/>
        <v>62.34</v>
      </c>
      <c r="G89" s="138">
        <f ca="1"/>
        <v>62.65</v>
      </c>
      <c r="H89" s="138">
        <f t="shared" ca="1" si="72"/>
        <v>62.96</v>
      </c>
      <c r="I89" s="32">
        <f ca="1">ROUND(_xll.qlBondYieldFromCleanPrice(O89,F89,YieldDayCounter,YieldCompounding,YieldFrequency)*100,3)</f>
        <v>3.4910000000000001</v>
      </c>
      <c r="J89" s="32">
        <f ca="1">ROUND(_xll.qlBondYieldFromCleanPrice(P89,G89,YieldDayCounter,YieldCompounding,YieldFrequency)*100,3)</f>
        <v>3.4540000000000002</v>
      </c>
      <c r="K89" s="32">
        <f ca="1">ROUND(_xll.qlBondYieldFromCleanPrice(Q89,H89,YieldDayCounter,YieldCompounding,YieldFrequency)*100,3)</f>
        <v>3.4169999999999998</v>
      </c>
      <c r="L89" s="120">
        <f ca="1">_xll.qlBondDurationFromYield(P89,J89,YieldDayCounter,YieldCompounding,YieldFrequency,L$2)</f>
        <v>3.0915722976422604</v>
      </c>
      <c r="M89" s="120">
        <f ca="1">_xll.qlBondConvexityFromYield(P89,J89/100,YieldDayCounter,YieldCompounding,YieldFrequency)</f>
        <v>190.02533767125792</v>
      </c>
      <c r="N89" s="121" t="e">
        <f ca="1">_xll.BDP(A89&amp;" Corp","risk mid")</f>
        <v>#NAME?</v>
      </c>
      <c r="O89" s="107" t="str">
        <f>_xll.qlZeroCouponBond(,,"EUR",3,"target",100,$B89,"f",100,,,Trigger)</f>
        <v>obj_00e0a#0000</v>
      </c>
      <c r="P89" s="107" t="str">
        <f>_xll.qlZeroCouponBond(,,"EUR",3,"target",100,$B89,"f",100,,,Trigger)</f>
        <v>obj_00e83#0000</v>
      </c>
      <c r="Q89" s="107" t="str">
        <f>_xll.qlZeroCouponBond(,,"EUR",3,"target",100,$B89,"f",100,,,Trigger)</f>
        <v>obj_00f3d#0000</v>
      </c>
      <c r="R89" s="123">
        <f t="shared" ca="1" si="69"/>
        <v>62.34</v>
      </c>
      <c r="S89" s="130">
        <f t="shared" ref="S89" ca="1" si="94">R89</f>
        <v>62.34</v>
      </c>
      <c r="T89" s="147" t="str">
        <f>IF(UPPER(U$1)="ABCD",_xll.RtContribute($E$3,$E89,$R$3:$S$3,$R89:$S89,"SCOPE:SERVER"),"--")</f>
        <v>--</v>
      </c>
      <c r="U89" s="151" t="str">
        <f t="shared" si="74"/>
        <v/>
      </c>
      <c r="V89" s="134" t="str">
        <f t="shared" si="71"/>
        <v>EUR.PRICING.XLS_STRIPS.IT0003268908</v>
      </c>
      <c r="W89" s="134" t="str">
        <f>IF(UPPER($X$1)="ABCD",_xll.MKV_PUBLISHRECORD(V89, "XLS_STRIPS"),"--")</f>
        <v>--</v>
      </c>
      <c r="X89" s="135" t="str">
        <f>IF(UPPER(X$1)="ABCD",_xll.MKV_SUPPLYRECORD(V89, "Bid",F89, "Ask",H89, "Id",A89, "Mid",G89, "Name",D89,"DV01",N89,"MidYield",J89,"BidYield",I89,"AskYield",K89),"--")</f>
        <v>--</v>
      </c>
    </row>
    <row r="90" spans="1:24" x14ac:dyDescent="0.2">
      <c r="A90" s="72" t="s">
        <v>201</v>
      </c>
      <c r="B90" s="89">
        <v>46997</v>
      </c>
      <c r="C90" s="139" t="e">
        <f ca="1">_xll.BDP(A90&amp;" Corp", "days to mty")</f>
        <v>#NAME?</v>
      </c>
      <c r="D90" s="47" t="s">
        <v>202</v>
      </c>
      <c r="E90" s="47" t="s">
        <v>203</v>
      </c>
      <c r="F90" s="138">
        <f ca="1"/>
        <v>62.13</v>
      </c>
      <c r="G90" s="138">
        <f ca="1"/>
        <v>62.43</v>
      </c>
      <c r="H90" s="138">
        <f t="shared" ca="1" si="72"/>
        <v>62.73</v>
      </c>
      <c r="I90" s="32">
        <f ca="1">ROUND(_xll.qlBondYieldFromCleanPrice(O90,F90,YieldDayCounter,YieldCompounding,YieldFrequency)*100,3)</f>
        <v>3.4950000000000001</v>
      </c>
      <c r="J90" s="32">
        <f ca="1">ROUND(_xll.qlBondYieldFromCleanPrice(P90,G90,YieldDayCounter,YieldCompounding,YieldFrequency)*100,3)</f>
        <v>3.4590000000000001</v>
      </c>
      <c r="K90" s="32">
        <f ca="1">ROUND(_xll.qlBondYieldFromCleanPrice(Q90,H90,YieldDayCounter,YieldCompounding,YieldFrequency)*100,3)</f>
        <v>3.423</v>
      </c>
      <c r="L90" s="120">
        <f ca="1">_xll.qlBondDurationFromYield(P90,J90,YieldDayCounter,YieldCompounding,YieldFrequency,L$2)</f>
        <v>3.1071528415671552</v>
      </c>
      <c r="M90" s="120">
        <f ca="1">_xll.qlBondConvexityFromYield(P90,J90/100,YieldDayCounter,YieldCompounding,YieldFrequency)</f>
        <v>192.27826083703243</v>
      </c>
      <c r="N90" s="121" t="e">
        <f ca="1">_xll.BDP(A90&amp;" Corp","risk mid")</f>
        <v>#NAME?</v>
      </c>
      <c r="O90" s="107" t="str">
        <f>_xll.qlZeroCouponBond(,,"EUR",3,"target",100,$B90,"f",100,,,Trigger)</f>
        <v>obj_00f3a#0000</v>
      </c>
      <c r="P90" s="107" t="str">
        <f>_xll.qlZeroCouponBond(,,"EUR",3,"target",100,$B90,"f",100,,,Trigger)</f>
        <v>obj_00f57#0000</v>
      </c>
      <c r="Q90" s="107" t="str">
        <f>_xll.qlZeroCouponBond(,,"EUR",3,"target",100,$B90,"f",100,,,Trigger)</f>
        <v>obj_00e49#0000</v>
      </c>
      <c r="R90" s="123">
        <f t="shared" ca="1" si="69"/>
        <v>62.13</v>
      </c>
      <c r="S90" s="130">
        <f t="shared" ref="S90" ca="1" si="95">R90</f>
        <v>62.13</v>
      </c>
      <c r="T90" s="147" t="str">
        <f>IF(UPPER(U$1)="ABCD",_xll.RtContribute($E$3,$E90,$R$3:$S$3,$R90:$S90,"SCOPE:SERVER"),"--")</f>
        <v>--</v>
      </c>
      <c r="U90" s="151" t="str">
        <f t="shared" si="74"/>
        <v/>
      </c>
      <c r="V90" s="134" t="str">
        <f t="shared" si="71"/>
        <v>EUR.PRICING.XLS_STRIPS.IT0004976525</v>
      </c>
      <c r="W90" s="134" t="str">
        <f>IF(UPPER($X$1)="ABCD",_xll.MKV_PUBLISHRECORD(V90, "XLS_STRIPS"),"--")</f>
        <v>--</v>
      </c>
      <c r="X90" s="135" t="str">
        <f>IF(UPPER(X$1)="ABCD",_xll.MKV_SUPPLYRECORD(V90, "Bid",F90, "Ask",H90, "Id",A90, "Mid",G90, "Name",D90,"DV01",N90,"MidYield",J90,"BidYield",I90,"AskYield",K90),"--")</f>
        <v>--</v>
      </c>
    </row>
    <row r="91" spans="1:24" x14ac:dyDescent="0.2">
      <c r="A91" s="72" t="s">
        <v>71</v>
      </c>
      <c r="B91" s="89">
        <v>47058</v>
      </c>
      <c r="C91" s="139" t="e">
        <f ca="1">_xll.BDP(A91&amp;" Corp", "days to mty")</f>
        <v>#NAME?</v>
      </c>
      <c r="D91" s="47" t="s">
        <v>435</v>
      </c>
      <c r="E91" s="47" t="s">
        <v>436</v>
      </c>
      <c r="F91" s="138">
        <f ca="1"/>
        <v>61.69</v>
      </c>
      <c r="G91" s="138">
        <f ca="1"/>
        <v>62</v>
      </c>
      <c r="H91" s="138">
        <f t="shared" ca="1" si="72"/>
        <v>62.31</v>
      </c>
      <c r="I91" s="32">
        <f ca="1">ROUND(_xll.qlBondYieldFromCleanPrice(O91,F91,YieldDayCounter,YieldCompounding,YieldFrequency)*100,3)</f>
        <v>3.5049999999999999</v>
      </c>
      <c r="J91" s="32">
        <f ca="1">ROUND(_xll.qlBondYieldFromCleanPrice(P91,G91,YieldDayCounter,YieldCompounding,YieldFrequency)*100,3)</f>
        <v>3.468</v>
      </c>
      <c r="K91" s="32">
        <f ca="1">ROUND(_xll.qlBondYieldFromCleanPrice(Q91,H91,YieldDayCounter,YieldCompounding,YieldFrequency)*100,3)</f>
        <v>3.431</v>
      </c>
      <c r="L91" s="120">
        <f ca="1">_xll.qlBondDurationFromYield(P91,J91,YieldDayCounter,YieldCompounding,YieldFrequency,L$2)</f>
        <v>3.1382985246685724</v>
      </c>
      <c r="M91" s="120">
        <f ca="1">_xll.qlBondConvexityFromYield(P91,J91/100,YieldDayCounter,YieldCompounding,YieldFrequency)</f>
        <v>196.75269496729788</v>
      </c>
      <c r="N91" s="121" t="e">
        <f ca="1">_xll.BDP(A91&amp;" Corp","risk mid")</f>
        <v>#NAME?</v>
      </c>
      <c r="O91" s="107" t="str">
        <f>_xll.qlZeroCouponBond(,,"EUR",3,"target",100,$B91,"f",100,,,Trigger)</f>
        <v>obj_00eeb#0000</v>
      </c>
      <c r="P91" s="107" t="str">
        <f>_xll.qlZeroCouponBond(,,"EUR",3,"target",100,$B91,"f",100,,,Trigger)</f>
        <v>obj_00ee7#0000</v>
      </c>
      <c r="Q91" s="107" t="str">
        <f>_xll.qlZeroCouponBond(,,"EUR",3,"target",100,$B91,"f",100,,,Trigger)</f>
        <v>obj_00f2c#0000</v>
      </c>
      <c r="R91" s="123">
        <f t="shared" ca="1" si="69"/>
        <v>61.69</v>
      </c>
      <c r="S91" s="130">
        <f t="shared" ref="S91" ca="1" si="96">R91</f>
        <v>61.69</v>
      </c>
      <c r="T91" s="147" t="str">
        <f>IF(UPPER(U$1)="ABCD",_xll.RtContribute($E$3,$E91,$R$3:$S$3,$R91:$S91,"SCOPE:SERVER"),"--")</f>
        <v>--</v>
      </c>
      <c r="U91" s="151" t="str">
        <f t="shared" si="74"/>
        <v/>
      </c>
      <c r="V91" s="134" t="str">
        <f t="shared" si="71"/>
        <v>EUR.PRICING.XLS_STRIPS.IT0001312799</v>
      </c>
      <c r="W91" s="134" t="str">
        <f>IF(UPPER($X$1)="ABCD",_xll.MKV_PUBLISHRECORD(V91, "XLS_STRIPS"),"--")</f>
        <v>--</v>
      </c>
      <c r="X91" s="135" t="str">
        <f>IF(UPPER(X$1)="ABCD",_xll.MKV_SUPPLYRECORD(V91, "Bid",F91, "Ask",H91, "Id",A91, "Mid",G91, "Name",D91,"DV01",N91,"MidYield",J91,"BidYield",I91,"AskYield",K91),"--")</f>
        <v>--</v>
      </c>
    </row>
    <row r="92" spans="1:24" x14ac:dyDescent="0.2">
      <c r="A92" s="72" t="s">
        <v>72</v>
      </c>
      <c r="B92" s="89">
        <v>47150</v>
      </c>
      <c r="C92" s="139" t="e">
        <f ca="1">_xll.BDP(A92&amp;" Corp", "days to mty")</f>
        <v>#NAME?</v>
      </c>
      <c r="D92" s="47" t="s">
        <v>437</v>
      </c>
      <c r="E92" s="47" t="s">
        <v>438</v>
      </c>
      <c r="F92" s="138">
        <f ca="1"/>
        <v>61.01</v>
      </c>
      <c r="G92" s="138">
        <f ca="1"/>
        <v>61.32</v>
      </c>
      <c r="H92" s="138">
        <f t="shared" ca="1" si="72"/>
        <v>61.63</v>
      </c>
      <c r="I92" s="32">
        <f ca="1">ROUND(_xll.qlBondYieldFromCleanPrice(O92,F92,YieldDayCounter,YieldCompounding,YieldFrequency)*100,3)</f>
        <v>3.5219999999999998</v>
      </c>
      <c r="J92" s="32">
        <f ca="1">ROUND(_xll.qlBondYieldFromCleanPrice(P92,G92,YieldDayCounter,YieldCompounding,YieldFrequency)*100,3)</f>
        <v>3.4860000000000002</v>
      </c>
      <c r="K92" s="32">
        <f ca="1">ROUND(_xll.qlBondYieldFromCleanPrice(Q92,H92,YieldDayCounter,YieldCompounding,YieldFrequency)*100,3)</f>
        <v>3.4489999999999998</v>
      </c>
      <c r="L92" s="120">
        <f ca="1">_xll.qlBondDurationFromYield(P92,J92,YieldDayCounter,YieldCompounding,YieldFrequency,L$2)</f>
        <v>3.1818931348060011</v>
      </c>
      <c r="M92" s="120">
        <f ca="1">_xll.qlBondConvexityFromYield(P92,J92/100,YieldDayCounter,YieldCompounding,YieldFrequency)</f>
        <v>203.57932251769228</v>
      </c>
      <c r="N92" s="121" t="e">
        <f ca="1">_xll.BDP(A92&amp;" Corp","risk mid")</f>
        <v>#NAME?</v>
      </c>
      <c r="O92" s="107" t="str">
        <f>_xll.qlZeroCouponBond(,,"EUR",3,"target",100,$B92,"f",100,,,Trigger)</f>
        <v>obj_00f63#0000</v>
      </c>
      <c r="P92" s="107" t="str">
        <f>_xll.qlZeroCouponBond(,,"EUR",3,"target",100,$B92,"f",100,,,Trigger)</f>
        <v>obj_00eb1#0000</v>
      </c>
      <c r="Q92" s="107" t="str">
        <f>_xll.qlZeroCouponBond(,,"EUR",3,"target",100,$B92,"f",100,,,Trigger)</f>
        <v>obj_00efd#0000</v>
      </c>
      <c r="R92" s="123">
        <f t="shared" ca="1" si="69"/>
        <v>61.01</v>
      </c>
      <c r="S92" s="130">
        <f t="shared" ref="S92" ca="1" si="97">R92</f>
        <v>61.01</v>
      </c>
      <c r="T92" s="147" t="str">
        <f>IF(UPPER(U$1)="ABCD",_xll.RtContribute($E$3,$E92,$R$3:$S$3,$R92:$S92,"SCOPE:SERVER"),"--")</f>
        <v>--</v>
      </c>
      <c r="U92" s="151" t="str">
        <f t="shared" si="74"/>
        <v/>
      </c>
      <c r="V92" s="134" t="str">
        <f t="shared" si="71"/>
        <v>EUR.PRICING.XLS_STRIPS.IT0003268924</v>
      </c>
      <c r="W92" s="134" t="str">
        <f>IF(UPPER($X$1)="ABCD",_xll.MKV_PUBLISHRECORD(V92, "XLS_STRIPS"),"--")</f>
        <v>--</v>
      </c>
      <c r="X92" s="135" t="str">
        <f>IF(UPPER(X$1)="ABCD",_xll.MKV_SUPPLYRECORD(V92, "Bid",F92, "Ask",H92, "Id",A92, "Mid",G92, "Name",D92,"DV01",N92,"MidYield",J92,"BidYield",I92,"AskYield",K92),"--")</f>
        <v>--</v>
      </c>
    </row>
    <row r="93" spans="1:24" x14ac:dyDescent="0.2">
      <c r="A93" s="72" t="s">
        <v>204</v>
      </c>
      <c r="B93" s="89">
        <v>47178</v>
      </c>
      <c r="C93" s="139" t="e">
        <f ca="1">_xll.BDP(A93&amp;" Corp", "days to mty")</f>
        <v>#NAME?</v>
      </c>
      <c r="D93" s="47" t="s">
        <v>205</v>
      </c>
      <c r="E93" s="47" t="s">
        <v>206</v>
      </c>
      <c r="F93" s="138">
        <f ca="1"/>
        <v>60.8</v>
      </c>
      <c r="G93" s="138">
        <f ca="1"/>
        <v>61.11</v>
      </c>
      <c r="H93" s="138">
        <f t="shared" ca="1" si="72"/>
        <v>61.42</v>
      </c>
      <c r="I93" s="32">
        <f ca="1">ROUND(_xll.qlBondYieldFromCleanPrice(O93,F93,YieldDayCounter,YieldCompounding,YieldFrequency)*100,3)</f>
        <v>3.528</v>
      </c>
      <c r="J93" s="32">
        <f ca="1">ROUND(_xll.qlBondYieldFromCleanPrice(P93,G93,YieldDayCounter,YieldCompounding,YieldFrequency)*100,3)</f>
        <v>3.4910000000000001</v>
      </c>
      <c r="K93" s="32">
        <f ca="1">ROUND(_xll.qlBondYieldFromCleanPrice(Q93,H93,YieldDayCounter,YieldCompounding,YieldFrequency)*100,3)</f>
        <v>3.4550000000000001</v>
      </c>
      <c r="L93" s="120">
        <f ca="1">_xll.qlBondDurationFromYield(P93,J93,YieldDayCounter,YieldCompounding,YieldFrequency,L$2)</f>
        <v>3.195431959810032</v>
      </c>
      <c r="M93" s="120">
        <f ca="1">_xll.qlBondConvexityFromYield(P93,J93/100,YieldDayCounter,YieldCompounding,YieldFrequency)</f>
        <v>205.68149523342575</v>
      </c>
      <c r="N93" s="121" t="e">
        <f ca="1">_xll.BDP(A93&amp;" Corp","risk mid")</f>
        <v>#NAME?</v>
      </c>
      <c r="O93" s="107" t="str">
        <f>_xll.qlZeroCouponBond(,,"EUR",3,"target",100,$B93,"f",100,,,Trigger)</f>
        <v>obj_00e3d#0000</v>
      </c>
      <c r="P93" s="107" t="str">
        <f>_xll.qlZeroCouponBond(,,"EUR",3,"target",100,$B93,"f",100,,,Trigger)</f>
        <v>obj_00e2c#0000</v>
      </c>
      <c r="Q93" s="107" t="str">
        <f>_xll.qlZeroCouponBond(,,"EUR",3,"target",100,$B93,"f",100,,,Trigger)</f>
        <v>obj_00e0c#0000</v>
      </c>
      <c r="R93" s="123">
        <f t="shared" ca="1" si="69"/>
        <v>60.8</v>
      </c>
      <c r="S93" s="130">
        <f t="shared" ref="S93" ca="1" si="98">R93</f>
        <v>60.8</v>
      </c>
      <c r="T93" s="147" t="str">
        <f>IF(UPPER(U$1)="ABCD",_xll.RtContribute($E$3,$E93,$R$3:$S$3,$R93:$S93,"SCOPE:SERVER"),"--")</f>
        <v>--</v>
      </c>
      <c r="U93" s="151" t="str">
        <f t="shared" si="74"/>
        <v/>
      </c>
      <c r="V93" s="134" t="str">
        <f t="shared" si="71"/>
        <v>EUR.PRICING.XLS_STRIPS.IT0004976533</v>
      </c>
      <c r="W93" s="134" t="str">
        <f>IF(UPPER($X$1)="ABCD",_xll.MKV_PUBLISHRECORD(V93, "XLS_STRIPS"),"--")</f>
        <v>--</v>
      </c>
      <c r="X93" s="135" t="str">
        <f>IF(UPPER(X$1)="ABCD",_xll.MKV_SUPPLYRECORD(V93, "Bid",F93, "Ask",H93, "Id",A93, "Mid",G93, "Name",D93,"DV01",N93,"MidYield",J93,"BidYield",I93,"AskYield",K93),"--")</f>
        <v>--</v>
      </c>
    </row>
    <row r="94" spans="1:24" x14ac:dyDescent="0.2">
      <c r="A94" s="72" t="s">
        <v>73</v>
      </c>
      <c r="B94" s="89">
        <v>47239</v>
      </c>
      <c r="C94" s="139" t="e">
        <f ca="1">_xll.BDP(A94&amp;" Corp", "days to mty")</f>
        <v>#NAME?</v>
      </c>
      <c r="D94" s="47" t="s">
        <v>439</v>
      </c>
      <c r="E94" s="47" t="s">
        <v>440</v>
      </c>
      <c r="F94" s="138">
        <f ca="1"/>
        <v>60.33</v>
      </c>
      <c r="G94" s="138">
        <f ca="1"/>
        <v>60.64</v>
      </c>
      <c r="H94" s="138">
        <f t="shared" ca="1" si="72"/>
        <v>60.95</v>
      </c>
      <c r="I94" s="32">
        <f ca="1">ROUND(_xll.qlBondYieldFromCleanPrice(O94,F94,YieldDayCounter,YieldCompounding,YieldFrequency)*100,3)</f>
        <v>3.5409999999999999</v>
      </c>
      <c r="J94" s="32">
        <f ca="1">ROUND(_xll.qlBondYieldFromCleanPrice(P94,G94,YieldDayCounter,YieldCompounding,YieldFrequency)*100,3)</f>
        <v>3.5049999999999999</v>
      </c>
      <c r="K94" s="32">
        <f ca="1">ROUND(_xll.qlBondYieldFromCleanPrice(Q94,H94,YieldDayCounter,YieldCompounding,YieldFrequency)*100,3)</f>
        <v>3.4689999999999999</v>
      </c>
      <c r="L94" s="120">
        <f ca="1">_xll.qlBondDurationFromYield(P94,J94,YieldDayCounter,YieldCompounding,YieldFrequency,L$2)</f>
        <v>3.2232070910555994</v>
      </c>
      <c r="M94" s="120">
        <f ca="1">_xll.qlBondConvexityFromYield(P94,J94/100,YieldDayCounter,YieldCompounding,YieldFrequency)</f>
        <v>210.36205052727652</v>
      </c>
      <c r="N94" s="121" t="e">
        <f ca="1">_xll.BDP(A94&amp;" Corp","risk mid")</f>
        <v>#NAME?</v>
      </c>
      <c r="O94" s="107" t="str">
        <f>_xll.qlZeroCouponBond(,,"EUR",3,"target",100,$B94,"f",100,,,Trigger)</f>
        <v>obj_00e22#0000</v>
      </c>
      <c r="P94" s="107" t="str">
        <f>_xll.qlZeroCouponBond(,,"EUR",3,"target",100,$B94,"f",100,,,Trigger)</f>
        <v>obj_00ea6#0000</v>
      </c>
      <c r="Q94" s="107" t="str">
        <f>_xll.qlZeroCouponBond(,,"EUR",3,"target",100,$B94,"f",100,,,Trigger)</f>
        <v>obj_00df1#0000</v>
      </c>
      <c r="R94" s="123">
        <f t="shared" ca="1" si="69"/>
        <v>60.33</v>
      </c>
      <c r="S94" s="130">
        <f t="shared" ref="S94" ca="1" si="99">R94</f>
        <v>60.33</v>
      </c>
      <c r="T94" s="147" t="str">
        <f>IF(UPPER(U$1)="ABCD",_xll.RtContribute($E$3,$E94,$R$3:$S$3,$R94:$S94,"SCOPE:SERVER"),"--")</f>
        <v>--</v>
      </c>
      <c r="U94" s="151" t="str">
        <f t="shared" si="74"/>
        <v/>
      </c>
      <c r="V94" s="134" t="str">
        <f t="shared" si="71"/>
        <v>EUR.PRICING.XLS_STRIPS.IT0001312807</v>
      </c>
      <c r="W94" s="134" t="str">
        <f>IF(UPPER($X$1)="ABCD",_xll.MKV_PUBLISHRECORD(V94, "XLS_STRIPS"),"--")</f>
        <v>--</v>
      </c>
      <c r="X94" s="135" t="str">
        <f>IF(UPPER(X$1)="ABCD",_xll.MKV_SUPPLYRECORD(V94, "Bid",F94, "Ask",H94, "Id",A94, "Mid",G94, "Name",D94,"DV01",N94,"MidYield",J94,"BidYield",I94,"AskYield",K94),"--")</f>
        <v>--</v>
      </c>
    </row>
    <row r="95" spans="1:24" x14ac:dyDescent="0.2">
      <c r="A95" s="72" t="s">
        <v>74</v>
      </c>
      <c r="B95" s="89">
        <v>47331</v>
      </c>
      <c r="C95" s="139" t="e">
        <f ca="1">_xll.BDP(A95&amp;" Corp", "days to mty")</f>
        <v>#NAME?</v>
      </c>
      <c r="D95" s="47" t="s">
        <v>441</v>
      </c>
      <c r="E95" s="47" t="s">
        <v>442</v>
      </c>
      <c r="F95" s="138">
        <f ca="1"/>
        <v>59.62</v>
      </c>
      <c r="G95" s="138">
        <f ca="1"/>
        <v>59.93</v>
      </c>
      <c r="H95" s="138">
        <f t="shared" ca="1" si="72"/>
        <v>60.24</v>
      </c>
      <c r="I95" s="32">
        <f ca="1">ROUND(_xll.qlBondYieldFromCleanPrice(O95,F95,YieldDayCounter,YieldCompounding,YieldFrequency)*100,3)</f>
        <v>3.5640000000000001</v>
      </c>
      <c r="J95" s="32">
        <f ca="1">ROUND(_xll.qlBondYieldFromCleanPrice(P95,G95,YieldDayCounter,YieldCompounding,YieldFrequency)*100,3)</f>
        <v>3.5270000000000001</v>
      </c>
      <c r="K95" s="32">
        <f ca="1">ROUND(_xll.qlBondYieldFromCleanPrice(Q95,H95,YieldDayCounter,YieldCompounding,YieldFrequency)*100,3)</f>
        <v>3.4910000000000001</v>
      </c>
      <c r="L95" s="120">
        <f ca="1">_xll.qlBondDurationFromYield(P95,J95,YieldDayCounter,YieldCompounding,YieldFrequency,L$2)</f>
        <v>3.2626160843160217</v>
      </c>
      <c r="M95" s="120">
        <f ca="1">_xll.qlBondConvexityFromYield(P95,J95/100,YieldDayCounter,YieldCompounding,YieldFrequency)</f>
        <v>217.31871566141933</v>
      </c>
      <c r="N95" s="121" t="e">
        <f ca="1">_xll.BDP(A95&amp;" Corp","risk mid")</f>
        <v>#NAME?</v>
      </c>
      <c r="O95" s="107" t="str">
        <f>_xll.qlZeroCouponBond(,,"EUR",3,"target",100,$B95,"f",100,,,Trigger)</f>
        <v>obj_00e8a#0000</v>
      </c>
      <c r="P95" s="107" t="str">
        <f>_xll.qlZeroCouponBond(,,"EUR",3,"target",100,$B95,"f",100,,,Trigger)</f>
        <v>obj_00f3b#0000</v>
      </c>
      <c r="Q95" s="107" t="str">
        <f>_xll.qlZeroCouponBond(,,"EUR",3,"target",100,$B95,"f",100,,,Trigger)</f>
        <v>obj_00f7e#0000</v>
      </c>
      <c r="R95" s="123">
        <f t="shared" ca="1" si="69"/>
        <v>59.62</v>
      </c>
      <c r="S95" s="130">
        <f t="shared" ref="S95" ca="1" si="100">R95</f>
        <v>59.62</v>
      </c>
      <c r="T95" s="147" t="str">
        <f>IF(UPPER(U$1)="ABCD",_xll.RtContribute($E$3,$E95,$R$3:$S$3,$R95:$S95,"SCOPE:SERVER"),"--")</f>
        <v>--</v>
      </c>
      <c r="U95" s="151" t="str">
        <f t="shared" si="74"/>
        <v/>
      </c>
      <c r="V95" s="134" t="str">
        <f t="shared" si="71"/>
        <v>EUR.PRICING.XLS_STRIPS.IT0003268932</v>
      </c>
      <c r="W95" s="134" t="str">
        <f>IF(UPPER($X$1)="ABCD",_xll.MKV_PUBLISHRECORD(V95, "XLS_STRIPS"),"--")</f>
        <v>--</v>
      </c>
      <c r="X95" s="135" t="str">
        <f>IF(UPPER(X$1)="ABCD",_xll.MKV_SUPPLYRECORD(V95, "Bid",F95, "Ask",H95, "Id",A95, "Mid",G95, "Name",D95,"DV01",N95,"MidYield",J95,"BidYield",I95,"AskYield",K95),"--")</f>
        <v>--</v>
      </c>
    </row>
    <row r="96" spans="1:24" x14ac:dyDescent="0.2">
      <c r="A96" s="72" t="s">
        <v>207</v>
      </c>
      <c r="B96" s="89">
        <v>47362</v>
      </c>
      <c r="C96" s="139" t="e">
        <f ca="1">_xll.BDP(A96&amp;" Corp", "days to mty")</f>
        <v>#NAME?</v>
      </c>
      <c r="D96" s="47" t="s">
        <v>208</v>
      </c>
      <c r="E96" s="47" t="s">
        <v>209</v>
      </c>
      <c r="F96" s="138">
        <f ca="1"/>
        <v>59.38</v>
      </c>
      <c r="G96" s="138">
        <f ca="1"/>
        <v>59.69</v>
      </c>
      <c r="H96" s="138">
        <f t="shared" ca="1" si="72"/>
        <v>60</v>
      </c>
      <c r="I96" s="32">
        <f ca="1">ROUND(_xll.qlBondYieldFromCleanPrice(O96,F96,YieldDayCounter,YieldCompounding,YieldFrequency)*100,3)</f>
        <v>3.57</v>
      </c>
      <c r="J96" s="32">
        <f ca="1">ROUND(_xll.qlBondYieldFromCleanPrice(P96,G96,YieldDayCounter,YieldCompounding,YieldFrequency)*100,3)</f>
        <v>3.5329999999999999</v>
      </c>
      <c r="K96" s="32">
        <f ca="1">ROUND(_xll.qlBondYieldFromCleanPrice(Q96,H96,YieldDayCounter,YieldCompounding,YieldFrequency)*100,3)</f>
        <v>3.4969999999999999</v>
      </c>
      <c r="L96" s="120">
        <f ca="1">_xll.qlBondDurationFromYield(P96,J96,YieldDayCounter,YieldCompounding,YieldFrequency,L$2)</f>
        <v>3.2782426588578741</v>
      </c>
      <c r="M96" s="120">
        <f ca="1">_xll.qlBondConvexityFromYield(P96,J96/100,YieldDayCounter,YieldCompounding,YieldFrequency)</f>
        <v>219.87705155769063</v>
      </c>
      <c r="N96" s="121" t="e">
        <f ca="1">_xll.BDP(A96&amp;" Corp","risk mid")</f>
        <v>#NAME?</v>
      </c>
      <c r="O96" s="107" t="str">
        <f>_xll.qlZeroCouponBond(,,"EUR",3,"target",100,$B96,"f",100,,,Trigger)</f>
        <v>obj_00e2a#0000</v>
      </c>
      <c r="P96" s="107" t="str">
        <f>_xll.qlZeroCouponBond(,,"EUR",3,"target",100,$B96,"f",100,,,Trigger)</f>
        <v>obj_00e4e#0000</v>
      </c>
      <c r="Q96" s="107" t="str">
        <f>_xll.qlZeroCouponBond(,,"EUR",3,"target",100,$B96,"f",100,,,Trigger)</f>
        <v>obj_00e1d#0000</v>
      </c>
      <c r="R96" s="123">
        <f t="shared" ca="1" si="69"/>
        <v>59.38</v>
      </c>
      <c r="S96" s="130">
        <f t="shared" ref="S96" ca="1" si="101">R96</f>
        <v>59.38</v>
      </c>
      <c r="T96" s="147" t="str">
        <f>IF(UPPER(U$1)="ABCD",_xll.RtContribute($E$3,$E96,$R$3:$S$3,$R96:$S96,"SCOPE:SERVER"),"--")</f>
        <v>--</v>
      </c>
      <c r="U96" s="151" t="str">
        <f t="shared" si="74"/>
        <v/>
      </c>
      <c r="V96" s="134" t="str">
        <f t="shared" si="71"/>
        <v>EUR.PRICING.XLS_STRIPS.IT0004976541</v>
      </c>
      <c r="W96" s="134" t="str">
        <f>IF(UPPER($X$1)="ABCD",_xll.MKV_PUBLISHRECORD(V96, "XLS_STRIPS"),"--")</f>
        <v>--</v>
      </c>
      <c r="X96" s="135" t="str">
        <f>IF(UPPER(X$1)="ABCD",_xll.MKV_SUPPLYRECORD(V96, "Bid",F96, "Ask",H96, "Id",A96, "Mid",G96, "Name",D96,"DV01",N96,"MidYield",J96,"BidYield",I96,"AskYield",K96),"--")</f>
        <v>--</v>
      </c>
    </row>
    <row r="97" spans="1:24" x14ac:dyDescent="0.2">
      <c r="A97" s="72" t="s">
        <v>443</v>
      </c>
      <c r="B97" s="89">
        <v>47423</v>
      </c>
      <c r="C97" s="139" t="e">
        <f ca="1">_xll.BDP(A97&amp;" Corp", "days to mty")</f>
        <v>#NAME?</v>
      </c>
      <c r="D97" s="47" t="s">
        <v>444</v>
      </c>
      <c r="E97" s="47" t="s">
        <v>445</v>
      </c>
      <c r="F97" s="138">
        <f ca="1"/>
        <v>58.91</v>
      </c>
      <c r="G97" s="138">
        <f ca="1"/>
        <v>59.23</v>
      </c>
      <c r="H97" s="138">
        <f t="shared" ca="1" si="72"/>
        <v>59.55</v>
      </c>
      <c r="I97" s="32">
        <f ca="1">ROUND(_xll.qlBondYieldFromCleanPrice(O97,F97,YieldDayCounter,YieldCompounding,YieldFrequency)*100,3)</f>
        <v>3.585</v>
      </c>
      <c r="J97" s="32">
        <f ca="1">ROUND(_xll.qlBondYieldFromCleanPrice(P97,G97,YieldDayCounter,YieldCompounding,YieldFrequency)*100,3)</f>
        <v>3.548</v>
      </c>
      <c r="K97" s="32">
        <f ca="1">ROUND(_xll.qlBondYieldFromCleanPrice(Q97,H97,YieldDayCounter,YieldCompounding,YieldFrequency)*100,3)</f>
        <v>3.5110000000000001</v>
      </c>
      <c r="L97" s="120">
        <f ca="1">_xll.qlBondDurationFromYield(P97,J97,YieldDayCounter,YieldCompounding,YieldFrequency,L$2)</f>
        <v>3.3029722533463453</v>
      </c>
      <c r="M97" s="120">
        <f ca="1">_xll.qlBondConvexityFromYield(P97,J97/100,YieldDayCounter,YieldCompounding,YieldFrequency)</f>
        <v>224.46904085365117</v>
      </c>
      <c r="N97" s="121" t="e">
        <f ca="1">_xll.BDP(A97&amp;" Corp","risk mid")</f>
        <v>#NAME?</v>
      </c>
      <c r="O97" s="107" t="str">
        <f>_xll.qlZeroCouponBond(,,"EUR",3,"target",100,$B97,"f",100,,,Trigger)</f>
        <v>obj_00e25#0000</v>
      </c>
      <c r="P97" s="107" t="str">
        <f>_xll.qlZeroCouponBond(,,"EUR",3,"target",100,$B97,"f",100,,,Trigger)</f>
        <v>obj_00f75#0000</v>
      </c>
      <c r="Q97" s="107" t="str">
        <f>_xll.qlZeroCouponBond(,,"EUR",3,"target",100,$B97,"f",100,,,Trigger)</f>
        <v>obj_00f67#0000</v>
      </c>
      <c r="R97" s="123">
        <f t="shared" ca="1" si="69"/>
        <v>58.91</v>
      </c>
      <c r="S97" s="130">
        <f t="shared" ref="S97" ca="1" si="102">R97</f>
        <v>58.91</v>
      </c>
      <c r="T97" s="147" t="str">
        <f>IF(UPPER(U$1)="ABCD",_xll.RtContribute($E$3,$E97,$R$3:$S$3,$R97:$S97,"SCOPE:SERVER"),"--")</f>
        <v>--</v>
      </c>
      <c r="U97" s="151" t="str">
        <f t="shared" si="74"/>
        <v/>
      </c>
      <c r="V97" s="134" t="str">
        <f t="shared" si="71"/>
        <v>EUR.PRICING.XLS_STRIPS.IT0004848484</v>
      </c>
      <c r="W97" s="134" t="str">
        <f>IF(UPPER($X$1)="ABCD",_xll.MKV_PUBLISHRECORD(V97, "XLS_STRIPS"),"--")</f>
        <v>--</v>
      </c>
      <c r="X97" s="135" t="str">
        <f>IF(UPPER(X$1)="ABCD",_xll.MKV_SUPPLYRECORD(V97, "Bid",F97, "Ask",H97, "Id",A97, "Mid",G97, "Name",D97,"DV01",N97,"MidYield",J97,"BidYield",I97,"AskYield",K97),"--")</f>
        <v>--</v>
      </c>
    </row>
    <row r="98" spans="1:24" x14ac:dyDescent="0.2">
      <c r="A98" s="72" t="s">
        <v>75</v>
      </c>
      <c r="B98" s="89">
        <v>47515</v>
      </c>
      <c r="C98" s="139" t="e">
        <f ca="1">_xll.BDP(A98&amp;" Corp", "days to mty")</f>
        <v>#NAME?</v>
      </c>
      <c r="D98" s="47" t="s">
        <v>446</v>
      </c>
      <c r="E98" s="47" t="s">
        <v>447</v>
      </c>
      <c r="F98" s="138">
        <f ca="1"/>
        <v>58.22</v>
      </c>
      <c r="G98" s="138">
        <f ca="1"/>
        <v>58.53</v>
      </c>
      <c r="H98" s="138">
        <f t="shared" ca="1" si="72"/>
        <v>58.84</v>
      </c>
      <c r="I98" s="32">
        <f ca="1">ROUND(_xll.qlBondYieldFromCleanPrice(O98,F98,YieldDayCounter,YieldCompounding,YieldFrequency)*100,3)</f>
        <v>3.605</v>
      </c>
      <c r="J98" s="32">
        <f ca="1">ROUND(_xll.qlBondYieldFromCleanPrice(P98,G98,YieldDayCounter,YieldCompounding,YieldFrequency)*100,3)</f>
        <v>3.569</v>
      </c>
      <c r="K98" s="32">
        <f ca="1">ROUND(_xll.qlBondYieldFromCleanPrice(Q98,H98,YieldDayCounter,YieldCompounding,YieldFrequency)*100,3)</f>
        <v>3.5329999999999999</v>
      </c>
      <c r="L98" s="120">
        <f ca="1">_xll.qlBondDurationFromYield(P98,J98,YieldDayCounter,YieldCompounding,YieldFrequency,L$2)</f>
        <v>3.3429574529962189</v>
      </c>
      <c r="M98" s="120">
        <f ca="1">_xll.qlBondConvexityFromYield(P98,J98/100,YieldDayCounter,YieldCompounding,YieldFrequency)</f>
        <v>231.73200636624645</v>
      </c>
      <c r="N98" s="121" t="e">
        <f ca="1">_xll.BDP(A98&amp;" Corp","risk mid")</f>
        <v>#NAME?</v>
      </c>
      <c r="O98" s="107" t="str">
        <f>_xll.qlZeroCouponBond(,,"EUR",3,"target",100,$B98,"f",100,,,Trigger)</f>
        <v>obj_00f79#0000</v>
      </c>
      <c r="P98" s="107" t="str">
        <f>_xll.qlZeroCouponBond(,,"EUR",3,"target",100,$B98,"f",100,,,Trigger)</f>
        <v>obj_00f54#0000</v>
      </c>
      <c r="Q98" s="107" t="str">
        <f>_xll.qlZeroCouponBond(,,"EUR",3,"target",100,$B98,"f",100,,,Trigger)</f>
        <v>obj_00df7#0000</v>
      </c>
      <c r="R98" s="123">
        <f t="shared" ca="1" si="69"/>
        <v>58.22</v>
      </c>
      <c r="S98" s="130">
        <f t="shared" ref="S98" ca="1" si="103">R98</f>
        <v>58.22</v>
      </c>
      <c r="T98" s="147" t="str">
        <f>IF(UPPER(U$1)="ABCD",_xll.RtContribute($E$3,$E98,$R$3:$S$3,$R98:$S98,"SCOPE:SERVER"),"--")</f>
        <v>--</v>
      </c>
      <c r="U98" s="151" t="str">
        <f t="shared" si="74"/>
        <v/>
      </c>
      <c r="V98" s="134" t="str">
        <f t="shared" si="71"/>
        <v>EUR.PRICING.XLS_STRIPS.IT0003268957</v>
      </c>
      <c r="W98" s="134" t="str">
        <f>IF(UPPER($X$1)="ABCD",_xll.MKV_PUBLISHRECORD(V98, "XLS_STRIPS"),"--")</f>
        <v>--</v>
      </c>
      <c r="X98" s="135" t="str">
        <f>IF(UPPER(X$1)="ABCD",_xll.MKV_SUPPLYRECORD(V98, "Bid",F98, "Ask",H98, "Id",A98, "Mid",G98, "Name",D98,"DV01",N98,"MidYield",J98,"BidYield",I98,"AskYield",K98),"--")</f>
        <v>--</v>
      </c>
    </row>
    <row r="99" spans="1:24" x14ac:dyDescent="0.2">
      <c r="A99" s="72" t="s">
        <v>210</v>
      </c>
      <c r="B99" s="89">
        <v>47543</v>
      </c>
      <c r="C99" s="139" t="e">
        <f ca="1">_xll.BDP(A99&amp;" Corp", "days to mty")</f>
        <v>#NAME?</v>
      </c>
      <c r="D99" s="47" t="s">
        <v>211</v>
      </c>
      <c r="E99" s="47" t="s">
        <v>212</v>
      </c>
      <c r="F99" s="138">
        <f ca="1"/>
        <v>58.01</v>
      </c>
      <c r="G99" s="138">
        <f ca="1"/>
        <v>58.33</v>
      </c>
      <c r="H99" s="138">
        <f t="shared" ca="1" si="72"/>
        <v>58.65</v>
      </c>
      <c r="I99" s="32">
        <f ca="1">ROUND(_xll.qlBondYieldFromCleanPrice(O99,F99,YieldDayCounter,YieldCompounding,YieldFrequency)*100,3)</f>
        <v>3.6110000000000002</v>
      </c>
      <c r="J99" s="32">
        <f ca="1">ROUND(_xll.qlBondYieldFromCleanPrice(P99,G99,YieldDayCounter,YieldCompounding,YieldFrequency)*100,3)</f>
        <v>3.5739999999999998</v>
      </c>
      <c r="K99" s="32">
        <f ca="1">ROUND(_xll.qlBondYieldFromCleanPrice(Q99,H99,YieldDayCounter,YieldCompounding,YieldFrequency)*100,3)</f>
        <v>3.5369999999999999</v>
      </c>
      <c r="L99" s="120">
        <f ca="1">_xll.qlBondDurationFromYield(P99,J99,YieldDayCounter,YieldCompounding,YieldFrequency,L$2)</f>
        <v>3.356074536840151</v>
      </c>
      <c r="M99" s="120">
        <f ca="1">_xll.qlBondConvexityFromYield(P99,J99/100,YieldDayCounter,YieldCompounding,YieldFrequency)</f>
        <v>233.97109640817547</v>
      </c>
      <c r="N99" s="121" t="e">
        <f ca="1">_xll.BDP(A99&amp;" Corp","risk mid")</f>
        <v>#NAME?</v>
      </c>
      <c r="O99" s="107" t="str">
        <f>_xll.qlZeroCouponBond(,,"EUR",3,"target",100,$B99,"f",100,,,Trigger)</f>
        <v>obj_00e64#0000</v>
      </c>
      <c r="P99" s="107" t="str">
        <f>_xll.qlZeroCouponBond(,,"EUR",3,"target",100,$B99,"f",100,,,Trigger)</f>
        <v>obj_00ddc#0000</v>
      </c>
      <c r="Q99" s="107" t="str">
        <f>_xll.qlZeroCouponBond(,,"EUR",3,"target",100,$B99,"f",100,,,Trigger)</f>
        <v>obj_00dfb#0000</v>
      </c>
      <c r="R99" s="123">
        <f t="shared" ca="1" si="69"/>
        <v>58.01</v>
      </c>
      <c r="S99" s="130">
        <f t="shared" ref="S99" ca="1" si="104">R99</f>
        <v>58.01</v>
      </c>
      <c r="T99" s="147" t="str">
        <f>IF(UPPER(U$1)="ABCD",_xll.RtContribute($E$3,$E99,$R$3:$S$3,$R99:$S99,"SCOPE:SERVER"),"--")</f>
        <v>--</v>
      </c>
      <c r="U99" s="151" t="str">
        <f t="shared" si="74"/>
        <v/>
      </c>
      <c r="V99" s="134" t="str">
        <f t="shared" si="71"/>
        <v>EUR.PRICING.XLS_STRIPS.IT0004976558</v>
      </c>
      <c r="W99" s="134" t="str">
        <f>IF(UPPER($X$1)="ABCD",_xll.MKV_PUBLISHRECORD(V99, "XLS_STRIPS"),"--")</f>
        <v>--</v>
      </c>
      <c r="X99" s="135" t="str">
        <f>IF(UPPER(X$1)="ABCD",_xll.MKV_SUPPLYRECORD(V99, "Bid",F99, "Ask",H99, "Id",A99, "Mid",G99, "Name",D99,"DV01",N99,"MidYield",J99,"BidYield",I99,"AskYield",K99),"--")</f>
        <v>--</v>
      </c>
    </row>
    <row r="100" spans="1:24" x14ac:dyDescent="0.2">
      <c r="A100" s="72" t="s">
        <v>76</v>
      </c>
      <c r="B100" s="89">
        <v>47604</v>
      </c>
      <c r="C100" s="139" t="e">
        <f ca="1">_xll.BDP(A100&amp;" Corp", "days to mty")</f>
        <v>#NAME?</v>
      </c>
      <c r="D100" s="47" t="s">
        <v>448</v>
      </c>
      <c r="E100" s="47" t="s">
        <v>449</v>
      </c>
      <c r="F100" s="138">
        <f ca="1"/>
        <v>57.56</v>
      </c>
      <c r="G100" s="138">
        <f ca="1"/>
        <v>57.88</v>
      </c>
      <c r="H100" s="138">
        <f t="shared" ca="1" si="72"/>
        <v>58.2</v>
      </c>
      <c r="I100" s="32">
        <f ca="1">ROUND(_xll.qlBondYieldFromCleanPrice(O100,F100,YieldDayCounter,YieldCompounding,YieldFrequency)*100,3)</f>
        <v>3.6230000000000002</v>
      </c>
      <c r="J100" s="32">
        <f ca="1">ROUND(_xll.qlBondYieldFromCleanPrice(P100,G100,YieldDayCounter,YieldCompounding,YieldFrequency)*100,3)</f>
        <v>3.5859999999999999</v>
      </c>
      <c r="K100" s="32">
        <f ca="1">ROUND(_xll.qlBondYieldFromCleanPrice(Q100,H100,YieldDayCounter,YieldCompounding,YieldFrequency)*100,3)</f>
        <v>3.5489999999999999</v>
      </c>
      <c r="L100" s="120">
        <f ca="1">_xll.qlBondDurationFromYield(P100,J100,YieldDayCounter,YieldCompounding,YieldFrequency,L$2)</f>
        <v>3.3843323037953503</v>
      </c>
      <c r="M100" s="120">
        <f ca="1">_xll.qlBondConvexityFromYield(P100,J100/100,YieldDayCounter,YieldCompounding,YieldFrequency)</f>
        <v>238.96228995732531</v>
      </c>
      <c r="N100" s="121" t="e">
        <f ca="1">_xll.BDP(A100&amp;" Corp","risk mid")</f>
        <v>#NAME?</v>
      </c>
      <c r="O100" s="107" t="str">
        <f>_xll.qlZeroCouponBond(,,"EUR",3,"target",100,$B100,"f",100,,,Trigger)</f>
        <v>obj_00f71#0000</v>
      </c>
      <c r="P100" s="107" t="str">
        <f>_xll.qlZeroCouponBond(,,"EUR",3,"target",100,$B100,"f",100,,,Trigger)</f>
        <v>obj_00e3f#0000</v>
      </c>
      <c r="Q100" s="107" t="str">
        <f>_xll.qlZeroCouponBond(,,"EUR",3,"target",100,$B100,"f",100,,,Trigger)</f>
        <v>obj_00e00#0000</v>
      </c>
      <c r="R100" s="123">
        <f t="shared" ref="R100:R131" ca="1" si="105">F100</f>
        <v>57.56</v>
      </c>
      <c r="S100" s="130">
        <f t="shared" ref="S100" ca="1" si="106">R100</f>
        <v>57.56</v>
      </c>
      <c r="T100" s="147" t="str">
        <f>IF(UPPER(U$1)="ABCD",_xll.RtContribute($E$3,$E100,$R$3:$S$3,$R100:$S100,"SCOPE:SERVER"),"--")</f>
        <v>--</v>
      </c>
      <c r="U100" s="151" t="str">
        <f t="shared" si="74"/>
        <v/>
      </c>
      <c r="V100" s="134" t="str">
        <f t="shared" ref="V100:V131" si="107">V$3&amp;A100</f>
        <v>EUR.PRICING.XLS_STRIPS.IT0001464194</v>
      </c>
      <c r="W100" s="134" t="str">
        <f>IF(UPPER($X$1)="ABCD",_xll.MKV_PUBLISHRECORD(V100, "XLS_STRIPS"),"--")</f>
        <v>--</v>
      </c>
      <c r="X100" s="135" t="str">
        <f>IF(UPPER(X$1)="ABCD",_xll.MKV_SUPPLYRECORD(V100, "Bid",F100, "Ask",H100, "Id",A100, "Mid",G100, "Name",D100,"DV01",N100,"MidYield",J100,"BidYield",I100,"AskYield",K100),"--")</f>
        <v>--</v>
      </c>
    </row>
    <row r="101" spans="1:24" x14ac:dyDescent="0.2">
      <c r="A101" s="72" t="s">
        <v>77</v>
      </c>
      <c r="B101" s="89">
        <v>47696</v>
      </c>
      <c r="C101" s="139" t="e">
        <f ca="1">_xll.BDP(A101&amp;" Corp", "days to mty")</f>
        <v>#NAME?</v>
      </c>
      <c r="D101" s="47" t="s">
        <v>450</v>
      </c>
      <c r="E101" s="47" t="s">
        <v>451</v>
      </c>
      <c r="F101" s="138">
        <f ca="1"/>
        <v>56.89</v>
      </c>
      <c r="G101" s="138">
        <f ca="1"/>
        <v>57.21</v>
      </c>
      <c r="H101" s="138">
        <f t="shared" ca="1" si="72"/>
        <v>57.53</v>
      </c>
      <c r="I101" s="32">
        <f ca="1">ROUND(_xll.qlBondYieldFromCleanPrice(O101,F101,YieldDayCounter,YieldCompounding,YieldFrequency)*100,3)</f>
        <v>3.641</v>
      </c>
      <c r="J101" s="32">
        <f ca="1">ROUND(_xll.qlBondYieldFromCleanPrice(P101,G101,YieldDayCounter,YieldCompounding,YieldFrequency)*100,3)</f>
        <v>3.605</v>
      </c>
      <c r="K101" s="32">
        <f ca="1">ROUND(_xll.qlBondYieldFromCleanPrice(Q101,H101,YieldDayCounter,YieldCompounding,YieldFrequency)*100,3)</f>
        <v>3.5680000000000001</v>
      </c>
      <c r="L101" s="120">
        <f ca="1">_xll.qlBondDurationFromYield(P101,J101,YieldDayCounter,YieldCompounding,YieldFrequency,L$2)</f>
        <v>3.4245087977630031</v>
      </c>
      <c r="M101" s="120">
        <f ca="1">_xll.qlBondConvexityFromYield(P101,J101/100,YieldDayCounter,YieldCompounding,YieldFrequency)</f>
        <v>246.37464171645129</v>
      </c>
      <c r="N101" s="121" t="e">
        <f ca="1">_xll.BDP(A101&amp;" Corp","risk mid")</f>
        <v>#NAME?</v>
      </c>
      <c r="O101" s="107" t="str">
        <f>_xll.qlZeroCouponBond(,,"EUR",3,"target",100,$B101,"f",100,,,Trigger)</f>
        <v>obj_00de7#0000</v>
      </c>
      <c r="P101" s="107" t="str">
        <f>_xll.qlZeroCouponBond(,,"EUR",3,"target",100,$B101,"f",100,,,Trigger)</f>
        <v>obj_00edc#0000</v>
      </c>
      <c r="Q101" s="107" t="str">
        <f>_xll.qlZeroCouponBond(,,"EUR",3,"target",100,$B101,"f",100,,,Trigger)</f>
        <v>obj_00df4#0000</v>
      </c>
      <c r="R101" s="123">
        <f t="shared" ca="1" si="105"/>
        <v>56.89</v>
      </c>
      <c r="S101" s="130">
        <f t="shared" ref="S101" ca="1" si="108">R101</f>
        <v>56.89</v>
      </c>
      <c r="T101" s="147" t="str">
        <f>IF(UPPER(U$1)="ABCD",_xll.RtContribute($E$3,$E101,$R$3:$S$3,$R101:$S101,"SCOPE:SERVER"),"--")</f>
        <v>--</v>
      </c>
      <c r="U101" s="151" t="str">
        <f t="shared" si="74"/>
        <v/>
      </c>
      <c r="V101" s="134" t="str">
        <f t="shared" si="107"/>
        <v>EUR.PRICING.XLS_STRIPS.IT0003268973</v>
      </c>
      <c r="W101" s="134" t="str">
        <f>IF(UPPER($X$1)="ABCD",_xll.MKV_PUBLISHRECORD(V101, "XLS_STRIPS"),"--")</f>
        <v>--</v>
      </c>
      <c r="X101" s="135" t="str">
        <f>IF(UPPER(X$1)="ABCD",_xll.MKV_SUPPLYRECORD(V101, "Bid",F101, "Ask",H101, "Id",A101, "Mid",G101, "Name",D101,"DV01",N101,"MidYield",J101,"BidYield",I101,"AskYield",K101),"--")</f>
        <v>--</v>
      </c>
    </row>
    <row r="102" spans="1:24" x14ac:dyDescent="0.2">
      <c r="A102" s="72" t="s">
        <v>213</v>
      </c>
      <c r="B102" s="89">
        <v>47727</v>
      </c>
      <c r="C102" s="139" t="e">
        <f ca="1">_xll.BDP(A102&amp;" Corp", "days to mty")</f>
        <v>#NAME?</v>
      </c>
      <c r="D102" s="47" t="s">
        <v>214</v>
      </c>
      <c r="E102" s="47" t="s">
        <v>215</v>
      </c>
      <c r="F102" s="138">
        <f ca="1"/>
        <v>56.66</v>
      </c>
      <c r="G102" s="138">
        <f ca="1"/>
        <v>56.98</v>
      </c>
      <c r="H102" s="138">
        <f t="shared" ca="1" si="72"/>
        <v>57.3</v>
      </c>
      <c r="I102" s="32">
        <f ca="1">ROUND(_xll.qlBondYieldFromCleanPrice(O102,F102,YieldDayCounter,YieldCompounding,YieldFrequency)*100,3)</f>
        <v>3.6469999999999998</v>
      </c>
      <c r="J102" s="32">
        <f ca="1">ROUND(_xll.qlBondYieldFromCleanPrice(P102,G102,YieldDayCounter,YieldCompounding,YieldFrequency)*100,3)</f>
        <v>3.6110000000000002</v>
      </c>
      <c r="K102" s="32">
        <f ca="1">ROUND(_xll.qlBondYieldFromCleanPrice(Q102,H102,YieldDayCounter,YieldCompounding,YieldFrequency)*100,3)</f>
        <v>3.5739999999999998</v>
      </c>
      <c r="L102" s="120">
        <f ca="1">_xll.qlBondDurationFromYield(P102,J102,YieldDayCounter,YieldCompounding,YieldFrequency,L$2)</f>
        <v>3.4390661996476557</v>
      </c>
      <c r="M102" s="120">
        <f ca="1">_xll.qlBondConvexityFromYield(P102,J102/100,YieldDayCounter,YieldCompounding,YieldFrequency)</f>
        <v>249.01068214190872</v>
      </c>
      <c r="N102" s="121" t="e">
        <f ca="1">_xll.BDP(A102&amp;" Corp","risk mid")</f>
        <v>#NAME?</v>
      </c>
      <c r="O102" s="107" t="str">
        <f>_xll.qlZeroCouponBond(,,"EUR",3,"target",100,$B102,"f",100,,,Trigger)</f>
        <v>obj_00e06#0000</v>
      </c>
      <c r="P102" s="107" t="str">
        <f>_xll.qlZeroCouponBond(,,"EUR",3,"target",100,$B102,"f",100,,,Trigger)</f>
        <v>obj_00f86#0000</v>
      </c>
      <c r="Q102" s="107" t="str">
        <f>_xll.qlZeroCouponBond(,,"EUR",3,"target",100,$B102,"f",100,,,Trigger)</f>
        <v>obj_00e5a#0000</v>
      </c>
      <c r="R102" s="123">
        <f t="shared" ca="1" si="105"/>
        <v>56.66</v>
      </c>
      <c r="S102" s="130">
        <f t="shared" ref="S102" ca="1" si="109">R102</f>
        <v>56.66</v>
      </c>
      <c r="T102" s="147" t="str">
        <f>IF(UPPER(U$1)="ABCD",_xll.RtContribute($E$3,$E102,$R$3:$S$3,$R102:$S102,"SCOPE:SERVER"),"--")</f>
        <v>--</v>
      </c>
      <c r="U102" s="151" t="str">
        <f t="shared" si="74"/>
        <v/>
      </c>
      <c r="V102" s="134" t="str">
        <f t="shared" si="107"/>
        <v>EUR.PRICING.XLS_STRIPS.IT0004976566</v>
      </c>
      <c r="W102" s="134" t="str">
        <f>IF(UPPER($X$1)="ABCD",_xll.MKV_PUBLISHRECORD(V102, "XLS_STRIPS"),"--")</f>
        <v>--</v>
      </c>
      <c r="X102" s="135" t="str">
        <f>IF(UPPER(X$1)="ABCD",_xll.MKV_SUPPLYRECORD(V102, "Bid",F102, "Ask",H102, "Id",A102, "Mid",G102, "Name",D102,"DV01",N102,"MidYield",J102,"BidYield",I102,"AskYield",K102),"--")</f>
        <v>--</v>
      </c>
    </row>
    <row r="103" spans="1:24" x14ac:dyDescent="0.2">
      <c r="A103" s="72" t="s">
        <v>78</v>
      </c>
      <c r="B103" s="89">
        <v>47788</v>
      </c>
      <c r="C103" s="139" t="e">
        <f ca="1">_xll.BDP(A103&amp;" Corp", "days to mty")</f>
        <v>#NAME?</v>
      </c>
      <c r="D103" s="47" t="s">
        <v>452</v>
      </c>
      <c r="E103" s="47" t="s">
        <v>453</v>
      </c>
      <c r="F103" s="138">
        <f ca="1"/>
        <v>56.22</v>
      </c>
      <c r="G103" s="138">
        <f ca="1"/>
        <v>56.55</v>
      </c>
      <c r="H103" s="138">
        <f t="shared" ca="1" si="72"/>
        <v>56.88</v>
      </c>
      <c r="I103" s="32">
        <f ca="1">ROUND(_xll.qlBondYieldFromCleanPrice(O103,F103,YieldDayCounter,YieldCompounding,YieldFrequency)*100,3)</f>
        <v>3.66</v>
      </c>
      <c r="J103" s="32">
        <f ca="1">ROUND(_xll.qlBondYieldFromCleanPrice(P103,G103,YieldDayCounter,YieldCompounding,YieldFrequency)*100,3)</f>
        <v>3.6219999999999999</v>
      </c>
      <c r="K103" s="32">
        <f ca="1">ROUND(_xll.qlBondYieldFromCleanPrice(Q103,H103,YieldDayCounter,YieldCompounding,YieldFrequency)*100,3)</f>
        <v>3.5840000000000001</v>
      </c>
      <c r="L103" s="120">
        <f ca="1">_xll.qlBondDurationFromYield(P103,J103,YieldDayCounter,YieldCompounding,YieldFrequency,L$2)</f>
        <v>3.4664469511508393</v>
      </c>
      <c r="M103" s="120">
        <f ca="1">_xll.qlBondConvexityFromYield(P103,J103/100,YieldDayCounter,YieldCompounding,YieldFrequency)</f>
        <v>253.99142111678736</v>
      </c>
      <c r="N103" s="121" t="e">
        <f ca="1">_xll.BDP(A103&amp;" Corp","risk mid")</f>
        <v>#NAME?</v>
      </c>
      <c r="O103" s="107" t="str">
        <f>_xll.qlZeroCouponBond(,,"EUR",3,"target",100,$B103,"f",100,,,Trigger)</f>
        <v>obj_00dff#0000</v>
      </c>
      <c r="P103" s="107" t="str">
        <f>_xll.qlZeroCouponBond(,,"EUR",3,"target",100,$B103,"f",100,,,Trigger)</f>
        <v>obj_00eba#0000</v>
      </c>
      <c r="Q103" s="107" t="str">
        <f>_xll.qlZeroCouponBond(,,"EUR",3,"target",100,$B103,"f",100,,,Trigger)</f>
        <v>obj_00f0e#0000</v>
      </c>
      <c r="R103" s="123">
        <f t="shared" ca="1" si="105"/>
        <v>56.22</v>
      </c>
      <c r="S103" s="130">
        <f t="shared" ref="S103" ca="1" si="110">R103</f>
        <v>56.22</v>
      </c>
      <c r="T103" s="147" t="str">
        <f>IF(UPPER(U$1)="ABCD",_xll.RtContribute($E$3,$E103,$R$3:$S$3,$R103:$S103,"SCOPE:SERVER"),"--")</f>
        <v>--</v>
      </c>
      <c r="U103" s="151" t="str">
        <f t="shared" si="74"/>
        <v/>
      </c>
      <c r="V103" s="134" t="str">
        <f t="shared" si="107"/>
        <v>EUR.PRICING.XLS_STRIPS.IT0001464202</v>
      </c>
      <c r="W103" s="134" t="str">
        <f>IF(UPPER($X$1)="ABCD",_xll.MKV_PUBLISHRECORD(V103, "XLS_STRIPS"),"--")</f>
        <v>--</v>
      </c>
      <c r="X103" s="135" t="str">
        <f>IF(UPPER(X$1)="ABCD",_xll.MKV_SUPPLYRECORD(V103, "Bid",F103, "Ask",H103, "Id",A103, "Mid",G103, "Name",D103,"DV01",N103,"MidYield",J103,"BidYield",I103,"AskYield",K103),"--")</f>
        <v>--</v>
      </c>
    </row>
    <row r="104" spans="1:24" x14ac:dyDescent="0.2">
      <c r="A104" s="72" t="s">
        <v>79</v>
      </c>
      <c r="B104" s="89">
        <v>47880</v>
      </c>
      <c r="C104" s="139" t="e">
        <f ca="1">_xll.BDP(A104&amp;" Corp", "days to mty")</f>
        <v>#NAME?</v>
      </c>
      <c r="D104" s="47" t="s">
        <v>454</v>
      </c>
      <c r="E104" s="47" t="s">
        <v>455</v>
      </c>
      <c r="F104" s="138">
        <f ca="1"/>
        <v>55.57</v>
      </c>
      <c r="G104" s="138">
        <f ca="1"/>
        <v>55.89</v>
      </c>
      <c r="H104" s="138">
        <f t="shared" ca="1" si="72"/>
        <v>56.21</v>
      </c>
      <c r="I104" s="32">
        <f ca="1">ROUND(_xll.qlBondYieldFromCleanPrice(O104,F104,YieldDayCounter,YieldCompounding,YieldFrequency)*100,3)</f>
        <v>3.6749999999999998</v>
      </c>
      <c r="J104" s="32">
        <f ca="1">ROUND(_xll.qlBondYieldFromCleanPrice(P104,G104,YieldDayCounter,YieldCompounding,YieldFrequency)*100,3)</f>
        <v>3.6379999999999999</v>
      </c>
      <c r="K104" s="32">
        <f ca="1">ROUND(_xll.qlBondYieldFromCleanPrice(Q104,H104,YieldDayCounter,YieldCompounding,YieldFrequency)*100,3)</f>
        <v>3.6019999999999999</v>
      </c>
      <c r="L104" s="120">
        <f ca="1">_xll.qlBondDurationFromYield(P104,J104,YieldDayCounter,YieldCompounding,YieldFrequency,L$2)</f>
        <v>3.5100155357469855</v>
      </c>
      <c r="M104" s="120">
        <f ca="1">_xll.qlBondConvexityFromYield(P104,J104/100,YieldDayCounter,YieldCompounding,YieldFrequency)</f>
        <v>261.89771103158927</v>
      </c>
      <c r="N104" s="121" t="e">
        <f ca="1">_xll.BDP(A104&amp;" Corp","risk mid")</f>
        <v>#NAME?</v>
      </c>
      <c r="O104" s="107" t="str">
        <f>_xll.qlZeroCouponBond(,,"EUR",3,"target",100,$B104,"f",100,,,Trigger)</f>
        <v>obj_00f10#0000</v>
      </c>
      <c r="P104" s="107" t="str">
        <f>_xll.qlZeroCouponBond(,,"EUR",3,"target",100,$B104,"f",100,,,Trigger)</f>
        <v>obj_00f07#0000</v>
      </c>
      <c r="Q104" s="107" t="str">
        <f>_xll.qlZeroCouponBond(,,"EUR",3,"target",100,$B104,"f",100,,,Trigger)</f>
        <v>obj_00f2f#0000</v>
      </c>
      <c r="R104" s="123">
        <f t="shared" ca="1" si="105"/>
        <v>55.57</v>
      </c>
      <c r="S104" s="130">
        <f t="shared" ref="S104" ca="1" si="111">R104</f>
        <v>55.57</v>
      </c>
      <c r="T104" s="147" t="str">
        <f>IF(UPPER(U$1)="ABCD",_xll.RtContribute($E$3,$E104,$R$3:$S$3,$R104:$S104,"SCOPE:SERVER"),"--")</f>
        <v>--</v>
      </c>
      <c r="U104" s="151" t="str">
        <f t="shared" si="74"/>
        <v/>
      </c>
      <c r="V104" s="134" t="str">
        <f t="shared" si="107"/>
        <v>EUR.PRICING.XLS_STRIPS.IT0003268999</v>
      </c>
      <c r="W104" s="134" t="str">
        <f>IF(UPPER($X$1)="ABCD",_xll.MKV_PUBLISHRECORD(V104, "XLS_STRIPS"),"--")</f>
        <v>--</v>
      </c>
      <c r="X104" s="135" t="str">
        <f>IF(UPPER(X$1)="ABCD",_xll.MKV_SUPPLYRECORD(V104, "Bid",F104, "Ask",H104, "Id",A104, "Mid",G104, "Name",D104,"DV01",N104,"MidYield",J104,"BidYield",I104,"AskYield",K104),"--")</f>
        <v>--</v>
      </c>
    </row>
    <row r="105" spans="1:24" x14ac:dyDescent="0.2">
      <c r="A105" s="72" t="s">
        <v>216</v>
      </c>
      <c r="B105" s="89">
        <v>47908</v>
      </c>
      <c r="C105" s="139" t="e">
        <f ca="1">_xll.BDP(A105&amp;" Corp", "days to mty")</f>
        <v>#NAME?</v>
      </c>
      <c r="D105" s="47" t="s">
        <v>217</v>
      </c>
      <c r="E105" s="47" t="s">
        <v>218</v>
      </c>
      <c r="F105" s="138">
        <f ca="1"/>
        <v>55.37</v>
      </c>
      <c r="G105" s="138">
        <f ca="1"/>
        <v>55.69</v>
      </c>
      <c r="H105" s="138">
        <f t="shared" ca="1" si="72"/>
        <v>56.01</v>
      </c>
      <c r="I105" s="32">
        <f ca="1">ROUND(_xll.qlBondYieldFromCleanPrice(O105,F105,YieldDayCounter,YieldCompounding,YieldFrequency)*100,3)</f>
        <v>3.68</v>
      </c>
      <c r="J105" s="32">
        <f ca="1">ROUND(_xll.qlBondYieldFromCleanPrice(P105,G105,YieldDayCounter,YieldCompounding,YieldFrequency)*100,3)</f>
        <v>3.6440000000000001</v>
      </c>
      <c r="K105" s="32">
        <f ca="1">ROUND(_xll.qlBondYieldFromCleanPrice(Q105,H105,YieldDayCounter,YieldCompounding,YieldFrequency)*100,3)</f>
        <v>3.6070000000000002</v>
      </c>
      <c r="L105" s="120">
        <f ca="1">_xll.qlBondDurationFromYield(P105,J105,YieldDayCounter,YieldCompounding,YieldFrequency,L$2)</f>
        <v>3.5219992212665043</v>
      </c>
      <c r="M105" s="120">
        <f ca="1">_xll.qlBondConvexityFromYield(P105,J105/100,YieldDayCounter,YieldCompounding,YieldFrequency)</f>
        <v>264.26940697640043</v>
      </c>
      <c r="N105" s="121" t="e">
        <f ca="1">_xll.BDP(A105&amp;" Corp","risk mid")</f>
        <v>#NAME?</v>
      </c>
      <c r="O105" s="107" t="str">
        <f>_xll.qlZeroCouponBond(,,"EUR",3,"target",100,$B105,"f",100,,,Trigger)</f>
        <v>obj_00f61#0000</v>
      </c>
      <c r="P105" s="107" t="str">
        <f>_xll.qlZeroCouponBond(,,"EUR",3,"target",100,$B105,"f",100,,,Trigger)</f>
        <v>obj_00f00#0000</v>
      </c>
      <c r="Q105" s="107" t="str">
        <f>_xll.qlZeroCouponBond(,,"EUR",3,"target",100,$B105,"f",100,,,Trigger)</f>
        <v>obj_00f35#0000</v>
      </c>
      <c r="R105" s="123">
        <f t="shared" ca="1" si="105"/>
        <v>55.37</v>
      </c>
      <c r="S105" s="130">
        <f t="shared" ref="S105" ca="1" si="112">R105</f>
        <v>55.37</v>
      </c>
      <c r="T105" s="147" t="str">
        <f>IF(UPPER(U$1)="ABCD",_xll.RtContribute($E$3,$E105,$R$3:$S$3,$R105:$S105,"SCOPE:SERVER"),"--")</f>
        <v>--</v>
      </c>
      <c r="U105" s="151" t="str">
        <f t="shared" si="74"/>
        <v/>
      </c>
      <c r="V105" s="134" t="str">
        <f t="shared" si="107"/>
        <v>EUR.PRICING.XLS_STRIPS.IT0004976574</v>
      </c>
      <c r="W105" s="134" t="str">
        <f>IF(UPPER($X$1)="ABCD",_xll.MKV_PUBLISHRECORD(V105, "XLS_STRIPS"),"--")</f>
        <v>--</v>
      </c>
      <c r="X105" s="135" t="str">
        <f>IF(UPPER(X$1)="ABCD",_xll.MKV_SUPPLYRECORD(V105, "Bid",F105, "Ask",H105, "Id",A105, "Mid",G105, "Name",D105,"DV01",N105,"MidYield",J105,"BidYield",I105,"AskYield",K105),"--")</f>
        <v>--</v>
      </c>
    </row>
    <row r="106" spans="1:24" x14ac:dyDescent="0.2">
      <c r="A106" s="72" t="s">
        <v>456</v>
      </c>
      <c r="B106" s="89">
        <v>47969</v>
      </c>
      <c r="C106" s="139" t="e">
        <f ca="1">_xll.BDP(A106&amp;" Corp", "days to mty")</f>
        <v>#NAME?</v>
      </c>
      <c r="D106" s="47" t="s">
        <v>457</v>
      </c>
      <c r="E106" s="47" t="s">
        <v>458</v>
      </c>
      <c r="F106" s="138">
        <f ca="1"/>
        <v>54.94</v>
      </c>
      <c r="G106" s="138">
        <f ca="1"/>
        <v>55.26</v>
      </c>
      <c r="H106" s="138">
        <f t="shared" ca="1" si="72"/>
        <v>55.58</v>
      </c>
      <c r="I106" s="32">
        <f ca="1">ROUND(_xll.qlBondYieldFromCleanPrice(O106,F106,YieldDayCounter,YieldCompounding,YieldFrequency)*100,3)</f>
        <v>3.6920000000000002</v>
      </c>
      <c r="J106" s="32">
        <f ca="1">ROUND(_xll.qlBondYieldFromCleanPrice(P106,G106,YieldDayCounter,YieldCompounding,YieldFrequency)*100,3)</f>
        <v>3.6549999999999998</v>
      </c>
      <c r="K106" s="32">
        <f ca="1">ROUND(_xll.qlBondYieldFromCleanPrice(Q106,H106,YieldDayCounter,YieldCompounding,YieldFrequency)*100,3)</f>
        <v>3.6190000000000002</v>
      </c>
      <c r="L106" s="120">
        <f ca="1">_xll.qlBondDurationFromYield(P106,J106,YieldDayCounter,YieldCompounding,YieldFrequency,L$2)</f>
        <v>3.5489898915586422</v>
      </c>
      <c r="M106" s="120">
        <f ca="1">_xll.qlBondConvexityFromYield(P106,J106/100,YieldDayCounter,YieldCompounding,YieldFrequency)</f>
        <v>269.39629593682383</v>
      </c>
      <c r="N106" s="121" t="e">
        <f ca="1">_xll.BDP(A106&amp;" Corp","risk mid")</f>
        <v>#NAME?</v>
      </c>
      <c r="O106" s="107" t="str">
        <f>_xll.qlZeroCouponBond(,,"EUR",3,"target",100,$B106,"f",100,,,Trigger)</f>
        <v>obj_00ea1#0000</v>
      </c>
      <c r="P106" s="107" t="str">
        <f>_xll.qlZeroCouponBond(,,"EUR",3,"target",100,$B106,"f",100,,,Trigger)</f>
        <v>obj_00f89#0000</v>
      </c>
      <c r="Q106" s="107" t="str">
        <f>_xll.qlZeroCouponBond(,,"EUR",3,"target",100,$B106,"f",100,,,Trigger)</f>
        <v>obj_00de2#0000</v>
      </c>
      <c r="R106" s="123">
        <f t="shared" ca="1" si="105"/>
        <v>54.94</v>
      </c>
      <c r="S106" s="130">
        <f t="shared" ref="S106" ca="1" si="113">R106</f>
        <v>54.94</v>
      </c>
      <c r="T106" s="147" t="str">
        <f>IF(UPPER(U$1)="ABCD",_xll.RtContribute($E$3,$E106,$R$3:$S$3,$R106:$S106,"SCOPE:SERVER"),"--")</f>
        <v>--</v>
      </c>
      <c r="U106" s="151" t="str">
        <f t="shared" si="74"/>
        <v/>
      </c>
      <c r="V106" s="134" t="str">
        <f t="shared" si="107"/>
        <v>EUR.PRICING.XLS_STRIPS.IT0004848492</v>
      </c>
      <c r="W106" s="134" t="str">
        <f>IF(UPPER($X$1)="ABCD",_xll.MKV_PUBLISHRECORD(V106, "XLS_STRIPS"),"--")</f>
        <v>--</v>
      </c>
      <c r="X106" s="135" t="str">
        <f>IF(UPPER(X$1)="ABCD",_xll.MKV_SUPPLYRECORD(V106, "Bid",F106, "Ask",H106, "Id",A106, "Mid",G106, "Name",D106,"DV01",N106,"MidYield",J106,"BidYield",I106,"AskYield",K106),"--")</f>
        <v>--</v>
      </c>
    </row>
    <row r="107" spans="1:24" x14ac:dyDescent="0.2">
      <c r="A107" s="72" t="s">
        <v>80</v>
      </c>
      <c r="B107" s="89">
        <v>48061</v>
      </c>
      <c r="C107" s="139" t="e">
        <f ca="1">_xll.BDP(A107&amp;" Corp", "days to mty")</f>
        <v>#NAME?</v>
      </c>
      <c r="D107" s="47" t="s">
        <v>459</v>
      </c>
      <c r="E107" s="47" t="s">
        <v>460</v>
      </c>
      <c r="F107" s="138">
        <f ca="1"/>
        <v>54.29</v>
      </c>
      <c r="G107" s="138">
        <f ca="1"/>
        <v>54.61</v>
      </c>
      <c r="H107" s="138">
        <f t="shared" ca="1" si="72"/>
        <v>54.93</v>
      </c>
      <c r="I107" s="32">
        <f ca="1">ROUND(_xll.qlBondYieldFromCleanPrice(O107,F107,YieldDayCounter,YieldCompounding,YieldFrequency)*100,3)</f>
        <v>3.71</v>
      </c>
      <c r="J107" s="32">
        <f ca="1">ROUND(_xll.qlBondYieldFromCleanPrice(P107,G107,YieldDayCounter,YieldCompounding,YieldFrequency)*100,3)</f>
        <v>3.673</v>
      </c>
      <c r="K107" s="32">
        <f ca="1">ROUND(_xll.qlBondYieldFromCleanPrice(Q107,H107,YieldDayCounter,YieldCompounding,YieldFrequency)*100,3)</f>
        <v>3.637</v>
      </c>
      <c r="L107" s="120">
        <f ca="1">_xll.qlBondDurationFromYield(P107,J107,YieldDayCounter,YieldCompounding,YieldFrequency,L$2)</f>
        <v>3.5886717341533556</v>
      </c>
      <c r="M107" s="120">
        <f ca="1">_xll.qlBondConvexityFromYield(P107,J107/100,YieldDayCounter,YieldCompounding,YieldFrequency)</f>
        <v>277.25683610274569</v>
      </c>
      <c r="N107" s="121" t="e">
        <f ca="1">_xll.BDP(A107&amp;" Corp","risk mid")</f>
        <v>#NAME?</v>
      </c>
      <c r="O107" s="107" t="str">
        <f>_xll.qlZeroCouponBond(,,"EUR",3,"target",100,$B107,"f",100,,,Trigger)</f>
        <v>obj_00ec6#0000</v>
      </c>
      <c r="P107" s="107" t="str">
        <f>_xll.qlZeroCouponBond(,,"EUR",3,"target",100,$B107,"f",100,,,Trigger)</f>
        <v>obj_00dd3#0000</v>
      </c>
      <c r="Q107" s="107" t="str">
        <f>_xll.qlZeroCouponBond(,,"EUR",3,"target",100,$B107,"f",100,,,Trigger)</f>
        <v>obj_00ed4#0000</v>
      </c>
      <c r="R107" s="123">
        <f t="shared" ca="1" si="105"/>
        <v>54.29</v>
      </c>
      <c r="S107" s="130">
        <f t="shared" ref="S107" ca="1" si="114">R107</f>
        <v>54.29</v>
      </c>
      <c r="T107" s="147" t="str">
        <f>IF(UPPER(U$1)="ABCD",_xll.RtContribute($E$3,$E107,$R$3:$S$3,$R107:$S107,"SCOPE:SERVER"),"--")</f>
        <v>--</v>
      </c>
      <c r="U107" s="151" t="str">
        <f t="shared" si="74"/>
        <v/>
      </c>
      <c r="V107" s="134" t="str">
        <f t="shared" si="107"/>
        <v>EUR.PRICING.XLS_STRIPS.IT0003269013</v>
      </c>
      <c r="W107" s="134" t="str">
        <f>IF(UPPER($X$1)="ABCD",_xll.MKV_PUBLISHRECORD(V107, "XLS_STRIPS"),"--")</f>
        <v>--</v>
      </c>
      <c r="X107" s="135" t="str">
        <f>IF(UPPER(X$1)="ABCD",_xll.MKV_SUPPLYRECORD(V107, "Bid",F107, "Ask",H107, "Id",A107, "Mid",G107, "Name",D107,"DV01",N107,"MidYield",J107,"BidYield",I107,"AskYield",K107),"--")</f>
        <v>--</v>
      </c>
    </row>
    <row r="108" spans="1:24" x14ac:dyDescent="0.2">
      <c r="A108" s="72" t="s">
        <v>219</v>
      </c>
      <c r="B108" s="89">
        <v>48092</v>
      </c>
      <c r="C108" s="139" t="e">
        <f ca="1">_xll.BDP(A108&amp;" Corp", "days to mty")</f>
        <v>#NAME?</v>
      </c>
      <c r="D108" s="47" t="s">
        <v>220</v>
      </c>
      <c r="E108" s="47" t="s">
        <v>221</v>
      </c>
      <c r="F108" s="138">
        <f ca="1"/>
        <v>54.07</v>
      </c>
      <c r="G108" s="138">
        <f ca="1"/>
        <v>54.39</v>
      </c>
      <c r="H108" s="138">
        <f t="shared" ca="1" si="72"/>
        <v>54.71</v>
      </c>
      <c r="I108" s="32">
        <f ca="1">ROUND(_xll.qlBondYieldFromCleanPrice(O108,F108,YieldDayCounter,YieldCompounding,YieldFrequency)*100,3)</f>
        <v>3.7160000000000002</v>
      </c>
      <c r="J108" s="32">
        <f ca="1">ROUND(_xll.qlBondYieldFromCleanPrice(P108,G108,YieldDayCounter,YieldCompounding,YieldFrequency)*100,3)</f>
        <v>3.6789999999999998</v>
      </c>
      <c r="K108" s="32">
        <f ca="1">ROUND(_xll.qlBondYieldFromCleanPrice(Q108,H108,YieldDayCounter,YieldCompounding,YieldFrequency)*100,3)</f>
        <v>3.6429999999999998</v>
      </c>
      <c r="L108" s="120">
        <f ca="1">_xll.qlBondDurationFromYield(P108,J108,YieldDayCounter,YieldCompounding,YieldFrequency,L$2)</f>
        <v>3.6022215260841932</v>
      </c>
      <c r="M108" s="120">
        <f ca="1">_xll.qlBondConvexityFromYield(P108,J108/100,YieldDayCounter,YieldCompounding,YieldFrequency)</f>
        <v>279.96047355729723</v>
      </c>
      <c r="N108" s="121" t="e">
        <f ca="1">_xll.BDP(A108&amp;" Corp","risk mid")</f>
        <v>#NAME?</v>
      </c>
      <c r="O108" s="107" t="str">
        <f>_xll.qlZeroCouponBond(,,"EUR",3,"target",100,$B108,"f",100,,,Trigger)</f>
        <v>obj_00ed0#0000</v>
      </c>
      <c r="P108" s="107" t="str">
        <f>_xll.qlZeroCouponBond(,,"EUR",3,"target",100,$B108,"f",100,,,Trigger)</f>
        <v>obj_00f87#0000</v>
      </c>
      <c r="Q108" s="107" t="str">
        <f>_xll.qlZeroCouponBond(,,"EUR",3,"target",100,$B108,"f",100,,,Trigger)</f>
        <v>obj_00dd5#0000</v>
      </c>
      <c r="R108" s="123">
        <f t="shared" ca="1" si="105"/>
        <v>54.07</v>
      </c>
      <c r="S108" s="130">
        <f t="shared" ref="S108" ca="1" si="115">R108</f>
        <v>54.07</v>
      </c>
      <c r="T108" s="147" t="str">
        <f>IF(UPPER(U$1)="ABCD",_xll.RtContribute($E$3,$E108,$R$3:$S$3,$R108:$S108,"SCOPE:SERVER"),"--")</f>
        <v>--</v>
      </c>
      <c r="U108" s="151" t="str">
        <f t="shared" si="74"/>
        <v/>
      </c>
      <c r="V108" s="134" t="str">
        <f t="shared" si="107"/>
        <v>EUR.PRICING.XLS_STRIPS.IT0004976582</v>
      </c>
      <c r="W108" s="134" t="str">
        <f>IF(UPPER($X$1)="ABCD",_xll.MKV_PUBLISHRECORD(V108, "XLS_STRIPS"),"--")</f>
        <v>--</v>
      </c>
      <c r="X108" s="135" t="str">
        <f>IF(UPPER(X$1)="ABCD",_xll.MKV_SUPPLYRECORD(V108, "Bid",F108, "Ask",H108, "Id",A108, "Mid",G108, "Name",D108,"DV01",N108,"MidYield",J108,"BidYield",I108,"AskYield",K108),"--")</f>
        <v>--</v>
      </c>
    </row>
    <row r="109" spans="1:24" x14ac:dyDescent="0.2">
      <c r="A109" s="72" t="s">
        <v>81</v>
      </c>
      <c r="B109" s="89">
        <v>48245</v>
      </c>
      <c r="C109" s="139" t="e">
        <f ca="1">_xll.BDP(A109&amp;" Corp", "days to mty")</f>
        <v>#NAME?</v>
      </c>
      <c r="D109" s="47" t="s">
        <v>461</v>
      </c>
      <c r="E109" s="47" t="s">
        <v>462</v>
      </c>
      <c r="F109" s="138">
        <f ca="1"/>
        <v>52.99</v>
      </c>
      <c r="G109" s="138">
        <f ca="1"/>
        <v>53.31</v>
      </c>
      <c r="H109" s="138">
        <f t="shared" ca="1" si="72"/>
        <v>53.63</v>
      </c>
      <c r="I109" s="32">
        <f ca="1">ROUND(_xll.qlBondYieldFromCleanPrice(O109,F109,YieldDayCounter,YieldCompounding,YieldFrequency)*100,3)</f>
        <v>3.7440000000000002</v>
      </c>
      <c r="J109" s="32">
        <f ca="1">ROUND(_xll.qlBondYieldFromCleanPrice(P109,G109,YieldDayCounter,YieldCompounding,YieldFrequency)*100,3)</f>
        <v>3.7080000000000002</v>
      </c>
      <c r="K109" s="32">
        <f ca="1">ROUND(_xll.qlBondYieldFromCleanPrice(Q109,H109,YieldDayCounter,YieldCompounding,YieldFrequency)*100,3)</f>
        <v>3.6720000000000002</v>
      </c>
      <c r="L109" s="120">
        <f ca="1">_xll.qlBondDurationFromYield(P109,J109,YieldDayCounter,YieldCompounding,YieldFrequency,L$2)</f>
        <v>3.6696500273507056</v>
      </c>
      <c r="M109" s="120">
        <f ca="1">_xll.qlBondConvexityFromYield(P109,J109/100,YieldDayCounter,YieldCompounding,YieldFrequency)</f>
        <v>293.58553912949066</v>
      </c>
      <c r="N109" s="121" t="e">
        <f ca="1">_xll.BDP(A109&amp;" Corp","risk mid")</f>
        <v>#NAME?</v>
      </c>
      <c r="O109" s="107" t="str">
        <f>_xll.qlZeroCouponBond(,,"EUR",3,"target",100,$B109,"f",100,,,Trigger)</f>
        <v>obj_00e79#0000</v>
      </c>
      <c r="P109" s="107" t="str">
        <f>_xll.qlZeroCouponBond(,,"EUR",3,"target",100,$B109,"f",100,,,Trigger)</f>
        <v>obj_00ea2#0000</v>
      </c>
      <c r="Q109" s="107" t="str">
        <f>_xll.qlZeroCouponBond(,,"EUR",3,"target",100,$B109,"f",100,,,Trigger)</f>
        <v>obj_00f01#0000</v>
      </c>
      <c r="R109" s="123">
        <f t="shared" ca="1" si="105"/>
        <v>52.99</v>
      </c>
      <c r="S109" s="130">
        <f t="shared" ref="S109" ca="1" si="116">R109</f>
        <v>52.99</v>
      </c>
      <c r="T109" s="147" t="str">
        <f>IF(UPPER(U$1)="ABCD",_xll.RtContribute($E$3,$E109,$R$3:$S$3,$R109:$S109,"SCOPE:SERVER"),"--")</f>
        <v>--</v>
      </c>
      <c r="U109" s="151" t="str">
        <f t="shared" si="74"/>
        <v/>
      </c>
      <c r="V109" s="134" t="str">
        <f t="shared" si="107"/>
        <v>EUR.PRICING.XLS_STRIPS.IT0003269021</v>
      </c>
      <c r="W109" s="134" t="str">
        <f>IF(UPPER($X$1)="ABCD",_xll.MKV_PUBLISHRECORD(V109, "XLS_STRIPS"),"--")</f>
        <v>--</v>
      </c>
      <c r="X109" s="135" t="str">
        <f>IF(UPPER(X$1)="ABCD",_xll.MKV_SUPPLYRECORD(V109, "Bid",F109, "Ask",H109, "Id",A109, "Mid",G109, "Name",D109,"DV01",N109,"MidYield",J109,"BidYield",I109,"AskYield",K109),"--")</f>
        <v>--</v>
      </c>
    </row>
    <row r="110" spans="1:24" x14ac:dyDescent="0.2">
      <c r="A110" s="72" t="s">
        <v>222</v>
      </c>
      <c r="B110" s="89">
        <v>48274</v>
      </c>
      <c r="C110" s="139" t="e">
        <f ca="1">_xll.BDP(A110&amp;" Corp", "days to mty")</f>
        <v>#NAME?</v>
      </c>
      <c r="D110" s="47" t="s">
        <v>223</v>
      </c>
      <c r="E110" s="47" t="s">
        <v>224</v>
      </c>
      <c r="F110" s="138">
        <f ca="1"/>
        <v>52.78</v>
      </c>
      <c r="G110" s="138">
        <f ca="1"/>
        <v>53.11</v>
      </c>
      <c r="H110" s="138">
        <f t="shared" ca="1" si="72"/>
        <v>53.44</v>
      </c>
      <c r="I110" s="32">
        <f ca="1">ROUND(_xll.qlBondYieldFromCleanPrice(O110,F110,YieldDayCounter,YieldCompounding,YieldFrequency)*100,3)</f>
        <v>3.7519999999999998</v>
      </c>
      <c r="J110" s="32">
        <f ca="1">ROUND(_xll.qlBondYieldFromCleanPrice(P110,G110,YieldDayCounter,YieldCompounding,YieldFrequency)*100,3)</f>
        <v>3.714</v>
      </c>
      <c r="K110" s="32">
        <f ca="1">ROUND(_xll.qlBondYieldFromCleanPrice(Q110,H110,YieldDayCounter,YieldCompounding,YieldFrequency)*100,3)</f>
        <v>3.677</v>
      </c>
      <c r="L110" s="120">
        <f ca="1">_xll.qlBondDurationFromYield(P110,J110,YieldDayCounter,YieldCompounding,YieldFrequency,L$2)</f>
        <v>3.6806713897978036</v>
      </c>
      <c r="M110" s="120">
        <f ca="1">_xll.qlBondConvexityFromYield(P110,J110/100,YieldDayCounter,YieldCompounding,YieldFrequency)</f>
        <v>296.00165123119774</v>
      </c>
      <c r="N110" s="121" t="e">
        <f ca="1">_xll.BDP(A110&amp;" Corp","risk mid")</f>
        <v>#NAME?</v>
      </c>
      <c r="O110" s="107" t="str">
        <f>_xll.qlZeroCouponBond(,,"EUR",3,"target",100,$B110,"f",100,,,Trigger)</f>
        <v>obj_00f0b#0000</v>
      </c>
      <c r="P110" s="107" t="str">
        <f>_xll.qlZeroCouponBond(,,"EUR",3,"target",100,$B110,"f",100,,,Trigger)</f>
        <v>obj_00e54#0000</v>
      </c>
      <c r="Q110" s="107" t="str">
        <f>_xll.qlZeroCouponBond(,,"EUR",3,"target",100,$B110,"f",100,,,Trigger)</f>
        <v>obj_00ea4#0000</v>
      </c>
      <c r="R110" s="123">
        <f t="shared" ca="1" si="105"/>
        <v>52.78</v>
      </c>
      <c r="S110" s="130">
        <f t="shared" ref="S110" ca="1" si="117">R110</f>
        <v>52.78</v>
      </c>
      <c r="T110" s="147" t="str">
        <f>IF(UPPER(U$1)="ABCD",_xll.RtContribute($E$3,$E110,$R$3:$S$3,$R110:$S110,"SCOPE:SERVER"),"--")</f>
        <v>--</v>
      </c>
      <c r="U110" s="151" t="str">
        <f t="shared" si="74"/>
        <v/>
      </c>
      <c r="V110" s="134" t="str">
        <f t="shared" si="107"/>
        <v>EUR.PRICING.XLS_STRIPS.IT0004976590</v>
      </c>
      <c r="W110" s="134" t="str">
        <f>IF(UPPER($X$1)="ABCD",_xll.MKV_PUBLISHRECORD(V110, "XLS_STRIPS"),"--")</f>
        <v>--</v>
      </c>
      <c r="X110" s="135" t="str">
        <f>IF(UPPER(X$1)="ABCD",_xll.MKV_SUPPLYRECORD(V110, "Bid",F110, "Ask",H110, "Id",A110, "Mid",G110, "Name",D110,"DV01",N110,"MidYield",J110,"BidYield",I110,"AskYield",K110),"--")</f>
        <v>--</v>
      </c>
    </row>
    <row r="111" spans="1:24" x14ac:dyDescent="0.2">
      <c r="A111" s="72" t="s">
        <v>82</v>
      </c>
      <c r="B111" s="89">
        <v>48427</v>
      </c>
      <c r="C111" s="139" t="e">
        <f ca="1">_xll.BDP(A111&amp;" Corp", "days to mty")</f>
        <v>#NAME?</v>
      </c>
      <c r="D111" s="47" t="s">
        <v>463</v>
      </c>
      <c r="E111" s="47" t="s">
        <v>464</v>
      </c>
      <c r="F111" s="138">
        <f ca="1"/>
        <v>51.68</v>
      </c>
      <c r="G111" s="138">
        <f ca="1"/>
        <v>52.01</v>
      </c>
      <c r="H111" s="138">
        <f t="shared" ca="1" si="72"/>
        <v>52.34</v>
      </c>
      <c r="I111" s="32">
        <f ca="1">ROUND(_xll.qlBondYieldFromCleanPrice(O111,F111,YieldDayCounter,YieldCompounding,YieldFrequency)*100,3)</f>
        <v>3.7839999999999998</v>
      </c>
      <c r="J111" s="32">
        <f ca="1">ROUND(_xll.qlBondYieldFromCleanPrice(P111,G111,YieldDayCounter,YieldCompounding,YieldFrequency)*100,3)</f>
        <v>3.7469999999999999</v>
      </c>
      <c r="K111" s="32">
        <f ca="1">ROUND(_xll.qlBondYieldFromCleanPrice(Q111,H111,YieldDayCounter,YieldCompounding,YieldFrequency)*100,3)</f>
        <v>3.71</v>
      </c>
      <c r="L111" s="120">
        <f ca="1">_xll.qlBondDurationFromYield(P111,J111,YieldDayCounter,YieldCompounding,YieldFrequency,L$2)</f>
        <v>3.7439651863758217</v>
      </c>
      <c r="M111" s="120">
        <f ca="1">_xll.qlBondConvexityFromYield(P111,J111/100,YieldDayCounter,YieldCompounding,YieldFrequency)</f>
        <v>309.97340125913934</v>
      </c>
      <c r="N111" s="121" t="e">
        <f ca="1">_xll.BDP(A111&amp;" Corp","risk mid")</f>
        <v>#NAME?</v>
      </c>
      <c r="O111" s="107" t="str">
        <f>_xll.qlZeroCouponBond(,,"EUR",3,"target",100,$B111,"f",100,,,Trigger)</f>
        <v>obj_00ecd#0000</v>
      </c>
      <c r="P111" s="107" t="str">
        <f>_xll.qlZeroCouponBond(,,"EUR",3,"target",100,$B111,"f",100,,,Trigger)</f>
        <v>obj_00eef#0000</v>
      </c>
      <c r="Q111" s="107" t="str">
        <f>_xll.qlZeroCouponBond(,,"EUR",3,"target",100,$B111,"f",100,,,Trigger)</f>
        <v>obj_00ef1#0000</v>
      </c>
      <c r="R111" s="123">
        <f t="shared" ca="1" si="105"/>
        <v>51.68</v>
      </c>
      <c r="S111" s="130">
        <f t="shared" ref="S111" ca="1" si="118">R111</f>
        <v>51.68</v>
      </c>
      <c r="T111" s="147" t="str">
        <f>IF(UPPER(U$1)="ABCD",_xll.RtContribute($E$3,$E111,$R$3:$S$3,$R111:$S111,"SCOPE:SERVER"),"--")</f>
        <v>--</v>
      </c>
      <c r="U111" s="151" t="str">
        <f t="shared" si="74"/>
        <v/>
      </c>
      <c r="V111" s="134" t="str">
        <f t="shared" si="107"/>
        <v>EUR.PRICING.XLS_STRIPS.IT0003269039</v>
      </c>
      <c r="W111" s="134" t="str">
        <f>IF(UPPER($X$1)="ABCD",_xll.MKV_PUBLISHRECORD(V111, "XLS_STRIPS"),"--")</f>
        <v>--</v>
      </c>
      <c r="X111" s="135" t="str">
        <f>IF(UPPER(X$1)="ABCD",_xll.MKV_SUPPLYRECORD(V111, "Bid",F111, "Ask",H111, "Id",A111, "Mid",G111, "Name",D111,"DV01",N111,"MidYield",J111,"BidYield",I111,"AskYield",K111),"--")</f>
        <v>--</v>
      </c>
    </row>
    <row r="112" spans="1:24" x14ac:dyDescent="0.2">
      <c r="A112" s="72" t="s">
        <v>225</v>
      </c>
      <c r="B112" s="89">
        <v>48458</v>
      </c>
      <c r="C112" s="139" t="e">
        <f ca="1">_xll.BDP(A112&amp;" Corp", "days to mty")</f>
        <v>#NAME?</v>
      </c>
      <c r="D112" s="47" t="s">
        <v>226</v>
      </c>
      <c r="E112" s="47" t="s">
        <v>227</v>
      </c>
      <c r="F112" s="138">
        <f ca="1"/>
        <v>51.46</v>
      </c>
      <c r="G112" s="138">
        <f ca="1"/>
        <v>51.79</v>
      </c>
      <c r="H112" s="138">
        <f t="shared" ca="1" si="72"/>
        <v>52.12</v>
      </c>
      <c r="I112" s="32">
        <f ca="1">ROUND(_xll.qlBondYieldFromCleanPrice(O112,F112,YieldDayCounter,YieldCompounding,YieldFrequency)*100,3)</f>
        <v>3.7909999999999999</v>
      </c>
      <c r="J112" s="32">
        <f ca="1">ROUND(_xll.qlBondYieldFromCleanPrice(P112,G112,YieldDayCounter,YieldCompounding,YieldFrequency)*100,3)</f>
        <v>3.754</v>
      </c>
      <c r="K112" s="32">
        <f ca="1">ROUND(_xll.qlBondYieldFromCleanPrice(Q112,H112,YieldDayCounter,YieldCompounding,YieldFrequency)*100,3)</f>
        <v>3.7170000000000001</v>
      </c>
      <c r="L112" s="120">
        <f ca="1">_xll.qlBondDurationFromYield(P112,J112,YieldDayCounter,YieldCompounding,YieldFrequency,L$2)</f>
        <v>3.7557413800058783</v>
      </c>
      <c r="M112" s="120">
        <f ca="1">_xll.qlBondConvexityFromYield(P112,J112/100,YieldDayCounter,YieldCompounding,YieldFrequency)</f>
        <v>312.72814047253314</v>
      </c>
      <c r="N112" s="121" t="e">
        <f ca="1">_xll.BDP(A112&amp;" Corp","risk mid")</f>
        <v>#NAME?</v>
      </c>
      <c r="O112" s="107" t="str">
        <f>_xll.qlZeroCouponBond(,,"EUR",3,"target",100,$B112,"f",100,,,Trigger)</f>
        <v>obj_00e94#0000</v>
      </c>
      <c r="P112" s="107" t="str">
        <f>_xll.qlZeroCouponBond(,,"EUR",3,"target",100,$B112,"f",100,,,Trigger)</f>
        <v>obj_00ecf#0000</v>
      </c>
      <c r="Q112" s="107" t="str">
        <f>_xll.qlZeroCouponBond(,,"EUR",3,"target",100,$B112,"f",100,,,Trigger)</f>
        <v>obj_00efe#0000</v>
      </c>
      <c r="R112" s="123">
        <f t="shared" ca="1" si="105"/>
        <v>51.46</v>
      </c>
      <c r="S112" s="130">
        <f t="shared" ref="S112" ca="1" si="119">R112</f>
        <v>51.46</v>
      </c>
      <c r="T112" s="147" t="str">
        <f>IF(UPPER(U$1)="ABCD",_xll.RtContribute($E$3,$E112,$R$3:$S$3,$R112:$S112,"SCOPE:SERVER"),"--")</f>
        <v>--</v>
      </c>
      <c r="U112" s="151" t="str">
        <f t="shared" si="74"/>
        <v/>
      </c>
      <c r="V112" s="134" t="str">
        <f t="shared" si="107"/>
        <v>EUR.PRICING.XLS_STRIPS.IT0004976608</v>
      </c>
      <c r="W112" s="134" t="str">
        <f>IF(UPPER($X$1)="ABCD",_xll.MKV_PUBLISHRECORD(V112, "XLS_STRIPS"),"--")</f>
        <v>--</v>
      </c>
      <c r="X112" s="135" t="str">
        <f>IF(UPPER(X$1)="ABCD",_xll.MKV_SUPPLYRECORD(V112, "Bid",F112, "Ask",H112, "Id",A112, "Mid",G112, "Name",D112,"DV01",N112,"MidYield",J112,"BidYield",I112,"AskYield",K112),"--")</f>
        <v>--</v>
      </c>
    </row>
    <row r="113" spans="1:24" x14ac:dyDescent="0.2">
      <c r="A113" s="72" t="s">
        <v>465</v>
      </c>
      <c r="B113" s="89">
        <v>48611</v>
      </c>
      <c r="C113" s="139" t="e">
        <f ca="1">_xll.BDP(A113&amp;" Corp", "days to mty")</f>
        <v>#NAME?</v>
      </c>
      <c r="D113" s="47" t="s">
        <v>466</v>
      </c>
      <c r="E113" s="47" t="s">
        <v>467</v>
      </c>
      <c r="F113" s="138">
        <f ca="1"/>
        <v>50.34</v>
      </c>
      <c r="G113" s="138">
        <f ca="1"/>
        <v>50.66</v>
      </c>
      <c r="H113" s="138">
        <f t="shared" ca="1" si="72"/>
        <v>50.98</v>
      </c>
      <c r="I113" s="32">
        <f ca="1">ROUND(_xll.qlBondYieldFromCleanPrice(O113,F113,YieldDayCounter,YieldCompounding,YieldFrequency)*100,3)</f>
        <v>3.827</v>
      </c>
      <c r="J113" s="32">
        <f ca="1">ROUND(_xll.qlBondYieldFromCleanPrice(P113,G113,YieldDayCounter,YieldCompounding,YieldFrequency)*100,3)</f>
        <v>3.7909999999999999</v>
      </c>
      <c r="K113" s="32">
        <f ca="1">ROUND(_xll.qlBondYieldFromCleanPrice(Q113,H113,YieldDayCounter,YieldCompounding,YieldFrequency)*100,3)</f>
        <v>3.7559999999999998</v>
      </c>
      <c r="L113" s="120">
        <f ca="1">_xll.qlBondDurationFromYield(P113,J113,YieldDayCounter,YieldCompounding,YieldFrequency,L$2)</f>
        <v>3.8142293055186225</v>
      </c>
      <c r="M113" s="120">
        <f ca="1">_xll.qlBondConvexityFromYield(P113,J113/100,YieldDayCounter,YieldCompounding,YieldFrequency)</f>
        <v>326.95261421154589</v>
      </c>
      <c r="N113" s="121" t="e">
        <f ca="1">_xll.BDP(A113&amp;" Corp","risk mid")</f>
        <v>#NAME?</v>
      </c>
      <c r="O113" s="107" t="str">
        <f>_xll.qlZeroCouponBond(,,"EUR",3,"target",100,$B113,"f",100,,,Trigger)</f>
        <v>obj_00f83#0000</v>
      </c>
      <c r="P113" s="107" t="str">
        <f>_xll.qlZeroCouponBond(,,"EUR",3,"target",100,$B113,"f",100,,,Trigger)</f>
        <v>obj_00e41#0000</v>
      </c>
      <c r="Q113" s="107" t="str">
        <f>_xll.qlZeroCouponBond(,,"EUR",3,"target",100,$B113,"f",100,,,Trigger)</f>
        <v>obj_00e17#0000</v>
      </c>
      <c r="R113" s="123">
        <f t="shared" ca="1" si="105"/>
        <v>50.34</v>
      </c>
      <c r="S113" s="130">
        <f t="shared" ref="S113" ca="1" si="120">R113</f>
        <v>50.34</v>
      </c>
      <c r="T113" s="147" t="str">
        <f>IF(UPPER(U$1)="ABCD",_xll.RtContribute($E$3,$E113,$R$3:$S$3,$R113:$S113,"SCOPE:SERVER"),"--")</f>
        <v>--</v>
      </c>
      <c r="U113" s="151" t="str">
        <f t="shared" si="74"/>
        <v/>
      </c>
      <c r="V113" s="134" t="str">
        <f t="shared" si="107"/>
        <v>EUR.PRICING.XLS_STRIPS.IT0004848534</v>
      </c>
      <c r="W113" s="134" t="str">
        <f>IF(UPPER($X$1)="ABCD",_xll.MKV_PUBLISHRECORD(V113, "XLS_STRIPS"),"--")</f>
        <v>--</v>
      </c>
      <c r="X113" s="135" t="str">
        <f>IF(UPPER(X$1)="ABCD",_xll.MKV_SUPPLYRECORD(V113, "Bid",F113, "Ask",H113, "Id",A113, "Mid",G113, "Name",D113,"DV01",N113,"MidYield",J113,"BidYield",I113,"AskYield",K113),"--")</f>
        <v>--</v>
      </c>
    </row>
    <row r="114" spans="1:24" x14ac:dyDescent="0.2">
      <c r="A114" s="72" t="s">
        <v>228</v>
      </c>
      <c r="B114" s="89">
        <v>48639</v>
      </c>
      <c r="C114" s="139" t="e">
        <f ca="1">_xll.BDP(A114&amp;" Corp", "days to mty")</f>
        <v>#NAME?</v>
      </c>
      <c r="D114" s="47" t="s">
        <v>229</v>
      </c>
      <c r="E114" s="47" t="s">
        <v>230</v>
      </c>
      <c r="F114" s="138">
        <f ca="1"/>
        <v>50.13</v>
      </c>
      <c r="G114" s="138">
        <f ca="1"/>
        <v>50.46</v>
      </c>
      <c r="H114" s="138">
        <f t="shared" ca="1" si="72"/>
        <v>50.79</v>
      </c>
      <c r="I114" s="32">
        <f ca="1">ROUND(_xll.qlBondYieldFromCleanPrice(O114,F114,YieldDayCounter,YieldCompounding,YieldFrequency)*100,3)</f>
        <v>3.835</v>
      </c>
      <c r="J114" s="32">
        <f ca="1">ROUND(_xll.qlBondYieldFromCleanPrice(P114,G114,YieldDayCounter,YieldCompounding,YieldFrequency)*100,3)</f>
        <v>3.798</v>
      </c>
      <c r="K114" s="32">
        <f ca="1">ROUND(_xll.qlBondYieldFromCleanPrice(Q114,H114,YieldDayCounter,YieldCompounding,YieldFrequency)*100,3)</f>
        <v>3.7610000000000001</v>
      </c>
      <c r="L114" s="120">
        <f ca="1">_xll.qlBondDurationFromYield(P114,J114,YieldDayCounter,YieldCompounding,YieldFrequency,L$2)</f>
        <v>3.824652966133149</v>
      </c>
      <c r="M114" s="120">
        <f ca="1">_xll.qlBondConvexityFromYield(P114,J114/100,YieldDayCounter,YieldCompounding,YieldFrequency)</f>
        <v>329.58743723617982</v>
      </c>
      <c r="N114" s="121" t="e">
        <f ca="1">_xll.BDP(A114&amp;" Corp","risk mid")</f>
        <v>#NAME?</v>
      </c>
      <c r="O114" s="107" t="str">
        <f>_xll.qlZeroCouponBond(,,"EUR",3,"target",100,$B114,"f",100,,,Trigger)</f>
        <v>obj_00de1#0000</v>
      </c>
      <c r="P114" s="107" t="str">
        <f>_xll.qlZeroCouponBond(,,"EUR",3,"target",100,$B114,"f",100,,,Trigger)</f>
        <v>obj_00dee#0000</v>
      </c>
      <c r="Q114" s="107" t="str">
        <f>_xll.qlZeroCouponBond(,,"EUR",3,"target",100,$B114,"f",100,,,Trigger)</f>
        <v>obj_00ed2#0000</v>
      </c>
      <c r="R114" s="123">
        <f t="shared" ca="1" si="105"/>
        <v>50.13</v>
      </c>
      <c r="S114" s="130">
        <f t="shared" ref="S114" ca="1" si="121">R114</f>
        <v>50.13</v>
      </c>
      <c r="T114" s="147" t="str">
        <f>IF(UPPER(U$1)="ABCD",_xll.RtContribute($E$3,$E114,$R$3:$S$3,$R114:$S114,"SCOPE:SERVER"),"--")</f>
        <v>--</v>
      </c>
      <c r="U114" s="151" t="str">
        <f t="shared" si="74"/>
        <v/>
      </c>
      <c r="V114" s="134" t="str">
        <f t="shared" si="107"/>
        <v>EUR.PRICING.XLS_STRIPS.IT0004976616</v>
      </c>
      <c r="W114" s="134" t="str">
        <f>IF(UPPER($X$1)="ABCD",_xll.MKV_PUBLISHRECORD(V114, "XLS_STRIPS"),"--")</f>
        <v>--</v>
      </c>
      <c r="X114" s="135" t="str">
        <f>IF(UPPER(X$1)="ABCD",_xll.MKV_SUPPLYRECORD(V114, "Bid",F114, "Ask",H114, "Id",A114, "Mid",G114, "Name",D114,"DV01",N114,"MidYield",J114,"BidYield",I114,"AskYield",K114),"--")</f>
        <v>--</v>
      </c>
    </row>
    <row r="115" spans="1:24" x14ac:dyDescent="0.2">
      <c r="A115" s="72" t="s">
        <v>83</v>
      </c>
      <c r="B115" s="89">
        <v>48792</v>
      </c>
      <c r="C115" s="139" t="e">
        <f ca="1">_xll.BDP(A115&amp;" Corp", "days to mty")</f>
        <v>#NAME?</v>
      </c>
      <c r="D115" s="47" t="s">
        <v>468</v>
      </c>
      <c r="E115" s="47" t="s">
        <v>469</v>
      </c>
      <c r="F115" s="138">
        <f ca="1"/>
        <v>48.99</v>
      </c>
      <c r="G115" s="138">
        <f ca="1"/>
        <v>49.32</v>
      </c>
      <c r="H115" s="138">
        <f t="shared" ca="1" si="72"/>
        <v>49.65</v>
      </c>
      <c r="I115" s="32">
        <f ca="1">ROUND(_xll.qlBondYieldFromCleanPrice(O115,F115,YieldDayCounter,YieldCompounding,YieldFrequency)*100,3)</f>
        <v>3.875</v>
      </c>
      <c r="J115" s="32">
        <f ca="1">ROUND(_xll.qlBondYieldFromCleanPrice(P115,G115,YieldDayCounter,YieldCompounding,YieldFrequency)*100,3)</f>
        <v>3.8380000000000001</v>
      </c>
      <c r="K115" s="32">
        <f ca="1">ROUND(_xll.qlBondYieldFromCleanPrice(Q115,H115,YieldDayCounter,YieldCompounding,YieldFrequency)*100,3)</f>
        <v>3.8010000000000002</v>
      </c>
      <c r="L115" s="120">
        <f ca="1">_xll.qlBondDurationFromYield(P115,J115,YieldDayCounter,YieldCompounding,YieldFrequency,L$2)</f>
        <v>3.8796740416904982</v>
      </c>
      <c r="M115" s="120">
        <f ca="1">_xll.qlBondConvexityFromYield(P115,J115/100,YieldDayCounter,YieldCompounding,YieldFrequency)</f>
        <v>344.15345492983994</v>
      </c>
      <c r="N115" s="121" t="e">
        <f ca="1">_xll.BDP(A115&amp;" Corp","risk mid")</f>
        <v>#NAME?</v>
      </c>
      <c r="O115" s="107" t="str">
        <f>_xll.qlZeroCouponBond(,,"EUR",3,"target",100,$B115,"f",100,,,Trigger)</f>
        <v>obj_00e96#0000</v>
      </c>
      <c r="P115" s="107" t="str">
        <f>_xll.qlZeroCouponBond(,,"EUR",3,"target",100,$B115,"f",100,,,Trigger)</f>
        <v>obj_00e45#0000</v>
      </c>
      <c r="Q115" s="107" t="str">
        <f>_xll.qlZeroCouponBond(,,"EUR",3,"target",100,$B115,"f",100,,,Trigger)</f>
        <v>obj_00eb6#0000</v>
      </c>
      <c r="R115" s="123">
        <f t="shared" ca="1" si="105"/>
        <v>48.99</v>
      </c>
      <c r="S115" s="130">
        <f t="shared" ref="S115" ca="1" si="122">R115</f>
        <v>48.99</v>
      </c>
      <c r="T115" s="147" t="str">
        <f>IF(UPPER(U$1)="ABCD",_xll.RtContribute($E$3,$E115,$R$3:$S$3,$R115:$S115,"SCOPE:SERVER"),"--")</f>
        <v>--</v>
      </c>
      <c r="U115" s="151" t="str">
        <f t="shared" si="74"/>
        <v/>
      </c>
      <c r="V115" s="134" t="str">
        <f t="shared" si="107"/>
        <v>EUR.PRICING.XLS_STRIPS.IT0003540389</v>
      </c>
      <c r="W115" s="134" t="str">
        <f>IF(UPPER($X$1)="ABCD",_xll.MKV_PUBLISHRECORD(V115, "XLS_STRIPS"),"--")</f>
        <v>--</v>
      </c>
      <c r="X115" s="135" t="str">
        <f>IF(UPPER(X$1)="ABCD",_xll.MKV_SUPPLYRECORD(V115, "Bid",F115, "Ask",H115, "Id",A115, "Mid",G115, "Name",D115,"DV01",N115,"MidYield",J115,"BidYield",I115,"AskYield",K115),"--")</f>
        <v>--</v>
      </c>
    </row>
    <row r="116" spans="1:24" x14ac:dyDescent="0.2">
      <c r="A116" s="72" t="s">
        <v>231</v>
      </c>
      <c r="B116" s="89">
        <v>48823</v>
      </c>
      <c r="C116" s="139" t="e">
        <f ca="1">_xll.BDP(A116&amp;" Corp", "days to mty")</f>
        <v>#NAME?</v>
      </c>
      <c r="D116" s="47" t="s">
        <v>232</v>
      </c>
      <c r="E116" s="47" t="s">
        <v>233</v>
      </c>
      <c r="F116" s="138">
        <f ca="1"/>
        <v>48.76</v>
      </c>
      <c r="G116" s="138">
        <f ca="1"/>
        <v>49.09</v>
      </c>
      <c r="H116" s="138">
        <f t="shared" ca="1" si="72"/>
        <v>49.42</v>
      </c>
      <c r="I116" s="32">
        <f ca="1">ROUND(_xll.qlBondYieldFromCleanPrice(O116,F116,YieldDayCounter,YieldCompounding,YieldFrequency)*100,3)</f>
        <v>3.883</v>
      </c>
      <c r="J116" s="32">
        <f ca="1">ROUND(_xll.qlBondYieldFromCleanPrice(P116,G116,YieldDayCounter,YieldCompounding,YieldFrequency)*100,3)</f>
        <v>3.8460000000000001</v>
      </c>
      <c r="K116" s="32">
        <f ca="1">ROUND(_xll.qlBondYieldFromCleanPrice(Q116,H116,YieldDayCounter,YieldCompounding,YieldFrequency)*100,3)</f>
        <v>3.8090000000000002</v>
      </c>
      <c r="L116" s="120">
        <f ca="1">_xll.qlBondDurationFromYield(P116,J116,YieldDayCounter,YieldCompounding,YieldFrequency,L$2)</f>
        <v>3.8907954025067979</v>
      </c>
      <c r="M116" s="120">
        <f ca="1">_xll.qlBondConvexityFromYield(P116,J116/100,YieldDayCounter,YieldCompounding,YieldFrequency)</f>
        <v>347.14239475648429</v>
      </c>
      <c r="N116" s="121" t="e">
        <f ca="1">_xll.BDP(A116&amp;" Corp","risk mid")</f>
        <v>#NAME?</v>
      </c>
      <c r="O116" s="107" t="str">
        <f>_xll.qlZeroCouponBond(,,"EUR",3,"target",100,$B116,"f",100,,,Trigger)</f>
        <v>obj_00eac#0000</v>
      </c>
      <c r="P116" s="107" t="str">
        <f>_xll.qlZeroCouponBond(,,"EUR",3,"target",100,$B116,"f",100,,,Trigger)</f>
        <v>obj_00e51#0000</v>
      </c>
      <c r="Q116" s="107" t="str">
        <f>_xll.qlZeroCouponBond(,,"EUR",3,"target",100,$B116,"f",100,,,Trigger)</f>
        <v>obj_00dfa#0000</v>
      </c>
      <c r="R116" s="123">
        <f t="shared" ca="1" si="105"/>
        <v>48.76</v>
      </c>
      <c r="S116" s="130">
        <f t="shared" ref="S116" ca="1" si="123">R116</f>
        <v>48.76</v>
      </c>
      <c r="T116" s="147" t="str">
        <f>IF(UPPER(U$1)="ABCD",_xll.RtContribute($E$3,$E116,$R$3:$S$3,$R116:$S116,"SCOPE:SERVER"),"--")</f>
        <v>--</v>
      </c>
      <c r="U116" s="151" t="str">
        <f t="shared" si="74"/>
        <v/>
      </c>
      <c r="V116" s="134" t="str">
        <f t="shared" si="107"/>
        <v>EUR.PRICING.XLS_STRIPS.IT0004976624</v>
      </c>
      <c r="W116" s="134" t="str">
        <f>IF(UPPER($X$1)="ABCD",_xll.MKV_PUBLISHRECORD(V116, "XLS_STRIPS"),"--")</f>
        <v>--</v>
      </c>
      <c r="X116" s="135" t="str">
        <f>IF(UPPER(X$1)="ABCD",_xll.MKV_SUPPLYRECORD(V116, "Bid",F116, "Ask",H116, "Id",A116, "Mid",G116, "Name",D116,"DV01",N116,"MidYield",J116,"BidYield",I116,"AskYield",K116),"--")</f>
        <v>--</v>
      </c>
    </row>
    <row r="117" spans="1:24" x14ac:dyDescent="0.2">
      <c r="A117" s="72" t="s">
        <v>84</v>
      </c>
      <c r="B117" s="89">
        <v>48976</v>
      </c>
      <c r="C117" s="139" t="e">
        <f ca="1">_xll.BDP(A117&amp;" Corp", "days to mty")</f>
        <v>#NAME?</v>
      </c>
      <c r="D117" s="47" t="s">
        <v>470</v>
      </c>
      <c r="E117" s="47" t="s">
        <v>471</v>
      </c>
      <c r="F117" s="138">
        <f ca="1"/>
        <v>47.69</v>
      </c>
      <c r="G117" s="138">
        <f ca="1"/>
        <v>48.01</v>
      </c>
      <c r="H117" s="138">
        <f t="shared" ca="1" si="72"/>
        <v>48.33</v>
      </c>
      <c r="I117" s="32">
        <f ca="1">ROUND(_xll.qlBondYieldFromCleanPrice(O117,F117,YieldDayCounter,YieldCompounding,YieldFrequency)*100,3)</f>
        <v>3.9159999999999999</v>
      </c>
      <c r="J117" s="32">
        <f ca="1">ROUND(_xll.qlBondYieldFromCleanPrice(P117,G117,YieldDayCounter,YieldCompounding,YieldFrequency)*100,3)</f>
        <v>3.88</v>
      </c>
      <c r="K117" s="32">
        <f ca="1">ROUND(_xll.qlBondYieldFromCleanPrice(Q117,H117,YieldDayCounter,YieldCompounding,YieldFrequency)*100,3)</f>
        <v>3.8450000000000002</v>
      </c>
      <c r="L117" s="120">
        <f ca="1">_xll.qlBondDurationFromYield(P117,J117,YieldDayCounter,YieldCompounding,YieldFrequency,L$2)</f>
        <v>3.949584549741747</v>
      </c>
      <c r="M117" s="120">
        <f ca="1">_xll.qlBondConvexityFromYield(P117,J117/100,YieldDayCounter,YieldCompounding,YieldFrequency)</f>
        <v>362.11474616780845</v>
      </c>
      <c r="N117" s="121" t="e">
        <f ca="1">_xll.BDP(A117&amp;" Corp","risk mid")</f>
        <v>#NAME?</v>
      </c>
      <c r="O117" s="107" t="str">
        <f>_xll.qlZeroCouponBond(,,"EUR",3,"target",100,$B117,"f",100,,,Trigger)</f>
        <v>obj_00ef3#0000</v>
      </c>
      <c r="P117" s="107" t="str">
        <f>_xll.qlZeroCouponBond(,,"EUR",3,"target",100,$B117,"f",100,,,Trigger)</f>
        <v>obj_00f12#0000</v>
      </c>
      <c r="Q117" s="107" t="str">
        <f>_xll.qlZeroCouponBond(,,"EUR",3,"target",100,$B117,"f",100,,,Trigger)</f>
        <v>obj_00f4f#0000</v>
      </c>
      <c r="R117" s="123">
        <f t="shared" ca="1" si="105"/>
        <v>47.69</v>
      </c>
      <c r="S117" s="130">
        <f t="shared" ref="S117" ca="1" si="124">R117</f>
        <v>47.69</v>
      </c>
      <c r="T117" s="147" t="str">
        <f>IF(UPPER(U$1)="ABCD",_xll.RtContribute($E$3,$E117,$R$3:$S$3,$R117:$S117,"SCOPE:SERVER"),"--")</f>
        <v>--</v>
      </c>
      <c r="U117" s="151" t="str">
        <f t="shared" si="74"/>
        <v/>
      </c>
      <c r="V117" s="134" t="str">
        <f t="shared" si="107"/>
        <v>EUR.PRICING.XLS_STRIPS.IT0003540397</v>
      </c>
      <c r="W117" s="134" t="str">
        <f>IF(UPPER($X$1)="ABCD",_xll.MKV_PUBLISHRECORD(V117, "XLS_STRIPS"),"--")</f>
        <v>--</v>
      </c>
      <c r="X117" s="135" t="str">
        <f>IF(UPPER(X$1)="ABCD",_xll.MKV_SUPPLYRECORD(V117, "Bid",F117, "Ask",H117, "Id",A117, "Mid",G117, "Name",D117,"DV01",N117,"MidYield",J117,"BidYield",I117,"AskYield",K117),"--")</f>
        <v>--</v>
      </c>
    </row>
    <row r="118" spans="1:24" x14ac:dyDescent="0.2">
      <c r="A118" s="72" t="s">
        <v>234</v>
      </c>
      <c r="B118" s="89">
        <v>49004</v>
      </c>
      <c r="C118" s="139" t="e">
        <f ca="1">_xll.BDP(A118&amp;" Corp", "days to mty")</f>
        <v>#NAME?</v>
      </c>
      <c r="D118" s="47" t="s">
        <v>235</v>
      </c>
      <c r="E118" s="47" t="s">
        <v>236</v>
      </c>
      <c r="F118" s="138">
        <f ca="1"/>
        <v>47.5</v>
      </c>
      <c r="G118" s="138">
        <f ca="1"/>
        <v>47.83</v>
      </c>
      <c r="H118" s="138">
        <f t="shared" ca="1" si="72"/>
        <v>48.16</v>
      </c>
      <c r="I118" s="32">
        <f ca="1">ROUND(_xll.qlBondYieldFromCleanPrice(O118,F118,YieldDayCounter,YieldCompounding,YieldFrequency)*100,3)</f>
        <v>3.9220000000000002</v>
      </c>
      <c r="J118" s="32">
        <f ca="1">ROUND(_xll.qlBondYieldFromCleanPrice(P118,G118,YieldDayCounter,YieldCompounding,YieldFrequency)*100,3)</f>
        <v>3.8849999999999998</v>
      </c>
      <c r="K118" s="32">
        <f ca="1">ROUND(_xll.qlBondYieldFromCleanPrice(Q118,H118,YieldDayCounter,YieldCompounding,YieldFrequency)*100,3)</f>
        <v>3.8479999999999999</v>
      </c>
      <c r="L118" s="120">
        <f ca="1">_xll.qlBondDurationFromYield(P118,J118,YieldDayCounter,YieldCompounding,YieldFrequency,L$2)</f>
        <v>3.9612456359277068</v>
      </c>
      <c r="M118" s="120">
        <f ca="1">_xll.qlBondConvexityFromYield(P118,J118/100,YieldDayCounter,YieldCompounding,YieldFrequency)</f>
        <v>364.8964886049277</v>
      </c>
      <c r="N118" s="121" t="e">
        <f ca="1">_xll.BDP(A118&amp;" Corp","risk mid")</f>
        <v>#NAME?</v>
      </c>
      <c r="O118" s="107" t="str">
        <f>_xll.qlZeroCouponBond(,,"EUR",3,"target",100,$B118,"f",100,,,Trigger)</f>
        <v>obj_00e85#0000</v>
      </c>
      <c r="P118" s="107" t="str">
        <f>_xll.qlZeroCouponBond(,,"EUR",3,"target",100,$B118,"f",100,,,Trigger)</f>
        <v>obj_00dd9#0000</v>
      </c>
      <c r="Q118" s="107" t="str">
        <f>_xll.qlZeroCouponBond(,,"EUR",3,"target",100,$B118,"f",100,,,Trigger)</f>
        <v>obj_00f74#0000</v>
      </c>
      <c r="R118" s="123">
        <f t="shared" ca="1" si="105"/>
        <v>47.5</v>
      </c>
      <c r="S118" s="130">
        <f t="shared" ref="S118" ca="1" si="125">R118</f>
        <v>47.5</v>
      </c>
      <c r="T118" s="147" t="str">
        <f>IF(UPPER(U$1)="ABCD",_xll.RtContribute($E$3,$E118,$R$3:$S$3,$R118:$S118,"SCOPE:SERVER"),"--")</f>
        <v>--</v>
      </c>
      <c r="U118" s="151" t="str">
        <f t="shared" si="74"/>
        <v/>
      </c>
      <c r="V118" s="134" t="str">
        <f t="shared" si="107"/>
        <v>EUR.PRICING.XLS_STRIPS.IT0004976632</v>
      </c>
      <c r="W118" s="134" t="str">
        <f>IF(UPPER($X$1)="ABCD",_xll.MKV_PUBLISHRECORD(V118, "XLS_STRIPS"),"--")</f>
        <v>--</v>
      </c>
      <c r="X118" s="135" t="str">
        <f>IF(UPPER(X$1)="ABCD",_xll.MKV_SUPPLYRECORD(V118, "Bid",F118, "Ask",H118, "Id",A118, "Mid",G118, "Name",D118,"DV01",N118,"MidYield",J118,"BidYield",I118,"AskYield",K118),"--")</f>
        <v>--</v>
      </c>
    </row>
    <row r="119" spans="1:24" x14ac:dyDescent="0.2">
      <c r="A119" s="72" t="s">
        <v>472</v>
      </c>
      <c r="B119" s="89">
        <v>49157</v>
      </c>
      <c r="C119" s="139" t="e">
        <f ca="1">_xll.BDP(A119&amp;" Corp", "days to mty")</f>
        <v>#NAME?</v>
      </c>
      <c r="D119" s="47" t="s">
        <v>473</v>
      </c>
      <c r="E119" s="47" t="s">
        <v>474</v>
      </c>
      <c r="F119" s="138">
        <f ca="1"/>
        <v>46.56</v>
      </c>
      <c r="G119" s="138">
        <f ca="1"/>
        <v>46.88</v>
      </c>
      <c r="H119" s="138">
        <f t="shared" ca="1" si="72"/>
        <v>47.2</v>
      </c>
      <c r="I119" s="32">
        <f ca="1">ROUND(_xll.qlBondYieldFromCleanPrice(O119,F119,YieldDayCounter,YieldCompounding,YieldFrequency)*100,3)</f>
        <v>3.9420000000000002</v>
      </c>
      <c r="J119" s="32">
        <f ca="1">ROUND(_xll.qlBondYieldFromCleanPrice(P119,G119,YieldDayCounter,YieldCompounding,YieldFrequency)*100,3)</f>
        <v>3.9060000000000001</v>
      </c>
      <c r="K119" s="32">
        <f ca="1">ROUND(_xll.qlBondYieldFromCleanPrice(Q119,H119,YieldDayCounter,YieldCompounding,YieldFrequency)*100,3)</f>
        <v>3.871</v>
      </c>
      <c r="L119" s="120">
        <f ca="1">_xll.qlBondDurationFromYield(P119,J119,YieldDayCounter,YieldCompounding,YieldFrequency,L$2)</f>
        <v>4.0297315559923828</v>
      </c>
      <c r="M119" s="120">
        <f ca="1">_xll.qlBondConvexityFromYield(P119,J119/100,YieldDayCounter,YieldCompounding,YieldFrequency)</f>
        <v>380.32602068572544</v>
      </c>
      <c r="N119" s="121" t="e">
        <f ca="1">_xll.BDP(A119&amp;" Corp","risk mid")</f>
        <v>#NAME?</v>
      </c>
      <c r="O119" s="107" t="str">
        <f>_xll.qlZeroCouponBond(,,"EUR",3,"target",100,$B119,"f",100,,,Trigger)</f>
        <v>obj_00e6f#0000</v>
      </c>
      <c r="P119" s="107" t="str">
        <f>_xll.qlZeroCouponBond(,,"EUR",3,"target",100,$B119,"f",100,,,Trigger)</f>
        <v>obj_00e6a#0000</v>
      </c>
      <c r="Q119" s="107" t="str">
        <f>_xll.qlZeroCouponBond(,,"EUR",3,"target",100,$B119,"f",100,,,Trigger)</f>
        <v>obj_00f56#0000</v>
      </c>
      <c r="R119" s="123">
        <f t="shared" ca="1" si="105"/>
        <v>46.56</v>
      </c>
      <c r="S119" s="130">
        <f t="shared" ref="S119" ca="1" si="126">R119</f>
        <v>46.56</v>
      </c>
      <c r="T119" s="147" t="str">
        <f>IF(UPPER(U$1)="ABCD",_xll.RtContribute($E$3,$E119,$R$3:$S$3,$R119:$S119,"SCOPE:SERVER"),"--")</f>
        <v>--</v>
      </c>
      <c r="U119" s="151" t="str">
        <f t="shared" si="74"/>
        <v/>
      </c>
      <c r="V119" s="134" t="str">
        <f t="shared" si="107"/>
        <v>EUR.PRICING.XLS_STRIPS.IT0004848591</v>
      </c>
      <c r="W119" s="134" t="str">
        <f>IF(UPPER($X$1)="ABCD",_xll.MKV_PUBLISHRECORD(V119, "XLS_STRIPS"),"--")</f>
        <v>--</v>
      </c>
      <c r="X119" s="135" t="str">
        <f>IF(UPPER(X$1)="ABCD",_xll.MKV_SUPPLYRECORD(V119, "Bid",F119, "Ask",H119, "Id",A119, "Mid",G119, "Name",D119,"DV01",N119,"MidYield",J119,"BidYield",I119,"AskYield",K119),"--")</f>
        <v>--</v>
      </c>
    </row>
    <row r="120" spans="1:24" x14ac:dyDescent="0.2">
      <c r="A120" s="72" t="s">
        <v>237</v>
      </c>
      <c r="B120" s="89">
        <v>49188</v>
      </c>
      <c r="C120" s="139" t="e">
        <f ca="1">_xll.BDP(A120&amp;" Corp", "days to mty")</f>
        <v>#NAME?</v>
      </c>
      <c r="D120" s="47" t="s">
        <v>238</v>
      </c>
      <c r="E120" s="47" t="s">
        <v>239</v>
      </c>
      <c r="F120" s="138">
        <f ca="1"/>
        <v>46.38</v>
      </c>
      <c r="G120" s="138">
        <f ca="1"/>
        <v>46.71</v>
      </c>
      <c r="H120" s="138">
        <f t="shared" ca="1" si="72"/>
        <v>47.04</v>
      </c>
      <c r="I120" s="32">
        <f ca="1">ROUND(_xll.qlBondYieldFromCleanPrice(O120,F120,YieldDayCounter,YieldCompounding,YieldFrequency)*100,3)</f>
        <v>3.9449999999999998</v>
      </c>
      <c r="J120" s="32">
        <f ca="1">ROUND(_xll.qlBondYieldFromCleanPrice(P120,G120,YieldDayCounter,YieldCompounding,YieldFrequency)*100,3)</f>
        <v>3.9079999999999999</v>
      </c>
      <c r="K120" s="32">
        <f ca="1">ROUND(_xll.qlBondYieldFromCleanPrice(Q120,H120,YieldDayCounter,YieldCompounding,YieldFrequency)*100,3)</f>
        <v>3.871</v>
      </c>
      <c r="L120" s="120">
        <f ca="1">_xll.qlBondDurationFromYield(P120,J120,YieldDayCounter,YieldCompounding,YieldFrequency,L$2)</f>
        <v>4.0453941565908602</v>
      </c>
      <c r="M120" s="120">
        <f ca="1">_xll.qlBondConvexityFromYield(P120,J120/100,YieldDayCounter,YieldCompounding,YieldFrequency)</f>
        <v>383.50703998250788</v>
      </c>
      <c r="N120" s="121" t="e">
        <f ca="1">_xll.BDP(A120&amp;" Corp","risk mid")</f>
        <v>#NAME?</v>
      </c>
      <c r="O120" s="107" t="str">
        <f>_xll.qlZeroCouponBond(,,"EUR",3,"target",100,$B120,"f",100,,,Trigger)</f>
        <v>obj_00f15#0000</v>
      </c>
      <c r="P120" s="107" t="str">
        <f>_xll.qlZeroCouponBond(,,"EUR",3,"target",100,$B120,"f",100,,,Trigger)</f>
        <v>obj_00ec3#0000</v>
      </c>
      <c r="Q120" s="107" t="str">
        <f>_xll.qlZeroCouponBond(,,"EUR",3,"target",100,$B120,"f",100,,,Trigger)</f>
        <v>obj_00f08#0000</v>
      </c>
      <c r="R120" s="123">
        <f t="shared" ca="1" si="105"/>
        <v>46.38</v>
      </c>
      <c r="S120" s="130">
        <f t="shared" ref="S120" ca="1" si="127">R120</f>
        <v>46.38</v>
      </c>
      <c r="T120" s="147" t="str">
        <f>IF(UPPER(U$1)="ABCD",_xll.RtContribute($E$3,$E120,$R$3:$S$3,$R120:$S120,"SCOPE:SERVER"),"--")</f>
        <v>--</v>
      </c>
      <c r="U120" s="151" t="str">
        <f t="shared" si="74"/>
        <v/>
      </c>
      <c r="V120" s="134" t="str">
        <f t="shared" si="107"/>
        <v>EUR.PRICING.XLS_STRIPS.IT0004976640</v>
      </c>
      <c r="W120" s="134" t="str">
        <f>IF(UPPER($X$1)="ABCD",_xll.MKV_PUBLISHRECORD(V120, "XLS_STRIPS"),"--")</f>
        <v>--</v>
      </c>
      <c r="X120" s="135" t="str">
        <f>IF(UPPER(X$1)="ABCD",_xll.MKV_SUPPLYRECORD(V120, "Bid",F120, "Ask",H120, "Id",A120, "Mid",G120, "Name",D120,"DV01",N120,"MidYield",J120,"BidYield",I120,"AskYield",K120),"--")</f>
        <v>--</v>
      </c>
    </row>
    <row r="121" spans="1:24" x14ac:dyDescent="0.2">
      <c r="A121" s="72" t="s">
        <v>85</v>
      </c>
      <c r="B121" s="89">
        <v>49341</v>
      </c>
      <c r="C121" s="139" t="e">
        <f ca="1">_xll.BDP(A121&amp;" Corp", "days to mty")</f>
        <v>#NAME?</v>
      </c>
      <c r="D121" s="47" t="s">
        <v>475</v>
      </c>
      <c r="E121" s="47" t="s">
        <v>476</v>
      </c>
      <c r="F121" s="138">
        <f ca="1"/>
        <v>45.61</v>
      </c>
      <c r="G121" s="138">
        <f ca="1"/>
        <v>45.94</v>
      </c>
      <c r="H121" s="138">
        <f t="shared" ca="1" si="72"/>
        <v>46.27</v>
      </c>
      <c r="I121" s="32">
        <f ca="1">ROUND(_xll.qlBondYieldFromCleanPrice(O121,F121,YieldDayCounter,YieldCompounding,YieldFrequency)*100,3)</f>
        <v>3.948</v>
      </c>
      <c r="J121" s="32">
        <f ca="1">ROUND(_xll.qlBondYieldFromCleanPrice(P121,G121,YieldDayCounter,YieldCompounding,YieldFrequency)*100,3)</f>
        <v>3.911</v>
      </c>
      <c r="K121" s="32">
        <f ca="1">ROUND(_xll.qlBondYieldFromCleanPrice(Q121,H121,YieldDayCounter,YieldCompounding,YieldFrequency)*100,3)</f>
        <v>3.8740000000000001</v>
      </c>
      <c r="L121" s="120">
        <f ca="1">_xll.qlBondDurationFromYield(P121,J121,YieldDayCounter,YieldCompounding,YieldFrequency,L$2)</f>
        <v>4.1282778665729438</v>
      </c>
      <c r="M121" s="120">
        <f ca="1">_xll.qlBondConvexityFromYield(P121,J121/100,YieldDayCounter,YieldCompounding,YieldFrequency)</f>
        <v>399.45181813917793</v>
      </c>
      <c r="N121" s="121" t="e">
        <f ca="1">_xll.BDP(A121&amp;" Corp","risk mid")</f>
        <v>#NAME?</v>
      </c>
      <c r="O121" s="107" t="str">
        <f>_xll.qlZeroCouponBond(,,"EUR",3,"target",100,$B121,"f",100,,,Trigger)</f>
        <v>obj_00f2d#0000</v>
      </c>
      <c r="P121" s="107" t="str">
        <f>_xll.qlZeroCouponBond(,,"EUR",3,"target",100,$B121,"f",100,,,Trigger)</f>
        <v>obj_00f7d#0000</v>
      </c>
      <c r="Q121" s="107" t="str">
        <f>_xll.qlZeroCouponBond(,,"EUR",3,"target",100,$B121,"f",100,,,Trigger)</f>
        <v>obj_00e66#0000</v>
      </c>
      <c r="R121" s="123">
        <f t="shared" ca="1" si="105"/>
        <v>45.61</v>
      </c>
      <c r="S121" s="130">
        <f t="shared" ref="S121" ca="1" si="128">R121</f>
        <v>45.61</v>
      </c>
      <c r="T121" s="147" t="str">
        <f>IF(UPPER(U$1)="ABCD",_xll.RtContribute($E$3,$E121,$R$3:$S$3,$R121:$S121,"SCOPE:SERVER"),"--")</f>
        <v>--</v>
      </c>
      <c r="U121" s="151" t="str">
        <f t="shared" si="74"/>
        <v/>
      </c>
      <c r="V121" s="134" t="str">
        <f t="shared" si="107"/>
        <v>EUR.PRICING.XLS_STRIPS.IT0004002819</v>
      </c>
      <c r="W121" s="134" t="str">
        <f>IF(UPPER($X$1)="ABCD",_xll.MKV_PUBLISHRECORD(V121, "XLS_STRIPS"),"--")</f>
        <v>--</v>
      </c>
      <c r="X121" s="135" t="str">
        <f>IF(UPPER(X$1)="ABCD",_xll.MKV_SUPPLYRECORD(V121, "Bid",F121, "Ask",H121, "Id",A121, "Mid",G121, "Name",D121,"DV01",N121,"MidYield",J121,"BidYield",I121,"AskYield",K121),"--")</f>
        <v>--</v>
      </c>
    </row>
    <row r="122" spans="1:24" x14ac:dyDescent="0.2">
      <c r="A122" s="72" t="s">
        <v>240</v>
      </c>
      <c r="B122" s="89">
        <v>49369</v>
      </c>
      <c r="C122" s="139" t="e">
        <f ca="1">_xll.BDP(A122&amp;" Corp", "days to mty")</f>
        <v>#NAME?</v>
      </c>
      <c r="D122" s="47" t="s">
        <v>241</v>
      </c>
      <c r="E122" s="47" t="s">
        <v>242</v>
      </c>
      <c r="F122" s="138">
        <f ca="1"/>
        <v>45.48</v>
      </c>
      <c r="G122" s="138">
        <f ca="1"/>
        <v>45.82</v>
      </c>
      <c r="H122" s="138">
        <f t="shared" ca="1" si="72"/>
        <v>46.16</v>
      </c>
      <c r="I122" s="32">
        <f ca="1">ROUND(_xll.qlBondYieldFromCleanPrice(O122,F122,YieldDayCounter,YieldCompounding,YieldFrequency)*100,3)</f>
        <v>3.948</v>
      </c>
      <c r="J122" s="32">
        <f ca="1">ROUND(_xll.qlBondYieldFromCleanPrice(P122,G122,YieldDayCounter,YieldCompounding,YieldFrequency)*100,3)</f>
        <v>3.9089999999999998</v>
      </c>
      <c r="K122" s="32">
        <f ca="1">ROUND(_xll.qlBondYieldFromCleanPrice(Q122,H122,YieldDayCounter,YieldCompounding,YieldFrequency)*100,3)</f>
        <v>3.8719999999999999</v>
      </c>
      <c r="L122" s="120">
        <f ca="1">_xll.qlBondDurationFromYield(P122,J122,YieldDayCounter,YieldCompounding,YieldFrequency,L$2)</f>
        <v>4.1455866635784986</v>
      </c>
      <c r="M122" s="120">
        <f ca="1">_xll.qlBondConvexityFromYield(P122,J122/100,YieldDayCounter,YieldCompounding,YieldFrequency)</f>
        <v>402.42459146809654</v>
      </c>
      <c r="N122" s="121" t="e">
        <f ca="1">_xll.BDP(A122&amp;" Corp","risk mid")</f>
        <v>#NAME?</v>
      </c>
      <c r="O122" s="107" t="str">
        <f>_xll.qlZeroCouponBond(,,"EUR",3,"target",100,$B122,"f",100,,,Trigger)</f>
        <v>obj_00f40#0000</v>
      </c>
      <c r="P122" s="107" t="str">
        <f>_xll.qlZeroCouponBond(,,"EUR",3,"target",100,$B122,"f",100,,,Trigger)</f>
        <v>obj_00f27#0000</v>
      </c>
      <c r="Q122" s="107" t="str">
        <f>_xll.qlZeroCouponBond(,,"EUR",3,"target",100,$B122,"f",100,,,Trigger)</f>
        <v>obj_00e5f#0000</v>
      </c>
      <c r="R122" s="123">
        <f t="shared" ca="1" si="105"/>
        <v>45.48</v>
      </c>
      <c r="S122" s="130">
        <f t="shared" ref="S122" ca="1" si="129">R122</f>
        <v>45.48</v>
      </c>
      <c r="T122" s="147" t="str">
        <f>IF(UPPER(U$1)="ABCD",_xll.RtContribute($E$3,$E122,$R$3:$S$3,$R122:$S122,"SCOPE:SERVER"),"--")</f>
        <v>--</v>
      </c>
      <c r="U122" s="151" t="str">
        <f t="shared" si="74"/>
        <v/>
      </c>
      <c r="V122" s="134" t="str">
        <f t="shared" si="107"/>
        <v>EUR.PRICING.XLS_STRIPS.IT0004976657</v>
      </c>
      <c r="W122" s="134" t="str">
        <f>IF(UPPER($X$1)="ABCD",_xll.MKV_PUBLISHRECORD(V122, "XLS_STRIPS"),"--")</f>
        <v>--</v>
      </c>
      <c r="X122" s="135" t="str">
        <f>IF(UPPER(X$1)="ABCD",_xll.MKV_SUPPLYRECORD(V122, "Bid",F122, "Ask",H122, "Id",A122, "Mid",G122, "Name",D122,"DV01",N122,"MidYield",J122,"BidYield",I122,"AskYield",K122),"--")</f>
        <v>--</v>
      </c>
    </row>
    <row r="123" spans="1:24" x14ac:dyDescent="0.2">
      <c r="A123" s="72" t="s">
        <v>86</v>
      </c>
      <c r="B123" s="89">
        <v>49522</v>
      </c>
      <c r="C123" s="139" t="e">
        <f ca="1">_xll.BDP(A123&amp;" Corp", "days to mty")</f>
        <v>#NAME?</v>
      </c>
      <c r="D123" s="47" t="s">
        <v>477</v>
      </c>
      <c r="E123" s="47" t="s">
        <v>478</v>
      </c>
      <c r="F123" s="138">
        <f ca="1"/>
        <v>44.81</v>
      </c>
      <c r="G123" s="138">
        <f ca="1"/>
        <v>45.15</v>
      </c>
      <c r="H123" s="138">
        <f t="shared" ca="1" si="72"/>
        <v>45.49</v>
      </c>
      <c r="I123" s="32">
        <f ca="1">ROUND(_xll.qlBondYieldFromCleanPrice(O123,F123,YieldDayCounter,YieldCompounding,YieldFrequency)*100,3)</f>
        <v>3.9409999999999998</v>
      </c>
      <c r="J123" s="32">
        <f ca="1">ROUND(_xll.qlBondYieldFromCleanPrice(P123,G123,YieldDayCounter,YieldCompounding,YieldFrequency)*100,3)</f>
        <v>3.903</v>
      </c>
      <c r="K123" s="32">
        <f ca="1">ROUND(_xll.qlBondYieldFromCleanPrice(Q123,H123,YieldDayCounter,YieldCompounding,YieldFrequency)*100,3)</f>
        <v>3.8650000000000002</v>
      </c>
      <c r="L123" s="120">
        <f ca="1">_xll.qlBondDurationFromYield(P123,J123,YieldDayCounter,YieldCompounding,YieldFrequency,L$2)</f>
        <v>4.2361539901486092</v>
      </c>
      <c r="M123" s="120">
        <f ca="1">_xll.qlBondConvexityFromYield(P123,J123/100,YieldDayCounter,YieldCompounding,YieldFrequency)</f>
        <v>418.82553712301842</v>
      </c>
      <c r="N123" s="121" t="e">
        <f ca="1">_xll.BDP(A123&amp;" Corp","risk mid")</f>
        <v>#NAME?</v>
      </c>
      <c r="O123" s="107" t="str">
        <f>_xll.qlZeroCouponBond(,,"EUR",3,"target",100,$B123,"f",100,,,Trigger)</f>
        <v>obj_00ee8#0000</v>
      </c>
      <c r="P123" s="107" t="str">
        <f>_xll.qlZeroCouponBond(,,"EUR",3,"target",100,$B123,"f",100,,,Trigger)</f>
        <v>obj_00f43#0000</v>
      </c>
      <c r="Q123" s="107" t="str">
        <f>_xll.qlZeroCouponBond(,,"EUR",3,"target",100,$B123,"f",100,,,Trigger)</f>
        <v>obj_00e15#0000</v>
      </c>
      <c r="R123" s="123">
        <f t="shared" ca="1" si="105"/>
        <v>44.81</v>
      </c>
      <c r="S123" s="130">
        <f t="shared" ref="S123" ca="1" si="130">R123</f>
        <v>44.81</v>
      </c>
      <c r="T123" s="147" t="str">
        <f>IF(UPPER(U$1)="ABCD",_xll.RtContribute($E$3,$E123,$R$3:$S$3,$R123:$S123,"SCOPE:SERVER"),"--")</f>
        <v>--</v>
      </c>
      <c r="U123" s="151" t="str">
        <f t="shared" si="74"/>
        <v/>
      </c>
      <c r="V123" s="134" t="str">
        <f t="shared" si="107"/>
        <v>EUR.PRICING.XLS_STRIPS.IT0004002827</v>
      </c>
      <c r="W123" s="134" t="str">
        <f>IF(UPPER($X$1)="ABCD",_xll.MKV_PUBLISHRECORD(V123, "XLS_STRIPS"),"--")</f>
        <v>--</v>
      </c>
      <c r="X123" s="135" t="str">
        <f>IF(UPPER(X$1)="ABCD",_xll.MKV_SUPPLYRECORD(V123, "Bid",F123, "Ask",H123, "Id",A123, "Mid",G123, "Name",D123,"DV01",N123,"MidYield",J123,"BidYield",I123,"AskYield",K123),"--")</f>
        <v>--</v>
      </c>
    </row>
    <row r="124" spans="1:24" x14ac:dyDescent="0.2">
      <c r="A124" s="72" t="s">
        <v>243</v>
      </c>
      <c r="B124" s="89">
        <v>49553</v>
      </c>
      <c r="C124" s="139" t="e">
        <f ca="1">_xll.BDP(A124&amp;" Corp", "days to mty")</f>
        <v>#NAME?</v>
      </c>
      <c r="D124" s="47" t="s">
        <v>244</v>
      </c>
      <c r="E124" s="47" t="s">
        <v>245</v>
      </c>
      <c r="F124" s="138">
        <f ca="1"/>
        <v>44.68</v>
      </c>
      <c r="G124" s="138">
        <f ca="1"/>
        <v>45.02</v>
      </c>
      <c r="H124" s="138">
        <f t="shared" ca="1" si="72"/>
        <v>45.36</v>
      </c>
      <c r="I124" s="32">
        <f ca="1">ROUND(_xll.qlBondYieldFromCleanPrice(O124,F124,YieldDayCounter,YieldCompounding,YieldFrequency)*100,3)</f>
        <v>3.9380000000000002</v>
      </c>
      <c r="J124" s="32">
        <f ca="1">ROUND(_xll.qlBondYieldFromCleanPrice(P124,G124,YieldDayCounter,YieldCompounding,YieldFrequency)*100,3)</f>
        <v>3.9</v>
      </c>
      <c r="K124" s="32">
        <f ca="1">ROUND(_xll.qlBondYieldFromCleanPrice(Q124,H124,YieldDayCounter,YieldCompounding,YieldFrequency)*100,3)</f>
        <v>3.8620000000000001</v>
      </c>
      <c r="L124" s="120">
        <f ca="1">_xll.qlBondDurationFromYield(P124,J124,YieldDayCounter,YieldCompounding,YieldFrequency,L$2)</f>
        <v>4.2571987699189258</v>
      </c>
      <c r="M124" s="120">
        <f ca="1">_xll.qlBondConvexityFromYield(P124,J124/100,YieldDayCounter,YieldCompounding,YieldFrequency)</f>
        <v>422.42004017027011</v>
      </c>
      <c r="N124" s="121" t="e">
        <f ca="1">_xll.BDP(A124&amp;" Corp","risk mid")</f>
        <v>#NAME?</v>
      </c>
      <c r="O124" s="107" t="str">
        <f>_xll.qlZeroCouponBond(,,"EUR",3,"target",100,$B124,"f",100,,,Trigger)</f>
        <v>obj_00e2d#0000</v>
      </c>
      <c r="P124" s="107" t="str">
        <f>_xll.qlZeroCouponBond(,,"EUR",3,"target",100,$B124,"f",100,,,Trigger)</f>
        <v>obj_00e24#0000</v>
      </c>
      <c r="Q124" s="107" t="str">
        <f>_xll.qlZeroCouponBond(,,"EUR",3,"target",100,$B124,"f",100,,,Trigger)</f>
        <v>obj_00e11#0000</v>
      </c>
      <c r="R124" s="123">
        <f t="shared" ca="1" si="105"/>
        <v>44.68</v>
      </c>
      <c r="S124" s="130">
        <f t="shared" ref="S124" ca="1" si="131">R124</f>
        <v>44.68</v>
      </c>
      <c r="T124" s="147" t="str">
        <f>IF(UPPER(U$1)="ABCD",_xll.RtContribute($E$3,$E124,$R$3:$S$3,$R124:$S124,"SCOPE:SERVER"),"--")</f>
        <v>--</v>
      </c>
      <c r="U124" s="151" t="str">
        <f t="shared" si="74"/>
        <v/>
      </c>
      <c r="V124" s="134" t="str">
        <f t="shared" si="107"/>
        <v>EUR.PRICING.XLS_STRIPS.IT0004976665</v>
      </c>
      <c r="W124" s="134" t="str">
        <f>IF(UPPER($X$1)="ABCD",_xll.MKV_PUBLISHRECORD(V124, "XLS_STRIPS"),"--")</f>
        <v>--</v>
      </c>
      <c r="X124" s="135" t="str">
        <f>IF(UPPER(X$1)="ABCD",_xll.MKV_SUPPLYRECORD(V124, "Bid",F124, "Ask",H124, "Id",A124, "Mid",G124, "Name",D124,"DV01",N124,"MidYield",J124,"BidYield",I124,"AskYield",K124),"--")</f>
        <v>--</v>
      </c>
    </row>
    <row r="125" spans="1:24" x14ac:dyDescent="0.2">
      <c r="A125" s="72" t="s">
        <v>87</v>
      </c>
      <c r="B125" s="89">
        <v>49706</v>
      </c>
      <c r="C125" s="139" t="e">
        <f ca="1">_xll.BDP(A125&amp;" Corp", "days to mty")</f>
        <v>#NAME?</v>
      </c>
      <c r="D125" s="47" t="s">
        <v>479</v>
      </c>
      <c r="E125" s="47" t="s">
        <v>480</v>
      </c>
      <c r="F125" s="138">
        <f ca="1"/>
        <v>44.03</v>
      </c>
      <c r="G125" s="138">
        <f ca="1"/>
        <v>44.36</v>
      </c>
      <c r="H125" s="138">
        <f t="shared" ca="1" si="72"/>
        <v>44.69</v>
      </c>
      <c r="I125" s="32">
        <f ca="1">ROUND(_xll.qlBondYieldFromCleanPrice(O125,F125,YieldDayCounter,YieldCompounding,YieldFrequency)*100,3)</f>
        <v>3.931</v>
      </c>
      <c r="J125" s="32">
        <f ca="1">ROUND(_xll.qlBondYieldFromCleanPrice(P125,G125,YieldDayCounter,YieldCompounding,YieldFrequency)*100,3)</f>
        <v>3.895</v>
      </c>
      <c r="K125" s="32">
        <f ca="1">ROUND(_xll.qlBondYieldFromCleanPrice(Q125,H125,YieldDayCounter,YieldCompounding,YieldFrequency)*100,3)</f>
        <v>3.859</v>
      </c>
      <c r="L125" s="120">
        <f ca="1">_xll.qlBondDurationFromYield(P125,J125,YieldDayCounter,YieldCompounding,YieldFrequency,L$2)</f>
        <v>4.3460618187415179</v>
      </c>
      <c r="M125" s="120">
        <f ca="1">_xll.qlBondConvexityFromYield(P125,J125/100,YieldDayCounter,YieldCompounding,YieldFrequency)</f>
        <v>438.99238006084875</v>
      </c>
      <c r="N125" s="121" t="e">
        <f ca="1">_xll.BDP(A125&amp;" Corp","risk mid")</f>
        <v>#NAME?</v>
      </c>
      <c r="O125" s="107" t="str">
        <f>_xll.qlZeroCouponBond(,,"EUR",3,"target",100,$B125,"f",100,,,Trigger)</f>
        <v>obj_00e29#0000</v>
      </c>
      <c r="P125" s="107" t="str">
        <f>_xll.qlZeroCouponBond(,,"EUR",3,"target",100,$B125,"f",100,,,Trigger)</f>
        <v>obj_00e82#0000</v>
      </c>
      <c r="Q125" s="107" t="str">
        <f>_xll.qlZeroCouponBond(,,"EUR",3,"target",100,$B125,"f",100,,,Trigger)</f>
        <v>obj_00f7f#0000</v>
      </c>
      <c r="R125" s="123">
        <f t="shared" ca="1" si="105"/>
        <v>44.03</v>
      </c>
      <c r="S125" s="130">
        <f t="shared" ref="S125" ca="1" si="132">R125</f>
        <v>44.03</v>
      </c>
      <c r="T125" s="147" t="str">
        <f>IF(UPPER(U$1)="ABCD",_xll.RtContribute($E$3,$E125,$R$3:$S$3,$R125:$S125,"SCOPE:SERVER"),"--")</f>
        <v>--</v>
      </c>
      <c r="U125" s="151" t="str">
        <f t="shared" si="74"/>
        <v/>
      </c>
      <c r="V125" s="134" t="str">
        <f t="shared" si="107"/>
        <v>EUR.PRICING.XLS_STRIPS.IT0004002835</v>
      </c>
      <c r="W125" s="134" t="str">
        <f>IF(UPPER($X$1)="ABCD",_xll.MKV_PUBLISHRECORD(V125, "XLS_STRIPS"),"--")</f>
        <v>--</v>
      </c>
      <c r="X125" s="135" t="str">
        <f>IF(UPPER(X$1)="ABCD",_xll.MKV_SUPPLYRECORD(V125, "Bid",F125, "Ask",H125, "Id",A125, "Mid",G125, "Name",D125,"DV01",N125,"MidYield",J125,"BidYield",I125,"AskYield",K125),"--")</f>
        <v>--</v>
      </c>
    </row>
    <row r="126" spans="1:24" x14ac:dyDescent="0.2">
      <c r="A126" s="72" t="s">
        <v>246</v>
      </c>
      <c r="B126" s="89">
        <v>49735</v>
      </c>
      <c r="C126" s="139" t="e">
        <f ca="1">_xll.BDP(A126&amp;" Corp", "days to mty")</f>
        <v>#NAME?</v>
      </c>
      <c r="D126" s="47" t="s">
        <v>247</v>
      </c>
      <c r="E126" s="47" t="s">
        <v>248</v>
      </c>
      <c r="F126" s="138">
        <f ca="1"/>
        <v>43.9</v>
      </c>
      <c r="G126" s="138">
        <f ca="1"/>
        <v>44.23</v>
      </c>
      <c r="H126" s="138">
        <f t="shared" ca="1" si="72"/>
        <v>44.56</v>
      </c>
      <c r="I126" s="32">
        <f ca="1">ROUND(_xll.qlBondYieldFromCleanPrice(O126,F126,YieldDayCounter,YieldCompounding,YieldFrequency)*100,3)</f>
        <v>3.93</v>
      </c>
      <c r="J126" s="32">
        <f ca="1">ROUND(_xll.qlBondYieldFromCleanPrice(P126,G126,YieldDayCounter,YieldCompounding,YieldFrequency)*100,3)</f>
        <v>3.8940000000000001</v>
      </c>
      <c r="K126" s="32">
        <f ca="1">ROUND(_xll.qlBondYieldFromCleanPrice(Q126,H126,YieldDayCounter,YieldCompounding,YieldFrequency)*100,3)</f>
        <v>3.8580000000000001</v>
      </c>
      <c r="L126" s="120">
        <f ca="1">_xll.qlBondDurationFromYield(P126,J126,YieldDayCounter,YieldCompounding,YieldFrequency,L$2)</f>
        <v>4.3637442549165604</v>
      </c>
      <c r="M126" s="120">
        <f ca="1">_xll.qlBondConvexityFromYield(P126,J126/100,YieldDayCounter,YieldCompounding,YieldFrequency)</f>
        <v>442.32309405029798</v>
      </c>
      <c r="N126" s="121" t="e">
        <f ca="1">_xll.BDP(A126&amp;" Corp","risk mid")</f>
        <v>#NAME?</v>
      </c>
      <c r="O126" s="107" t="str">
        <f>_xll.qlZeroCouponBond(,,"EUR",3,"target",100,$B126,"f",100,,,Trigger)</f>
        <v>obj_00ea7#0000</v>
      </c>
      <c r="P126" s="107" t="str">
        <f>_xll.qlZeroCouponBond(,,"EUR",3,"target",100,$B126,"f",100,,,Trigger)</f>
        <v>obj_00f09#0000</v>
      </c>
      <c r="Q126" s="107" t="str">
        <f>_xll.qlZeroCouponBond(,,"EUR",3,"target",100,$B126,"f",100,,,Trigger)</f>
        <v>obj_00e8d#0000</v>
      </c>
      <c r="R126" s="123">
        <f t="shared" ca="1" si="105"/>
        <v>43.9</v>
      </c>
      <c r="S126" s="130">
        <f t="shared" ref="S126" ca="1" si="133">R126</f>
        <v>43.9</v>
      </c>
      <c r="T126" s="147" t="str">
        <f>IF(UPPER(U$1)="ABCD",_xll.RtContribute($E$3,$E126,$R$3:$S$3,$R126:$S126,"SCOPE:SERVER"),"--")</f>
        <v>--</v>
      </c>
      <c r="U126" s="151" t="str">
        <f t="shared" si="74"/>
        <v/>
      </c>
      <c r="V126" s="134" t="str">
        <f t="shared" si="107"/>
        <v>EUR.PRICING.XLS_STRIPS.IT0004976673</v>
      </c>
      <c r="W126" s="134" t="str">
        <f>IF(UPPER($X$1)="ABCD",_xll.MKV_PUBLISHRECORD(V126, "XLS_STRIPS"),"--")</f>
        <v>--</v>
      </c>
      <c r="X126" s="135" t="str">
        <f>IF(UPPER(X$1)="ABCD",_xll.MKV_SUPPLYRECORD(V126, "Bid",F126, "Ask",H126, "Id",A126, "Mid",G126, "Name",D126,"DV01",N126,"MidYield",J126,"BidYield",I126,"AskYield",K126),"--")</f>
        <v>--</v>
      </c>
    </row>
    <row r="127" spans="1:24" x14ac:dyDescent="0.2">
      <c r="A127" s="72" t="s">
        <v>88</v>
      </c>
      <c r="B127" s="89">
        <v>49888</v>
      </c>
      <c r="C127" s="139" t="e">
        <f ca="1">_xll.BDP(A127&amp;" Corp", "days to mty")</f>
        <v>#NAME?</v>
      </c>
      <c r="D127" s="47" t="s">
        <v>481</v>
      </c>
      <c r="E127" s="47" t="s">
        <v>482</v>
      </c>
      <c r="F127" s="138">
        <f ca="1"/>
        <v>43.17</v>
      </c>
      <c r="G127" s="138">
        <f ca="1"/>
        <v>43.51</v>
      </c>
      <c r="H127" s="138">
        <f t="shared" ca="1" si="72"/>
        <v>43.85</v>
      </c>
      <c r="I127" s="32">
        <f ca="1">ROUND(_xll.qlBondYieldFromCleanPrice(O127,F127,YieldDayCounter,YieldCompounding,YieldFrequency)*100,3)</f>
        <v>3.9340000000000002</v>
      </c>
      <c r="J127" s="32">
        <f ca="1">ROUND(_xll.qlBondYieldFromCleanPrice(P127,G127,YieldDayCounter,YieldCompounding,YieldFrequency)*100,3)</f>
        <v>3.8969999999999998</v>
      </c>
      <c r="K127" s="32">
        <f ca="1">ROUND(_xll.qlBondYieldFromCleanPrice(Q127,H127,YieldDayCounter,YieldCompounding,YieldFrequency)*100,3)</f>
        <v>3.859</v>
      </c>
      <c r="L127" s="120">
        <f ca="1">_xll.qlBondDurationFromYield(P127,J127,YieldDayCounter,YieldCompounding,YieldFrequency,L$2)</f>
        <v>4.4455509523583077</v>
      </c>
      <c r="M127" s="120">
        <f ca="1">_xll.qlBondConvexityFromYield(P127,J127/100,YieldDayCounter,YieldCompounding,YieldFrequency)</f>
        <v>459.20869098925436</v>
      </c>
      <c r="N127" s="121" t="e">
        <f ca="1">_xll.BDP(A127&amp;" Corp","risk mid")</f>
        <v>#NAME?</v>
      </c>
      <c r="O127" s="107" t="str">
        <f>_xll.qlZeroCouponBond(,,"EUR",3,"target",100,$B127,"f",100,,,Trigger)</f>
        <v>obj_00e7a#0000</v>
      </c>
      <c r="P127" s="107" t="str">
        <f>_xll.qlZeroCouponBond(,,"EUR",3,"target",100,$B127,"f",100,,,Trigger)</f>
        <v>obj_00dfd#0000</v>
      </c>
      <c r="Q127" s="107" t="str">
        <f>_xll.qlZeroCouponBond(,,"EUR",3,"target",100,$B127,"f",100,,,Trigger)</f>
        <v>obj_00e33#0000</v>
      </c>
      <c r="R127" s="123">
        <f t="shared" ca="1" si="105"/>
        <v>43.17</v>
      </c>
      <c r="S127" s="130">
        <f t="shared" ref="S127" ca="1" si="134">R127</f>
        <v>43.17</v>
      </c>
      <c r="T127" s="147" t="str">
        <f>IF(UPPER(U$1)="ABCD",_xll.RtContribute($E$3,$E127,$R$3:$S$3,$R127:$S127,"SCOPE:SERVER"),"--")</f>
        <v>--</v>
      </c>
      <c r="U127" s="151" t="str">
        <f t="shared" si="74"/>
        <v/>
      </c>
      <c r="V127" s="134" t="str">
        <f t="shared" si="107"/>
        <v>EUR.PRICING.XLS_STRIPS.IT0004002843</v>
      </c>
      <c r="W127" s="134" t="str">
        <f>IF(UPPER($X$1)="ABCD",_xll.MKV_PUBLISHRECORD(V127, "XLS_STRIPS"),"--")</f>
        <v>--</v>
      </c>
      <c r="X127" s="135" t="str">
        <f>IF(UPPER(X$1)="ABCD",_xll.MKV_SUPPLYRECORD(V127, "Bid",F127, "Ask",H127, "Id",A127, "Mid",G127, "Name",D127,"DV01",N127,"MidYield",J127,"BidYield",I127,"AskYield",K127),"--")</f>
        <v>--</v>
      </c>
    </row>
    <row r="128" spans="1:24" x14ac:dyDescent="0.2">
      <c r="A128" s="72" t="s">
        <v>249</v>
      </c>
      <c r="B128" s="89">
        <v>49919</v>
      </c>
      <c r="C128" s="139" t="e">
        <f ca="1">_xll.BDP(A128&amp;" Corp", "days to mty")</f>
        <v>#NAME?</v>
      </c>
      <c r="D128" s="47" t="s">
        <v>250</v>
      </c>
      <c r="E128" s="47" t="s">
        <v>251</v>
      </c>
      <c r="F128" s="138">
        <f ca="1"/>
        <v>43.02</v>
      </c>
      <c r="G128" s="138">
        <f ca="1"/>
        <v>43.35</v>
      </c>
      <c r="H128" s="138">
        <f t="shared" ca="1" si="72"/>
        <v>43.68</v>
      </c>
      <c r="I128" s="32">
        <f ca="1">ROUND(_xll.qlBondYieldFromCleanPrice(O128,F128,YieldDayCounter,YieldCompounding,YieldFrequency)*100,3)</f>
        <v>3.9350000000000001</v>
      </c>
      <c r="J128" s="32">
        <f ca="1">ROUND(_xll.qlBondYieldFromCleanPrice(P128,G128,YieldDayCounter,YieldCompounding,YieldFrequency)*100,3)</f>
        <v>3.899</v>
      </c>
      <c r="K128" s="32">
        <f ca="1">ROUND(_xll.qlBondYieldFromCleanPrice(Q128,H128,YieldDayCounter,YieldCompounding,YieldFrequency)*100,3)</f>
        <v>3.863</v>
      </c>
      <c r="L128" s="120">
        <f ca="1">_xll.qlBondDurationFromYield(P128,J128,YieldDayCounter,YieldCompounding,YieldFrequency,L$2)</f>
        <v>4.4610725700240756</v>
      </c>
      <c r="M128" s="120">
        <f ca="1">_xll.qlBondConvexityFromYield(P128,J128/100,YieldDayCounter,YieldCompounding,YieldFrequency)</f>
        <v>462.70193257547476</v>
      </c>
      <c r="N128" s="121" t="e">
        <f ca="1">_xll.BDP(A128&amp;" Corp","risk mid")</f>
        <v>#NAME?</v>
      </c>
      <c r="O128" s="107" t="str">
        <f>_xll.qlZeroCouponBond(,,"EUR",3,"target",100,$B128,"f",100,,,Trigger)</f>
        <v>obj_00de0#0000</v>
      </c>
      <c r="P128" s="107" t="str">
        <f>_xll.qlZeroCouponBond(,,"EUR",3,"target",100,$B128,"f",100,,,Trigger)</f>
        <v>obj_00e01#0000</v>
      </c>
      <c r="Q128" s="107" t="str">
        <f>_xll.qlZeroCouponBond(,,"EUR",3,"target",100,$B128,"f",100,,,Trigger)</f>
        <v>obj_00f4c#0000</v>
      </c>
      <c r="R128" s="123">
        <f t="shared" ca="1" si="105"/>
        <v>43.02</v>
      </c>
      <c r="S128" s="130">
        <f t="shared" ref="S128" ca="1" si="135">R128</f>
        <v>43.02</v>
      </c>
      <c r="T128" s="147" t="str">
        <f>IF(UPPER(U$1)="ABCD",_xll.RtContribute($E$3,$E128,$R$3:$S$3,$R128:$S128,"SCOPE:SERVER"),"--")</f>
        <v>--</v>
      </c>
      <c r="U128" s="151" t="str">
        <f t="shared" si="74"/>
        <v/>
      </c>
      <c r="V128" s="134" t="str">
        <f t="shared" si="107"/>
        <v>EUR.PRICING.XLS_STRIPS.IT0004976681</v>
      </c>
      <c r="W128" s="134" t="str">
        <f>IF(UPPER($X$1)="ABCD",_xll.MKV_PUBLISHRECORD(V128, "XLS_STRIPS"),"--")</f>
        <v>--</v>
      </c>
      <c r="X128" s="135" t="str">
        <f>IF(UPPER(X$1)="ABCD",_xll.MKV_SUPPLYRECORD(V128, "Bid",F128, "Ask",H128, "Id",A128, "Mid",G128, "Name",D128,"DV01",N128,"MidYield",J128,"BidYield",I128,"AskYield",K128),"--")</f>
        <v>--</v>
      </c>
    </row>
    <row r="129" spans="1:24" x14ac:dyDescent="0.2">
      <c r="A129" s="72" t="s">
        <v>483</v>
      </c>
      <c r="B129" s="89">
        <v>50072</v>
      </c>
      <c r="C129" s="139" t="e">
        <f ca="1">_xll.BDP(A129&amp;" Corp", "days to mty")</f>
        <v>#NAME?</v>
      </c>
      <c r="D129" s="47" t="s">
        <v>484</v>
      </c>
      <c r="E129" s="47" t="s">
        <v>485</v>
      </c>
      <c r="F129" s="138">
        <f ca="1"/>
        <v>42.15</v>
      </c>
      <c r="G129" s="138">
        <f ca="1"/>
        <v>42.49</v>
      </c>
      <c r="H129" s="138">
        <f t="shared" ca="1" si="72"/>
        <v>42.83</v>
      </c>
      <c r="I129" s="32">
        <f ca="1">ROUND(_xll.qlBondYieldFromCleanPrice(O129,F129,YieldDayCounter,YieldCompounding,YieldFrequency)*100,3)</f>
        <v>3.9540000000000002</v>
      </c>
      <c r="J129" s="32">
        <f ca="1">ROUND(_xll.qlBondYieldFromCleanPrice(P129,G129,YieldDayCounter,YieldCompounding,YieldFrequency)*100,3)</f>
        <v>3.9169999999999998</v>
      </c>
      <c r="K129" s="32">
        <f ca="1">ROUND(_xll.qlBondYieldFromCleanPrice(Q129,H129,YieldDayCounter,YieldCompounding,YieldFrequency)*100,3)</f>
        <v>3.88</v>
      </c>
      <c r="L129" s="120">
        <f ca="1">_xll.qlBondDurationFromYield(P129,J129,YieldDayCounter,YieldCompounding,YieldFrequency,L$2)</f>
        <v>4.5305495889296576</v>
      </c>
      <c r="M129" s="120">
        <f ca="1">_xll.qlBondConvexityFromYield(P129,J129/100,YieldDayCounter,YieldCompounding,YieldFrequency)</f>
        <v>480.17498873466548</v>
      </c>
      <c r="N129" s="121" t="e">
        <f ca="1">_xll.BDP(A129&amp;" Corp","risk mid")</f>
        <v>#NAME?</v>
      </c>
      <c r="O129" s="107" t="str">
        <f>_xll.qlZeroCouponBond(,,"EUR",3,"target",100,$B129,"f",100,,,Trigger)</f>
        <v>obj_00e6c#0000</v>
      </c>
      <c r="P129" s="107" t="str">
        <f>_xll.qlZeroCouponBond(,,"EUR",3,"target",100,$B129,"f",100,,,Trigger)</f>
        <v>obj_00e04#0000</v>
      </c>
      <c r="Q129" s="107" t="str">
        <f>_xll.qlZeroCouponBond(,,"EUR",3,"target",100,$B129,"f",100,,,Trigger)</f>
        <v>obj_00ef9#0000</v>
      </c>
      <c r="R129" s="123">
        <f t="shared" ca="1" si="105"/>
        <v>42.15</v>
      </c>
      <c r="S129" s="130">
        <f t="shared" ref="S129" ca="1" si="136">R129</f>
        <v>42.15</v>
      </c>
      <c r="T129" s="147" t="str">
        <f>IF(UPPER(U$1)="ABCD",_xll.RtContribute($E$3,$E129,$R$3:$S$3,$R129:$S129,"SCOPE:SERVER"),"--")</f>
        <v>--</v>
      </c>
      <c r="U129" s="151" t="str">
        <f t="shared" si="74"/>
        <v/>
      </c>
      <c r="V129" s="134" t="str">
        <f t="shared" si="107"/>
        <v>EUR.PRICING.XLS_STRIPS.IT0004848641</v>
      </c>
      <c r="W129" s="134" t="str">
        <f>IF(UPPER($X$1)="ABCD",_xll.MKV_PUBLISHRECORD(V129, "XLS_STRIPS"),"--")</f>
        <v>--</v>
      </c>
      <c r="X129" s="135" t="str">
        <f>IF(UPPER(X$1)="ABCD",_xll.MKV_SUPPLYRECORD(V129, "Bid",F129, "Ask",H129, "Id",A129, "Mid",G129, "Name",D129,"DV01",N129,"MidYield",J129,"BidYield",I129,"AskYield",K129),"--")</f>
        <v>--</v>
      </c>
    </row>
    <row r="130" spans="1:24" x14ac:dyDescent="0.2">
      <c r="A130" s="72" t="s">
        <v>252</v>
      </c>
      <c r="B130" s="89">
        <v>50100</v>
      </c>
      <c r="C130" s="139" t="e">
        <f ca="1">_xll.BDP(A130&amp;" Corp", "days to mty")</f>
        <v>#NAME?</v>
      </c>
      <c r="D130" s="47" t="s">
        <v>253</v>
      </c>
      <c r="E130" s="47" t="s">
        <v>254</v>
      </c>
      <c r="F130" s="138">
        <f ca="1"/>
        <v>41.98</v>
      </c>
      <c r="G130" s="138">
        <f ca="1"/>
        <v>42.31</v>
      </c>
      <c r="H130" s="138">
        <f t="shared" ca="1" si="72"/>
        <v>42.64</v>
      </c>
      <c r="I130" s="32">
        <f ca="1">ROUND(_xll.qlBondYieldFromCleanPrice(O130,F130,YieldDayCounter,YieldCompounding,YieldFrequency)*100,3)</f>
        <v>3.9590000000000001</v>
      </c>
      <c r="J130" s="32">
        <f ca="1">ROUND(_xll.qlBondYieldFromCleanPrice(P130,G130,YieldDayCounter,YieldCompounding,YieldFrequency)*100,3)</f>
        <v>3.923</v>
      </c>
      <c r="K130" s="32">
        <f ca="1">ROUND(_xll.qlBondYieldFromCleanPrice(Q130,H130,YieldDayCounter,YieldCompounding,YieldFrequency)*100,3)</f>
        <v>3.887</v>
      </c>
      <c r="L130" s="120">
        <f ca="1">_xll.qlBondDurationFromYield(P130,J130,YieldDayCounter,YieldCompounding,YieldFrequency,L$2)</f>
        <v>4.5406103305980592</v>
      </c>
      <c r="M130" s="120">
        <f ca="1">_xll.qlBondConvexityFromYield(P130,J130/100,YieldDayCounter,YieldCompounding,YieldFrequency)</f>
        <v>483.36065312047037</v>
      </c>
      <c r="N130" s="121" t="e">
        <f ca="1">_xll.BDP(A130&amp;" Corp","risk mid")</f>
        <v>#NAME?</v>
      </c>
      <c r="O130" s="107" t="str">
        <f>_xll.qlZeroCouponBond(,,"EUR",3,"target",100,$B130,"f",100,,,Trigger)</f>
        <v>obj_00e57#0000</v>
      </c>
      <c r="P130" s="107" t="str">
        <f>_xll.qlZeroCouponBond(,,"EUR",3,"target",100,$B130,"f",100,,,Trigger)</f>
        <v>obj_00e2f#0000</v>
      </c>
      <c r="Q130" s="107" t="str">
        <f>_xll.qlZeroCouponBond(,,"EUR",3,"target",100,$B130,"f",100,,,Trigger)</f>
        <v>obj_00f1e#0000</v>
      </c>
      <c r="R130" s="123">
        <f t="shared" ca="1" si="105"/>
        <v>41.98</v>
      </c>
      <c r="S130" s="130">
        <f t="shared" ref="S130" ca="1" si="137">R130</f>
        <v>41.98</v>
      </c>
      <c r="T130" s="147" t="str">
        <f>IF(UPPER(U$1)="ABCD",_xll.RtContribute($E$3,$E130,$R$3:$S$3,$R130:$S130,"SCOPE:SERVER"),"--")</f>
        <v>--</v>
      </c>
      <c r="U130" s="151" t="str">
        <f t="shared" si="74"/>
        <v/>
      </c>
      <c r="V130" s="134" t="str">
        <f t="shared" si="107"/>
        <v>EUR.PRICING.XLS_STRIPS.IT0004976699</v>
      </c>
      <c r="W130" s="134" t="str">
        <f>IF(UPPER($X$1)="ABCD",_xll.MKV_PUBLISHRECORD(V130, "XLS_STRIPS"),"--")</f>
        <v>--</v>
      </c>
      <c r="X130" s="135" t="str">
        <f>IF(UPPER(X$1)="ABCD",_xll.MKV_SUPPLYRECORD(V130, "Bid",F130, "Ask",H130, "Id",A130, "Mid",G130, "Name",D130,"DV01",N130,"MidYield",J130,"BidYield",I130,"AskYield",K130),"--")</f>
        <v>--</v>
      </c>
    </row>
    <row r="131" spans="1:24" x14ac:dyDescent="0.2">
      <c r="A131" s="72" t="s">
        <v>89</v>
      </c>
      <c r="B131" s="89">
        <v>50253</v>
      </c>
      <c r="C131" s="139" t="e">
        <f ca="1">_xll.BDP(A131&amp;" Corp", "days to mty")</f>
        <v>#NAME?</v>
      </c>
      <c r="D131" s="47" t="s">
        <v>486</v>
      </c>
      <c r="E131" s="47" t="s">
        <v>487</v>
      </c>
      <c r="F131" s="138">
        <f ca="1"/>
        <v>40.93</v>
      </c>
      <c r="G131" s="138">
        <f ca="1"/>
        <v>41.26</v>
      </c>
      <c r="H131" s="138">
        <f t="shared" ca="1" si="72"/>
        <v>41.59</v>
      </c>
      <c r="I131" s="32">
        <f ca="1">ROUND(_xll.qlBondYieldFromCleanPrice(O131,F131,YieldDayCounter,YieldCompounding,YieldFrequency)*100,3)</f>
        <v>4</v>
      </c>
      <c r="J131" s="32">
        <f ca="1">ROUND(_xll.qlBondYieldFromCleanPrice(P131,G131,YieldDayCounter,YieldCompounding,YieldFrequency)*100,3)</f>
        <v>3.964</v>
      </c>
      <c r="K131" s="32">
        <f ca="1">ROUND(_xll.qlBondYieldFromCleanPrice(Q131,H131,YieldDayCounter,YieldCompounding,YieldFrequency)*100,3)</f>
        <v>3.927</v>
      </c>
      <c r="L131" s="120">
        <f ca="1">_xll.qlBondDurationFromYield(P131,J131,YieldDayCounter,YieldCompounding,YieldFrequency,L$2)</f>
        <v>4.5881028335522602</v>
      </c>
      <c r="M131" s="120">
        <f ca="1">_xll.qlBondConvexityFromYield(P131,J131/100,YieldDayCounter,YieldCompounding,YieldFrequency)</f>
        <v>500.98616902150582</v>
      </c>
      <c r="N131" s="121" t="e">
        <f ca="1">_xll.BDP(A131&amp;" Corp","risk mid")</f>
        <v>#NAME?</v>
      </c>
      <c r="O131" s="107" t="str">
        <f>_xll.qlZeroCouponBond(,,"EUR",3,"target",100,$B131,"f",100,,,Trigger)</f>
        <v>obj_00e81#0000</v>
      </c>
      <c r="P131" s="107" t="str">
        <f>_xll.qlZeroCouponBond(,,"EUR",3,"target",100,$B131,"f",100,,,Trigger)</f>
        <v>obj_00e20#0000</v>
      </c>
      <c r="Q131" s="107" t="str">
        <f>_xll.qlZeroCouponBond(,,"EUR",3,"target",100,$B131,"f",100,,,Trigger)</f>
        <v>obj_00ef8#0000</v>
      </c>
      <c r="R131" s="123">
        <f t="shared" ca="1" si="105"/>
        <v>40.93</v>
      </c>
      <c r="S131" s="130">
        <f t="shared" ref="S131" ca="1" si="138">R131</f>
        <v>40.93</v>
      </c>
      <c r="T131" s="147" t="str">
        <f>IF(UPPER(U$1)="ABCD",_xll.RtContribute($E$3,$E131,$R$3:$S$3,$R131:$S131,"SCOPE:SERVER"),"--")</f>
        <v>--</v>
      </c>
      <c r="U131" s="151" t="str">
        <f t="shared" si="74"/>
        <v/>
      </c>
      <c r="V131" s="134" t="str">
        <f t="shared" si="107"/>
        <v>EUR.PRICING.XLS_STRIPS.IT0004288590</v>
      </c>
      <c r="W131" s="134" t="str">
        <f>IF(UPPER($X$1)="ABCD",_xll.MKV_PUBLISHRECORD(V131, "XLS_STRIPS"),"--")</f>
        <v>--</v>
      </c>
      <c r="X131" s="135" t="str">
        <f>IF(UPPER(X$1)="ABCD",_xll.MKV_SUPPLYRECORD(V131, "Bid",F131, "Ask",H131, "Id",A131, "Mid",G131, "Name",D131,"DV01",N131,"MidYield",J131,"BidYield",I131,"AskYield",K131),"--")</f>
        <v>--</v>
      </c>
    </row>
    <row r="132" spans="1:24" x14ac:dyDescent="0.2">
      <c r="A132" s="72" t="s">
        <v>255</v>
      </c>
      <c r="B132" s="89">
        <v>50284</v>
      </c>
      <c r="C132" s="139" t="e">
        <f ca="1">_xll.BDP(A132&amp;" Corp", "days to mty")</f>
        <v>#NAME?</v>
      </c>
      <c r="D132" s="47" t="s">
        <v>256</v>
      </c>
      <c r="E132" s="47" t="s">
        <v>257</v>
      </c>
      <c r="F132" s="138">
        <f ca="1"/>
        <v>40.700000000000003</v>
      </c>
      <c r="G132" s="138">
        <f ca="1"/>
        <v>41.04</v>
      </c>
      <c r="H132" s="138">
        <f t="shared" ca="1" si="72"/>
        <v>41.38</v>
      </c>
      <c r="I132" s="32">
        <f ca="1">ROUND(_xll.qlBondYieldFromCleanPrice(O132,F132,YieldDayCounter,YieldCompounding,YieldFrequency)*100,3)</f>
        <v>4.0119999999999996</v>
      </c>
      <c r="J132" s="32">
        <f ca="1">ROUND(_xll.qlBondYieldFromCleanPrice(P132,G132,YieldDayCounter,YieldCompounding,YieldFrequency)*100,3)</f>
        <v>3.9740000000000002</v>
      </c>
      <c r="K132" s="32">
        <f ca="1">ROUND(_xll.qlBondYieldFromCleanPrice(Q132,H132,YieldDayCounter,YieldCompounding,YieldFrequency)*100,3)</f>
        <v>3.9359999999999999</v>
      </c>
      <c r="L132" s="120">
        <f ca="1">_xll.qlBondDurationFromYield(P132,J132,YieldDayCounter,YieldCompounding,YieldFrequency,L$2)</f>
        <v>4.5948521352126948</v>
      </c>
      <c r="M132" s="120">
        <f ca="1">_xll.qlBondConvexityFromYield(P132,J132/100,YieldDayCounter,YieldCompounding,YieldFrequency)</f>
        <v>504.31687090327318</v>
      </c>
      <c r="N132" s="121" t="e">
        <f ca="1">_xll.BDP(A132&amp;" Corp","risk mid")</f>
        <v>#NAME?</v>
      </c>
      <c r="O132" s="107" t="str">
        <f>_xll.qlZeroCouponBond(,,"EUR",3,"target",100,$B132,"f",100,,,Trigger)</f>
        <v>obj_00e78#0000</v>
      </c>
      <c r="P132" s="107" t="str">
        <f>_xll.qlZeroCouponBond(,,"EUR",3,"target",100,$B132,"f",100,,,Trigger)</f>
        <v>obj_00f33#0000</v>
      </c>
      <c r="Q132" s="107" t="str">
        <f>_xll.qlZeroCouponBond(,,"EUR",3,"target",100,$B132,"f",100,,,Trigger)</f>
        <v>obj_00e9c#0000</v>
      </c>
      <c r="R132" s="123">
        <f t="shared" ref="R132:R150" ca="1" si="139">F132</f>
        <v>40.700000000000003</v>
      </c>
      <c r="S132" s="130">
        <f t="shared" ref="S132" ca="1" si="140">R132</f>
        <v>40.700000000000003</v>
      </c>
      <c r="T132" s="147" t="str">
        <f>IF(UPPER(U$1)="ABCD",_xll.RtContribute($E$3,$E132,$R$3:$S$3,$R132:$S132,"SCOPE:SERVER"),"--")</f>
        <v>--</v>
      </c>
      <c r="U132" s="151" t="str">
        <f t="shared" si="74"/>
        <v/>
      </c>
      <c r="V132" s="134" t="str">
        <f t="shared" ref="V132:V150" si="141">V$3&amp;A132</f>
        <v>EUR.PRICING.XLS_STRIPS.IT0004976707</v>
      </c>
      <c r="W132" s="134" t="str">
        <f>IF(UPPER($X$1)="ABCD",_xll.MKV_PUBLISHRECORD(V132, "XLS_STRIPS"),"--")</f>
        <v>--</v>
      </c>
      <c r="X132" s="135" t="str">
        <f>IF(UPPER(X$1)="ABCD",_xll.MKV_SUPPLYRECORD(V132, "Bid",F132, "Ask",H132, "Id",A132, "Mid",G132, "Name",D132,"DV01",N132,"MidYield",J132,"BidYield",I132,"AskYield",K132),"--")</f>
        <v>--</v>
      </c>
    </row>
    <row r="133" spans="1:24" x14ac:dyDescent="0.2">
      <c r="A133" s="72" t="s">
        <v>90</v>
      </c>
      <c r="B133" s="89">
        <v>50437</v>
      </c>
      <c r="C133" s="139" t="e">
        <f ca="1">_xll.BDP(A133&amp;" Corp", "days to mty")</f>
        <v>#NAME?</v>
      </c>
      <c r="D133" s="47" t="s">
        <v>488</v>
      </c>
      <c r="E133" s="47" t="s">
        <v>489</v>
      </c>
      <c r="F133" s="138">
        <f ca="1"/>
        <v>39.53</v>
      </c>
      <c r="G133" s="138">
        <f ca="1"/>
        <v>39.86</v>
      </c>
      <c r="H133" s="138">
        <f t="shared" ref="H133:H150" ca="1" si="142">ROUNDUP(2*G133-F133,2)</f>
        <v>40.19</v>
      </c>
      <c r="I133" s="32">
        <f ca="1">ROUND(_xll.qlBondYieldFromCleanPrice(O133,F133,YieldDayCounter,YieldCompounding,YieldFrequency)*100,3)</f>
        <v>4.0679999999999996</v>
      </c>
      <c r="J133" s="32">
        <f ca="1">ROUND(_xll.qlBondYieldFromCleanPrice(P133,G133,YieldDayCounter,YieldCompounding,YieldFrequency)*100,3)</f>
        <v>4.0309999999999997</v>
      </c>
      <c r="K133" s="32">
        <f ca="1">ROUND(_xll.qlBondYieldFromCleanPrice(Q133,H133,YieldDayCounter,YieldCompounding,YieldFrequency)*100,3)</f>
        <v>3.9940000000000002</v>
      </c>
      <c r="L133" s="120">
        <f ca="1">_xll.qlBondDurationFromYield(P133,J133,YieldDayCounter,YieldCompounding,YieldFrequency,L$2)</f>
        <v>4.6261126222897495</v>
      </c>
      <c r="M133" s="120">
        <f ca="1">_xll.qlBondConvexityFromYield(P133,J133/100,YieldDayCounter,YieldCompounding,YieldFrequency)</f>
        <v>522.01842240299845</v>
      </c>
      <c r="N133" s="121" t="e">
        <f ca="1">_xll.BDP(A133&amp;" Corp","risk mid")</f>
        <v>#NAME?</v>
      </c>
      <c r="O133" s="107" t="str">
        <f>_xll.qlZeroCouponBond(,,"EUR",3,"target",100,$B133,"f",100,,,Trigger)</f>
        <v>obj_00f4b#0000</v>
      </c>
      <c r="P133" s="107" t="str">
        <f>_xll.qlZeroCouponBond(,,"EUR",3,"target",100,$B133,"f",100,,,Trigger)</f>
        <v>obj_00e5e#0000</v>
      </c>
      <c r="Q133" s="107" t="str">
        <f>_xll.qlZeroCouponBond(,,"EUR",3,"target",100,$B133,"f",100,,,Trigger)</f>
        <v>obj_00ef4#0000</v>
      </c>
      <c r="R133" s="123">
        <f t="shared" ca="1" si="139"/>
        <v>39.53</v>
      </c>
      <c r="S133" s="130">
        <f t="shared" ref="S133" ca="1" si="143">R133</f>
        <v>39.53</v>
      </c>
      <c r="T133" s="147" t="str">
        <f>IF(UPPER(U$1)="ABCD",_xll.RtContribute($E$3,$E133,$R$3:$S$3,$R133:$S133,"SCOPE:SERVER"),"--")</f>
        <v>--</v>
      </c>
      <c r="U133" s="151" t="str">
        <f t="shared" ref="U133:U150" si="144">IF(OR(LEFT(T133,3)="Suc",LEFT(T133,3)="Sen"),"OK","")</f>
        <v/>
      </c>
      <c r="V133" s="134" t="str">
        <f t="shared" si="141"/>
        <v>EUR.PRICING.XLS_STRIPS.IT0004288608</v>
      </c>
      <c r="W133" s="134" t="str">
        <f>IF(UPPER($X$1)="ABCD",_xll.MKV_PUBLISHRECORD(V133, "XLS_STRIPS"),"--")</f>
        <v>--</v>
      </c>
      <c r="X133" s="135" t="str">
        <f>IF(UPPER(X$1)="ABCD",_xll.MKV_SUPPLYRECORD(V133, "Bid",F133, "Ask",H133, "Id",A133, "Mid",G133, "Name",D133,"DV01",N133,"MidYield",J133,"BidYield",I133,"AskYield",K133),"--")</f>
        <v>--</v>
      </c>
    </row>
    <row r="134" spans="1:24" x14ac:dyDescent="0.2">
      <c r="A134" s="72" t="s">
        <v>258</v>
      </c>
      <c r="B134" s="89">
        <v>50465</v>
      </c>
      <c r="C134" s="139" t="e">
        <f ca="1">_xll.BDP(A134&amp;" Corp", "days to mty")</f>
        <v>#NAME?</v>
      </c>
      <c r="D134" s="47" t="s">
        <v>259</v>
      </c>
      <c r="E134" s="47" t="s">
        <v>260</v>
      </c>
      <c r="F134" s="138">
        <f ca="1"/>
        <v>39.31</v>
      </c>
      <c r="G134" s="138">
        <f ca="1"/>
        <v>39.64</v>
      </c>
      <c r="H134" s="138">
        <f t="shared" ca="1" si="142"/>
        <v>39.97</v>
      </c>
      <c r="I134" s="32">
        <f ca="1">ROUND(_xll.qlBondYieldFromCleanPrice(O134,F134,YieldDayCounter,YieldCompounding,YieldFrequency)*100,3)</f>
        <v>4.08</v>
      </c>
      <c r="J134" s="32">
        <f ca="1">ROUND(_xll.qlBondYieldFromCleanPrice(P134,G134,YieldDayCounter,YieldCompounding,YieldFrequency)*100,3)</f>
        <v>4.0419999999999998</v>
      </c>
      <c r="K134" s="32">
        <f ca="1">ROUND(_xll.qlBondYieldFromCleanPrice(Q134,H134,YieldDayCounter,YieldCompounding,YieldFrequency)*100,3)</f>
        <v>4.0049999999999999</v>
      </c>
      <c r="L134" s="120">
        <f ca="1">_xll.qlBondDurationFromYield(P134,J134,YieldDayCounter,YieldCompounding,YieldFrequency,L$2)</f>
        <v>4.6312346155309099</v>
      </c>
      <c r="M134" s="120">
        <f ca="1">_xll.qlBondConvexityFromYield(P134,J134/100,YieldDayCounter,YieldCompounding,YieldFrequency)</f>
        <v>525.28309146945537</v>
      </c>
      <c r="N134" s="121" t="e">
        <f ca="1">_xll.BDP(A134&amp;" Corp","risk mid")</f>
        <v>#NAME?</v>
      </c>
      <c r="O134" s="107" t="str">
        <f>_xll.qlZeroCouponBond(,,"EUR",3,"target",100,$B134,"f",100,,,Trigger)</f>
        <v>obj_00e89#0000</v>
      </c>
      <c r="P134" s="107" t="str">
        <f>_xll.qlZeroCouponBond(,,"EUR",3,"target",100,$B134,"f",100,,,Trigger)</f>
        <v>obj_00f17#0000</v>
      </c>
      <c r="Q134" s="107" t="str">
        <f>_xll.qlZeroCouponBond(,,"EUR",3,"target",100,$B134,"f",100,,,Trigger)</f>
        <v>obj_00e73#0000</v>
      </c>
      <c r="R134" s="123">
        <f t="shared" ca="1" si="139"/>
        <v>39.31</v>
      </c>
      <c r="S134" s="130">
        <f t="shared" ref="S134" ca="1" si="145">R134</f>
        <v>39.31</v>
      </c>
      <c r="T134" s="147" t="str">
        <f>IF(UPPER(U$1)="ABCD",_xll.RtContribute($E$3,$E134,$R$3:$S$3,$R134:$S134,"SCOPE:SERVER"),"--")</f>
        <v>--</v>
      </c>
      <c r="U134" s="151" t="str">
        <f t="shared" si="144"/>
        <v/>
      </c>
      <c r="V134" s="134" t="str">
        <f t="shared" si="141"/>
        <v>EUR.PRICING.XLS_STRIPS.IT0004976715</v>
      </c>
      <c r="W134" s="134" t="str">
        <f>IF(UPPER($X$1)="ABCD",_xll.MKV_PUBLISHRECORD(V134, "XLS_STRIPS"),"--")</f>
        <v>--</v>
      </c>
      <c r="X134" s="135" t="str">
        <f>IF(UPPER(X$1)="ABCD",_xll.MKV_SUPPLYRECORD(V134, "Bid",F134, "Ask",H134, "Id",A134, "Mid",G134, "Name",D134,"DV01",N134,"MidYield",J134,"BidYield",I134,"AskYield",K134),"--")</f>
        <v>--</v>
      </c>
    </row>
    <row r="135" spans="1:24" x14ac:dyDescent="0.2">
      <c r="A135" s="72" t="s">
        <v>91</v>
      </c>
      <c r="B135" s="89">
        <v>50618</v>
      </c>
      <c r="C135" s="139" t="e">
        <f ca="1">_xll.BDP(A135&amp;" Corp", "days to mty")</f>
        <v>#NAME?</v>
      </c>
      <c r="D135" s="47" t="s">
        <v>490</v>
      </c>
      <c r="E135" s="47" t="s">
        <v>491</v>
      </c>
      <c r="F135" s="138">
        <f ca="1"/>
        <v>38.07</v>
      </c>
      <c r="G135" s="138">
        <f ca="1"/>
        <v>38.4</v>
      </c>
      <c r="H135" s="138">
        <f t="shared" ca="1" si="142"/>
        <v>38.729999999999997</v>
      </c>
      <c r="I135" s="32">
        <f ca="1">ROUND(_xll.qlBondYieldFromCleanPrice(O135,F135,YieldDayCounter,YieldCompounding,YieldFrequency)*100,3)</f>
        <v>4.1459999999999999</v>
      </c>
      <c r="J135" s="32">
        <f ca="1">ROUND(_xll.qlBondYieldFromCleanPrice(P135,G135,YieldDayCounter,YieldCompounding,YieldFrequency)*100,3)</f>
        <v>4.1079999999999997</v>
      </c>
      <c r="K135" s="32">
        <f ca="1">ROUND(_xll.qlBondYieldFromCleanPrice(Q135,H135,YieldDayCounter,YieldCompounding,YieldFrequency)*100,3)</f>
        <v>4.0709999999999997</v>
      </c>
      <c r="L135" s="120">
        <f ca="1">_xll.qlBondDurationFromYield(P135,J135,YieldDayCounter,YieldCompounding,YieldFrequency,L$2)</f>
        <v>4.6539942716769831</v>
      </c>
      <c r="M135" s="120">
        <f ca="1">_xll.qlBondConvexityFromYield(P135,J135/100,YieldDayCounter,YieldCompounding,YieldFrequency)</f>
        <v>543.35061683684683</v>
      </c>
      <c r="N135" s="121" t="e">
        <f ca="1">_xll.BDP(A135&amp;" Corp","risk mid")</f>
        <v>#NAME?</v>
      </c>
      <c r="O135" s="107" t="str">
        <f>_xll.qlZeroCouponBond(,,"EUR",3,"target",100,$B135,"f",100,,,Trigger)</f>
        <v>obj_00f53#0000</v>
      </c>
      <c r="P135" s="107" t="str">
        <f>_xll.qlZeroCouponBond(,,"EUR",3,"target",100,$B135,"f",100,,,Trigger)</f>
        <v>obj_00e70#0000</v>
      </c>
      <c r="Q135" s="107" t="str">
        <f>_xll.qlZeroCouponBond(,,"EUR",3,"target",100,$B135,"f",100,,,Trigger)</f>
        <v>obj_00f23#0000</v>
      </c>
      <c r="R135" s="123">
        <f t="shared" ca="1" si="139"/>
        <v>38.07</v>
      </c>
      <c r="S135" s="130">
        <f t="shared" ref="S135" ca="1" si="146">R135</f>
        <v>38.07</v>
      </c>
      <c r="T135" s="147" t="str">
        <f>IF(UPPER(U$1)="ABCD",_xll.RtContribute($E$3,$E135,$R$3:$S$3,$R135:$S135,"SCOPE:SERVER"),"--")</f>
        <v>--</v>
      </c>
      <c r="U135" s="151" t="str">
        <f t="shared" si="144"/>
        <v/>
      </c>
      <c r="V135" s="134" t="str">
        <f t="shared" si="141"/>
        <v>EUR.PRICING.XLS_STRIPS.IT0004288616</v>
      </c>
      <c r="W135" s="134" t="str">
        <f>IF(UPPER($X$1)="ABCD",_xll.MKV_PUBLISHRECORD(V135, "XLS_STRIPS"),"--")</f>
        <v>--</v>
      </c>
      <c r="X135" s="135" t="str">
        <f>IF(UPPER(X$1)="ABCD",_xll.MKV_SUPPLYRECORD(V135, "Bid",F135, "Ask",H135, "Id",A135, "Mid",G135, "Name",D135,"DV01",N135,"MidYield",J135,"BidYield",I135,"AskYield",K135),"--")</f>
        <v>--</v>
      </c>
    </row>
    <row r="136" spans="1:24" x14ac:dyDescent="0.2">
      <c r="A136" s="72" t="s">
        <v>261</v>
      </c>
      <c r="B136" s="89">
        <v>50649</v>
      </c>
      <c r="C136" s="139" t="e">
        <f ca="1">_xll.BDP(A136&amp;" Corp", "days to mty")</f>
        <v>#NAME?</v>
      </c>
      <c r="D136" s="47" t="s">
        <v>262</v>
      </c>
      <c r="E136" s="47" t="s">
        <v>263</v>
      </c>
      <c r="F136" s="138">
        <f ca="1"/>
        <v>37.82</v>
      </c>
      <c r="G136" s="138">
        <f ca="1"/>
        <v>38.14</v>
      </c>
      <c r="H136" s="138">
        <f t="shared" ca="1" si="142"/>
        <v>38.46</v>
      </c>
      <c r="I136" s="32">
        <f ca="1">ROUND(_xll.qlBondYieldFromCleanPrice(O136,F136,YieldDayCounter,YieldCompounding,YieldFrequency)*100,3)</f>
        <v>4.16</v>
      </c>
      <c r="J136" s="32">
        <f ca="1">ROUND(_xll.qlBondYieldFromCleanPrice(P136,G136,YieldDayCounter,YieldCompounding,YieldFrequency)*100,3)</f>
        <v>4.1230000000000002</v>
      </c>
      <c r="K136" s="32">
        <f ca="1">ROUND(_xll.qlBondYieldFromCleanPrice(Q136,H136,YieldDayCounter,YieldCompounding,YieldFrequency)*100,3)</f>
        <v>4.0869999999999997</v>
      </c>
      <c r="L136" s="120">
        <f ca="1">_xll.qlBondDurationFromYield(P136,J136,YieldDayCounter,YieldCompounding,YieldFrequency,L$2)</f>
        <v>4.6564111888635455</v>
      </c>
      <c r="M136" s="120">
        <f ca="1">_xll.qlBondConvexityFromYield(P136,J136/100,YieldDayCounter,YieldCompounding,YieldFrequency)</f>
        <v>546.88059305952231</v>
      </c>
      <c r="N136" s="121" t="e">
        <f ca="1">_xll.BDP(A136&amp;" Corp","risk mid")</f>
        <v>#NAME?</v>
      </c>
      <c r="O136" s="107" t="str">
        <f>_xll.qlZeroCouponBond(,,"EUR",3,"target",100,$B136,"f",100,,,Trigger)</f>
        <v>obj_00f3f#0000</v>
      </c>
      <c r="P136" s="107" t="str">
        <f>_xll.qlZeroCouponBond(,,"EUR",3,"target",100,$B136,"f",100,,,Trigger)</f>
        <v>obj_00ed6#0000</v>
      </c>
      <c r="Q136" s="107" t="str">
        <f>_xll.qlZeroCouponBond(,,"EUR",3,"target",100,$B136,"f",100,,,Trigger)</f>
        <v>obj_00edd#0000</v>
      </c>
      <c r="R136" s="123">
        <f t="shared" ca="1" si="139"/>
        <v>37.82</v>
      </c>
      <c r="S136" s="130">
        <f t="shared" ref="S136" ca="1" si="147">R136</f>
        <v>37.82</v>
      </c>
      <c r="T136" s="147" t="str">
        <f>IF(UPPER(U$1)="ABCD",_xll.RtContribute($E$3,$E136,$R$3:$S$3,$R136:$S136,"SCOPE:SERVER"),"--")</f>
        <v>--</v>
      </c>
      <c r="U136" s="151" t="str">
        <f t="shared" si="144"/>
        <v/>
      </c>
      <c r="V136" s="134" t="str">
        <f t="shared" si="141"/>
        <v>EUR.PRICING.XLS_STRIPS.IT0004976723</v>
      </c>
      <c r="W136" s="134" t="str">
        <f>IF(UPPER($X$1)="ABCD",_xll.MKV_PUBLISHRECORD(V136, "XLS_STRIPS"),"--")</f>
        <v>--</v>
      </c>
      <c r="X136" s="135" t="str">
        <f>IF(UPPER(X$1)="ABCD",_xll.MKV_SUPPLYRECORD(V136, "Bid",F136, "Ask",H136, "Id",A136, "Mid",G136, "Name",D136,"DV01",N136,"MidYield",J136,"BidYield",I136,"AskYield",K136),"--")</f>
        <v>--</v>
      </c>
    </row>
    <row r="137" spans="1:24" x14ac:dyDescent="0.2">
      <c r="A137" s="72" t="s">
        <v>92</v>
      </c>
      <c r="B137" s="89">
        <v>50802</v>
      </c>
      <c r="C137" s="139" t="e">
        <f ca="1">_xll.BDP(A137&amp;" Corp", "days to mty")</f>
        <v>#NAME?</v>
      </c>
      <c r="D137" s="47" t="s">
        <v>492</v>
      </c>
      <c r="E137" s="47" t="s">
        <v>493</v>
      </c>
      <c r="F137" s="138">
        <f ca="1"/>
        <v>36.58</v>
      </c>
      <c r="G137" s="138">
        <f ca="1"/>
        <v>36.9</v>
      </c>
      <c r="H137" s="138">
        <f t="shared" ca="1" si="142"/>
        <v>37.22</v>
      </c>
      <c r="I137" s="32">
        <f ca="1">ROUND(_xll.qlBondYieldFromCleanPrice(O137,F137,YieldDayCounter,YieldCompounding,YieldFrequency)*100,3)</f>
        <v>4.2300000000000004</v>
      </c>
      <c r="J137" s="32">
        <f ca="1">ROUND(_xll.qlBondYieldFromCleanPrice(P137,G137,YieldDayCounter,YieldCompounding,YieldFrequency)*100,3)</f>
        <v>4.1929999999999996</v>
      </c>
      <c r="K137" s="32">
        <f ca="1">ROUND(_xll.qlBondYieldFromCleanPrice(Q137,H137,YieldDayCounter,YieldCompounding,YieldFrequency)*100,3)</f>
        <v>4.1559999999999997</v>
      </c>
      <c r="L137" s="120">
        <f ca="1">_xll.qlBondDurationFromYield(P137,J137,YieldDayCounter,YieldCompounding,YieldFrequency,L$2)</f>
        <v>4.6743640675408686</v>
      </c>
      <c r="M137" s="120">
        <f ca="1">_xll.qlBondConvexityFromYield(P137,J137/100,YieldDayCounter,YieldCompounding,YieldFrequency)</f>
        <v>565.11558203563527</v>
      </c>
      <c r="N137" s="121" t="e">
        <f ca="1">_xll.BDP(A137&amp;" Corp","risk mid")</f>
        <v>#NAME?</v>
      </c>
      <c r="O137" s="107" t="str">
        <f>_xll.qlZeroCouponBond(,,"EUR",3,"target",100,$B137,"f",100,,,Trigger)</f>
        <v>obj_00ec7#0000</v>
      </c>
      <c r="P137" s="107" t="str">
        <f>_xll.qlZeroCouponBond(,,"EUR",3,"target",100,$B137,"f",100,,,Trigger)</f>
        <v>obj_00f0d#0000</v>
      </c>
      <c r="Q137" s="107" t="str">
        <f>_xll.qlZeroCouponBond(,,"EUR",3,"target",100,$B137,"f",100,,,Trigger)</f>
        <v>obj_00ed7#0000</v>
      </c>
      <c r="R137" s="123">
        <f t="shared" ca="1" si="139"/>
        <v>36.58</v>
      </c>
      <c r="S137" s="130">
        <f t="shared" ref="S137" ca="1" si="148">R137</f>
        <v>36.58</v>
      </c>
      <c r="T137" s="147" t="str">
        <f>IF(UPPER(U$1)="ABCD",_xll.RtContribute($E$3,$E137,$R$3:$S$3,$R137:$S137,"SCOPE:SERVER"),"--")</f>
        <v>--</v>
      </c>
      <c r="U137" s="151" t="str">
        <f t="shared" si="144"/>
        <v/>
      </c>
      <c r="V137" s="134" t="str">
        <f t="shared" si="141"/>
        <v>EUR.PRICING.XLS_STRIPS.IT0004288624</v>
      </c>
      <c r="W137" s="134" t="str">
        <f>IF(UPPER($X$1)="ABCD",_xll.MKV_PUBLISHRECORD(V137, "XLS_STRIPS"),"--")</f>
        <v>--</v>
      </c>
      <c r="X137" s="135" t="str">
        <f>IF(UPPER(X$1)="ABCD",_xll.MKV_SUPPLYRECORD(V137, "Bid",F137, "Ask",H137, "Id",A137, "Mid",G137, "Name",D137,"DV01",N137,"MidYield",J137,"BidYield",I137,"AskYield",K137),"--")</f>
        <v>--</v>
      </c>
    </row>
    <row r="138" spans="1:24" x14ac:dyDescent="0.2">
      <c r="A138" s="72" t="s">
        <v>264</v>
      </c>
      <c r="B138" s="89">
        <v>50830</v>
      </c>
      <c r="C138" s="139" t="e">
        <f ca="1">_xll.BDP(A138&amp;" Corp", "days to mty")</f>
        <v>#NAME?</v>
      </c>
      <c r="D138" s="47" t="s">
        <v>265</v>
      </c>
      <c r="E138" s="47" t="s">
        <v>266</v>
      </c>
      <c r="F138" s="138">
        <f ca="1"/>
        <v>36.35</v>
      </c>
      <c r="G138" s="138">
        <f ca="1"/>
        <v>36.67</v>
      </c>
      <c r="H138" s="138">
        <f t="shared" ca="1" si="142"/>
        <v>36.99</v>
      </c>
      <c r="I138" s="32">
        <f ca="1">ROUND(_xll.qlBondYieldFromCleanPrice(O138,F138,YieldDayCounter,YieldCompounding,YieldFrequency)*100,3)</f>
        <v>4.2430000000000003</v>
      </c>
      <c r="J138" s="32">
        <f ca="1">ROUND(_xll.qlBondYieldFromCleanPrice(P138,G138,YieldDayCounter,YieldCompounding,YieldFrequency)*100,3)</f>
        <v>4.2060000000000004</v>
      </c>
      <c r="K138" s="32">
        <f ca="1">ROUND(_xll.qlBondYieldFromCleanPrice(Q138,H138,YieldDayCounter,YieldCompounding,YieldFrequency)*100,3)</f>
        <v>4.1689999999999996</v>
      </c>
      <c r="L138" s="120">
        <f ca="1">_xll.qlBondDurationFromYield(P138,J138,YieldDayCounter,YieldCompounding,YieldFrequency,L$2)</f>
        <v>4.6774269941426896</v>
      </c>
      <c r="M138" s="120">
        <f ca="1">_xll.qlBondConvexityFromYield(P138,J138/100,YieldDayCounter,YieldCompounding,YieldFrequency)</f>
        <v>568.48031132029143</v>
      </c>
      <c r="N138" s="121" t="e">
        <f ca="1">_xll.BDP(A138&amp;" Corp","risk mid")</f>
        <v>#NAME?</v>
      </c>
      <c r="O138" s="107" t="str">
        <f>_xll.qlZeroCouponBond(,,"EUR",3,"target",100,$B138,"f",100,,,Trigger)</f>
        <v>obj_00e1a#0000</v>
      </c>
      <c r="P138" s="107" t="str">
        <f>_xll.qlZeroCouponBond(,,"EUR",3,"target",100,$B138,"f",100,,,Trigger)</f>
        <v>obj_00f6c#0000</v>
      </c>
      <c r="Q138" s="107" t="str">
        <f>_xll.qlZeroCouponBond(,,"EUR",3,"target",100,$B138,"f",100,,,Trigger)</f>
        <v>obj_00f50#0000</v>
      </c>
      <c r="R138" s="123">
        <f t="shared" ca="1" si="139"/>
        <v>36.35</v>
      </c>
      <c r="S138" s="130">
        <f t="shared" ref="S138" ca="1" si="149">R138</f>
        <v>36.35</v>
      </c>
      <c r="T138" s="147" t="str">
        <f>IF(UPPER(U$1)="ABCD",_xll.RtContribute($E$3,$E138,$R$3:$S$3,$R138:$S138,"SCOPE:SERVER"),"--")</f>
        <v>--</v>
      </c>
      <c r="U138" s="151" t="str">
        <f t="shared" si="144"/>
        <v/>
      </c>
      <c r="V138" s="134" t="str">
        <f t="shared" si="141"/>
        <v>EUR.PRICING.XLS_STRIPS.IT0004976731</v>
      </c>
      <c r="W138" s="134" t="str">
        <f>IF(UPPER($X$1)="ABCD",_xll.MKV_PUBLISHRECORD(V138, "XLS_STRIPS"),"--")</f>
        <v>--</v>
      </c>
      <c r="X138" s="135" t="str">
        <f>IF(UPPER(X$1)="ABCD",_xll.MKV_SUPPLYRECORD(V138, "Bid",F138, "Ask",H138, "Id",A138, "Mid",G138, "Name",D138,"DV01",N138,"MidYield",J138,"BidYield",I138,"AskYield",K138),"--")</f>
        <v>--</v>
      </c>
    </row>
    <row r="139" spans="1:24" x14ac:dyDescent="0.2">
      <c r="A139" s="72" t="s">
        <v>494</v>
      </c>
      <c r="B139" s="89">
        <v>50983</v>
      </c>
      <c r="C139" s="139" t="e">
        <f ca="1">_xll.BDP(A139&amp;" Corp", "days to mty")</f>
        <v>#NAME?</v>
      </c>
      <c r="D139" s="47" t="s">
        <v>495</v>
      </c>
      <c r="E139" s="47" t="s">
        <v>496</v>
      </c>
      <c r="F139" s="138">
        <f ca="1"/>
        <v>35.15</v>
      </c>
      <c r="G139" s="138">
        <f ca="1"/>
        <v>35.47</v>
      </c>
      <c r="H139" s="138">
        <f t="shared" ca="1" si="142"/>
        <v>35.79</v>
      </c>
      <c r="I139" s="32">
        <f ca="1">ROUND(_xll.qlBondYieldFromCleanPrice(O139,F139,YieldDayCounter,YieldCompounding,YieldFrequency)*100,3)</f>
        <v>4.3109999999999999</v>
      </c>
      <c r="J139" s="32">
        <f ca="1">ROUND(_xll.qlBondYieldFromCleanPrice(P139,G139,YieldDayCounter,YieldCompounding,YieldFrequency)*100,3)</f>
        <v>4.2729999999999997</v>
      </c>
      <c r="K139" s="32">
        <f ca="1">ROUND(_xll.qlBondYieldFromCleanPrice(Q139,H139,YieldDayCounter,YieldCompounding,YieldFrequency)*100,3)</f>
        <v>4.2350000000000003</v>
      </c>
      <c r="L139" s="120">
        <f ca="1">_xll.qlBondDurationFromYield(P139,J139,YieldDayCounter,YieldCompounding,YieldFrequency,L$2)</f>
        <v>4.6974896669255894</v>
      </c>
      <c r="M139" s="120">
        <f ca="1">_xll.qlBondConvexityFromYield(P139,J139/100,YieldDayCounter,YieldCompounding,YieldFrequency)</f>
        <v>587.07282452777542</v>
      </c>
      <c r="N139" s="121" t="e">
        <f ca="1">_xll.BDP(A139&amp;" Corp","risk mid")</f>
        <v>#NAME?</v>
      </c>
      <c r="O139" s="107" t="str">
        <f>_xll.qlZeroCouponBond(,,"EUR",3,"target",100,$B139,"f",100,,,Trigger)</f>
        <v>obj_00de5#0000</v>
      </c>
      <c r="P139" s="107" t="str">
        <f>_xll.qlZeroCouponBond(,,"EUR",3,"target",100,$B139,"f",100,,,Trigger)</f>
        <v>obj_00f30#0000</v>
      </c>
      <c r="Q139" s="107" t="str">
        <f>_xll.qlZeroCouponBond(,,"EUR",3,"target",100,$B139,"f",100,,,Trigger)</f>
        <v>obj_00e58#0000</v>
      </c>
      <c r="R139" s="123">
        <f t="shared" ca="1" si="139"/>
        <v>35.15</v>
      </c>
      <c r="S139" s="130">
        <f t="shared" ref="S139" ca="1" si="150">R139</f>
        <v>35.15</v>
      </c>
      <c r="T139" s="147" t="str">
        <f>IF(UPPER(U$1)="ABCD",_xll.RtContribute($E$3,$E139,$R$3:$S$3,$R139:$S139,"SCOPE:SERVER"),"--")</f>
        <v>--</v>
      </c>
      <c r="U139" s="151" t="str">
        <f t="shared" si="144"/>
        <v/>
      </c>
      <c r="V139" s="134" t="str">
        <f t="shared" si="141"/>
        <v>EUR.PRICING.XLS_STRIPS.IT0004848690</v>
      </c>
      <c r="W139" s="134" t="str">
        <f>IF(UPPER($X$1)="ABCD",_xll.MKV_PUBLISHRECORD(V139, "XLS_STRIPS"),"--")</f>
        <v>--</v>
      </c>
      <c r="X139" s="135" t="str">
        <f>IF(UPPER(X$1)="ABCD",_xll.MKV_SUPPLYRECORD(V139, "Bid",F139, "Ask",H139, "Id",A139, "Mid",G139, "Name",D139,"DV01",N139,"MidYield",J139,"BidYield",I139,"AskYield",K139),"--")</f>
        <v>--</v>
      </c>
    </row>
    <row r="140" spans="1:24" x14ac:dyDescent="0.2">
      <c r="A140" s="72" t="s">
        <v>267</v>
      </c>
      <c r="B140" s="89">
        <v>51014</v>
      </c>
      <c r="C140" s="139" t="e">
        <f ca="1">_xll.BDP(A140&amp;" Corp", "days to mty")</f>
        <v>#NAME?</v>
      </c>
      <c r="D140" s="47" t="s">
        <v>268</v>
      </c>
      <c r="E140" s="47" t="s">
        <v>269</v>
      </c>
      <c r="F140" s="138">
        <f ca="1"/>
        <v>34.92</v>
      </c>
      <c r="G140" s="138">
        <f ca="1"/>
        <v>35.229999999999997</v>
      </c>
      <c r="H140" s="138">
        <f t="shared" ca="1" si="142"/>
        <v>35.54</v>
      </c>
      <c r="I140" s="32">
        <f ca="1">ROUND(_xll.qlBondYieldFromCleanPrice(O140,F140,YieldDayCounter,YieldCompounding,YieldFrequency)*100,3)</f>
        <v>4.3239999999999998</v>
      </c>
      <c r="J140" s="32">
        <f ca="1">ROUND(_xll.qlBondYieldFromCleanPrice(P140,G140,YieldDayCounter,YieldCompounding,YieldFrequency)*100,3)</f>
        <v>4.2869999999999999</v>
      </c>
      <c r="K140" s="32">
        <f ca="1">ROUND(_xll.qlBondYieldFromCleanPrice(Q140,H140,YieldDayCounter,YieldCompounding,YieldFrequency)*100,3)</f>
        <v>4.25</v>
      </c>
      <c r="L140" s="120">
        <f ca="1">_xll.qlBondDurationFromYield(P140,J140,YieldDayCounter,YieldCompounding,YieldFrequency,L$2)</f>
        <v>4.7011149083691972</v>
      </c>
      <c r="M140" s="120">
        <f ca="1">_xll.qlBondConvexityFromYield(P140,J140/100,YieldDayCounter,YieldCompounding,YieldFrequency)</f>
        <v>590.86861038921199</v>
      </c>
      <c r="N140" s="121" t="e">
        <f ca="1">_xll.BDP(A140&amp;" Corp","risk mid")</f>
        <v>#NAME?</v>
      </c>
      <c r="O140" s="107" t="str">
        <f>_xll.qlZeroCouponBond(,,"EUR",3,"target",100,$B140,"f",100,,,Trigger)</f>
        <v>obj_00eb4#0000</v>
      </c>
      <c r="P140" s="107" t="str">
        <f>_xll.qlZeroCouponBond(,,"EUR",3,"target",100,$B140,"f",100,,,Trigger)</f>
        <v>obj_00ec2#0000</v>
      </c>
      <c r="Q140" s="107" t="str">
        <f>_xll.qlZeroCouponBond(,,"EUR",3,"target",100,$B140,"f",100,,,Trigger)</f>
        <v>obj_00f20#0000</v>
      </c>
      <c r="R140" s="123">
        <f t="shared" ca="1" si="139"/>
        <v>34.92</v>
      </c>
      <c r="S140" s="130">
        <f t="shared" ref="S140" ca="1" si="151">R140</f>
        <v>34.92</v>
      </c>
      <c r="T140" s="147" t="str">
        <f>IF(UPPER(U$1)="ABCD",_xll.RtContribute($E$3,$E140,$R$3:$S$3,$R140:$S140,"SCOPE:SERVER"),"--")</f>
        <v>--</v>
      </c>
      <c r="U140" s="151" t="str">
        <f t="shared" si="144"/>
        <v/>
      </c>
      <c r="V140" s="134" t="str">
        <f t="shared" si="141"/>
        <v>EUR.PRICING.XLS_STRIPS.IT0004976749</v>
      </c>
      <c r="W140" s="134" t="str">
        <f>IF(UPPER($X$1)="ABCD",_xll.MKV_PUBLISHRECORD(V140, "XLS_STRIPS"),"--")</f>
        <v>--</v>
      </c>
      <c r="X140" s="135" t="str">
        <f>IF(UPPER(X$1)="ABCD",_xll.MKV_SUPPLYRECORD(V140, "Bid",F140, "Ask",H140, "Id",A140, "Mid",G140, "Name",D140,"DV01",N140,"MidYield",J140,"BidYield",I140,"AskYield",K140),"--")</f>
        <v>--</v>
      </c>
    </row>
    <row r="141" spans="1:24" x14ac:dyDescent="0.2">
      <c r="A141" s="72" t="s">
        <v>270</v>
      </c>
      <c r="B141" s="89">
        <v>51196</v>
      </c>
      <c r="C141" s="139" t="e">
        <f ca="1">_xll.BDP(A141&amp;" Corp", "days to mty")</f>
        <v>#NAME?</v>
      </c>
      <c r="D141" s="47" t="s">
        <v>271</v>
      </c>
      <c r="E141" s="47" t="s">
        <v>272</v>
      </c>
      <c r="F141" s="138">
        <f ca="1"/>
        <v>33.6</v>
      </c>
      <c r="G141" s="138">
        <f ca="1"/>
        <v>33.909999999999997</v>
      </c>
      <c r="H141" s="138">
        <f t="shared" ca="1" si="142"/>
        <v>34.22</v>
      </c>
      <c r="I141" s="32">
        <f ca="1">ROUND(_xll.qlBondYieldFromCleanPrice(O141,F141,YieldDayCounter,YieldCompounding,YieldFrequency)*100,3)</f>
        <v>4.3959999999999999</v>
      </c>
      <c r="J141" s="32">
        <f ca="1">ROUND(_xll.qlBondYieldFromCleanPrice(P141,G141,YieldDayCounter,YieldCompounding,YieldFrequency)*100,3)</f>
        <v>4.3579999999999997</v>
      </c>
      <c r="K141" s="32">
        <f ca="1">ROUND(_xll.qlBondYieldFromCleanPrice(Q141,H141,YieldDayCounter,YieldCompounding,YieldFrequency)*100,3)</f>
        <v>4.3209999999999997</v>
      </c>
      <c r="L141" s="120">
        <f ca="1">_xll.qlBondDurationFromYield(P141,J141,YieldDayCounter,YieldCompounding,YieldFrequency,L$2)</f>
        <v>4.7313708345477501</v>
      </c>
      <c r="M141" s="120">
        <f ca="1">_xll.qlBondConvexityFromYield(P141,J141/100,YieldDayCounter,YieldCompounding,YieldFrequency)</f>
        <v>613.38070636434793</v>
      </c>
      <c r="N141" s="121" t="e">
        <f ca="1">_xll.BDP(A141&amp;" Corp","risk mid")</f>
        <v>#NAME?</v>
      </c>
      <c r="O141" s="107" t="str">
        <f>_xll.qlZeroCouponBond(,,"EUR",3,"target",100,$B141,"f",100,,,Trigger)</f>
        <v>obj_00e42#0000</v>
      </c>
      <c r="P141" s="107" t="str">
        <f>_xll.qlZeroCouponBond(,,"EUR",3,"target",100,$B141,"f",100,,,Trigger)</f>
        <v>obj_00e23#0000</v>
      </c>
      <c r="Q141" s="107" t="str">
        <f>_xll.qlZeroCouponBond(,,"EUR",3,"target",100,$B141,"f",100,,,Trigger)</f>
        <v>obj_00f78#0000</v>
      </c>
      <c r="R141" s="123">
        <f t="shared" ca="1" si="139"/>
        <v>33.6</v>
      </c>
      <c r="S141" s="130">
        <f t="shared" ref="S141" ca="1" si="152">R141</f>
        <v>33.6</v>
      </c>
      <c r="T141" s="147" t="str">
        <f>IF(UPPER(U$1)="ABCD",_xll.RtContribute($E$3,$E141,$R$3:$S$3,$R141:$S141,"SCOPE:SERVER"),"--")</f>
        <v>--</v>
      </c>
      <c r="U141" s="151" t="str">
        <f t="shared" si="144"/>
        <v/>
      </c>
      <c r="V141" s="134" t="str">
        <f t="shared" si="141"/>
        <v>EUR.PRICING.XLS_STRIPS.IT0004976756</v>
      </c>
      <c r="W141" s="134" t="str">
        <f>IF(UPPER($X$1)="ABCD",_xll.MKV_PUBLISHRECORD(V141, "XLS_STRIPS"),"--")</f>
        <v>--</v>
      </c>
      <c r="X141" s="135" t="str">
        <f>IF(UPPER(X$1)="ABCD",_xll.MKV_SUPPLYRECORD(V141, "Bid",F141, "Ask",H141, "Id",A141, "Mid",G141, "Name",D141,"DV01",N141,"MidYield",J141,"BidYield",I141,"AskYield",K141),"--")</f>
        <v>--</v>
      </c>
    </row>
    <row r="142" spans="1:24" x14ac:dyDescent="0.2">
      <c r="A142" s="72" t="s">
        <v>273</v>
      </c>
      <c r="B142" s="89">
        <v>51380</v>
      </c>
      <c r="C142" s="139" t="e">
        <f ca="1">_xll.BDP(A142&amp;" Corp", "days to mty")</f>
        <v>#NAME?</v>
      </c>
      <c r="D142" s="47" t="s">
        <v>274</v>
      </c>
      <c r="E142" s="47" t="s">
        <v>275</v>
      </c>
      <c r="F142" s="138">
        <f ca="1"/>
        <v>32.42</v>
      </c>
      <c r="G142" s="138">
        <f ca="1"/>
        <v>32.72</v>
      </c>
      <c r="H142" s="138">
        <f t="shared" ca="1" si="142"/>
        <v>33.020000000000003</v>
      </c>
      <c r="I142" s="32">
        <f ca="1">ROUND(_xll.qlBondYieldFromCleanPrice(O142,F142,YieldDayCounter,YieldCompounding,YieldFrequency)*100,3)</f>
        <v>4.452</v>
      </c>
      <c r="J142" s="32">
        <f ca="1">ROUND(_xll.qlBondYieldFromCleanPrice(P142,G142,YieldDayCounter,YieldCompounding,YieldFrequency)*100,3)</f>
        <v>4.415</v>
      </c>
      <c r="K142" s="32">
        <f ca="1">ROUND(_xll.qlBondYieldFromCleanPrice(Q142,H142,YieldDayCounter,YieldCompounding,YieldFrequency)*100,3)</f>
        <v>4.3780000000000001</v>
      </c>
      <c r="L142" s="120">
        <f ca="1">_xll.qlBondDurationFromYield(P142,J142,YieldDayCounter,YieldCompounding,YieldFrequency,L$2)</f>
        <v>4.7756738638232203</v>
      </c>
      <c r="M142" s="120">
        <f ca="1">_xll.qlBondConvexityFromYield(P142,J142/100,YieldDayCounter,YieldCompounding,YieldFrequency)</f>
        <v>637.11491792481206</v>
      </c>
      <c r="N142" s="121" t="e">
        <f ca="1">_xll.BDP(A142&amp;" Corp","risk mid")</f>
        <v>#NAME?</v>
      </c>
      <c r="O142" s="107" t="str">
        <f>_xll.qlZeroCouponBond(,,"EUR",3,"target",100,$B142,"f",100,,,Trigger)</f>
        <v>obj_00e61#0000</v>
      </c>
      <c r="P142" s="107" t="str">
        <f>_xll.qlZeroCouponBond(,,"EUR",3,"target",100,$B142,"f",100,,,Trigger)</f>
        <v>obj_00f51#0000</v>
      </c>
      <c r="Q142" s="107" t="str">
        <f>_xll.qlZeroCouponBond(,,"EUR",3,"target",100,$B142,"f",100,,,Trigger)</f>
        <v>obj_00f4d#0000</v>
      </c>
      <c r="R142" s="123">
        <f t="shared" ca="1" si="139"/>
        <v>32.42</v>
      </c>
      <c r="S142" s="130">
        <f t="shared" ref="S142" ca="1" si="153">R142</f>
        <v>32.42</v>
      </c>
      <c r="T142" s="147" t="str">
        <f>IF(UPPER(U$1)="ABCD",_xll.RtContribute($E$3,$E142,$R$3:$S$3,$R142:$S142,"SCOPE:SERVER"),"--")</f>
        <v>--</v>
      </c>
      <c r="U142" s="151" t="str">
        <f t="shared" si="144"/>
        <v/>
      </c>
      <c r="V142" s="134" t="str">
        <f t="shared" si="141"/>
        <v>EUR.PRICING.XLS_STRIPS.IT0004976764</v>
      </c>
      <c r="W142" s="134" t="str">
        <f>IF(UPPER($X$1)="ABCD",_xll.MKV_PUBLISHRECORD(V142, "XLS_STRIPS"),"--")</f>
        <v>--</v>
      </c>
      <c r="X142" s="135" t="str">
        <f>IF(UPPER(X$1)="ABCD",_xll.MKV_SUPPLYRECORD(V142, "Bid",F142, "Ask",H142, "Id",A142, "Mid",G142, "Name",D142,"DV01",N142,"MidYield",J142,"BidYield",I142,"AskYield",K142),"--")</f>
        <v>--</v>
      </c>
    </row>
    <row r="143" spans="1:24" x14ac:dyDescent="0.2">
      <c r="A143" s="72" t="s">
        <v>276</v>
      </c>
      <c r="B143" s="89">
        <v>51561</v>
      </c>
      <c r="C143" s="139" t="e">
        <f ca="1">_xll.BDP(A143&amp;" Corp", "days to mty")</f>
        <v>#NAME?</v>
      </c>
      <c r="D143" s="47" t="s">
        <v>277</v>
      </c>
      <c r="E143" s="47" t="s">
        <v>278</v>
      </c>
      <c r="F143" s="138">
        <f ca="1"/>
        <v>31.42</v>
      </c>
      <c r="G143" s="138">
        <f ca="1"/>
        <v>31.71</v>
      </c>
      <c r="H143" s="138">
        <f t="shared" ca="1" si="142"/>
        <v>32</v>
      </c>
      <c r="I143" s="32">
        <f ca="1">ROUND(_xll.qlBondYieldFromCleanPrice(O143,F143,YieldDayCounter,YieldCompounding,YieldFrequency)*100,3)</f>
        <v>4.4909999999999997</v>
      </c>
      <c r="J143" s="32">
        <f ca="1">ROUND(_xll.qlBondYieldFromCleanPrice(P143,G143,YieldDayCounter,YieldCompounding,YieldFrequency)*100,3)</f>
        <v>4.4550000000000001</v>
      </c>
      <c r="K143" s="32">
        <f ca="1">ROUND(_xll.qlBondYieldFromCleanPrice(Q143,H143,YieldDayCounter,YieldCompounding,YieldFrequency)*100,3)</f>
        <v>4.4189999999999996</v>
      </c>
      <c r="L143" s="120">
        <f ca="1">_xll.qlBondDurationFromYield(P143,J143,YieldDayCounter,YieldCompounding,YieldFrequency,L$2)</f>
        <v>4.8305563577464437</v>
      </c>
      <c r="M143" s="120">
        <f ca="1">_xll.qlBondConvexityFromYield(P143,J143/100,YieldDayCounter,YieldCompounding,YieldFrequency)</f>
        <v>660.54384195808916</v>
      </c>
      <c r="N143" s="121" t="e">
        <f ca="1">_xll.BDP(A143&amp;" Corp","risk mid")</f>
        <v>#NAME?</v>
      </c>
      <c r="O143" s="107" t="str">
        <f>_xll.qlZeroCouponBond(,,"EUR",3,"target",100,$B143,"f",100,,,Trigger)</f>
        <v>obj_00f5e#0000</v>
      </c>
      <c r="P143" s="107" t="str">
        <f>_xll.qlZeroCouponBond(,,"EUR",3,"target",100,$B143,"f",100,,,Trigger)</f>
        <v>obj_00ea3#0000</v>
      </c>
      <c r="Q143" s="107" t="str">
        <f>_xll.qlZeroCouponBond(,,"EUR",3,"target",100,$B143,"f",100,,,Trigger)</f>
        <v>obj_00df0#0000</v>
      </c>
      <c r="R143" s="123">
        <f t="shared" ca="1" si="139"/>
        <v>31.42</v>
      </c>
      <c r="S143" s="130">
        <f t="shared" ref="S143" ca="1" si="154">R143</f>
        <v>31.42</v>
      </c>
      <c r="T143" s="147" t="str">
        <f>IF(UPPER(U$1)="ABCD",_xll.RtContribute($E$3,$E143,$R$3:$S$3,$R143:$S143,"SCOPE:SERVER"),"--")</f>
        <v>--</v>
      </c>
      <c r="U143" s="151" t="str">
        <f t="shared" si="144"/>
        <v/>
      </c>
      <c r="V143" s="134" t="str">
        <f t="shared" si="141"/>
        <v>EUR.PRICING.XLS_STRIPS.IT0004976772</v>
      </c>
      <c r="W143" s="134" t="str">
        <f>IF(UPPER($X$1)="ABCD",_xll.MKV_PUBLISHRECORD(V143, "XLS_STRIPS"),"--")</f>
        <v>--</v>
      </c>
      <c r="X143" s="135" t="str">
        <f>IF(UPPER(X$1)="ABCD",_xll.MKV_SUPPLYRECORD(V143, "Bid",F143, "Ask",H143, "Id",A143, "Mid",G143, "Name",D143,"DV01",N143,"MidYield",J143,"BidYield",I143,"AskYield",K143),"--")</f>
        <v>--</v>
      </c>
    </row>
    <row r="144" spans="1:24" x14ac:dyDescent="0.2">
      <c r="A144" s="72" t="s">
        <v>279</v>
      </c>
      <c r="B144" s="89">
        <v>51745</v>
      </c>
      <c r="C144" s="139" t="e">
        <f ca="1">_xll.BDP(A144&amp;" Corp", "days to mty")</f>
        <v>#NAME?</v>
      </c>
      <c r="D144" s="47" t="s">
        <v>280</v>
      </c>
      <c r="E144" s="47" t="s">
        <v>281</v>
      </c>
      <c r="F144" s="138">
        <f ca="1"/>
        <v>30.55</v>
      </c>
      <c r="G144" s="138">
        <f ca="1"/>
        <v>30.84</v>
      </c>
      <c r="H144" s="138">
        <f t="shared" ca="1" si="142"/>
        <v>31.13</v>
      </c>
      <c r="I144" s="32">
        <f ca="1">ROUND(_xll.qlBondYieldFromCleanPrice(O144,F144,YieldDayCounter,YieldCompounding,YieldFrequency)*100,3)</f>
        <v>4.5140000000000002</v>
      </c>
      <c r="J144" s="32">
        <f ca="1">ROUND(_xll.qlBondYieldFromCleanPrice(P144,G144,YieldDayCounter,YieldCompounding,YieldFrequency)*100,3)</f>
        <v>4.4770000000000003</v>
      </c>
      <c r="K144" s="32">
        <f ca="1">ROUND(_xll.qlBondYieldFromCleanPrice(Q144,H144,YieldDayCounter,YieldCompounding,YieldFrequency)*100,3)</f>
        <v>4.4409999999999998</v>
      </c>
      <c r="L144" s="120">
        <f ca="1">_xll.qlBondDurationFromYield(P144,J144,YieldDayCounter,YieldCompounding,YieldFrequency,L$2)</f>
        <v>4.9036944032454519</v>
      </c>
      <c r="M144" s="120">
        <f ca="1">_xll.qlBondConvexityFromYield(P144,J144/100,YieldDayCounter,YieldCompounding,YieldFrequency)</f>
        <v>685.43681075787322</v>
      </c>
      <c r="N144" s="121" t="e">
        <f ca="1">_xll.BDP(A144&amp;" Corp","risk mid")</f>
        <v>#NAME?</v>
      </c>
      <c r="O144" s="107" t="str">
        <f>_xll.qlZeroCouponBond(,,"EUR",3,"target",100,$B144,"f",100,,,Trigger)</f>
        <v>obj_00ec4#0000</v>
      </c>
      <c r="P144" s="107" t="str">
        <f>_xll.qlZeroCouponBond(,,"EUR",3,"target",100,$B144,"f",100,,,Trigger)</f>
        <v>obj_00e27#0000</v>
      </c>
      <c r="Q144" s="107" t="str">
        <f>_xll.qlZeroCouponBond(,,"EUR",3,"target",100,$B144,"f",100,,,Trigger)</f>
        <v>obj_00f1c#0000</v>
      </c>
      <c r="R144" s="123">
        <f t="shared" ca="1" si="139"/>
        <v>30.55</v>
      </c>
      <c r="S144" s="130">
        <f t="shared" ref="S144" ca="1" si="155">R144</f>
        <v>30.55</v>
      </c>
      <c r="T144" s="147" t="str">
        <f>IF(UPPER(U$1)="ABCD",_xll.RtContribute($E$3,$E144,$R$3:$S$3,$R144:$S144,"SCOPE:SERVER"),"--")</f>
        <v>--</v>
      </c>
      <c r="U144" s="151" t="str">
        <f t="shared" si="144"/>
        <v/>
      </c>
      <c r="V144" s="134" t="str">
        <f t="shared" si="141"/>
        <v>EUR.PRICING.XLS_STRIPS.IT0004976780</v>
      </c>
      <c r="W144" s="134" t="str">
        <f>IF(UPPER($X$1)="ABCD",_xll.MKV_PUBLISHRECORD(V144, "XLS_STRIPS"),"--")</f>
        <v>--</v>
      </c>
      <c r="X144" s="135" t="str">
        <f>IF(UPPER(X$1)="ABCD",_xll.MKV_SUPPLYRECORD(V144, "Bid",F144, "Ask",H144, "Id",A144, "Mid",G144, "Name",D144,"DV01",N144,"MidYield",J144,"BidYield",I144,"AskYield",K144),"--")</f>
        <v>--</v>
      </c>
    </row>
    <row r="145" spans="1:24" x14ac:dyDescent="0.2">
      <c r="A145" s="72" t="s">
        <v>282</v>
      </c>
      <c r="B145" s="89">
        <v>51926</v>
      </c>
      <c r="C145" s="139" t="e">
        <f ca="1">_xll.BDP(A145&amp;" Corp", "days to mty")</f>
        <v>#NAME?</v>
      </c>
      <c r="D145" s="47" t="s">
        <v>283</v>
      </c>
      <c r="E145" s="47" t="s">
        <v>284</v>
      </c>
      <c r="F145" s="138">
        <f ca="1"/>
        <v>29.81</v>
      </c>
      <c r="G145" s="138">
        <f ca="1"/>
        <v>30.1</v>
      </c>
      <c r="H145" s="138">
        <f t="shared" ca="1" si="142"/>
        <v>30.39</v>
      </c>
      <c r="I145" s="32">
        <f ca="1">ROUND(_xll.qlBondYieldFromCleanPrice(O145,F145,YieldDayCounter,YieldCompounding,YieldFrequency)*100,3)</f>
        <v>4.524</v>
      </c>
      <c r="J145" s="32">
        <f ca="1">ROUND(_xll.qlBondYieldFromCleanPrice(P145,G145,YieldDayCounter,YieldCompounding,YieldFrequency)*100,3)</f>
        <v>4.4870000000000001</v>
      </c>
      <c r="K145" s="32">
        <f ca="1">ROUND(_xll.qlBondYieldFromCleanPrice(Q145,H145,YieldDayCounter,YieldCompounding,YieldFrequency)*100,3)</f>
        <v>4.45</v>
      </c>
      <c r="L145" s="120">
        <f ca="1">_xll.qlBondDurationFromYield(P145,J145,YieldDayCounter,YieldCompounding,YieldFrequency,L$2)</f>
        <v>4.9856322915184332</v>
      </c>
      <c r="M145" s="120">
        <f ca="1">_xll.qlBondConvexityFromYield(P145,J145/100,YieldDayCounter,YieldCompounding,YieldFrequency)</f>
        <v>710.52304779492647</v>
      </c>
      <c r="N145" s="121" t="e">
        <f ca="1">_xll.BDP(A145&amp;" Corp","risk mid")</f>
        <v>#NAME?</v>
      </c>
      <c r="O145" s="107" t="str">
        <f>_xll.qlZeroCouponBond(,,"EUR",3,"target",100,$B145,"f",100,,,Trigger)</f>
        <v>obj_00f5d#0000</v>
      </c>
      <c r="P145" s="107" t="str">
        <f>_xll.qlZeroCouponBond(,,"EUR",3,"target",100,$B145,"f",100,,,Trigger)</f>
        <v>obj_00f36#0000</v>
      </c>
      <c r="Q145" s="107" t="str">
        <f>_xll.qlZeroCouponBond(,,"EUR",3,"target",100,$B145,"f",100,,,Trigger)</f>
        <v>obj_00e46#0000</v>
      </c>
      <c r="R145" s="123">
        <f t="shared" ca="1" si="139"/>
        <v>29.81</v>
      </c>
      <c r="S145" s="130">
        <f t="shared" ref="S145" ca="1" si="156">R145</f>
        <v>29.81</v>
      </c>
      <c r="T145" s="147" t="str">
        <f>IF(UPPER(U$1)="ABCD",_xll.RtContribute($E$3,$E145,$R$3:$S$3,$R145:$S145,"SCOPE:SERVER"),"--")</f>
        <v>--</v>
      </c>
      <c r="U145" s="151" t="str">
        <f t="shared" si="144"/>
        <v/>
      </c>
      <c r="V145" s="134" t="str">
        <f t="shared" si="141"/>
        <v>EUR.PRICING.XLS_STRIPS.IT0004976798</v>
      </c>
      <c r="W145" s="134" t="str">
        <f>IF(UPPER($X$1)="ABCD",_xll.MKV_PUBLISHRECORD(V145, "XLS_STRIPS"),"--")</f>
        <v>--</v>
      </c>
      <c r="X145" s="135" t="str">
        <f>IF(UPPER(X$1)="ABCD",_xll.MKV_SUPPLYRECORD(V145, "Bid",F145, "Ask",H145, "Id",A145, "Mid",G145, "Name",D145,"DV01",N145,"MidYield",J145,"BidYield",I145,"AskYield",K145),"--")</f>
        <v>--</v>
      </c>
    </row>
    <row r="146" spans="1:24" x14ac:dyDescent="0.2">
      <c r="A146" s="72" t="s">
        <v>285</v>
      </c>
      <c r="B146" s="89">
        <v>52110</v>
      </c>
      <c r="C146" s="139" t="e">
        <f ca="1">_xll.BDP(A146&amp;" Corp", "days to mty")</f>
        <v>#NAME?</v>
      </c>
      <c r="D146" s="47" t="s">
        <v>286</v>
      </c>
      <c r="E146" s="47" t="s">
        <v>287</v>
      </c>
      <c r="F146" s="138">
        <f ca="1"/>
        <v>29.16</v>
      </c>
      <c r="G146" s="138">
        <f ca="1"/>
        <v>29.45</v>
      </c>
      <c r="H146" s="138">
        <f t="shared" ca="1" si="142"/>
        <v>29.74</v>
      </c>
      <c r="I146" s="32">
        <f ca="1">ROUND(_xll.qlBondYieldFromCleanPrice(O146,F146,YieldDayCounter,YieldCompounding,YieldFrequency)*100,3)</f>
        <v>4.524</v>
      </c>
      <c r="J146" s="32">
        <f ca="1">ROUND(_xll.qlBondYieldFromCleanPrice(P146,G146,YieldDayCounter,YieldCompounding,YieldFrequency)*100,3)</f>
        <v>4.4859999999999998</v>
      </c>
      <c r="K146" s="32">
        <f ca="1">ROUND(_xll.qlBondYieldFromCleanPrice(Q146,H146,YieldDayCounter,YieldCompounding,YieldFrequency)*100,3)</f>
        <v>4.45</v>
      </c>
      <c r="L146" s="120">
        <f ca="1">_xll.qlBondDurationFromYield(P146,J146,YieldDayCounter,YieldCompounding,YieldFrequency,L$2)</f>
        <v>5.0774324682005005</v>
      </c>
      <c r="M146" s="120">
        <f ca="1">_xll.qlBondConvexityFromYield(P146,J146/100,YieldDayCounter,YieldCompounding,YieldFrequency)</f>
        <v>736.210043663428</v>
      </c>
      <c r="N146" s="121" t="e">
        <f ca="1">_xll.BDP(A146&amp;" Corp","risk mid")</f>
        <v>#NAME?</v>
      </c>
      <c r="O146" s="107" t="str">
        <f>_xll.qlZeroCouponBond(,,"EUR",3,"target",100,$B146,"f",100,,,Trigger)</f>
        <v>obj_00f38#0000</v>
      </c>
      <c r="P146" s="107" t="str">
        <f>_xll.qlZeroCouponBond(,,"EUR",3,"target",100,$B146,"f",100,,,Trigger)</f>
        <v>obj_00e9f#0000</v>
      </c>
      <c r="Q146" s="107" t="str">
        <f>_xll.qlZeroCouponBond(,,"EUR",3,"target",100,$B146,"f",100,,,Trigger)</f>
        <v>obj_00f13#0000</v>
      </c>
      <c r="R146" s="123">
        <f t="shared" ca="1" si="139"/>
        <v>29.16</v>
      </c>
      <c r="S146" s="130">
        <f t="shared" ref="S146" ca="1" si="157">R146</f>
        <v>29.16</v>
      </c>
      <c r="T146" s="147" t="str">
        <f>IF(UPPER(U$1)="ABCD",_xll.RtContribute($E$3,$E146,$R$3:$S$3,$R146:$S146,"SCOPE:SERVER"),"--")</f>
        <v>--</v>
      </c>
      <c r="U146" s="151" t="str">
        <f t="shared" si="144"/>
        <v/>
      </c>
      <c r="V146" s="134" t="str">
        <f t="shared" si="141"/>
        <v>EUR.PRICING.XLS_STRIPS.IT0004976806</v>
      </c>
      <c r="W146" s="134" t="str">
        <f>IF(UPPER($X$1)="ABCD",_xll.MKV_PUBLISHRECORD(V146, "XLS_STRIPS"),"--")</f>
        <v>--</v>
      </c>
      <c r="X146" s="135" t="str">
        <f>IF(UPPER(X$1)="ABCD",_xll.MKV_SUPPLYRECORD(V146, "Bid",F146, "Ask",H146, "Id",A146, "Mid",G146, "Name",D146,"DV01",N146,"MidYield",J146,"BidYield",I146,"AskYield",K146),"--")</f>
        <v>--</v>
      </c>
    </row>
    <row r="147" spans="1:24" x14ac:dyDescent="0.2">
      <c r="A147" s="72" t="s">
        <v>288</v>
      </c>
      <c r="B147" s="89">
        <v>52291</v>
      </c>
      <c r="C147" s="139" t="e">
        <f ca="1">_xll.BDP(A147&amp;" Corp", "days to mty")</f>
        <v>#NAME?</v>
      </c>
      <c r="D147" s="47" t="s">
        <v>289</v>
      </c>
      <c r="E147" s="47" t="s">
        <v>290</v>
      </c>
      <c r="F147" s="138">
        <f ca="1"/>
        <v>28.59</v>
      </c>
      <c r="G147" s="138">
        <f ca="1"/>
        <v>28.88</v>
      </c>
      <c r="H147" s="138">
        <f t="shared" ca="1" si="142"/>
        <v>29.17</v>
      </c>
      <c r="I147" s="32">
        <f ca="1">ROUND(_xll.qlBondYieldFromCleanPrice(O147,F147,YieldDayCounter,YieldCompounding,YieldFrequency)*100,3)</f>
        <v>4.5149999999999997</v>
      </c>
      <c r="J147" s="32">
        <f ca="1">ROUND(_xll.qlBondYieldFromCleanPrice(P147,G147,YieldDayCounter,YieldCompounding,YieldFrequency)*100,3)</f>
        <v>4.4779999999999998</v>
      </c>
      <c r="K147" s="32">
        <f ca="1">ROUND(_xll.qlBondYieldFromCleanPrice(Q147,H147,YieldDayCounter,YieldCompounding,YieldFrequency)*100,3)</f>
        <v>4.4409999999999998</v>
      </c>
      <c r="L147" s="120">
        <f ca="1">_xll.qlBondDurationFromYield(P147,J147,YieldDayCounter,YieldCompounding,YieldFrequency,L$2)</f>
        <v>5.1758716059755834</v>
      </c>
      <c r="M147" s="120">
        <f ca="1">_xll.qlBondConvexityFromYield(P147,J147/100,YieldDayCounter,YieldCompounding,YieldFrequency)</f>
        <v>762.4556715120184</v>
      </c>
      <c r="N147" s="121" t="e">
        <f ca="1">_xll.BDP(A147&amp;" Corp","risk mid")</f>
        <v>#NAME?</v>
      </c>
      <c r="O147" s="107" t="str">
        <f>_xll.qlZeroCouponBond(,,"EUR",3,"target",100,$B147,"f",100,,,Trigger)</f>
        <v>obj_00e3a#0000</v>
      </c>
      <c r="P147" s="107" t="str">
        <f>_xll.qlZeroCouponBond(,,"EUR",3,"target",100,$B147,"f",100,,,Trigger)</f>
        <v>obj_00eab#0000</v>
      </c>
      <c r="Q147" s="107" t="str">
        <f>_xll.qlZeroCouponBond(,,"EUR",3,"target",100,$B147,"f",100,,,Trigger)</f>
        <v>obj_00de3#0000</v>
      </c>
      <c r="R147" s="123">
        <f t="shared" ca="1" si="139"/>
        <v>28.59</v>
      </c>
      <c r="S147" s="130">
        <f t="shared" ref="S147" ca="1" si="158">R147</f>
        <v>28.59</v>
      </c>
      <c r="T147" s="147" t="str">
        <f>IF(UPPER(U$1)="ABCD",_xll.RtContribute($E$3,$E147,$R$3:$S$3,$R147:$S147,"SCOPE:SERVER"),"--")</f>
        <v>--</v>
      </c>
      <c r="U147" s="151" t="str">
        <f t="shared" si="144"/>
        <v/>
      </c>
      <c r="V147" s="134" t="str">
        <f t="shared" si="141"/>
        <v>EUR.PRICING.XLS_STRIPS.IT0004976814</v>
      </c>
      <c r="W147" s="134" t="str">
        <f>IF(UPPER($X$1)="ABCD",_xll.MKV_PUBLISHRECORD(V147, "XLS_STRIPS"),"--")</f>
        <v>--</v>
      </c>
      <c r="X147" s="135" t="str">
        <f>IF(UPPER(X$1)="ABCD",_xll.MKV_SUPPLYRECORD(V147, "Bid",F147, "Ask",H147, "Id",A147, "Mid",G147, "Name",D147,"DV01",N147,"MidYield",J147,"BidYield",I147,"AskYield",K147),"--")</f>
        <v>--</v>
      </c>
    </row>
    <row r="148" spans="1:24" x14ac:dyDescent="0.2">
      <c r="A148" s="72" t="s">
        <v>291</v>
      </c>
      <c r="B148" s="89">
        <v>52475</v>
      </c>
      <c r="C148" s="139" t="e">
        <f ca="1">_xll.BDP(A148&amp;" Corp", "days to mty")</f>
        <v>#NAME?</v>
      </c>
      <c r="D148" s="47" t="s">
        <v>292</v>
      </c>
      <c r="E148" s="47" t="s">
        <v>293</v>
      </c>
      <c r="F148" s="138">
        <f ca="1"/>
        <v>28.07</v>
      </c>
      <c r="G148" s="138">
        <f ca="1"/>
        <v>28.36</v>
      </c>
      <c r="H148" s="138">
        <f t="shared" ca="1" si="142"/>
        <v>28.65</v>
      </c>
      <c r="I148" s="32">
        <f ca="1">ROUND(_xll.qlBondYieldFromCleanPrice(O148,F148,YieldDayCounter,YieldCompounding,YieldFrequency)*100,3)</f>
        <v>4.5010000000000003</v>
      </c>
      <c r="J148" s="32">
        <f ca="1">ROUND(_xll.qlBondYieldFromCleanPrice(P148,G148,YieldDayCounter,YieldCompounding,YieldFrequency)*100,3)</f>
        <v>4.4640000000000004</v>
      </c>
      <c r="K148" s="32">
        <f ca="1">ROUND(_xll.qlBondYieldFromCleanPrice(Q148,H148,YieldDayCounter,YieldCompounding,YieldFrequency)*100,3)</f>
        <v>4.4269999999999996</v>
      </c>
      <c r="L148" s="120">
        <f ca="1">_xll.qlBondDurationFromYield(P148,J148,YieldDayCounter,YieldCompounding,YieldFrequency,L$2)</f>
        <v>5.2808921157664601</v>
      </c>
      <c r="M148" s="120">
        <f ca="1">_xll.qlBondConvexityFromYield(P148,J148/100,YieldDayCounter,YieldCompounding,YieldFrequency)</f>
        <v>789.40299521582722</v>
      </c>
      <c r="N148" s="121" t="e">
        <f ca="1">_xll.BDP(A148&amp;" Corp","risk mid")</f>
        <v>#NAME?</v>
      </c>
      <c r="O148" s="107" t="str">
        <f>_xll.qlZeroCouponBond(,,"EUR",3,"target",100,$B148,"f",100,,,Trigger)</f>
        <v>obj_00e9a#0000</v>
      </c>
      <c r="P148" s="107" t="str">
        <f>_xll.qlZeroCouponBond(,,"EUR",3,"target",100,$B148,"f",100,,,Trigger)</f>
        <v>obj_00e67#0000</v>
      </c>
      <c r="Q148" s="107" t="str">
        <f>_xll.qlZeroCouponBond(,,"EUR",3,"target",100,$B148,"f",100,,,Trigger)</f>
        <v>obj_00e6d#0000</v>
      </c>
      <c r="R148" s="123">
        <f t="shared" ca="1" si="139"/>
        <v>28.07</v>
      </c>
      <c r="S148" s="130">
        <f t="shared" ref="S148" ca="1" si="159">R148</f>
        <v>28.07</v>
      </c>
      <c r="T148" s="147" t="str">
        <f>IF(UPPER(U$1)="ABCD",_xll.RtContribute($E$3,$E148,$R$3:$S$3,$R148:$S148,"SCOPE:SERVER"),"--")</f>
        <v>--</v>
      </c>
      <c r="U148" s="151" t="str">
        <f t="shared" si="144"/>
        <v/>
      </c>
      <c r="V148" s="134" t="str">
        <f t="shared" si="141"/>
        <v>EUR.PRICING.XLS_STRIPS.IT0004976822</v>
      </c>
      <c r="W148" s="134" t="str">
        <f>IF(UPPER($X$1)="ABCD",_xll.MKV_PUBLISHRECORD(V148, "XLS_STRIPS"),"--")</f>
        <v>--</v>
      </c>
      <c r="X148" s="135" t="str">
        <f>IF(UPPER(X$1)="ABCD",_xll.MKV_SUPPLYRECORD(V148, "Bid",F148, "Ask",H148, "Id",A148, "Mid",G148, "Name",D148,"DV01",N148,"MidYield",J148,"BidYield",I148,"AskYield",K148),"--")</f>
        <v>--</v>
      </c>
    </row>
    <row r="149" spans="1:24" x14ac:dyDescent="0.2">
      <c r="A149" s="72" t="s">
        <v>294</v>
      </c>
      <c r="B149" s="89">
        <v>52657</v>
      </c>
      <c r="C149" s="139" t="e">
        <f ca="1">_xll.BDP(A149&amp;" Corp", "days to mty")</f>
        <v>#NAME?</v>
      </c>
      <c r="D149" s="47" t="s">
        <v>295</v>
      </c>
      <c r="E149" s="47" t="s">
        <v>296</v>
      </c>
      <c r="F149" s="138">
        <f ca="1"/>
        <v>27.6</v>
      </c>
      <c r="G149" s="138">
        <f ca="1"/>
        <v>27.89</v>
      </c>
      <c r="H149" s="138">
        <f t="shared" ca="1" si="142"/>
        <v>28.18</v>
      </c>
      <c r="I149" s="32">
        <f ca="1">ROUND(_xll.qlBondYieldFromCleanPrice(O149,F149,YieldDayCounter,YieldCompounding,YieldFrequency)*100,3)</f>
        <v>4.484</v>
      </c>
      <c r="J149" s="32">
        <f ca="1">ROUND(_xll.qlBondYieldFromCleanPrice(P149,G149,YieldDayCounter,YieldCompounding,YieldFrequency)*100,3)</f>
        <v>4.4470000000000001</v>
      </c>
      <c r="K149" s="32">
        <f ca="1">ROUND(_xll.qlBondYieldFromCleanPrice(Q149,H149,YieldDayCounter,YieldCompounding,YieldFrequency)*100,3)</f>
        <v>4.41</v>
      </c>
      <c r="L149" s="120">
        <f ca="1">_xll.qlBondDurationFromYield(P149,J149,YieldDayCounter,YieldCompounding,YieldFrequency,L$2)</f>
        <v>5.3884128752536897</v>
      </c>
      <c r="M149" s="120">
        <f ca="1">_xll.qlBondConvexityFromYield(P149,J149/100,YieldDayCounter,YieldCompounding,YieldFrequency)</f>
        <v>816.57258667073143</v>
      </c>
      <c r="N149" s="121" t="e">
        <f ca="1">_xll.BDP(A149&amp;" Corp","risk mid")</f>
        <v>#NAME?</v>
      </c>
      <c r="O149" s="107" t="str">
        <f>_xll.qlZeroCouponBond(,,"EUR",3,"target",100,$B149,"f",100,,,Trigger)</f>
        <v>obj_00e76#0000</v>
      </c>
      <c r="P149" s="107" t="str">
        <f>_xll.qlZeroCouponBond(,,"EUR",3,"target",100,$B149,"f",100,,,Trigger)</f>
        <v>obj_00de4#0000</v>
      </c>
      <c r="Q149" s="107" t="str">
        <f>_xll.qlZeroCouponBond(,,"EUR",3,"target",100,$B149,"f",100,,,Trigger)</f>
        <v>obj_00e09#0000</v>
      </c>
      <c r="R149" s="123">
        <f t="shared" ca="1" si="139"/>
        <v>27.6</v>
      </c>
      <c r="S149" s="130">
        <f t="shared" ref="S149" ca="1" si="160">R149</f>
        <v>27.6</v>
      </c>
      <c r="T149" s="147" t="str">
        <f>IF(UPPER(U$1)="ABCD",_xll.RtContribute($E$3,$E149,$R$3:$S$3,$R149:$S149,"SCOPE:SERVER"),"--")</f>
        <v>--</v>
      </c>
      <c r="U149" s="151" t="str">
        <f t="shared" si="144"/>
        <v/>
      </c>
      <c r="V149" s="134" t="str">
        <f t="shared" si="141"/>
        <v>EUR.PRICING.XLS_STRIPS.IT0004976830</v>
      </c>
      <c r="W149" s="134" t="str">
        <f>IF(UPPER($X$1)="ABCD",_xll.MKV_PUBLISHRECORD(V149, "XLS_STRIPS"),"--")</f>
        <v>--</v>
      </c>
      <c r="X149" s="135" t="str">
        <f>IF(UPPER(X$1)="ABCD",_xll.MKV_SUPPLYRECORD(V149, "Bid",F149, "Ask",H149, "Id",A149, "Mid",G149, "Name",D149,"DV01",N149,"MidYield",J149,"BidYield",I149,"AskYield",K149),"--")</f>
        <v>--</v>
      </c>
    </row>
    <row r="150" spans="1:24" x14ac:dyDescent="0.2">
      <c r="A150" s="72" t="s">
        <v>297</v>
      </c>
      <c r="B150" s="89">
        <v>52841</v>
      </c>
      <c r="C150" s="139" t="e">
        <f ca="1">_xll.BDP(A150&amp;" Corp", "days to mty")</f>
        <v>#NAME?</v>
      </c>
      <c r="D150" s="47" t="s">
        <v>298</v>
      </c>
      <c r="E150" s="47" t="s">
        <v>299</v>
      </c>
      <c r="F150" s="138">
        <f ca="1"/>
        <v>27.14</v>
      </c>
      <c r="G150" s="138">
        <f ca="1"/>
        <v>27.43</v>
      </c>
      <c r="H150" s="138">
        <f t="shared" ca="1" si="142"/>
        <v>27.72</v>
      </c>
      <c r="I150" s="32">
        <f ca="1">ROUND(_xll.qlBondYieldFromCleanPrice(O150,F150,YieldDayCounter,YieldCompounding,YieldFrequency)*100,3)</f>
        <v>4.4649999999999999</v>
      </c>
      <c r="J150" s="32">
        <f ca="1">ROUND(_xll.qlBondYieldFromCleanPrice(P150,G150,YieldDayCounter,YieldCompounding,YieldFrequency)*100,3)</f>
        <v>4.4279999999999999</v>
      </c>
      <c r="K150" s="32">
        <f ca="1">ROUND(_xll.qlBondYieldFromCleanPrice(Q150,H150,YieldDayCounter,YieldCompounding,YieldFrequency)*100,3)</f>
        <v>4.391</v>
      </c>
      <c r="L150" s="120">
        <f ca="1">_xll.qlBondDurationFromYield(P150,J150,YieldDayCounter,YieldCompounding,YieldFrequency,L$2)</f>
        <v>5.5001463744561434</v>
      </c>
      <c r="M150" s="120">
        <f ca="1">_xll.qlBondConvexityFromYield(P150,J150/100,YieldDayCounter,YieldCompounding,YieldFrequency)</f>
        <v>844.70064148456379</v>
      </c>
      <c r="N150" s="121" t="e">
        <f ca="1">_xll.BDP(A150&amp;" Corp","risk mid")</f>
        <v>#NAME?</v>
      </c>
      <c r="O150" s="107" t="str">
        <f>_xll.qlZeroCouponBond(,,"EUR",3,"target",100,$B150,"f",100,,,Trigger)</f>
        <v>obj_00f46#0000</v>
      </c>
      <c r="P150" s="107" t="str">
        <f>_xll.qlZeroCouponBond(,,"EUR",3,"target",100,$B150,"f",100,,,Trigger)</f>
        <v>obj_00eff#0000</v>
      </c>
      <c r="Q150" s="107" t="str">
        <f>_xll.qlZeroCouponBond(,,"EUR",3,"target",100,$B150,"f",100,,,Trigger)</f>
        <v>obj_00ea5#0000</v>
      </c>
      <c r="R150" s="124">
        <f t="shared" ca="1" si="139"/>
        <v>27.14</v>
      </c>
      <c r="S150" s="131">
        <f t="shared" ref="S150" ca="1" si="161">R150</f>
        <v>27.14</v>
      </c>
      <c r="T150" s="148" t="str">
        <f>IF(UPPER(U$1)="ABCD",_xll.RtContribute($E$3,$E150,$R$3:$S$3,$R150:$S150,"SCOPE:SERVER"),"--")</f>
        <v>--</v>
      </c>
      <c r="U150" s="152" t="str">
        <f t="shared" si="144"/>
        <v/>
      </c>
      <c r="V150" s="136" t="str">
        <f t="shared" si="141"/>
        <v>EUR.PRICING.XLS_STRIPS.IT0004976848</v>
      </c>
      <c r="W150" s="136" t="str">
        <f>IF(UPPER($X$1)="ABCD",_xll.MKV_PUBLISHRECORD(V150, "XLS_STRIPS"),"--")</f>
        <v>--</v>
      </c>
      <c r="X150" s="137" t="str">
        <f>IF(UPPER(X$1)="ABCD",_xll.MKV_SUPPLYRECORD(V150, "Bid",F150, "Ask",H150, "Id",A150, "Mid",G150, "Name",D150,"DV01",N150,"MidYield",J150,"BidYield",I150,"AskYield",K150),"--")</f>
        <v>--</v>
      </c>
    </row>
  </sheetData>
  <phoneticPr fontId="2" type="noConversion"/>
  <dataValidations disablePrompts="1" count="1">
    <dataValidation type="list" allowBlank="1" showInputMessage="1" showErrorMessage="1" sqref="L2:N2">
      <formula1>"Macaulay,Modified,Simple"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20"/>
  <sheetViews>
    <sheetView workbookViewId="0">
      <selection activeCell="C5" sqref="C5"/>
    </sheetView>
  </sheetViews>
  <sheetFormatPr defaultRowHeight="12.75" x14ac:dyDescent="0.2"/>
  <cols>
    <col min="2" max="2" width="14.7109375" bestFit="1" customWidth="1"/>
    <col min="3" max="3" width="15.5703125" bestFit="1" customWidth="1"/>
  </cols>
  <sheetData>
    <row r="4" spans="2:3" ht="13.5" thickBot="1" x14ac:dyDescent="0.25"/>
    <row r="5" spans="2:3" x14ac:dyDescent="0.2">
      <c r="B5" s="110" t="s">
        <v>526</v>
      </c>
      <c r="C5" s="116" t="str">
        <f>_xll.qlFloatingRateBond(,C7,C8,C9,C10,C11,C6,C13,C14,C15,,,C16,C17,,C18)</f>
        <v>obj_00f8c#0000</v>
      </c>
    </row>
    <row r="6" spans="2:3" ht="13.5" thickBot="1" x14ac:dyDescent="0.25">
      <c r="B6" s="112" t="s">
        <v>516</v>
      </c>
      <c r="C6" s="117" t="str">
        <f>_xll.qlSchedule(,BondSettlementDate,C12,"6m","target","f",,"backward",,,,,Trigger)</f>
        <v>obj_00f8b#0000</v>
      </c>
    </row>
    <row r="7" spans="2:3" x14ac:dyDescent="0.2">
      <c r="B7" s="111" t="s">
        <v>517</v>
      </c>
      <c r="C7" s="113" t="s">
        <v>528</v>
      </c>
    </row>
    <row r="8" spans="2:3" x14ac:dyDescent="0.2">
      <c r="B8" s="111" t="s">
        <v>518</v>
      </c>
      <c r="C8" s="113" t="s">
        <v>514</v>
      </c>
    </row>
    <row r="9" spans="2:3" x14ac:dyDescent="0.2">
      <c r="B9" s="111" t="s">
        <v>519</v>
      </c>
      <c r="C9" s="114">
        <v>2</v>
      </c>
    </row>
    <row r="10" spans="2:3" x14ac:dyDescent="0.2">
      <c r="B10" s="111" t="s">
        <v>520</v>
      </c>
      <c r="C10" s="113" t="s">
        <v>515</v>
      </c>
    </row>
    <row r="11" spans="2:3" x14ac:dyDescent="0.2">
      <c r="B11" s="111" t="s">
        <v>521</v>
      </c>
      <c r="C11" s="113">
        <v>100</v>
      </c>
    </row>
    <row r="12" spans="2:3" x14ac:dyDescent="0.2">
      <c r="B12" s="111" t="s">
        <v>529</v>
      </c>
      <c r="C12" s="118" t="s">
        <v>533</v>
      </c>
    </row>
    <row r="13" spans="2:3" x14ac:dyDescent="0.2">
      <c r="B13" s="111" t="s">
        <v>522</v>
      </c>
      <c r="C13" s="113">
        <v>2</v>
      </c>
    </row>
    <row r="14" spans="2:3" x14ac:dyDescent="0.2">
      <c r="B14" s="111" t="s">
        <v>523</v>
      </c>
      <c r="C14" s="113" t="b">
        <v>0</v>
      </c>
    </row>
    <row r="15" spans="2:3" x14ac:dyDescent="0.2">
      <c r="B15" s="111" t="s">
        <v>524</v>
      </c>
      <c r="C15" s="113" t="s">
        <v>527</v>
      </c>
    </row>
    <row r="16" spans="2:3" x14ac:dyDescent="0.2">
      <c r="B16" s="111" t="s">
        <v>525</v>
      </c>
      <c r="C16" s="113" t="s">
        <v>23</v>
      </c>
    </row>
    <row r="17" spans="2:3" x14ac:dyDescent="0.2">
      <c r="B17" s="111" t="s">
        <v>499</v>
      </c>
      <c r="C17" s="119">
        <v>8.0000000000000002E-3</v>
      </c>
    </row>
    <row r="18" spans="2:3" ht="13.5" thickBot="1" x14ac:dyDescent="0.25">
      <c r="B18" s="112" t="s">
        <v>5</v>
      </c>
      <c r="C18" s="115">
        <v>100</v>
      </c>
    </row>
    <row r="20" spans="2:3" x14ac:dyDescent="0.2">
      <c r="C20">
        <f>_xll.qlBondCleanPriceFromYieldTermStructure(C5,BtpCurve)</f>
        <v>99.466635359078111</v>
      </c>
    </row>
  </sheetData>
  <dataValidations count="4">
    <dataValidation type="list" allowBlank="1" showInputMessage="1" showErrorMessage="1" sqref="C8">
      <formula1>"EUR,USD,GBP,JPY,CHF"</formula1>
    </dataValidation>
    <dataValidation type="list" allowBlank="1" showInputMessage="1" showErrorMessage="1" sqref="C10">
      <formula1>"Following,Modified Following,Preceding,Modified Preceding,Unadjusted"</formula1>
    </dataValidation>
    <dataValidation type="list" allowBlank="1" showInputMessage="1" showErrorMessage="1" sqref="C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C16">
      <formula1>"EuriborSW,Euribor2W,Euribor3W,Euribor1M,Euribor2M,Euribor3M,Euribor4M,Euribor5M,Euribor6M,Euribor7M,Euribor8M,Euribor9M,Euribor10M,Euribor11M,Euribor1Y"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General Settings</vt:lpstr>
      <vt:lpstr>BtpCurve</vt:lpstr>
      <vt:lpstr>Bond Analysis</vt:lpstr>
      <vt:lpstr>Contribution</vt:lpstr>
      <vt:lpstr>CCT</vt:lpstr>
      <vt:lpstr>AswIndex</vt:lpstr>
      <vt:lpstr>BondPricingEngine</vt:lpstr>
      <vt:lpstr>BondSettlementDate</vt:lpstr>
      <vt:lpstr>BtpCurve</vt:lpstr>
      <vt:lpstr>Descriptions</vt:lpstr>
      <vt:lpstr>DiscountingCurve</vt:lpstr>
      <vt:lpstr>ExcludeMarchSeptember</vt:lpstr>
      <vt:lpstr>IgnoreResiduePremium</vt:lpstr>
      <vt:lpstr>ParAsw</vt:lpstr>
      <vt:lpstr>PriceSelector</vt:lpstr>
      <vt:lpstr>PriceTrigger</vt:lpstr>
      <vt:lpstr>ReferenceBond</vt:lpstr>
      <vt:lpstr>ReferenceBondAccruedAmount</vt:lpstr>
      <vt:lpstr>ReferenceBondDescription</vt:lpstr>
      <vt:lpstr>ReferenceBondISIN</vt:lpstr>
      <vt:lpstr>ReferenceBondPrice</vt:lpstr>
      <vt:lpstr>ReferenceBondPrincipaPremium</vt:lpstr>
      <vt:lpstr>Trigger</vt:lpstr>
      <vt:lpstr>YieldCompounding</vt:lpstr>
      <vt:lpstr>YieldCurveInterpolation</vt:lpstr>
      <vt:lpstr>YieldCurveTraits</vt:lpstr>
      <vt:lpstr>YieldDayCounter</vt:lpstr>
      <vt:lpstr>YieldFrequency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ZANZI MADDALENA</cp:lastModifiedBy>
  <dcterms:created xsi:type="dcterms:W3CDTF">2009-02-27T08:24:03Z</dcterms:created>
  <dcterms:modified xsi:type="dcterms:W3CDTF">2014-10-21T07:39:19Z</dcterms:modified>
</cp:coreProperties>
</file>