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30510" windowHeight="8550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Y" sheetId="47" r:id="rId11"/>
    <sheet name="Swaps1Y" sheetId="50" r:id="rId12"/>
  </sheets>
  <externalReferences>
    <externalReference r:id="rId13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7">'Delta 1M'!$S$3:$S$4</definedName>
    <definedName name="Conventions" localSheetId="10">'Delta 1Y'!$S$3:$S$4</definedName>
    <definedName name="Currency">'General Settings'!$D$4</definedName>
    <definedName name="DayCounter">'General Settings'!$D$9</definedName>
    <definedName name="Delta1M">'Delta 1M'!$W$26:$W$29</definedName>
    <definedName name="Delta1Y">'Delta 1Y'!$W$31:$W$36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J8" i="50"/>
  <c r="I8" i="50"/>
  <c r="H8" i="50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34" i="50"/>
  <c r="K36" i="50"/>
  <c r="K15" i="50"/>
  <c r="K6" i="50"/>
  <c r="K1" i="45"/>
  <c r="K10" i="50"/>
  <c r="K16" i="50"/>
  <c r="L6" i="50"/>
  <c r="K1" i="47"/>
  <c r="K29" i="50"/>
  <c r="K28" i="50"/>
  <c r="K26" i="50"/>
  <c r="K8" i="50"/>
  <c r="K33" i="50"/>
  <c r="K20" i="50"/>
  <c r="K35" i="50"/>
  <c r="K24" i="50"/>
  <c r="K12" i="50"/>
  <c r="K27" i="50"/>
  <c r="K17" i="50"/>
  <c r="K4" i="50"/>
  <c r="K21" i="50"/>
  <c r="L33" i="50"/>
  <c r="K22" i="50"/>
  <c r="K9" i="50"/>
  <c r="K19" i="50"/>
  <c r="L19" i="50" s="1"/>
  <c r="K13" i="50"/>
  <c r="L10" i="50"/>
  <c r="K14" i="50"/>
  <c r="K23" i="50"/>
  <c r="L9" i="50"/>
  <c r="K7" i="50"/>
  <c r="L7" i="50" s="1"/>
  <c r="L17" i="50"/>
  <c r="K5" i="50"/>
  <c r="K18" i="50"/>
  <c r="L8" i="50"/>
  <c r="K25" i="50"/>
  <c r="L25" i="50" s="1"/>
  <c r="L24" i="50"/>
  <c r="K11" i="50"/>
  <c r="L2" i="50"/>
  <c r="K30" i="50"/>
  <c r="K31" i="50"/>
  <c r="L31" i="50" s="1"/>
  <c r="K32" i="50"/>
  <c r="L5" i="50"/>
  <c r="J6" i="47" l="1"/>
  <c r="J8" i="47"/>
  <c r="J7" i="47"/>
  <c r="J5" i="47"/>
  <c r="J10" i="47"/>
  <c r="J9" i="47"/>
  <c r="C6" i="42"/>
  <c r="D6" i="42" s="1"/>
  <c r="C5" i="42"/>
  <c r="D5" i="42" s="1"/>
  <c r="C4" i="42"/>
  <c r="D4" i="42" s="1"/>
  <c r="L32" i="50"/>
  <c r="L21" i="50"/>
  <c r="L29" i="50"/>
  <c r="L30" i="50"/>
  <c r="L4" i="50"/>
  <c r="L16" i="50"/>
  <c r="L11" i="50"/>
  <c r="L27" i="50"/>
  <c r="L15" i="50"/>
  <c r="L18" i="50"/>
  <c r="L12" i="50"/>
  <c r="L36" i="50"/>
  <c r="L23" i="50"/>
  <c r="L35" i="50"/>
  <c r="L34" i="50"/>
  <c r="L14" i="50"/>
  <c r="L20" i="50"/>
  <c r="L13" i="50"/>
  <c r="L26" i="50"/>
  <c r="L22" i="50"/>
  <c r="L28" i="50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4" i="47"/>
  <c r="K4" i="47"/>
  <c r="L1" i="47"/>
  <c r="K9" i="47"/>
  <c r="O4" i="47"/>
  <c r="T9" i="47"/>
  <c r="L9" i="47"/>
  <c r="K5" i="47"/>
  <c r="T5" i="47" s="1"/>
  <c r="L4" i="47"/>
  <c r="S4" i="47"/>
  <c r="K8" i="47"/>
  <c r="S8" i="47"/>
  <c r="O8" i="47"/>
  <c r="J5" i="45" l="1"/>
  <c r="J6" i="45"/>
  <c r="J7" i="45"/>
  <c r="J8" i="45"/>
  <c r="J9" i="45"/>
  <c r="J4" i="45"/>
  <c r="K7" i="47"/>
  <c r="T4" i="47"/>
  <c r="K6" i="47"/>
  <c r="T8" i="47"/>
  <c r="K8" i="45"/>
  <c r="S5" i="47"/>
  <c r="L6" i="47"/>
  <c r="S9" i="47"/>
  <c r="K4" i="45"/>
  <c r="O4" i="45" s="1"/>
  <c r="K7" i="45"/>
  <c r="L7" i="45" s="1"/>
  <c r="K6" i="45"/>
  <c r="T6" i="47"/>
  <c r="L8" i="47"/>
  <c r="S7" i="47"/>
  <c r="L7" i="47"/>
  <c r="S6" i="45"/>
  <c r="L1" i="45"/>
  <c r="S4" i="45"/>
  <c r="L5" i="47"/>
  <c r="O6" i="47"/>
  <c r="T7" i="45"/>
  <c r="T6" i="45"/>
  <c r="K10" i="47"/>
  <c r="K5" i="45"/>
  <c r="O8" i="45"/>
  <c r="S10" i="47"/>
  <c r="S7" i="45"/>
  <c r="L6" i="45"/>
  <c r="O5" i="47"/>
  <c r="O7" i="47"/>
  <c r="T4" i="45"/>
  <c r="K9" i="45"/>
  <c r="T9" i="45" s="1"/>
  <c r="L8" i="45"/>
  <c r="O7" i="45"/>
  <c r="O9" i="47"/>
  <c r="T7" i="47"/>
  <c r="L10" i="47"/>
  <c r="L9" i="45"/>
  <c r="L4" i="45"/>
  <c r="O9" i="45"/>
  <c r="T10" i="47"/>
  <c r="L5" i="45"/>
  <c r="O5" i="45"/>
  <c r="T5" i="45"/>
  <c r="S5" i="45"/>
  <c r="C6" i="39" l="1"/>
  <c r="C7" i="39"/>
  <c r="C5" i="39"/>
  <c r="O10" i="47"/>
  <c r="T8" i="45"/>
  <c r="O6" i="45"/>
  <c r="S9" i="45"/>
  <c r="S6" i="47"/>
  <c r="S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7" i="29"/>
  <c r="C14" i="40" l="1"/>
  <c r="D14" i="40" s="1"/>
  <c r="A15" i="40"/>
  <c r="C2" i="33"/>
  <c r="A9" i="33"/>
  <c r="C7" i="42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62" i="33"/>
  <c r="D41" i="33"/>
  <c r="D79" i="33"/>
  <c r="D71" i="33"/>
  <c r="D56" i="33"/>
  <c r="D78" i="33"/>
  <c r="D42" i="33"/>
  <c r="D57" i="33"/>
  <c r="D46" i="33"/>
  <c r="D76" i="33"/>
  <c r="D47" i="33"/>
  <c r="D75" i="33"/>
  <c r="D84" i="33"/>
  <c r="D67" i="33"/>
  <c r="D83" i="33"/>
  <c r="D72" i="33"/>
  <c r="D50" i="33"/>
  <c r="D69" i="33"/>
  <c r="D43" i="33"/>
  <c r="D63" i="33"/>
  <c r="D45" i="33"/>
  <c r="D44" i="33"/>
  <c r="D59" i="33"/>
  <c r="D81" i="33"/>
  <c r="D51" i="33"/>
  <c r="D66" i="33"/>
  <c r="D64" i="33"/>
  <c r="D74" i="33"/>
  <c r="D73" i="33"/>
  <c r="D49" i="33"/>
  <c r="D52" i="33"/>
  <c r="D48" i="33"/>
  <c r="D58" i="33"/>
  <c r="D70" i="33"/>
  <c r="D77" i="33"/>
  <c r="D60" i="33"/>
  <c r="D80" i="33"/>
  <c r="D82" i="33"/>
  <c r="D55" i="33"/>
  <c r="D53" i="33"/>
  <c r="D68" i="33"/>
  <c r="D54" i="33"/>
  <c r="D65" i="33"/>
  <c r="D6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B1" i="29"/>
  <c r="D12" i="33"/>
  <c r="D38" i="33"/>
  <c r="D13" i="33"/>
  <c r="D27" i="35"/>
  <c r="D3" i="33"/>
  <c r="D36" i="33"/>
  <c r="E24" i="49"/>
  <c r="D32" i="33"/>
  <c r="D30" i="33"/>
  <c r="D6" i="35"/>
  <c r="D41" i="35"/>
  <c r="D8" i="35"/>
  <c r="E28" i="49"/>
  <c r="D30" i="35"/>
  <c r="E17" i="48"/>
  <c r="D24" i="35"/>
  <c r="D6" i="33"/>
  <c r="D18" i="29"/>
  <c r="D21" i="33"/>
  <c r="E29" i="49"/>
  <c r="P33" i="47"/>
  <c r="E27" i="49"/>
  <c r="E16" i="48"/>
  <c r="D45" i="35"/>
  <c r="D48" i="35"/>
  <c r="P34" i="47"/>
  <c r="D9" i="35"/>
  <c r="E24" i="39"/>
  <c r="D5" i="43"/>
  <c r="E17" i="43"/>
  <c r="D43" i="35"/>
  <c r="D7" i="48"/>
  <c r="E23" i="39"/>
  <c r="P32" i="47"/>
  <c r="D17" i="33"/>
  <c r="D4" i="33"/>
  <c r="D34" i="33"/>
  <c r="D27" i="33"/>
  <c r="E22" i="39"/>
  <c r="E21" i="49"/>
  <c r="E20" i="39"/>
  <c r="D31" i="33"/>
  <c r="D42" i="35"/>
  <c r="E26" i="49"/>
  <c r="D15" i="35"/>
  <c r="E21" i="43"/>
  <c r="D34" i="35"/>
  <c r="E20" i="49"/>
  <c r="D17" i="35"/>
  <c r="D18" i="33"/>
  <c r="D40" i="33"/>
  <c r="D15" i="33"/>
  <c r="D14" i="35"/>
  <c r="D5" i="49"/>
  <c r="E17" i="49"/>
  <c r="D28" i="35"/>
  <c r="D10" i="35"/>
  <c r="D6" i="49"/>
  <c r="E17" i="39"/>
  <c r="D44" i="35"/>
  <c r="D28" i="33"/>
  <c r="D37" i="33"/>
  <c r="D21" i="35"/>
  <c r="D24" i="33"/>
  <c r="D19" i="35"/>
  <c r="D35" i="35"/>
  <c r="D25" i="35"/>
  <c r="E19" i="49"/>
  <c r="D5" i="35"/>
  <c r="D25" i="33"/>
  <c r="D33" i="33"/>
  <c r="D49" i="35"/>
  <c r="D7" i="39"/>
  <c r="D40" i="35"/>
  <c r="E18" i="49"/>
  <c r="D39" i="35"/>
  <c r="E21" i="39"/>
  <c r="D9" i="33"/>
  <c r="D26" i="33"/>
  <c r="D6" i="43"/>
  <c r="K6" i="43" s="1"/>
  <c r="E16" i="39"/>
  <c r="P36" i="47"/>
  <c r="E19" i="48"/>
  <c r="E18" i="48"/>
  <c r="E20" i="43"/>
  <c r="E19" i="39"/>
  <c r="D11" i="33"/>
  <c r="D29" i="33"/>
  <c r="P31" i="47"/>
  <c r="D4" i="35"/>
  <c r="D36" i="35"/>
  <c r="D5" i="48"/>
  <c r="D18" i="35"/>
  <c r="E30" i="49"/>
  <c r="D39" i="33"/>
  <c r="D38" i="35"/>
  <c r="D32" i="35"/>
  <c r="D22" i="35"/>
  <c r="D8" i="33"/>
  <c r="E18" i="43"/>
  <c r="D16" i="33"/>
  <c r="D46" i="35"/>
  <c r="D5" i="39"/>
  <c r="D50" i="35"/>
  <c r="D7" i="43"/>
  <c r="K7" i="43" s="1"/>
  <c r="E16" i="49"/>
  <c r="D10" i="33"/>
  <c r="D14" i="33"/>
  <c r="D33" i="35"/>
  <c r="D7" i="35"/>
  <c r="E19" i="43"/>
  <c r="E15" i="49"/>
  <c r="E22" i="49"/>
  <c r="E25" i="49"/>
  <c r="P35" i="47"/>
  <c r="D7" i="49"/>
  <c r="D35" i="33"/>
  <c r="D19" i="33"/>
  <c r="D47" i="35"/>
  <c r="D16" i="35"/>
  <c r="D11" i="35"/>
  <c r="D20" i="35"/>
  <c r="E15" i="39"/>
  <c r="E16" i="43"/>
  <c r="D3" i="35"/>
  <c r="D22" i="33"/>
  <c r="D5" i="33"/>
  <c r="D7" i="33"/>
  <c r="D29" i="35"/>
  <c r="E23" i="49"/>
  <c r="E15" i="43"/>
  <c r="E18" i="39"/>
  <c r="D6" i="39"/>
  <c r="D37" i="35"/>
  <c r="D23" i="33"/>
  <c r="D20" i="33"/>
  <c r="E15" i="48"/>
  <c r="D23" i="35"/>
  <c r="D6" i="48"/>
  <c r="D31" i="35"/>
  <c r="D13" i="35"/>
  <c r="D2" i="35"/>
  <c r="D26" i="35"/>
  <c r="D12" i="35"/>
  <c r="C19" i="40" l="1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5" i="43"/>
  <c r="E5" i="48"/>
  <c r="G5" i="48"/>
  <c r="E6" i="48"/>
  <c r="G6" i="48"/>
  <c r="G7" i="48"/>
  <c r="G7" i="49"/>
  <c r="G5" i="49"/>
  <c r="E5" i="43"/>
  <c r="G6" i="49"/>
  <c r="L5" i="43"/>
  <c r="K4" i="43"/>
  <c r="M5" i="43" l="1"/>
  <c r="C20" i="40"/>
  <c r="D20" i="40" s="1"/>
  <c r="A21" i="40"/>
  <c r="H5" i="43"/>
  <c r="C21" i="40" l="1"/>
  <c r="D21" i="40" s="1"/>
  <c r="D2" i="33"/>
  <c r="D7" i="42" l="1"/>
  <c r="F20" i="49"/>
  <c r="AG3" i="43"/>
  <c r="J20" i="43"/>
  <c r="F22" i="49"/>
  <c r="J16" i="39"/>
  <c r="AF4" i="43"/>
  <c r="J19" i="39"/>
  <c r="J15" i="43"/>
  <c r="F19" i="48"/>
  <c r="E6" i="43"/>
  <c r="L6" i="43" s="1"/>
  <c r="K5" i="39"/>
  <c r="E6" i="39"/>
  <c r="F24" i="49"/>
  <c r="E4" i="49"/>
  <c r="K3" i="45"/>
  <c r="O3" i="45"/>
  <c r="F16" i="48"/>
  <c r="F30" i="49"/>
  <c r="AB4" i="48"/>
  <c r="J21" i="43"/>
  <c r="F28" i="49"/>
  <c r="E5" i="49"/>
  <c r="K3" i="47"/>
  <c r="T3" i="47" s="1"/>
  <c r="J24" i="39"/>
  <c r="J21" i="39"/>
  <c r="O3" i="47"/>
  <c r="J17" i="39"/>
  <c r="J22" i="39"/>
  <c r="E6" i="49"/>
  <c r="AF4" i="39"/>
  <c r="F26" i="49"/>
  <c r="F15" i="49"/>
  <c r="E7" i="43"/>
  <c r="L7" i="43" s="1"/>
  <c r="J15" i="39"/>
  <c r="K6" i="39"/>
  <c r="S3" i="47"/>
  <c r="J19" i="43"/>
  <c r="E4" i="48"/>
  <c r="J23" i="39"/>
  <c r="J18" i="39"/>
  <c r="F15" i="48"/>
  <c r="H5" i="48"/>
  <c r="K4" i="39"/>
  <c r="G4" i="48"/>
  <c r="G4" i="49"/>
  <c r="L13" i="45" a="1"/>
  <c r="F17" i="49"/>
  <c r="F16" i="49"/>
  <c r="F21" i="49"/>
  <c r="E5" i="39"/>
  <c r="J17" i="43"/>
  <c r="F19" i="49"/>
  <c r="F18" i="49"/>
  <c r="F17" i="48"/>
  <c r="F23" i="49"/>
  <c r="L3" i="45"/>
  <c r="E7" i="49"/>
  <c r="AG3" i="39"/>
  <c r="AC3" i="48"/>
  <c r="E7" i="39"/>
  <c r="H6" i="48"/>
  <c r="E4" i="39"/>
  <c r="E7" i="48"/>
  <c r="AC3" i="49"/>
  <c r="J18" i="43"/>
  <c r="S3" i="45"/>
  <c r="F25" i="49"/>
  <c r="J20" i="39"/>
  <c r="J16" i="43"/>
  <c r="AB4" i="49"/>
  <c r="E4" i="43"/>
  <c r="L4" i="43" s="1"/>
  <c r="F18" i="48"/>
  <c r="K7" i="39"/>
  <c r="F29" i="49"/>
  <c r="F27" i="49"/>
  <c r="T3" i="45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4" i="39"/>
  <c r="AB5" i="49"/>
  <c r="AC4" i="49"/>
  <c r="L5" i="39"/>
  <c r="H7" i="39"/>
  <c r="AB5" i="48"/>
  <c r="H7" i="43"/>
  <c r="H6" i="49"/>
  <c r="H7" i="48"/>
  <c r="AB6" i="48"/>
  <c r="AG4" i="43"/>
  <c r="H4" i="43"/>
  <c r="L4" i="39"/>
  <c r="AC4" i="48"/>
  <c r="L6" i="39"/>
  <c r="H5" i="39"/>
  <c r="L3" i="47"/>
  <c r="AG4" i="39"/>
  <c r="L7" i="39"/>
  <c r="H5" i="49"/>
  <c r="H6" i="39"/>
  <c r="H7" i="49"/>
  <c r="H4" i="48"/>
  <c r="H4" i="49"/>
  <c r="H6" i="43"/>
  <c r="K4" i="48" l="1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C5" i="48"/>
  <c r="E7" i="33"/>
  <c r="E32" i="33"/>
  <c r="E20" i="33"/>
  <c r="E5" i="33"/>
  <c r="AF5" i="43"/>
  <c r="E28" i="33"/>
  <c r="R14" i="47" a="1"/>
  <c r="E30" i="33"/>
  <c r="I34" i="29"/>
  <c r="E15" i="33"/>
  <c r="O13" i="45" a="1"/>
  <c r="AB6" i="49"/>
  <c r="H38" i="29"/>
  <c r="E34" i="33"/>
  <c r="E35" i="33"/>
  <c r="R13" i="45" a="1"/>
  <c r="E24" i="33"/>
  <c r="E33" i="33"/>
  <c r="AF5" i="39"/>
  <c r="E18" i="33"/>
  <c r="O14" i="47" a="1"/>
  <c r="D19" i="29"/>
  <c r="S13" i="45" a="1"/>
  <c r="E6" i="33"/>
  <c r="AC5" i="49"/>
  <c r="E37" i="33"/>
  <c r="S14" i="47" a="1"/>
  <c r="AB7" i="49"/>
  <c r="E36" i="33"/>
  <c r="E27" i="33"/>
  <c r="AB7" i="48"/>
  <c r="E38" i="33"/>
  <c r="E31" i="33"/>
  <c r="AC6" i="48"/>
  <c r="L14" i="47" a="1"/>
  <c r="E40" i="33"/>
  <c r="E25" i="33"/>
  <c r="E23" i="33"/>
  <c r="E19" i="33"/>
  <c r="E17" i="33"/>
  <c r="E29" i="33"/>
  <c r="AC7" i="48"/>
  <c r="E26" i="33"/>
  <c r="E39" i="33"/>
  <c r="H37" i="29"/>
  <c r="E22" i="33"/>
  <c r="D20" i="29"/>
  <c r="E3" i="33"/>
  <c r="E21" i="33"/>
  <c r="E4" i="33"/>
  <c r="E16" i="33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I28" i="29"/>
  <c r="AG5" i="43"/>
  <c r="AF6" i="43"/>
  <c r="AF6" i="39"/>
  <c r="AC7" i="49"/>
  <c r="AG5" i="39"/>
  <c r="AC6" i="49"/>
  <c r="I37" i="29"/>
  <c r="I38" i="29"/>
  <c r="AB8" i="49"/>
  <c r="AB8" i="48"/>
  <c r="Q26" i="45"/>
  <c r="AB9" i="49"/>
  <c r="AC8" i="49"/>
  <c r="AC9" i="49"/>
  <c r="AB10" i="49"/>
  <c r="AB11" i="49"/>
  <c r="AC10" i="49"/>
  <c r="AB12" i="49"/>
  <c r="AC11" i="49"/>
  <c r="AC12" i="49"/>
  <c r="AB13" i="49"/>
  <c r="AC13" i="49"/>
  <c r="AB14" i="49"/>
  <c r="AC14" i="49"/>
  <c r="AB15" i="49"/>
  <c r="AB16" i="49"/>
  <c r="AC15" i="49"/>
  <c r="AC16" i="49"/>
  <c r="AB17" i="49"/>
  <c r="AB18" i="49"/>
  <c r="AC17" i="49"/>
  <c r="AB19" i="49"/>
  <c r="AC18" i="49"/>
  <c r="AC19" i="49"/>
  <c r="AB20" i="49"/>
  <c r="AC20" i="49"/>
  <c r="AB21" i="49"/>
  <c r="AB22" i="49"/>
  <c r="AC21" i="49"/>
  <c r="AB23" i="49"/>
  <c r="AC22" i="49"/>
  <c r="AC23" i="49"/>
  <c r="AB24" i="49"/>
  <c r="AC24" i="49"/>
  <c r="AB25" i="49"/>
  <c r="AB26" i="49"/>
  <c r="AC25" i="49"/>
  <c r="AC26" i="49"/>
  <c r="AB27" i="49"/>
  <c r="AB28" i="49"/>
  <c r="AC27" i="49"/>
  <c r="AC28" i="49"/>
  <c r="AB29" i="49"/>
  <c r="AB30" i="49"/>
  <c r="AC29" i="49"/>
  <c r="AB31" i="49"/>
  <c r="AC30" i="49"/>
  <c r="AB32" i="49"/>
  <c r="AC31" i="49"/>
  <c r="AB33" i="49"/>
  <c r="AC32" i="49"/>
  <c r="AC33" i="49"/>
  <c r="AB34" i="49"/>
  <c r="AB35" i="49"/>
  <c r="AC34" i="49"/>
  <c r="AC35" i="49"/>
  <c r="AB36" i="49"/>
  <c r="AB37" i="49"/>
  <c r="AC36" i="49"/>
  <c r="AB38" i="49"/>
  <c r="AC37" i="49"/>
  <c r="AB39" i="49"/>
  <c r="AC38" i="49"/>
  <c r="AB40" i="49"/>
  <c r="AC39" i="49"/>
  <c r="AC40" i="49"/>
  <c r="AB41" i="49"/>
  <c r="AB42" i="49"/>
  <c r="AC41" i="49"/>
  <c r="AC42" i="49"/>
  <c r="AB43" i="49"/>
  <c r="AB44" i="49"/>
  <c r="AC43" i="49"/>
  <c r="AC44" i="49"/>
  <c r="AB45" i="49"/>
  <c r="AC45" i="49"/>
  <c r="AB46" i="49"/>
  <c r="AC46" i="49"/>
  <c r="AB47" i="49"/>
  <c r="AB48" i="49"/>
  <c r="AC47" i="49"/>
  <c r="AB49" i="49"/>
  <c r="AC48" i="49"/>
  <c r="AC49" i="49"/>
  <c r="AB50" i="49"/>
  <c r="AC50" i="49"/>
  <c r="AB51" i="49"/>
  <c r="AB52" i="49"/>
  <c r="AC51" i="49"/>
  <c r="AC52" i="49"/>
  <c r="AB53" i="49"/>
  <c r="AC53" i="49"/>
  <c r="AB54" i="49"/>
  <c r="AB55" i="49"/>
  <c r="AC54" i="49"/>
  <c r="AC55" i="49"/>
  <c r="AB56" i="49"/>
  <c r="AC56" i="49"/>
  <c r="AB57" i="49"/>
  <c r="AC57" i="49"/>
  <c r="AB58" i="49"/>
  <c r="AB59" i="49"/>
  <c r="AC58" i="49"/>
  <c r="AB60" i="49"/>
  <c r="AC59" i="49"/>
  <c r="AC60" i="49"/>
  <c r="AB61" i="49"/>
  <c r="AB62" i="49"/>
  <c r="AC61" i="49"/>
  <c r="AC62" i="49"/>
  <c r="AB63" i="49"/>
  <c r="AC63" i="49"/>
  <c r="AB64" i="49"/>
  <c r="AC64" i="49"/>
  <c r="AB65" i="49"/>
  <c r="AB66" i="49"/>
  <c r="AC65" i="49"/>
  <c r="AB67" i="49"/>
  <c r="AC66" i="49"/>
  <c r="AC67" i="49"/>
  <c r="AB68" i="49"/>
  <c r="AB69" i="49"/>
  <c r="AC68" i="49"/>
  <c r="AC69" i="49"/>
  <c r="AB70" i="49"/>
  <c r="AC70" i="49"/>
  <c r="AB71" i="49"/>
  <c r="AC71" i="49"/>
  <c r="AB72" i="49"/>
  <c r="AC72" i="49"/>
  <c r="AB73" i="49"/>
  <c r="AC73" i="49"/>
  <c r="AB74" i="49"/>
  <c r="AC74" i="49"/>
  <c r="AB75" i="49"/>
  <c r="AB76" i="49"/>
  <c r="AC75" i="49"/>
  <c r="AC76" i="49"/>
  <c r="AB77" i="49"/>
  <c r="AB78" i="49"/>
  <c r="AC77" i="49"/>
  <c r="AC78" i="49"/>
  <c r="AB79" i="49"/>
  <c r="AB80" i="49"/>
  <c r="AC79" i="49"/>
  <c r="AB81" i="49"/>
  <c r="AC80" i="49"/>
  <c r="AB82" i="49"/>
  <c r="AC81" i="49"/>
  <c r="AC82" i="49"/>
  <c r="AB83" i="49"/>
  <c r="AB84" i="49"/>
  <c r="AC83" i="49"/>
  <c r="AC84" i="49"/>
  <c r="AB85" i="49"/>
  <c r="AC85" i="49"/>
  <c r="AB86" i="49"/>
  <c r="AC86" i="49"/>
  <c r="AB87" i="49"/>
  <c r="AB88" i="49"/>
  <c r="AC87" i="49"/>
  <c r="AC88" i="49"/>
  <c r="AB89" i="49"/>
  <c r="AB90" i="49"/>
  <c r="AC89" i="49"/>
  <c r="AB91" i="49"/>
  <c r="AC90" i="49"/>
  <c r="AB92" i="49"/>
  <c r="AC91" i="49"/>
  <c r="AB93" i="49"/>
  <c r="AC92" i="49"/>
  <c r="AB94" i="49"/>
  <c r="AC93" i="49"/>
  <c r="AB95" i="49"/>
  <c r="AC94" i="49"/>
  <c r="AC95" i="49"/>
  <c r="AB96" i="49"/>
  <c r="AB97" i="49"/>
  <c r="AC96" i="49"/>
  <c r="AB98" i="49"/>
  <c r="AC97" i="49"/>
  <c r="AB99" i="49"/>
  <c r="AC98" i="49"/>
  <c r="AC99" i="49"/>
  <c r="AB100" i="49"/>
  <c r="AB101" i="49"/>
  <c r="AC100" i="49"/>
  <c r="AB102" i="49"/>
  <c r="AC101" i="49"/>
  <c r="AB103" i="49"/>
  <c r="AC102" i="49"/>
  <c r="AC103" i="49"/>
  <c r="AB104" i="49"/>
  <c r="AB105" i="49"/>
  <c r="AC104" i="49"/>
  <c r="AB106" i="49"/>
  <c r="AC105" i="49"/>
  <c r="AC106" i="49"/>
  <c r="AB107" i="49"/>
  <c r="AB108" i="49"/>
  <c r="AC107" i="49"/>
  <c r="AC108" i="49"/>
  <c r="AB109" i="49"/>
  <c r="AC109" i="49"/>
  <c r="AB110" i="49"/>
  <c r="AC110" i="49"/>
  <c r="AB111" i="49"/>
  <c r="AC111" i="49"/>
  <c r="AB112" i="49"/>
  <c r="AB113" i="49"/>
  <c r="AC112" i="49"/>
  <c r="AC113" i="49"/>
  <c r="AB114" i="49"/>
  <c r="AB115" i="49"/>
  <c r="AC114" i="49"/>
  <c r="AB116" i="49"/>
  <c r="AC115" i="49"/>
  <c r="AB117" i="49"/>
  <c r="AC116" i="49"/>
  <c r="AB118" i="49"/>
  <c r="AC117" i="49"/>
  <c r="AB119" i="49"/>
  <c r="AC118" i="49"/>
  <c r="AC119" i="49"/>
  <c r="AB120" i="49"/>
  <c r="AC120" i="49"/>
  <c r="AB121" i="49"/>
  <c r="AB122" i="49"/>
  <c r="AC121" i="49"/>
  <c r="AB123" i="49"/>
  <c r="AC122" i="49"/>
  <c r="AB124" i="49"/>
  <c r="AC123" i="49"/>
  <c r="AB125" i="49"/>
  <c r="AC124" i="49"/>
  <c r="AC125" i="49"/>
  <c r="AB126" i="49"/>
  <c r="AB127" i="49"/>
  <c r="AC126" i="49"/>
  <c r="AB128" i="49"/>
  <c r="AC127" i="49"/>
  <c r="AB129" i="49"/>
  <c r="AC128" i="49"/>
  <c r="AC129" i="49"/>
  <c r="AB130" i="49"/>
  <c r="AC130" i="49"/>
  <c r="AB131" i="49"/>
  <c r="AC131" i="49"/>
  <c r="AB132" i="49"/>
  <c r="AB133" i="49"/>
  <c r="AC132" i="49"/>
  <c r="AB134" i="49"/>
  <c r="AC133" i="49"/>
  <c r="AC134" i="49"/>
  <c r="AB135" i="49"/>
  <c r="AC135" i="49"/>
  <c r="AB136" i="49"/>
  <c r="AC136" i="49"/>
  <c r="AB137" i="49"/>
  <c r="AB138" i="49"/>
  <c r="AC137" i="49"/>
  <c r="AC138" i="49"/>
  <c r="AB139" i="49"/>
  <c r="AB140" i="49"/>
  <c r="AC139" i="49"/>
  <c r="AB141" i="49"/>
  <c r="AC140" i="49"/>
  <c r="AC141" i="49"/>
  <c r="AB142" i="49"/>
  <c r="AC142" i="49"/>
  <c r="AB143" i="49"/>
  <c r="AB144" i="49"/>
  <c r="AC143" i="49"/>
  <c r="AB145" i="49"/>
  <c r="AC144" i="49"/>
  <c r="AB146" i="49"/>
  <c r="AC145" i="49"/>
  <c r="AC146" i="49"/>
  <c r="AB147" i="49"/>
  <c r="AC147" i="49"/>
  <c r="AB148" i="49"/>
  <c r="AB149" i="49"/>
  <c r="AC148" i="49"/>
  <c r="AB150" i="49"/>
  <c r="AC149" i="49"/>
  <c r="AB151" i="49"/>
  <c r="AC150" i="49"/>
  <c r="AC151" i="49"/>
  <c r="AB152" i="49"/>
  <c r="AC152" i="49"/>
  <c r="AB153" i="49"/>
  <c r="AC153" i="49"/>
  <c r="AB154" i="49"/>
  <c r="AB155" i="49"/>
  <c r="AC154" i="49"/>
  <c r="AB156" i="49"/>
  <c r="AC155" i="49"/>
  <c r="AC156" i="49"/>
  <c r="AB157" i="49"/>
  <c r="AB158" i="49"/>
  <c r="AC157" i="49"/>
  <c r="AC158" i="49"/>
  <c r="AB159" i="49"/>
  <c r="AC159" i="49"/>
  <c r="AB160" i="49"/>
  <c r="AC160" i="49"/>
  <c r="AB161" i="49"/>
  <c r="AC161" i="49"/>
  <c r="AB162" i="49"/>
  <c r="AB163" i="49"/>
  <c r="AC162" i="49"/>
  <c r="AB164" i="49"/>
  <c r="AC163" i="49"/>
  <c r="AB165" i="49"/>
  <c r="AC164" i="49"/>
  <c r="AB166" i="49"/>
  <c r="AC165" i="49"/>
  <c r="AC166" i="49"/>
  <c r="AB167" i="49"/>
  <c r="AC167" i="49"/>
  <c r="AB168" i="49"/>
  <c r="AB169" i="49"/>
  <c r="AC168" i="49"/>
  <c r="AB170" i="49"/>
  <c r="AC169" i="49"/>
  <c r="AC170" i="49"/>
  <c r="AB171" i="49"/>
  <c r="AB172" i="49"/>
  <c r="AC171" i="49"/>
  <c r="AC172" i="49"/>
  <c r="AB173" i="49"/>
  <c r="AC173" i="49"/>
  <c r="AB174" i="49"/>
  <c r="AB175" i="49"/>
  <c r="AC174" i="49"/>
  <c r="AC175" i="49"/>
  <c r="AB176" i="49"/>
  <c r="AC176" i="49"/>
  <c r="AB177" i="49"/>
  <c r="AC177" i="49"/>
  <c r="AB178" i="49"/>
  <c r="AC178" i="49"/>
  <c r="AB179" i="49"/>
  <c r="AB180" i="49"/>
  <c r="AC179" i="49"/>
  <c r="AB181" i="49"/>
  <c r="AC180" i="49"/>
  <c r="AB182" i="49"/>
  <c r="AC181" i="49"/>
  <c r="AC182" i="49"/>
  <c r="AB183" i="49"/>
  <c r="AC183" i="49"/>
  <c r="AB184" i="49"/>
  <c r="AC184" i="49"/>
  <c r="AB185" i="49"/>
  <c r="AB186" i="49"/>
  <c r="AC185" i="49"/>
  <c r="AB187" i="49"/>
  <c r="AC186" i="49"/>
  <c r="AC187" i="49"/>
  <c r="AB188" i="49"/>
  <c r="AC188" i="49"/>
  <c r="AB189" i="49"/>
  <c r="AB190" i="49" s="1"/>
  <c r="AB191" i="49"/>
  <c r="P27" i="45" l="1"/>
  <c r="AC191" i="49"/>
  <c r="AB192" i="49"/>
  <c r="AC190" i="49"/>
  <c r="D34" i="29"/>
  <c r="D35" i="29"/>
  <c r="Q27" i="45"/>
  <c r="AC8" i="48"/>
  <c r="D33" i="29"/>
  <c r="AG6" i="39"/>
  <c r="AC189" i="49"/>
  <c r="R26" i="45"/>
  <c r="AC192" i="49"/>
  <c r="I35" i="29"/>
  <c r="AF7" i="43"/>
  <c r="AB9" i="48"/>
  <c r="C38" i="29"/>
  <c r="AF7" i="39"/>
  <c r="AG6" i="43"/>
  <c r="C37" i="29"/>
  <c r="AG7" i="43"/>
  <c r="AF8" i="43"/>
  <c r="AC9" i="48"/>
  <c r="AB10" i="48"/>
  <c r="AC10" i="48"/>
  <c r="AB11" i="48"/>
  <c r="AC11" i="48"/>
  <c r="AB12" i="48"/>
  <c r="AC12" i="48"/>
  <c r="AB13" i="48"/>
  <c r="AC13" i="48"/>
  <c r="AB14" i="48"/>
  <c r="AC14" i="48"/>
  <c r="AB15" i="48"/>
  <c r="AC15" i="48"/>
  <c r="AB16" i="48"/>
  <c r="AB17" i="48"/>
  <c r="AC16" i="48"/>
  <c r="AC17" i="48"/>
  <c r="AB18" i="48"/>
  <c r="AC18" i="48"/>
  <c r="AB19" i="48"/>
  <c r="AC19" i="48"/>
  <c r="AB20" i="48"/>
  <c r="AC20" i="48"/>
  <c r="AB21" i="48"/>
  <c r="AB22" i="48"/>
  <c r="AC21" i="48"/>
  <c r="AC22" i="48"/>
  <c r="AB23" i="48"/>
  <c r="AB24" i="48"/>
  <c r="AC23" i="48"/>
  <c r="AB25" i="48"/>
  <c r="AC24" i="48"/>
  <c r="AB26" i="48"/>
  <c r="AC26" i="48" s="1"/>
  <c r="AC25" i="48"/>
  <c r="P28" i="45" l="1"/>
  <c r="AF9" i="43"/>
  <c r="AF10" i="43"/>
  <c r="D28" i="29"/>
  <c r="AF11" i="43"/>
  <c r="E43" i="35"/>
  <c r="B32" i="35"/>
  <c r="E16" i="35"/>
  <c r="B13" i="35"/>
  <c r="B24" i="35"/>
  <c r="B34" i="35"/>
  <c r="B8" i="35"/>
  <c r="E36" i="35"/>
  <c r="E39" i="35"/>
  <c r="B40" i="35"/>
  <c r="B5" i="35"/>
  <c r="E21" i="35"/>
  <c r="B31" i="35"/>
  <c r="AB193" i="49"/>
  <c r="AF12" i="43"/>
  <c r="B29" i="35"/>
  <c r="B48" i="35"/>
  <c r="B15" i="35"/>
  <c r="B12" i="35"/>
  <c r="B10" i="35"/>
  <c r="E27" i="35"/>
  <c r="B30" i="35"/>
  <c r="Q34" i="47"/>
  <c r="E38" i="35"/>
  <c r="B19" i="35"/>
  <c r="E26" i="35"/>
  <c r="B33" i="35"/>
  <c r="B45" i="35"/>
  <c r="AF13" i="43"/>
  <c r="E41" i="35"/>
  <c r="E19" i="35"/>
  <c r="E46" i="35"/>
  <c r="B42" i="35"/>
  <c r="B37" i="35"/>
  <c r="E4" i="35"/>
  <c r="E8" i="35"/>
  <c r="B3" i="35"/>
  <c r="E48" i="35"/>
  <c r="E47" i="35"/>
  <c r="Q32" i="47"/>
  <c r="E12" i="35"/>
  <c r="D37" i="29"/>
  <c r="B28" i="35"/>
  <c r="E31" i="35"/>
  <c r="E28" i="35"/>
  <c r="B21" i="35"/>
  <c r="B18" i="35"/>
  <c r="B36" i="35"/>
  <c r="E23" i="35"/>
  <c r="B16" i="35"/>
  <c r="AG7" i="39"/>
  <c r="B49" i="35"/>
  <c r="B2" i="35"/>
  <c r="E9" i="35"/>
  <c r="E24" i="35"/>
  <c r="B23" i="35"/>
  <c r="B14" i="35"/>
  <c r="B27" i="35"/>
  <c r="AG11" i="43"/>
  <c r="E5" i="35"/>
  <c r="E11" i="35"/>
  <c r="B11" i="35"/>
  <c r="E15" i="35"/>
  <c r="E49" i="35"/>
  <c r="B38" i="35"/>
  <c r="Q36" i="47"/>
  <c r="AG8" i="43"/>
  <c r="B17" i="35"/>
  <c r="B50" i="35"/>
  <c r="E14" i="35"/>
  <c r="B46" i="35"/>
  <c r="Q31" i="47"/>
  <c r="E10" i="35"/>
  <c r="E2" i="35"/>
  <c r="AF8" i="39"/>
  <c r="E18" i="35"/>
  <c r="E25" i="35"/>
  <c r="B47" i="35"/>
  <c r="B44" i="35"/>
  <c r="E44" i="35"/>
  <c r="D38" i="29"/>
  <c r="Q33" i="47"/>
  <c r="B26" i="35"/>
  <c r="B7" i="35"/>
  <c r="E42" i="35"/>
  <c r="B41" i="35"/>
  <c r="Q35" i="47"/>
  <c r="R27" i="45"/>
  <c r="E40" i="35"/>
  <c r="E29" i="35"/>
  <c r="B43" i="35"/>
  <c r="E35" i="35"/>
  <c r="E50" i="35"/>
  <c r="E37" i="35"/>
  <c r="Q28" i="45"/>
  <c r="E45" i="35"/>
  <c r="E32" i="35"/>
  <c r="B20" i="35"/>
  <c r="E3" i="35"/>
  <c r="E30" i="35"/>
  <c r="E17" i="35"/>
  <c r="B6" i="35"/>
  <c r="B9" i="35"/>
  <c r="E7" i="35"/>
  <c r="B22" i="35"/>
  <c r="E33" i="35"/>
  <c r="B35" i="35"/>
  <c r="E20" i="35"/>
  <c r="E13" i="35"/>
  <c r="E22" i="35"/>
  <c r="B39" i="35"/>
  <c r="B4" i="35"/>
  <c r="E34" i="35"/>
  <c r="E6" i="35"/>
  <c r="B25" i="35"/>
  <c r="AB194" i="49"/>
  <c r="AC193" i="49"/>
  <c r="AB195" i="49"/>
  <c r="AC194" i="49"/>
  <c r="AC195" i="49"/>
  <c r="AB196" i="49"/>
  <c r="AB197" i="49"/>
  <c r="AC196" i="49"/>
  <c r="AC197" i="49"/>
  <c r="AB198" i="49"/>
  <c r="AC198" i="49"/>
  <c r="AB199" i="49"/>
  <c r="AB200" i="49"/>
  <c r="AC199" i="49"/>
  <c r="AB201" i="49"/>
  <c r="AC200" i="49"/>
  <c r="AB202" i="49"/>
  <c r="AC201" i="49"/>
  <c r="AB203" i="49"/>
  <c r="AC202" i="49"/>
  <c r="AB204" i="49"/>
  <c r="AC203" i="49"/>
  <c r="AB205" i="49"/>
  <c r="AC204" i="49"/>
  <c r="AB206" i="49"/>
  <c r="AC205" i="49"/>
  <c r="AB207" i="49"/>
  <c r="AC206" i="49"/>
  <c r="AC207" i="49"/>
  <c r="AB208" i="49"/>
  <c r="AB209" i="49"/>
  <c r="AC208" i="49"/>
  <c r="AB210" i="49"/>
  <c r="AC209" i="49"/>
  <c r="AC210" i="49"/>
  <c r="AB211" i="49"/>
  <c r="AC211" i="49"/>
  <c r="AB212" i="49"/>
  <c r="AB213" i="49"/>
  <c r="AC212" i="49"/>
  <c r="AB214" i="49"/>
  <c r="AC213" i="49"/>
  <c r="AC214" i="49"/>
  <c r="AB215" i="49"/>
  <c r="AC215" i="49"/>
  <c r="AB216" i="49"/>
  <c r="AB217" i="49"/>
  <c r="AC216" i="49"/>
  <c r="AB218" i="49"/>
  <c r="AC217" i="49"/>
  <c r="AC218" i="49"/>
  <c r="AB219" i="49"/>
  <c r="AB220" i="49"/>
  <c r="AC219" i="49"/>
  <c r="AB221" i="49"/>
  <c r="AC220" i="49"/>
  <c r="AC221" i="49"/>
  <c r="AB222" i="49"/>
  <c r="AB223" i="49"/>
  <c r="AC222" i="49"/>
  <c r="AB224" i="49"/>
  <c r="AC223" i="49"/>
  <c r="AC224" i="49"/>
  <c r="AB225" i="49"/>
  <c r="AB226" i="49"/>
  <c r="AC225" i="49"/>
  <c r="AB227" i="49"/>
  <c r="AC226" i="49"/>
  <c r="AC227" i="49"/>
  <c r="AB228" i="49"/>
  <c r="AB229" i="49"/>
  <c r="AC228" i="49"/>
  <c r="AC229" i="49"/>
  <c r="AB230" i="49"/>
  <c r="AB231" i="49"/>
  <c r="AC230" i="49"/>
  <c r="AB232" i="49"/>
  <c r="AC231" i="49"/>
  <c r="AB233" i="49"/>
  <c r="AC232" i="49"/>
  <c r="AB234" i="49"/>
  <c r="AC233" i="49"/>
  <c r="AB235" i="49"/>
  <c r="AC234" i="49"/>
  <c r="AC235" i="49"/>
  <c r="AB236" i="49"/>
  <c r="AC236" i="49"/>
  <c r="AB237" i="49"/>
  <c r="AC237" i="49"/>
  <c r="AB238" i="49"/>
  <c r="AC238" i="49"/>
  <c r="AB239" i="49"/>
  <c r="AB240" i="49"/>
  <c r="AC239" i="49"/>
  <c r="AC240" i="49"/>
  <c r="AB241" i="49"/>
  <c r="AB242" i="49"/>
  <c r="AC241" i="49"/>
  <c r="AC242" i="49"/>
  <c r="AB243" i="49"/>
  <c r="AB244" i="49"/>
  <c r="AC243" i="49"/>
  <c r="AC244" i="49"/>
  <c r="AB245" i="49"/>
  <c r="AC245" i="49"/>
  <c r="AB246" i="49"/>
  <c r="AC246" i="49"/>
  <c r="AB247" i="49"/>
  <c r="AB248" i="49"/>
  <c r="AC247" i="49"/>
  <c r="AB249" i="49"/>
  <c r="AC248" i="49"/>
  <c r="AC249" i="49"/>
  <c r="AB250" i="49"/>
  <c r="AC250" i="49"/>
  <c r="AB251" i="49"/>
  <c r="AC251" i="49"/>
  <c r="AB252" i="49"/>
  <c r="AC252" i="49"/>
  <c r="AB253" i="49"/>
  <c r="AC253" i="49"/>
  <c r="AB254" i="49"/>
  <c r="AB255" i="49"/>
  <c r="AC254" i="49"/>
  <c r="AB256" i="49"/>
  <c r="AC255" i="49"/>
  <c r="AC256" i="49"/>
  <c r="AB257" i="49"/>
  <c r="AC257" i="49" s="1"/>
  <c r="P29" i="45" l="1"/>
  <c r="AG8" i="39"/>
  <c r="AF9" i="39"/>
  <c r="C37" i="35"/>
  <c r="AG13" i="43"/>
  <c r="C31" i="35"/>
  <c r="C40" i="35"/>
  <c r="C41" i="35"/>
  <c r="C14" i="35"/>
  <c r="C19" i="35"/>
  <c r="AG9" i="43"/>
  <c r="C33" i="35"/>
  <c r="Q29" i="45"/>
  <c r="C17" i="35"/>
  <c r="C45" i="35"/>
  <c r="C46" i="35"/>
  <c r="C44" i="35"/>
  <c r="C6" i="35"/>
  <c r="C2" i="35"/>
  <c r="R33" i="47"/>
  <c r="C4" i="35"/>
  <c r="C26" i="35"/>
  <c r="C3" i="35"/>
  <c r="C10" i="35"/>
  <c r="C7" i="35"/>
  <c r="C27" i="35"/>
  <c r="AF14" i="43"/>
  <c r="C12" i="35"/>
  <c r="C11" i="35"/>
  <c r="C24" i="35"/>
  <c r="AG14" i="43"/>
  <c r="C23" i="35"/>
  <c r="C39" i="35"/>
  <c r="C18" i="35"/>
  <c r="AF15" i="43"/>
  <c r="C42" i="35"/>
  <c r="C15" i="35"/>
  <c r="R31" i="47"/>
  <c r="C5" i="35"/>
  <c r="R28" i="45"/>
  <c r="C9" i="35"/>
  <c r="C25" i="35"/>
  <c r="C32" i="35"/>
  <c r="C22" i="35"/>
  <c r="AG15" i="43"/>
  <c r="AG12" i="43"/>
  <c r="C21" i="35"/>
  <c r="R35" i="47"/>
  <c r="C38" i="35"/>
  <c r="C8" i="35"/>
  <c r="R29" i="45"/>
  <c r="C30" i="35"/>
  <c r="C36" i="35"/>
  <c r="C13" i="35"/>
  <c r="AG9" i="39"/>
  <c r="C50" i="35"/>
  <c r="C34" i="35"/>
  <c r="AG10" i="43"/>
  <c r="R32" i="47"/>
  <c r="C43" i="35"/>
  <c r="C28" i="35"/>
  <c r="C20" i="35"/>
  <c r="AF16" i="43"/>
  <c r="C16" i="35"/>
  <c r="C47" i="35"/>
  <c r="C35" i="35"/>
  <c r="C48" i="35"/>
  <c r="AF10" i="39"/>
  <c r="C29" i="35"/>
  <c r="C49" i="35"/>
  <c r="R36" i="47"/>
  <c r="R34" i="47"/>
  <c r="AF11" i="39"/>
  <c r="AF17" i="43"/>
  <c r="AG16" i="43"/>
  <c r="AG11" i="39"/>
  <c r="AF12" i="39"/>
  <c r="AG17" i="43"/>
  <c r="AF18" i="43"/>
  <c r="AF13" i="39"/>
  <c r="AG12" i="39"/>
  <c r="AF19" i="43"/>
  <c r="AG18" i="43"/>
  <c r="AF14" i="39"/>
  <c r="AG13" i="39"/>
  <c r="AG19" i="43"/>
  <c r="AF20" i="43"/>
  <c r="AF15" i="39"/>
  <c r="AG14" i="39"/>
  <c r="AF21" i="43"/>
  <c r="AG20" i="43"/>
  <c r="AG15" i="39"/>
  <c r="AF16" i="39"/>
  <c r="AG21" i="43"/>
  <c r="AF22" i="43"/>
  <c r="AG16" i="39"/>
  <c r="AF17" i="39"/>
  <c r="AG22" i="43"/>
  <c r="AF23" i="43"/>
  <c r="AF18" i="39"/>
  <c r="AG17" i="39"/>
  <c r="AF24" i="43"/>
  <c r="AG23" i="43"/>
  <c r="AG18" i="39"/>
  <c r="AF19" i="39"/>
  <c r="AG24" i="43"/>
  <c r="AF25" i="43"/>
  <c r="AF20" i="39"/>
  <c r="AG19" i="39"/>
  <c r="AG25" i="43"/>
  <c r="AF26" i="43"/>
  <c r="AF21" i="39"/>
  <c r="AG20" i="39"/>
  <c r="AG26" i="43"/>
  <c r="AF27" i="43"/>
  <c r="AF22" i="39"/>
  <c r="AG21" i="39"/>
  <c r="AF28" i="43"/>
  <c r="AG27" i="43"/>
  <c r="AF23" i="39"/>
  <c r="AG22" i="39"/>
  <c r="AG28" i="43"/>
  <c r="AF29" i="43"/>
  <c r="AF24" i="39"/>
  <c r="AG23" i="39"/>
  <c r="AF30" i="43"/>
  <c r="AG29" i="43"/>
  <c r="AG24" i="39"/>
  <c r="AF25" i="39"/>
  <c r="AG30" i="43"/>
  <c r="AF31" i="43"/>
  <c r="AG25" i="39"/>
  <c r="AF26" i="39"/>
  <c r="AF32" i="43"/>
  <c r="AG31" i="43"/>
  <c r="AF27" i="39"/>
  <c r="AG26" i="39"/>
  <c r="AG32" i="43"/>
  <c r="AF33" i="43"/>
  <c r="AF28" i="39"/>
  <c r="AG27" i="39"/>
  <c r="AG33" i="43"/>
  <c r="AF34" i="43"/>
  <c r="AG28" i="39"/>
  <c r="AF29" i="39"/>
  <c r="AF35" i="43"/>
  <c r="AG34" i="43"/>
  <c r="AG29" i="39"/>
  <c r="AF30" i="39"/>
  <c r="AF36" i="43"/>
  <c r="AG35" i="43"/>
  <c r="AG30" i="39"/>
  <c r="AF31" i="39"/>
  <c r="AF37" i="43"/>
  <c r="AG36" i="43"/>
  <c r="AF32" i="39"/>
  <c r="AG31" i="39"/>
  <c r="AG37" i="43"/>
  <c r="AF38" i="43"/>
  <c r="AF33" i="39"/>
  <c r="AG32" i="39"/>
  <c r="AG38" i="43"/>
  <c r="AF39" i="43"/>
  <c r="AF34" i="39"/>
  <c r="AG33" i="39"/>
  <c r="AG39" i="43"/>
  <c r="AF40" i="43"/>
  <c r="AF35" i="39"/>
  <c r="AG34" i="39"/>
  <c r="AG40" i="43"/>
  <c r="AF41" i="43"/>
  <c r="AF36" i="39"/>
  <c r="AG35" i="39"/>
  <c r="AG41" i="43"/>
  <c r="AF42" i="43"/>
  <c r="AF37" i="39"/>
  <c r="AG36" i="39"/>
  <c r="AG42" i="43"/>
  <c r="AF43" i="43"/>
  <c r="AF38" i="39"/>
  <c r="AG37" i="39"/>
  <c r="AF44" i="43"/>
  <c r="AG43" i="43"/>
  <c r="AG38" i="39"/>
  <c r="AF39" i="39"/>
  <c r="AF45" i="43"/>
  <c r="AG44" i="43"/>
  <c r="AF40" i="39"/>
  <c r="AG39" i="39"/>
  <c r="AG45" i="43"/>
  <c r="AF46" i="43"/>
  <c r="AF41" i="39"/>
  <c r="AG40" i="39"/>
  <c r="AG46" i="43"/>
  <c r="AF47" i="43"/>
  <c r="AG41" i="39"/>
  <c r="AF42" i="39"/>
  <c r="AG47" i="43"/>
  <c r="AF48" i="43"/>
  <c r="AF43" i="39"/>
  <c r="AG42" i="39"/>
  <c r="AF49" i="43"/>
  <c r="AG48" i="43"/>
  <c r="AG43" i="39"/>
  <c r="AF44" i="39"/>
  <c r="AF50" i="43"/>
  <c r="AG49" i="43"/>
  <c r="AG44" i="39"/>
  <c r="AF45" i="39"/>
  <c r="AF51" i="43"/>
  <c r="AG50" i="43"/>
  <c r="AG45" i="39"/>
  <c r="AF46" i="39"/>
  <c r="AG51" i="43"/>
  <c r="AF52" i="43"/>
  <c r="AF47" i="39"/>
  <c r="AG46" i="39"/>
  <c r="AG52" i="43"/>
  <c r="AF53" i="43"/>
  <c r="AF48" i="39"/>
  <c r="AG47" i="39"/>
  <c r="AG53" i="43"/>
  <c r="AF54" i="43"/>
  <c r="AF49" i="39"/>
  <c r="AG48" i="39"/>
  <c r="AF55" i="43"/>
  <c r="AG54" i="43"/>
  <c r="AG49" i="39"/>
  <c r="AF50" i="39"/>
  <c r="AF56" i="43"/>
  <c r="AG55" i="43"/>
  <c r="AG50" i="39"/>
  <c r="AF51" i="39"/>
  <c r="AG56" i="43"/>
  <c r="AF57" i="43"/>
  <c r="AG51" i="39"/>
  <c r="AF52" i="39"/>
  <c r="AG57" i="43"/>
  <c r="AF58" i="43"/>
  <c r="AG58" i="43" s="1"/>
  <c r="AG52" i="39"/>
  <c r="AF53" i="39"/>
  <c r="AG53" i="39"/>
  <c r="AF54" i="39"/>
  <c r="AG54" i="39"/>
  <c r="AF55" i="39"/>
  <c r="AG55" i="39"/>
  <c r="AF56" i="39"/>
  <c r="AF57" i="39"/>
  <c r="AG56" i="39"/>
  <c r="AG57" i="39"/>
  <c r="AF58" i="39"/>
  <c r="AG58" i="39"/>
  <c r="AF59" i="39"/>
  <c r="AF60" i="39"/>
  <c r="AG59" i="39"/>
  <c r="AF61" i="39"/>
  <c r="AG60" i="39"/>
  <c r="AG61" i="39"/>
  <c r="AF62" i="39"/>
  <c r="AF63" i="39"/>
  <c r="AG62" i="39"/>
  <c r="AF64" i="39"/>
  <c r="AG63" i="39"/>
  <c r="AG64" i="39"/>
  <c r="AF65" i="39"/>
  <c r="AG65" i="39"/>
  <c r="AF66" i="39"/>
  <c r="AG66" i="39"/>
  <c r="AF67" i="39"/>
  <c r="AG67" i="39"/>
  <c r="AF68" i="39"/>
  <c r="AF69" i="39"/>
  <c r="AG68" i="39"/>
  <c r="AF70" i="39"/>
  <c r="AG69" i="39"/>
  <c r="AF71" i="39"/>
  <c r="AG70" i="39"/>
  <c r="AF72" i="39"/>
  <c r="AG71" i="39"/>
  <c r="AG72" i="39"/>
  <c r="AF73" i="39"/>
  <c r="AF74" i="39"/>
  <c r="AG73" i="39"/>
  <c r="AG74" i="39"/>
  <c r="AF75" i="39"/>
  <c r="AG75" i="39"/>
  <c r="AF76" i="39"/>
  <c r="AG76" i="39"/>
  <c r="AF77" i="39"/>
  <c r="AG77" i="39"/>
  <c r="AF78" i="39"/>
  <c r="AG78" i="39"/>
  <c r="AF79" i="39"/>
  <c r="AF80" i="39"/>
  <c r="AG79" i="39"/>
  <c r="AF81" i="39"/>
  <c r="AG80" i="39"/>
  <c r="AF82" i="39"/>
  <c r="AG81" i="39"/>
  <c r="AG82" i="39"/>
  <c r="AF83" i="39"/>
  <c r="AG83" i="39"/>
  <c r="AF84" i="39"/>
  <c r="AF85" i="39"/>
  <c r="AG84" i="39"/>
  <c r="AG85" i="39"/>
  <c r="AF86" i="39"/>
  <c r="AG86" i="39"/>
  <c r="AF87" i="39"/>
  <c r="AG87" i="39"/>
  <c r="AF88" i="39"/>
  <c r="AF89" i="39"/>
  <c r="AG88" i="39"/>
  <c r="AF90" i="39"/>
  <c r="AG89" i="39"/>
  <c r="AG90" i="39"/>
  <c r="AF91" i="39"/>
  <c r="AG91" i="39"/>
  <c r="AF92" i="39"/>
  <c r="AG92" i="39"/>
  <c r="AF93" i="39"/>
  <c r="AG93" i="39"/>
  <c r="AF94" i="39"/>
  <c r="AF95" i="39"/>
  <c r="AG94" i="39"/>
  <c r="AG95" i="39"/>
  <c r="AF96" i="39"/>
  <c r="AG96" i="39"/>
  <c r="AF97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F104" i="39"/>
  <c r="AG103" i="39"/>
  <c r="AF105" i="39"/>
  <c r="AG104" i="39"/>
  <c r="AF106" i="39"/>
  <c r="AG105" i="39"/>
  <c r="AG106" i="39"/>
  <c r="AF107" i="39"/>
  <c r="AG107" i="39"/>
  <c r="AF108" i="39"/>
  <c r="AF109" i="39"/>
  <c r="AG108" i="39"/>
  <c r="AF110" i="39"/>
  <c r="AG109" i="39"/>
  <c r="AG110" i="39"/>
  <c r="AF111" i="39"/>
  <c r="AG111" i="39"/>
  <c r="AF112" i="39"/>
  <c r="AF113" i="39"/>
  <c r="AG112" i="39"/>
  <c r="AF114" i="39"/>
  <c r="AG113" i="39"/>
  <c r="AF115" i="39"/>
  <c r="AG114" i="39"/>
  <c r="AG115" i="39"/>
  <c r="AF116" i="39"/>
  <c r="AF117" i="39"/>
  <c r="AG116" i="39"/>
  <c r="AG117" i="39"/>
  <c r="AF118" i="39"/>
  <c r="AG118" i="39"/>
  <c r="AF119" i="39"/>
  <c r="AF120" i="39"/>
  <c r="AG119" i="39"/>
  <c r="AF121" i="39"/>
  <c r="AG120" i="39"/>
  <c r="AF122" i="39"/>
  <c r="AG121" i="39"/>
  <c r="AF123" i="39"/>
  <c r="AG122" i="39"/>
  <c r="AG123" i="39"/>
  <c r="AF124" i="39"/>
  <c r="AF125" i="39"/>
  <c r="AG124" i="39"/>
  <c r="AG125" i="39"/>
  <c r="AF126" i="39"/>
  <c r="AF127" i="39"/>
  <c r="AG126" i="39"/>
  <c r="AF128" i="39"/>
  <c r="AG127" i="39"/>
  <c r="AG128" i="39"/>
  <c r="AF129" i="39"/>
  <c r="AF130" i="39"/>
  <c r="AG129" i="39"/>
  <c r="AG130" i="39"/>
  <c r="AF131" i="39"/>
  <c r="AF132" i="39"/>
  <c r="AG131" i="39"/>
  <c r="AG132" i="39"/>
  <c r="AG10" i="39"/>
  <c r="AF59" i="43"/>
  <c r="AG59" i="43"/>
  <c r="AF60" i="43"/>
  <c r="AG60" i="43"/>
  <c r="AF61" i="43"/>
  <c r="AF62" i="43"/>
  <c r="AG61" i="43"/>
  <c r="AG62" i="43"/>
  <c r="AF63" i="43"/>
  <c r="AG63" i="43"/>
  <c r="AF64" i="43"/>
  <c r="AF65" i="43"/>
  <c r="AG64" i="43"/>
  <c r="AG65" i="43"/>
  <c r="F4" i="48" l="1" a="1"/>
  <c r="F4" i="49" l="1" a="1"/>
  <c r="I20" i="29" l="1"/>
  <c r="D3" i="49"/>
  <c r="D3" i="39"/>
  <c r="H3" i="42"/>
  <c r="D3" i="43"/>
  <c r="E3" i="42"/>
  <c r="E3" i="40"/>
  <c r="D3" i="48"/>
  <c r="H3" i="40"/>
  <c r="G3" i="49"/>
  <c r="E3" i="49"/>
  <c r="H3" i="49" s="1"/>
  <c r="K3" i="39"/>
  <c r="E3" i="39"/>
  <c r="K3" i="43"/>
  <c r="E3" i="43"/>
  <c r="E4" i="42"/>
  <c r="E7" i="42"/>
  <c r="E6" i="42"/>
  <c r="E5" i="42"/>
  <c r="F3" i="42"/>
  <c r="E4" i="40"/>
  <c r="E20" i="40"/>
  <c r="E13" i="40"/>
  <c r="E15" i="40"/>
  <c r="F3" i="40"/>
  <c r="E10" i="40"/>
  <c r="E5" i="40"/>
  <c r="E21" i="40"/>
  <c r="E19" i="40"/>
  <c r="E8" i="40"/>
  <c r="E17" i="40"/>
  <c r="E12" i="40"/>
  <c r="E14" i="40"/>
  <c r="E11" i="40"/>
  <c r="E18" i="40"/>
  <c r="E6" i="40"/>
  <c r="E7" i="40"/>
  <c r="E16" i="40"/>
  <c r="E9" i="40"/>
  <c r="G3" i="48"/>
  <c r="E3" i="48"/>
  <c r="H3" i="48" s="1"/>
  <c r="H3" i="39"/>
  <c r="L3" i="39"/>
  <c r="H3" i="43"/>
  <c r="L3" i="43"/>
  <c r="F4" i="42"/>
  <c r="C8" i="42"/>
  <c r="F7" i="42"/>
  <c r="F6" i="42"/>
  <c r="F5" i="42"/>
  <c r="G3" i="42"/>
  <c r="F4" i="40"/>
  <c r="F20" i="40"/>
  <c r="F13" i="40"/>
  <c r="F15" i="40"/>
  <c r="G3" i="40"/>
  <c r="F10" i="40"/>
  <c r="F5" i="40"/>
  <c r="F21" i="40"/>
  <c r="F19" i="40"/>
  <c r="F8" i="40"/>
  <c r="F17" i="40"/>
  <c r="F12" i="40"/>
  <c r="F14" i="40"/>
  <c r="F11" i="40"/>
  <c r="F18" i="40"/>
  <c r="F6" i="40"/>
  <c r="F7" i="40"/>
  <c r="F16" i="40"/>
  <c r="F9" i="40"/>
  <c r="G4" i="42"/>
  <c r="E8" i="42"/>
  <c r="G7" i="42"/>
  <c r="G6" i="42"/>
  <c r="G5" i="42"/>
  <c r="G4" i="40"/>
  <c r="G20" i="40"/>
  <c r="G13" i="40"/>
  <c r="G15" i="40"/>
  <c r="G10" i="40"/>
  <c r="G5" i="40"/>
  <c r="G21" i="40"/>
  <c r="G19" i="40"/>
  <c r="G8" i="40"/>
  <c r="G17" i="40"/>
  <c r="G12" i="40"/>
  <c r="G14" i="40"/>
  <c r="G11" i="40"/>
  <c r="G18" i="40"/>
  <c r="G6" i="40"/>
  <c r="G7" i="40"/>
  <c r="G16" i="40"/>
  <c r="G9" i="40"/>
  <c r="F8" i="42"/>
  <c r="C9" i="42"/>
  <c r="G8" i="42"/>
  <c r="E9" i="42"/>
  <c r="C10" i="42"/>
  <c r="F9" i="42"/>
  <c r="E10" i="42"/>
  <c r="G9" i="42"/>
  <c r="F10" i="42"/>
  <c r="C11" i="42"/>
  <c r="G10" i="42"/>
  <c r="E11" i="42"/>
  <c r="C12" i="42"/>
  <c r="F11" i="42"/>
  <c r="E12" i="42"/>
  <c r="G11" i="42"/>
  <c r="F12" i="42"/>
  <c r="C13" i="42"/>
  <c r="G12" i="42"/>
  <c r="E13" i="42"/>
  <c r="C14" i="42"/>
  <c r="F13" i="42"/>
  <c r="E14" i="42"/>
  <c r="G13" i="42"/>
  <c r="F14" i="42"/>
  <c r="C15" i="42"/>
  <c r="G14" i="42"/>
  <c r="E15" i="42"/>
  <c r="F15" i="42"/>
  <c r="G15" i="42"/>
  <c r="D15" i="42" l="1"/>
  <c r="D14" i="42"/>
  <c r="D13" i="42"/>
  <c r="D12" i="42"/>
  <c r="D11" i="42"/>
  <c r="D10" i="42"/>
  <c r="D9" i="42"/>
  <c r="D8" i="42"/>
  <c r="M3" i="43"/>
  <c r="N3" i="43"/>
  <c r="O3" i="43"/>
  <c r="M3" i="39"/>
  <c r="O3" i="39"/>
  <c r="N3" i="39"/>
  <c r="K3" i="48"/>
  <c r="I3" i="48"/>
  <c r="J3" i="48"/>
  <c r="K3" i="49"/>
  <c r="J3" i="49"/>
  <c r="I3" i="49"/>
  <c r="R3" i="40"/>
  <c r="R3" i="42"/>
  <c r="U13" i="43" a="1"/>
  <c r="U9" i="43" a="1"/>
  <c r="U3" i="43" a="1"/>
  <c r="P3" i="48" a="1"/>
  <c r="P9" i="48" a="1"/>
  <c r="T3" i="43" a="1"/>
  <c r="T9" i="43" a="1"/>
  <c r="O3" i="49" a="1"/>
  <c r="S3" i="43" a="1"/>
  <c r="P3" i="49" a="1"/>
  <c r="P9" i="49" a="1"/>
  <c r="U9" i="39" a="1"/>
  <c r="U13" i="39" a="1"/>
  <c r="U3" i="39" a="1"/>
  <c r="Q13" i="49" a="1"/>
  <c r="Q9" i="49" a="1"/>
  <c r="Q3" i="49" a="1"/>
  <c r="S3" i="39" a="1"/>
  <c r="T3" i="39" a="1"/>
  <c r="T9" i="39" a="1"/>
  <c r="O3" i="48" a="1"/>
  <c r="R4" i="40"/>
  <c r="S3" i="40"/>
  <c r="R4" i="42"/>
  <c r="S3" i="42"/>
  <c r="Q13" i="48" a="1"/>
  <c r="Q3" i="48" a="1"/>
  <c r="Q9" i="48" a="1"/>
  <c r="S4" i="40"/>
  <c r="R5" i="40"/>
  <c r="T3" i="40"/>
  <c r="S4" i="42"/>
  <c r="R5" i="42"/>
  <c r="T3" i="42"/>
  <c r="T4" i="40"/>
  <c r="R6" i="40"/>
  <c r="S5" i="40"/>
  <c r="T4" i="42"/>
  <c r="S5" i="42"/>
  <c r="R6" i="42"/>
  <c r="R7" i="40"/>
  <c r="S6" i="40"/>
  <c r="T5" i="40"/>
  <c r="T5" i="42"/>
  <c r="S6" i="42"/>
  <c r="R7" i="42"/>
  <c r="R8" i="40"/>
  <c r="S7" i="40"/>
  <c r="T6" i="40"/>
  <c r="T6" i="42"/>
  <c r="S7" i="42"/>
  <c r="R8" i="42"/>
  <c r="S8" i="40"/>
  <c r="R9" i="40"/>
  <c r="T7" i="40"/>
  <c r="T7" i="42"/>
  <c r="S8" i="42"/>
  <c r="R9" i="42"/>
  <c r="T8" i="40"/>
  <c r="R10" i="40"/>
  <c r="S9" i="40"/>
  <c r="T8" i="42"/>
  <c r="R10" i="42"/>
  <c r="S9" i="42"/>
  <c r="R11" i="40"/>
  <c r="S10" i="40"/>
  <c r="T9" i="40"/>
  <c r="R11" i="42"/>
  <c r="S10" i="42"/>
  <c r="T9" i="42"/>
  <c r="R12" i="40"/>
  <c r="S11" i="40"/>
  <c r="T10" i="40"/>
  <c r="R12" i="42"/>
  <c r="S11" i="42"/>
  <c r="T10" i="42"/>
  <c r="S12" i="40"/>
  <c r="R13" i="40"/>
  <c r="T11" i="40"/>
  <c r="S12" i="42"/>
  <c r="R13" i="42"/>
  <c r="T11" i="42"/>
  <c r="T12" i="40"/>
  <c r="S13" i="40"/>
  <c r="R14" i="40"/>
  <c r="T12" i="42"/>
  <c r="R14" i="42"/>
  <c r="S13" i="42"/>
  <c r="T13" i="40"/>
  <c r="R15" i="40"/>
  <c r="S14" i="40"/>
  <c r="S14" i="42"/>
  <c r="R15" i="42"/>
  <c r="T13" i="42"/>
  <c r="R16" i="40"/>
  <c r="S15" i="40"/>
  <c r="T14" i="40"/>
  <c r="T14" i="42"/>
  <c r="R16" i="42"/>
  <c r="S15" i="42"/>
  <c r="R17" i="40"/>
  <c r="S16" i="40"/>
  <c r="T15" i="40"/>
  <c r="S16" i="42"/>
  <c r="R17" i="42"/>
  <c r="T15" i="42"/>
  <c r="R18" i="40"/>
  <c r="S17" i="40"/>
  <c r="T16" i="40"/>
  <c r="T16" i="42"/>
  <c r="R18" i="42"/>
  <c r="S17" i="42"/>
  <c r="R19" i="40"/>
  <c r="S18" i="40"/>
  <c r="T17" i="40"/>
  <c r="S18" i="42"/>
  <c r="R19" i="42"/>
  <c r="T17" i="42"/>
  <c r="S19" i="40"/>
  <c r="R20" i="40"/>
  <c r="T18" i="40"/>
  <c r="T18" i="42"/>
  <c r="S19" i="42"/>
  <c r="R20" i="42"/>
  <c r="T19" i="40"/>
  <c r="R21" i="40"/>
  <c r="S20" i="40"/>
  <c r="T19" i="42"/>
  <c r="S20" i="42"/>
  <c r="R21" i="42"/>
  <c r="S21" i="40"/>
  <c r="R22" i="40"/>
  <c r="T20" i="40"/>
  <c r="T20" i="42"/>
  <c r="R22" i="42"/>
  <c r="S21" i="42"/>
  <c r="T21" i="40"/>
  <c r="S22" i="40"/>
  <c r="R23" i="40"/>
  <c r="S22" i="42"/>
  <c r="R23" i="42"/>
  <c r="T21" i="42"/>
  <c r="T22" i="40"/>
  <c r="R24" i="40"/>
  <c r="S23" i="40"/>
  <c r="T22" i="42"/>
  <c r="S23" i="42"/>
  <c r="R24" i="42"/>
  <c r="S24" i="40"/>
  <c r="R25" i="40"/>
  <c r="T23" i="40"/>
  <c r="T23" i="42"/>
  <c r="R25" i="42"/>
  <c r="S24" i="42"/>
  <c r="T24" i="40"/>
  <c r="S25" i="40"/>
  <c r="R26" i="40"/>
  <c r="R26" i="42"/>
  <c r="S25" i="42"/>
  <c r="T24" i="42"/>
  <c r="T25" i="40"/>
  <c r="S26" i="40"/>
  <c r="R27" i="40"/>
  <c r="S26" i="42"/>
  <c r="R27" i="42"/>
  <c r="T25" i="42"/>
  <c r="T26" i="40"/>
  <c r="S27" i="40"/>
  <c r="R28" i="40"/>
  <c r="T26" i="42"/>
  <c r="R28" i="42"/>
  <c r="S27" i="42"/>
  <c r="T27" i="40"/>
  <c r="S28" i="40"/>
  <c r="R29" i="40"/>
  <c r="S28" i="42"/>
  <c r="R29" i="42"/>
  <c r="T27" i="42"/>
  <c r="T28" i="40"/>
  <c r="R30" i="40"/>
  <c r="S29" i="40"/>
  <c r="T28" i="42"/>
  <c r="R30" i="42"/>
  <c r="S29" i="42"/>
  <c r="R31" i="40"/>
  <c r="S30" i="40"/>
  <c r="T29" i="40"/>
  <c r="S30" i="42"/>
  <c r="R31" i="42"/>
  <c r="T29" i="42"/>
  <c r="R32" i="40"/>
  <c r="S31" i="40"/>
  <c r="T30" i="40"/>
  <c r="T30" i="42"/>
  <c r="S31" i="42"/>
  <c r="R32" i="42"/>
  <c r="R33" i="40"/>
  <c r="S32" i="40"/>
  <c r="T31" i="40"/>
  <c r="T31" i="42"/>
  <c r="S32" i="42"/>
  <c r="R33" i="42"/>
  <c r="S33" i="40"/>
  <c r="R34" i="40"/>
  <c r="T32" i="40"/>
  <c r="T32" i="42"/>
  <c r="R34" i="42"/>
  <c r="S33" i="42"/>
  <c r="T33" i="40"/>
  <c r="R35" i="40"/>
  <c r="S34" i="40"/>
  <c r="S34" i="42"/>
  <c r="R35" i="42"/>
  <c r="T33" i="42"/>
  <c r="R36" i="40"/>
  <c r="S35" i="40"/>
  <c r="T34" i="40"/>
  <c r="T34" i="42"/>
  <c r="R36" i="42"/>
  <c r="S35" i="42"/>
  <c r="R37" i="40"/>
  <c r="S36" i="40"/>
  <c r="T35" i="40"/>
  <c r="R37" i="42"/>
  <c r="S36" i="42"/>
  <c r="T35" i="42"/>
  <c r="S37" i="40"/>
  <c r="R38" i="40"/>
  <c r="T36" i="40"/>
  <c r="R38" i="42"/>
  <c r="S37" i="42"/>
  <c r="T36" i="42"/>
  <c r="T37" i="40"/>
  <c r="R39" i="40"/>
  <c r="S38" i="40"/>
  <c r="R39" i="42"/>
  <c r="S38" i="42"/>
  <c r="T37" i="42"/>
  <c r="R40" i="40"/>
  <c r="S39" i="40"/>
  <c r="T38" i="40"/>
  <c r="R40" i="42"/>
  <c r="S39" i="42"/>
  <c r="T38" i="42"/>
  <c r="S40" i="40"/>
  <c r="R41" i="40"/>
  <c r="T39" i="40"/>
  <c r="S40" i="42"/>
  <c r="R41" i="42"/>
  <c r="T39" i="42"/>
  <c r="T40" i="40"/>
  <c r="S41" i="40"/>
  <c r="R42" i="40"/>
  <c r="T40" i="42"/>
  <c r="R42" i="42"/>
  <c r="S41" i="42"/>
  <c r="T41" i="40"/>
  <c r="S42" i="40"/>
  <c r="R43" i="40"/>
  <c r="R43" i="42"/>
  <c r="S42" i="42"/>
  <c r="T41" i="42"/>
  <c r="T42" i="40"/>
  <c r="R44" i="40"/>
  <c r="S43" i="40"/>
  <c r="R44" i="42"/>
  <c r="S43" i="42"/>
  <c r="T42" i="42"/>
  <c r="R45" i="40"/>
  <c r="S44" i="40"/>
  <c r="T43" i="40"/>
  <c r="S44" i="42"/>
  <c r="R45" i="42"/>
  <c r="T43" i="42"/>
  <c r="R46" i="40"/>
  <c r="S45" i="40"/>
  <c r="T44" i="40"/>
  <c r="T44" i="42"/>
  <c r="R46" i="42"/>
  <c r="S45" i="42"/>
  <c r="R47" i="40"/>
  <c r="S46" i="40"/>
  <c r="T45" i="40"/>
  <c r="R47" i="42"/>
  <c r="S46" i="42"/>
  <c r="T45" i="42"/>
  <c r="S47" i="40"/>
  <c r="R48" i="40"/>
  <c r="T46" i="40"/>
  <c r="R48" i="42"/>
  <c r="S47" i="42"/>
  <c r="T46" i="42"/>
  <c r="T47" i="40"/>
  <c r="R49" i="40"/>
  <c r="S48" i="40"/>
  <c r="S48" i="42"/>
  <c r="R49" i="42"/>
  <c r="T47" i="42"/>
  <c r="S49" i="40"/>
  <c r="R50" i="40"/>
  <c r="T48" i="40"/>
  <c r="T48" i="42"/>
  <c r="R50" i="42"/>
  <c r="S49" i="42"/>
  <c r="T49" i="40"/>
  <c r="R51" i="40"/>
  <c r="S50" i="40"/>
  <c r="R51" i="42"/>
  <c r="S50" i="42"/>
  <c r="T49" i="42"/>
  <c r="R52" i="40"/>
  <c r="S51" i="40"/>
  <c r="T50" i="40"/>
  <c r="R52" i="42"/>
  <c r="S51" i="42"/>
  <c r="T50" i="42"/>
  <c r="S52" i="40"/>
  <c r="R53" i="40"/>
  <c r="T51" i="40"/>
  <c r="R53" i="42"/>
  <c r="S52" i="42"/>
  <c r="T51" i="42"/>
  <c r="T52" i="40"/>
  <c r="R54" i="40"/>
  <c r="S53" i="40"/>
  <c r="R54" i="42"/>
  <c r="S53" i="42"/>
  <c r="T52" i="42"/>
  <c r="S54" i="40"/>
  <c r="R55" i="40"/>
  <c r="T53" i="40"/>
  <c r="S54" i="42"/>
  <c r="R55" i="42"/>
  <c r="T53" i="42"/>
  <c r="T54" i="40"/>
  <c r="R56" i="40"/>
  <c r="S55" i="40"/>
  <c r="T54" i="42"/>
  <c r="R56" i="42"/>
  <c r="S55" i="42"/>
  <c r="R57" i="40"/>
  <c r="S56" i="40"/>
  <c r="T55" i="40"/>
  <c r="S56" i="42"/>
  <c r="R57" i="42"/>
  <c r="T55" i="42"/>
  <c r="R58" i="40"/>
  <c r="S57" i="40"/>
  <c r="T56" i="40"/>
  <c r="T56" i="42"/>
  <c r="S57" i="42"/>
  <c r="R58" i="42"/>
  <c r="R59" i="40"/>
  <c r="S58" i="40"/>
  <c r="T57" i="40"/>
  <c r="T57" i="42"/>
  <c r="R59" i="42"/>
  <c r="S58" i="42"/>
  <c r="R60" i="40"/>
  <c r="S59" i="40"/>
  <c r="T58" i="40"/>
  <c r="S59" i="42"/>
  <c r="R60" i="42"/>
  <c r="T58" i="42"/>
  <c r="R61" i="40"/>
  <c r="S60" i="40"/>
  <c r="T59" i="40"/>
  <c r="T59" i="42"/>
  <c r="R61" i="42"/>
  <c r="S60" i="42"/>
  <c r="R62" i="40"/>
  <c r="S61" i="40"/>
  <c r="T60" i="40"/>
  <c r="S61" i="42"/>
  <c r="R62" i="42"/>
  <c r="T60" i="42"/>
  <c r="S62" i="40"/>
  <c r="R63" i="40"/>
  <c r="T61" i="40"/>
  <c r="T61" i="42"/>
  <c r="R63" i="42"/>
  <c r="S62" i="42"/>
  <c r="T62" i="40"/>
  <c r="S63" i="40"/>
  <c r="R64" i="40"/>
  <c r="S63" i="42"/>
  <c r="R64" i="42"/>
  <c r="T62" i="42"/>
  <c r="T63" i="40"/>
  <c r="S64" i="40"/>
  <c r="R65" i="40"/>
  <c r="T63" i="42"/>
  <c r="S64" i="42"/>
  <c r="R65" i="42"/>
  <c r="T64" i="40"/>
  <c r="R66" i="40"/>
  <c r="S65" i="40"/>
  <c r="T64" i="42"/>
  <c r="R66" i="42"/>
  <c r="S65" i="42"/>
  <c r="R67" i="40"/>
  <c r="S66" i="40"/>
  <c r="T65" i="40"/>
  <c r="S66" i="42"/>
  <c r="R67" i="42"/>
  <c r="T65" i="42"/>
  <c r="S67" i="40"/>
  <c r="R68" i="40"/>
  <c r="T66" i="40"/>
  <c r="T66" i="42"/>
  <c r="R68" i="42"/>
  <c r="S67" i="42"/>
  <c r="T67" i="40"/>
  <c r="S68" i="40"/>
  <c r="R69" i="40"/>
  <c r="S68" i="42"/>
  <c r="R69" i="42"/>
  <c r="T67" i="42"/>
  <c r="T68" i="40"/>
  <c r="R70" i="40"/>
  <c r="S69" i="40"/>
  <c r="T68" i="42"/>
  <c r="R70" i="42"/>
  <c r="S69" i="42"/>
  <c r="R71" i="40"/>
  <c r="S70" i="40"/>
  <c r="T69" i="40"/>
  <c r="R71" i="42"/>
  <c r="S70" i="42"/>
  <c r="T69" i="42"/>
  <c r="R72" i="40"/>
  <c r="S71" i="40"/>
  <c r="T70" i="40"/>
  <c r="R72" i="42"/>
  <c r="S71" i="42"/>
  <c r="T70" i="42"/>
  <c r="R73" i="40"/>
  <c r="S72" i="40"/>
  <c r="T71" i="40"/>
  <c r="S72" i="42"/>
  <c r="R73" i="42"/>
  <c r="T71" i="42"/>
  <c r="R74" i="40"/>
  <c r="S73" i="40"/>
  <c r="T72" i="40"/>
  <c r="T72" i="42"/>
  <c r="R74" i="42"/>
  <c r="S73" i="42"/>
  <c r="S74" i="40"/>
  <c r="R75" i="40"/>
  <c r="T73" i="40"/>
  <c r="R75" i="42"/>
  <c r="S74" i="42"/>
  <c r="T73" i="42"/>
  <c r="T74" i="40"/>
  <c r="S75" i="40"/>
  <c r="R76" i="40"/>
  <c r="S75" i="42"/>
  <c r="R76" i="42"/>
  <c r="T74" i="42"/>
  <c r="T75" i="40"/>
  <c r="R77" i="40"/>
  <c r="S76" i="40"/>
  <c r="T75" i="42"/>
  <c r="R77" i="42"/>
  <c r="S76" i="42"/>
  <c r="R78" i="40"/>
  <c r="S77" i="40"/>
  <c r="T76" i="40"/>
  <c r="S77" i="42"/>
  <c r="R78" i="42"/>
  <c r="T76" i="42"/>
  <c r="S78" i="40"/>
  <c r="R79" i="40"/>
  <c r="T77" i="40"/>
  <c r="T77" i="42"/>
  <c r="S78" i="42"/>
  <c r="R79" i="42"/>
  <c r="T78" i="40"/>
  <c r="R80" i="40"/>
  <c r="S79" i="40"/>
  <c r="T78" i="42"/>
  <c r="R80" i="42"/>
  <c r="S79" i="42"/>
  <c r="R81" i="40"/>
  <c r="S80" i="40"/>
  <c r="T79" i="40"/>
  <c r="S80" i="42"/>
  <c r="R81" i="42"/>
  <c r="T79" i="42"/>
  <c r="S81" i="40"/>
  <c r="R82" i="40"/>
  <c r="T80" i="40"/>
  <c r="T80" i="42"/>
  <c r="R82" i="42"/>
  <c r="S81" i="42"/>
  <c r="T81" i="40"/>
  <c r="S82" i="40"/>
  <c r="R83" i="40"/>
  <c r="S82" i="42"/>
  <c r="R83" i="42"/>
  <c r="T81" i="42"/>
  <c r="T82" i="40"/>
  <c r="S83" i="40"/>
  <c r="R84" i="40"/>
  <c r="T82" i="42"/>
  <c r="S83" i="42"/>
  <c r="R84" i="42"/>
  <c r="T83" i="40"/>
  <c r="S84" i="40"/>
  <c r="R85" i="40"/>
  <c r="T83" i="42"/>
  <c r="S84" i="42"/>
  <c r="R85" i="42"/>
  <c r="T84" i="40"/>
  <c r="R86" i="40"/>
  <c r="S85" i="40"/>
  <c r="T84" i="42"/>
  <c r="S85" i="42"/>
  <c r="R86" i="42"/>
  <c r="S86" i="40"/>
  <c r="R87" i="40"/>
  <c r="T85" i="40"/>
  <c r="T85" i="42"/>
  <c r="S86" i="42"/>
  <c r="R87" i="42"/>
  <c r="T86" i="40"/>
  <c r="S87" i="40"/>
  <c r="R88" i="40"/>
  <c r="T86" i="42"/>
  <c r="R88" i="42"/>
  <c r="S87" i="42"/>
  <c r="T87" i="40"/>
  <c r="R89" i="40"/>
  <c r="S88" i="40"/>
  <c r="S88" i="42"/>
  <c r="R89" i="42"/>
  <c r="T87" i="42"/>
  <c r="R90" i="40"/>
  <c r="S89" i="40"/>
  <c r="T88" i="40"/>
  <c r="T88" i="42"/>
  <c r="R90" i="42"/>
  <c r="S89" i="42"/>
  <c r="S90" i="40"/>
  <c r="R91" i="40"/>
  <c r="T89" i="40"/>
  <c r="R91" i="42"/>
  <c r="S90" i="42"/>
  <c r="T89" i="42"/>
  <c r="T90" i="40"/>
  <c r="R92" i="40"/>
  <c r="S91" i="40"/>
  <c r="S91" i="42"/>
  <c r="R92" i="42"/>
  <c r="T90" i="42"/>
  <c r="R93" i="40"/>
  <c r="S92" i="40"/>
  <c r="T91" i="40"/>
  <c r="T91" i="42"/>
  <c r="R93" i="42"/>
  <c r="S92" i="42"/>
  <c r="R94" i="40"/>
  <c r="S93" i="40"/>
  <c r="T92" i="40"/>
  <c r="R94" i="42"/>
  <c r="S93" i="42"/>
  <c r="T92" i="42"/>
  <c r="S94" i="40"/>
  <c r="R95" i="40"/>
  <c r="T93" i="40"/>
  <c r="S94" i="42"/>
  <c r="R95" i="42"/>
  <c r="T93" i="42"/>
  <c r="T94" i="40"/>
  <c r="S95" i="40"/>
  <c r="R96" i="40"/>
  <c r="T94" i="42"/>
  <c r="S95" i="42"/>
  <c r="R96" i="42"/>
  <c r="T95" i="40"/>
  <c r="S96" i="40"/>
  <c r="R97" i="40"/>
  <c r="T95" i="42"/>
  <c r="S96" i="42"/>
  <c r="R97" i="42"/>
  <c r="T96" i="40"/>
  <c r="S97" i="40"/>
  <c r="R98" i="40"/>
  <c r="T96" i="42"/>
  <c r="R98" i="42"/>
  <c r="S97" i="42"/>
  <c r="T97" i="40"/>
  <c r="S98" i="40"/>
  <c r="R99" i="40"/>
  <c r="R99" i="42"/>
  <c r="S98" i="42"/>
  <c r="T97" i="42"/>
  <c r="T98" i="40"/>
  <c r="R100" i="40"/>
  <c r="S99" i="40"/>
  <c r="R100" i="42"/>
  <c r="S99" i="42"/>
  <c r="T98" i="42"/>
  <c r="R101" i="40"/>
  <c r="S100" i="40"/>
  <c r="T99" i="40"/>
  <c r="S100" i="42"/>
  <c r="R101" i="42"/>
  <c r="T99" i="42"/>
  <c r="S101" i="40"/>
  <c r="R102" i="40"/>
  <c r="T100" i="40"/>
  <c r="T100" i="42"/>
  <c r="S101" i="42"/>
  <c r="R102" i="42"/>
  <c r="T101" i="40"/>
  <c r="S102" i="40"/>
  <c r="R103" i="40"/>
  <c r="T101" i="42"/>
  <c r="R103" i="42"/>
  <c r="S102" i="42"/>
  <c r="T102" i="40"/>
  <c r="S103" i="40"/>
  <c r="R104" i="40"/>
  <c r="S103" i="42"/>
  <c r="R104" i="42"/>
  <c r="T102" i="42"/>
  <c r="T103" i="40"/>
  <c r="S104" i="40"/>
  <c r="R105" i="40"/>
  <c r="T103" i="42"/>
  <c r="R105" i="42"/>
  <c r="S104" i="42"/>
  <c r="T104" i="40"/>
  <c r="R106" i="40"/>
  <c r="S105" i="40"/>
  <c r="R106" i="42"/>
  <c r="S105" i="42"/>
  <c r="T104" i="42"/>
  <c r="R107" i="40"/>
  <c r="S106" i="40"/>
  <c r="T105" i="40"/>
  <c r="S106" i="42"/>
  <c r="R107" i="42"/>
  <c r="T105" i="42"/>
  <c r="S107" i="40"/>
  <c r="R108" i="40"/>
  <c r="T106" i="40"/>
  <c r="T106" i="42"/>
  <c r="S107" i="42"/>
  <c r="R108" i="42"/>
  <c r="T107" i="40"/>
  <c r="R109" i="40"/>
  <c r="S108" i="40"/>
  <c r="T107" i="42"/>
  <c r="R109" i="42"/>
  <c r="S108" i="42"/>
  <c r="S109" i="40"/>
  <c r="R110" i="40"/>
  <c r="T108" i="40"/>
  <c r="S109" i="42"/>
  <c r="R110" i="42"/>
  <c r="T108" i="42"/>
  <c r="T109" i="40"/>
  <c r="S110" i="40"/>
  <c r="R111" i="40"/>
  <c r="T109" i="42"/>
  <c r="S110" i="42"/>
  <c r="R111" i="42"/>
  <c r="T110" i="40"/>
  <c r="S111" i="40"/>
  <c r="R112" i="40"/>
  <c r="T110" i="42"/>
  <c r="S111" i="42"/>
  <c r="R112" i="42"/>
  <c r="T111" i="40"/>
  <c r="R113" i="40"/>
  <c r="S112" i="40"/>
  <c r="T111" i="42"/>
  <c r="R113" i="42"/>
  <c r="S112" i="42"/>
  <c r="R114" i="40"/>
  <c r="S113" i="40"/>
  <c r="T112" i="40"/>
  <c r="S113" i="42"/>
  <c r="R114" i="42"/>
  <c r="T112" i="42"/>
  <c r="S114" i="40"/>
  <c r="R115" i="40"/>
  <c r="T113" i="40"/>
  <c r="T113" i="42"/>
  <c r="S114" i="42"/>
  <c r="R115" i="42"/>
  <c r="T114" i="40"/>
  <c r="S115" i="40"/>
  <c r="R116" i="40"/>
  <c r="T114" i="42"/>
  <c r="R116" i="42"/>
  <c r="S115" i="42"/>
  <c r="T115" i="40"/>
  <c r="R117" i="40"/>
  <c r="S116" i="40"/>
  <c r="R117" i="42"/>
  <c r="S116" i="42"/>
  <c r="T115" i="42"/>
  <c r="S117" i="40"/>
  <c r="R118" i="40"/>
  <c r="T116" i="40"/>
  <c r="R118" i="42"/>
  <c r="S117" i="42"/>
  <c r="T116" i="42"/>
  <c r="T117" i="40"/>
  <c r="S118" i="40"/>
  <c r="R119" i="40"/>
  <c r="R119" i="42"/>
  <c r="S118" i="42"/>
  <c r="T117" i="42"/>
  <c r="T118" i="40"/>
  <c r="R120" i="40"/>
  <c r="S119" i="40"/>
  <c r="S119" i="42"/>
  <c r="R120" i="42"/>
  <c r="T118" i="42"/>
  <c r="S120" i="40"/>
  <c r="R121" i="40"/>
  <c r="T119" i="40"/>
  <c r="T119" i="42"/>
  <c r="S120" i="42"/>
  <c r="R121" i="42"/>
  <c r="T120" i="40"/>
  <c r="S121" i="40"/>
  <c r="R122" i="40"/>
  <c r="T120" i="42"/>
  <c r="R122" i="42"/>
  <c r="S121" i="42"/>
  <c r="T121" i="40"/>
  <c r="S122" i="40"/>
  <c r="R123" i="40"/>
  <c r="R123" i="42"/>
  <c r="S122" i="42"/>
  <c r="T121" i="42"/>
  <c r="T122" i="40"/>
  <c r="S123" i="40"/>
  <c r="R124" i="40"/>
  <c r="R124" i="42"/>
  <c r="S123" i="42"/>
  <c r="T122" i="42"/>
  <c r="T123" i="40"/>
  <c r="R125" i="40"/>
  <c r="S124" i="40"/>
  <c r="S124" i="42"/>
  <c r="R125" i="42"/>
  <c r="T123" i="42"/>
  <c r="S125" i="40"/>
  <c r="R126" i="40"/>
  <c r="T124" i="40"/>
  <c r="T124" i="42"/>
  <c r="R126" i="42"/>
  <c r="S125" i="42"/>
  <c r="T125" i="40"/>
  <c r="R127" i="40"/>
  <c r="S126" i="40"/>
  <c r="S126" i="42"/>
  <c r="R127" i="42"/>
  <c r="T125" i="42"/>
  <c r="S127" i="40"/>
  <c r="R128" i="40"/>
  <c r="T126" i="40"/>
  <c r="T126" i="42"/>
  <c r="S127" i="42"/>
  <c r="R128" i="42"/>
  <c r="T127" i="40"/>
  <c r="S128" i="40"/>
  <c r="R129" i="40"/>
  <c r="T127" i="42"/>
  <c r="S128" i="42"/>
  <c r="R129" i="42"/>
  <c r="T128" i="40"/>
  <c r="R130" i="40"/>
  <c r="S129" i="40"/>
  <c r="T128" i="42"/>
  <c r="S129" i="42"/>
  <c r="R130" i="42"/>
  <c r="S130" i="40"/>
  <c r="R131" i="40"/>
  <c r="T129" i="40"/>
  <c r="T129" i="42"/>
  <c r="S130" i="42"/>
  <c r="R131" i="42"/>
  <c r="T130" i="40"/>
  <c r="R132" i="40"/>
  <c r="S131" i="40"/>
  <c r="T130" i="42"/>
  <c r="S131" i="42"/>
  <c r="R132" i="42"/>
  <c r="R133" i="40"/>
  <c r="S132" i="40"/>
  <c r="T131" i="40"/>
  <c r="T131" i="42"/>
  <c r="R133" i="42"/>
  <c r="S132" i="42"/>
  <c r="R134" i="40"/>
  <c r="S133" i="40"/>
  <c r="T132" i="40"/>
  <c r="R134" i="42"/>
  <c r="S133" i="42"/>
  <c r="T132" i="42"/>
  <c r="R135" i="40"/>
  <c r="S134" i="40"/>
  <c r="T133" i="40"/>
  <c r="R135" i="42"/>
  <c r="S134" i="42"/>
  <c r="T133" i="42"/>
  <c r="R136" i="40"/>
  <c r="S135" i="40"/>
  <c r="T134" i="40"/>
  <c r="R136" i="42"/>
  <c r="S135" i="42"/>
  <c r="T134" i="42"/>
  <c r="S136" i="40"/>
  <c r="R137" i="40"/>
  <c r="T135" i="40"/>
  <c r="R137" i="42"/>
  <c r="S136" i="42"/>
  <c r="T135" i="42"/>
  <c r="T136" i="40"/>
  <c r="S137" i="40"/>
  <c r="R138" i="40"/>
  <c r="R138" i="42"/>
  <c r="S137" i="42"/>
  <c r="T136" i="42"/>
  <c r="T137" i="40"/>
  <c r="R139" i="40"/>
  <c r="S138" i="40"/>
  <c r="S138" i="42"/>
  <c r="R139" i="42"/>
  <c r="T137" i="42"/>
  <c r="R140" i="40"/>
  <c r="S139" i="40"/>
  <c r="T138" i="40"/>
  <c r="T138" i="42"/>
  <c r="R140" i="42"/>
  <c r="S139" i="42"/>
  <c r="R141" i="40"/>
  <c r="S140" i="40"/>
  <c r="T139" i="40"/>
  <c r="R141" i="42"/>
  <c r="S140" i="42"/>
  <c r="T139" i="42"/>
  <c r="S141" i="40"/>
  <c r="R142" i="40"/>
  <c r="T140" i="40"/>
  <c r="S141" i="42"/>
  <c r="R142" i="42"/>
  <c r="T140" i="42"/>
  <c r="T141" i="40"/>
  <c r="R143" i="40"/>
  <c r="S142" i="40"/>
  <c r="T141" i="42"/>
  <c r="R143" i="42"/>
  <c r="S142" i="42"/>
  <c r="R144" i="40"/>
  <c r="S143" i="40"/>
  <c r="T142" i="40"/>
  <c r="R144" i="42"/>
  <c r="S143" i="42"/>
  <c r="T142" i="42"/>
  <c r="S144" i="40"/>
  <c r="R145" i="40"/>
  <c r="T143" i="40"/>
  <c r="R145" i="42"/>
  <c r="S144" i="42"/>
  <c r="T143" i="42"/>
  <c r="T144" i="40"/>
  <c r="S145" i="40"/>
  <c r="R146" i="40"/>
  <c r="R146" i="42"/>
  <c r="S145" i="42"/>
  <c r="T144" i="42"/>
  <c r="T145" i="40"/>
  <c r="S146" i="40"/>
  <c r="R147" i="40"/>
  <c r="S146" i="42"/>
  <c r="R147" i="42"/>
  <c r="T145" i="42"/>
  <c r="T146" i="40"/>
  <c r="S147" i="40"/>
  <c r="R148" i="40"/>
  <c r="T146" i="42"/>
  <c r="R148" i="42"/>
  <c r="S147" i="42"/>
  <c r="T147" i="40"/>
  <c r="R149" i="40"/>
  <c r="S148" i="40"/>
  <c r="S148" i="42"/>
  <c r="R149" i="42"/>
  <c r="T147" i="42"/>
  <c r="R150" i="40"/>
  <c r="S149" i="40"/>
  <c r="T148" i="40"/>
  <c r="T148" i="42"/>
  <c r="R150" i="42"/>
  <c r="S149" i="42"/>
  <c r="R151" i="40"/>
  <c r="S150" i="40"/>
  <c r="T149" i="40"/>
  <c r="S150" i="42"/>
  <c r="R151" i="42"/>
  <c r="T149" i="42"/>
  <c r="S151" i="40"/>
  <c r="R152" i="40"/>
  <c r="T150" i="40"/>
  <c r="T150" i="42"/>
  <c r="R152" i="42"/>
  <c r="S151" i="42"/>
  <c r="T151" i="40"/>
  <c r="R153" i="40"/>
  <c r="S152" i="40"/>
  <c r="R153" i="42"/>
  <c r="S152" i="42"/>
  <c r="T151" i="42"/>
  <c r="R154" i="40"/>
  <c r="S153" i="40"/>
  <c r="T152" i="40"/>
  <c r="S153" i="42"/>
  <c r="R154" i="42"/>
  <c r="T152" i="42"/>
  <c r="R155" i="40"/>
  <c r="S154" i="40"/>
  <c r="T153" i="40"/>
  <c r="T153" i="42"/>
  <c r="S154" i="42"/>
  <c r="R155" i="42"/>
  <c r="S155" i="40"/>
  <c r="R156" i="40"/>
  <c r="T154" i="40"/>
  <c r="T154" i="42"/>
  <c r="R156" i="42"/>
  <c r="S155" i="42"/>
  <c r="T155" i="40"/>
  <c r="S156" i="40"/>
  <c r="R157" i="40"/>
  <c r="R157" i="42"/>
  <c r="S156" i="42"/>
  <c r="T155" i="42"/>
  <c r="T156" i="40"/>
  <c r="S157" i="40"/>
  <c r="R158" i="40"/>
  <c r="R158" i="42"/>
  <c r="S157" i="42"/>
  <c r="T156" i="42"/>
  <c r="T157" i="40"/>
  <c r="S158" i="40"/>
  <c r="R159" i="40"/>
  <c r="S158" i="42"/>
  <c r="R159" i="42"/>
  <c r="T157" i="42"/>
  <c r="T158" i="40"/>
  <c r="R160" i="40"/>
  <c r="S159" i="40"/>
  <c r="T158" i="42"/>
  <c r="R160" i="42"/>
  <c r="S159" i="42"/>
  <c r="R161" i="40"/>
  <c r="S160" i="40"/>
  <c r="T159" i="40"/>
  <c r="R161" i="42"/>
  <c r="S160" i="42"/>
  <c r="T159" i="42"/>
  <c r="R162" i="40"/>
  <c r="S161" i="40"/>
  <c r="T160" i="40"/>
  <c r="S161" i="42"/>
  <c r="R162" i="42"/>
  <c r="T160" i="42"/>
  <c r="R163" i="40"/>
  <c r="S162" i="40"/>
  <c r="T161" i="40"/>
  <c r="T161" i="42"/>
  <c r="R163" i="42"/>
  <c r="S162" i="42"/>
  <c r="R164" i="40"/>
  <c r="S163" i="40"/>
  <c r="T162" i="40"/>
  <c r="S163" i="42"/>
  <c r="R164" i="42"/>
  <c r="T162" i="42"/>
  <c r="R165" i="40"/>
  <c r="S164" i="40"/>
  <c r="T163" i="40"/>
  <c r="T163" i="42"/>
  <c r="S164" i="42"/>
  <c r="R165" i="42"/>
  <c r="R166" i="40"/>
  <c r="S165" i="40"/>
  <c r="T164" i="40"/>
  <c r="T164" i="42"/>
  <c r="R166" i="42"/>
  <c r="S165" i="42"/>
  <c r="R167" i="40"/>
  <c r="S166" i="40"/>
  <c r="T165" i="40"/>
  <c r="S166" i="42"/>
  <c r="R167" i="42"/>
  <c r="T165" i="42"/>
  <c r="S167" i="40"/>
  <c r="R168" i="40"/>
  <c r="T166" i="40"/>
  <c r="T166" i="42"/>
  <c r="S167" i="42"/>
  <c r="R168" i="42"/>
  <c r="T167" i="40"/>
  <c r="S168" i="40"/>
  <c r="R169" i="40"/>
  <c r="T167" i="42"/>
  <c r="R169" i="42"/>
  <c r="S168" i="42"/>
  <c r="T168" i="40"/>
  <c r="S169" i="40"/>
  <c r="R170" i="40"/>
  <c r="R170" i="42"/>
  <c r="S169" i="42"/>
  <c r="T168" i="42"/>
  <c r="T169" i="40"/>
  <c r="R171" i="40"/>
  <c r="S170" i="40"/>
  <c r="S170" i="42"/>
  <c r="R171" i="42"/>
  <c r="T169" i="42"/>
  <c r="S171" i="40"/>
  <c r="R172" i="40"/>
  <c r="T170" i="40"/>
  <c r="T170" i="42"/>
  <c r="R172" i="42"/>
  <c r="S171" i="42"/>
  <c r="T171" i="40"/>
  <c r="S172" i="40"/>
  <c r="R173" i="40"/>
  <c r="R173" i="42"/>
  <c r="S172" i="42"/>
  <c r="T171" i="42"/>
  <c r="T172" i="40"/>
  <c r="R174" i="40"/>
  <c r="S173" i="40"/>
  <c r="R174" i="42"/>
  <c r="S173" i="42"/>
  <c r="T172" i="42"/>
  <c r="R175" i="40"/>
  <c r="S174" i="40"/>
  <c r="T173" i="40"/>
  <c r="S174" i="42"/>
  <c r="R175" i="42"/>
  <c r="T173" i="42"/>
  <c r="R176" i="40"/>
  <c r="S175" i="40"/>
  <c r="T174" i="40"/>
  <c r="T174" i="42"/>
  <c r="R176" i="42"/>
  <c r="S175" i="42"/>
  <c r="S176" i="40"/>
  <c r="R177" i="40"/>
  <c r="T175" i="40"/>
  <c r="S176" i="42"/>
  <c r="R177" i="42"/>
  <c r="T175" i="42"/>
  <c r="T176" i="40"/>
  <c r="R178" i="40"/>
  <c r="S177" i="40"/>
  <c r="T176" i="42"/>
  <c r="R178" i="42"/>
  <c r="S177" i="42"/>
  <c r="S178" i="40"/>
  <c r="R179" i="40"/>
  <c r="T177" i="40"/>
  <c r="R179" i="42"/>
  <c r="S178" i="42"/>
  <c r="T177" i="42"/>
  <c r="T178" i="40"/>
  <c r="R180" i="40"/>
  <c r="S179" i="40"/>
  <c r="R180" i="42"/>
  <c r="S179" i="42"/>
  <c r="T178" i="42"/>
  <c r="R181" i="40"/>
  <c r="S180" i="40"/>
  <c r="T179" i="40"/>
  <c r="S180" i="42"/>
  <c r="R181" i="42"/>
  <c r="T179" i="42"/>
  <c r="R182" i="40"/>
  <c r="S181" i="40"/>
  <c r="T180" i="40"/>
  <c r="T180" i="42"/>
  <c r="R182" i="42"/>
  <c r="S181" i="42"/>
  <c r="R183" i="40"/>
  <c r="S182" i="40"/>
  <c r="T181" i="40"/>
  <c r="S182" i="42"/>
  <c r="R183" i="42"/>
  <c r="T181" i="42"/>
  <c r="R184" i="40"/>
  <c r="S183" i="40"/>
  <c r="T182" i="40"/>
  <c r="T182" i="42"/>
  <c r="S183" i="42"/>
  <c r="R184" i="42"/>
  <c r="R185" i="40"/>
  <c r="S184" i="40"/>
  <c r="T183" i="40"/>
  <c r="T183" i="42"/>
  <c r="S184" i="42"/>
  <c r="R185" i="42"/>
  <c r="R186" i="40"/>
  <c r="S185" i="40"/>
  <c r="T184" i="40"/>
  <c r="T184" i="42"/>
  <c r="R186" i="42"/>
  <c r="S185" i="42"/>
  <c r="R187" i="40"/>
  <c r="S186" i="40"/>
  <c r="T185" i="40"/>
  <c r="R187" i="42"/>
  <c r="S186" i="42"/>
  <c r="T185" i="42"/>
  <c r="S187" i="40"/>
  <c r="R188" i="40"/>
  <c r="T186" i="40"/>
  <c r="R188" i="42"/>
  <c r="S187" i="42"/>
  <c r="T186" i="42"/>
  <c r="T187" i="40"/>
  <c r="S188" i="40"/>
  <c r="R189" i="40"/>
  <c r="S188" i="42"/>
  <c r="R189" i="42"/>
  <c r="T187" i="42"/>
  <c r="T188" i="40"/>
  <c r="R190" i="40"/>
  <c r="S189" i="40"/>
  <c r="T188" i="42"/>
  <c r="S189" i="42"/>
  <c r="R190" i="42"/>
  <c r="S190" i="40"/>
  <c r="R191" i="40"/>
  <c r="T189" i="40"/>
  <c r="T189" i="42"/>
  <c r="S190" i="42"/>
  <c r="R191" i="42"/>
  <c r="T190" i="40"/>
  <c r="R192" i="40"/>
  <c r="S191" i="40"/>
  <c r="T190" i="42"/>
  <c r="R192" i="42"/>
  <c r="S191" i="42"/>
  <c r="S192" i="40"/>
  <c r="R193" i="40"/>
  <c r="T191" i="40"/>
  <c r="R193" i="42"/>
  <c r="S192" i="42"/>
  <c r="T191" i="42"/>
  <c r="T192" i="40"/>
  <c r="R194" i="40"/>
  <c r="S193" i="40"/>
  <c r="R194" i="42"/>
  <c r="S193" i="42"/>
  <c r="T192" i="42"/>
  <c r="R195" i="40"/>
  <c r="S194" i="40"/>
  <c r="T193" i="40"/>
  <c r="R195" i="42"/>
  <c r="S194" i="42"/>
  <c r="T193" i="42"/>
  <c r="R196" i="40"/>
  <c r="S195" i="40"/>
  <c r="T194" i="40"/>
  <c r="R196" i="42"/>
  <c r="S195" i="42"/>
  <c r="T194" i="42"/>
  <c r="R197" i="40"/>
  <c r="S196" i="40"/>
  <c r="T195" i="40"/>
  <c r="R197" i="42"/>
  <c r="S196" i="42"/>
  <c r="T195" i="42"/>
  <c r="R198" i="40"/>
  <c r="S197" i="40"/>
  <c r="T196" i="40"/>
  <c r="R198" i="42"/>
  <c r="S197" i="42"/>
  <c r="T196" i="42"/>
  <c r="S198" i="40"/>
  <c r="R199" i="40"/>
  <c r="T197" i="40"/>
  <c r="S198" i="42"/>
  <c r="R199" i="42"/>
  <c r="T197" i="42"/>
  <c r="T198" i="40"/>
  <c r="R200" i="40"/>
  <c r="S199" i="40"/>
  <c r="T198" i="42"/>
  <c r="S199" i="42"/>
  <c r="R200" i="42"/>
  <c r="S200" i="40"/>
  <c r="R201" i="40"/>
  <c r="T199" i="40"/>
  <c r="T199" i="42"/>
  <c r="S200" i="42"/>
  <c r="R201" i="42"/>
  <c r="T200" i="40"/>
  <c r="R202" i="40"/>
  <c r="S201" i="40"/>
  <c r="T200" i="42"/>
  <c r="R202" i="42"/>
  <c r="S201" i="42"/>
  <c r="R203" i="40"/>
  <c r="S202" i="40"/>
  <c r="T201" i="40"/>
  <c r="R203" i="42"/>
  <c r="S202" i="42"/>
  <c r="T201" i="42"/>
  <c r="R204" i="40"/>
  <c r="S203" i="40"/>
  <c r="T202" i="40"/>
  <c r="R204" i="42"/>
  <c r="S203" i="42"/>
  <c r="T202" i="42"/>
  <c r="S204" i="40"/>
  <c r="R205" i="40"/>
  <c r="T203" i="40"/>
  <c r="R205" i="42"/>
  <c r="S204" i="42"/>
  <c r="T203" i="42"/>
  <c r="T204" i="40"/>
  <c r="R206" i="40"/>
  <c r="S205" i="40"/>
  <c r="R206" i="42"/>
  <c r="S205" i="42"/>
  <c r="T204" i="42"/>
  <c r="R207" i="40"/>
  <c r="S206" i="40"/>
  <c r="T205" i="40"/>
  <c r="S206" i="42"/>
  <c r="R207" i="42"/>
  <c r="T205" i="42"/>
  <c r="R208" i="40"/>
  <c r="S207" i="40"/>
  <c r="T206" i="40"/>
  <c r="T206" i="42"/>
  <c r="R208" i="42"/>
  <c r="S207" i="42"/>
  <c r="S208" i="40"/>
  <c r="R209" i="40"/>
  <c r="T207" i="40"/>
  <c r="S208" i="42"/>
  <c r="R209" i="42"/>
  <c r="T207" i="42"/>
  <c r="T208" i="40"/>
  <c r="S209" i="40"/>
  <c r="R210" i="40"/>
  <c r="T208" i="42"/>
  <c r="R210" i="42"/>
  <c r="S209" i="42"/>
  <c r="T209" i="40"/>
  <c r="S210" i="40"/>
  <c r="R211" i="40"/>
  <c r="R211" i="42"/>
  <c r="S210" i="42"/>
  <c r="T209" i="42"/>
  <c r="T210" i="40"/>
  <c r="S211" i="40"/>
  <c r="R212" i="40"/>
  <c r="R212" i="42"/>
  <c r="S211" i="42"/>
  <c r="T210" i="42"/>
  <c r="T211" i="40"/>
  <c r="R213" i="40"/>
  <c r="S212" i="40"/>
  <c r="R213" i="42"/>
  <c r="S212" i="42"/>
  <c r="T211" i="42"/>
  <c r="R214" i="40"/>
  <c r="S213" i="40"/>
  <c r="T212" i="40"/>
  <c r="S213" i="42"/>
  <c r="R214" i="42"/>
  <c r="T212" i="42"/>
  <c r="R215" i="40"/>
  <c r="S214" i="40"/>
  <c r="T213" i="40"/>
  <c r="T213" i="42"/>
  <c r="S214" i="42"/>
  <c r="R215" i="42"/>
  <c r="R216" i="40"/>
  <c r="S215" i="40"/>
  <c r="T214" i="40"/>
  <c r="T214" i="42"/>
  <c r="R216" i="42"/>
  <c r="S215" i="42"/>
  <c r="R217" i="40"/>
  <c r="S216" i="40"/>
  <c r="T215" i="40"/>
  <c r="S216" i="42"/>
  <c r="R217" i="42"/>
  <c r="T215" i="42"/>
  <c r="R218" i="40"/>
  <c r="S217" i="40"/>
  <c r="T216" i="40"/>
  <c r="T216" i="42"/>
  <c r="R218" i="42"/>
  <c r="S217" i="42"/>
  <c r="S218" i="40"/>
  <c r="R219" i="40"/>
  <c r="T217" i="40"/>
  <c r="S218" i="42"/>
  <c r="R219" i="42"/>
  <c r="T217" i="42"/>
  <c r="T218" i="40"/>
  <c r="R220" i="40"/>
  <c r="S219" i="40"/>
  <c r="T218" i="42"/>
  <c r="R220" i="42"/>
  <c r="S219" i="42"/>
  <c r="S220" i="40"/>
  <c r="R221" i="40"/>
  <c r="T219" i="40"/>
  <c r="R221" i="42"/>
  <c r="S220" i="42"/>
  <c r="T219" i="42"/>
  <c r="T220" i="40"/>
  <c r="R222" i="40"/>
  <c r="S221" i="40"/>
  <c r="R222" i="42"/>
  <c r="S221" i="42"/>
  <c r="T220" i="42"/>
  <c r="R223" i="40"/>
  <c r="S222" i="40"/>
  <c r="T221" i="40"/>
  <c r="S222" i="42"/>
  <c r="R223" i="42"/>
  <c r="T221" i="42"/>
  <c r="S223" i="40"/>
  <c r="R224" i="40"/>
  <c r="T222" i="40"/>
  <c r="T222" i="42"/>
  <c r="R224" i="42"/>
  <c r="S223" i="42"/>
  <c r="T223" i="40"/>
  <c r="S224" i="40"/>
  <c r="R225" i="40"/>
  <c r="S224" i="42"/>
  <c r="R225" i="42"/>
  <c r="T223" i="42"/>
  <c r="T224" i="40"/>
  <c r="R226" i="40"/>
  <c r="S225" i="40"/>
  <c r="T224" i="42"/>
  <c r="R226" i="42"/>
  <c r="S225" i="42"/>
  <c r="R227" i="40"/>
  <c r="S226" i="40"/>
  <c r="T225" i="40"/>
  <c r="S226" i="42"/>
  <c r="R227" i="42"/>
  <c r="T225" i="42"/>
  <c r="S227" i="40"/>
  <c r="R228" i="40"/>
  <c r="T226" i="40"/>
  <c r="T226" i="42"/>
  <c r="R228" i="42"/>
  <c r="S227" i="42"/>
  <c r="T227" i="40"/>
  <c r="S228" i="40"/>
  <c r="R229" i="40"/>
  <c r="R229" i="42"/>
  <c r="S228" i="42"/>
  <c r="T227" i="42"/>
  <c r="T228" i="40"/>
  <c r="R230" i="40"/>
  <c r="S229" i="40"/>
  <c r="S229" i="42"/>
  <c r="R230" i="42"/>
  <c r="T228" i="42"/>
  <c r="R231" i="40"/>
  <c r="S230" i="40"/>
  <c r="T229" i="40"/>
  <c r="T229" i="42"/>
  <c r="S230" i="42"/>
  <c r="R231" i="42"/>
  <c r="R232" i="40"/>
  <c r="S231" i="40"/>
  <c r="T230" i="40"/>
  <c r="T230" i="42"/>
  <c r="S231" i="42"/>
  <c r="R232" i="42"/>
  <c r="R233" i="40"/>
  <c r="S232" i="40"/>
  <c r="T231" i="40"/>
  <c r="T231" i="42"/>
  <c r="R233" i="42"/>
  <c r="S232" i="42"/>
  <c r="S233" i="40"/>
  <c r="R234" i="40"/>
  <c r="T232" i="40"/>
  <c r="R234" i="42"/>
  <c r="S233" i="42"/>
  <c r="T232" i="42"/>
  <c r="T233" i="40"/>
  <c r="R235" i="40"/>
  <c r="S234" i="40"/>
  <c r="S234" i="42"/>
  <c r="R235" i="42"/>
  <c r="T233" i="42"/>
  <c r="R236" i="40"/>
  <c r="S235" i="40"/>
  <c r="T234" i="40"/>
  <c r="T234" i="42"/>
  <c r="R236" i="42"/>
  <c r="S235" i="42"/>
  <c r="S236" i="40"/>
  <c r="R237" i="40"/>
  <c r="T235" i="40"/>
  <c r="S236" i="42"/>
  <c r="R237" i="42"/>
  <c r="T235" i="42"/>
  <c r="T236" i="40"/>
  <c r="R238" i="40"/>
  <c r="S237" i="40"/>
  <c r="T236" i="42"/>
  <c r="R238" i="42"/>
  <c r="S237" i="42"/>
  <c r="S238" i="40"/>
  <c r="R239" i="40"/>
  <c r="T237" i="40"/>
  <c r="S238" i="42"/>
  <c r="R239" i="42"/>
  <c r="T237" i="42"/>
  <c r="T238" i="40"/>
  <c r="R240" i="40"/>
  <c r="S239" i="40"/>
  <c r="T238" i="42"/>
  <c r="R240" i="42"/>
  <c r="S239" i="42"/>
  <c r="R241" i="40"/>
  <c r="S240" i="40"/>
  <c r="T239" i="40"/>
  <c r="S240" i="42"/>
  <c r="R241" i="42"/>
  <c r="T239" i="42"/>
  <c r="S241" i="40"/>
  <c r="R242" i="40"/>
  <c r="T240" i="40"/>
  <c r="T240" i="42"/>
  <c r="S241" i="42"/>
  <c r="R242" i="42"/>
  <c r="T241" i="40"/>
  <c r="R243" i="40"/>
  <c r="S242" i="40"/>
  <c r="T241" i="42"/>
  <c r="S242" i="42"/>
  <c r="R243" i="42"/>
  <c r="R244" i="40"/>
  <c r="S243" i="40"/>
  <c r="T242" i="40"/>
  <c r="T242" i="42"/>
  <c r="R244" i="42"/>
  <c r="S243" i="42"/>
  <c r="S244" i="40"/>
  <c r="R245" i="40"/>
  <c r="T243" i="40"/>
  <c r="R245" i="42"/>
  <c r="S244" i="42"/>
  <c r="T243" i="42"/>
  <c r="T244" i="40"/>
  <c r="R246" i="40"/>
  <c r="S245" i="40"/>
  <c r="R246" i="42"/>
  <c r="S245" i="42"/>
  <c r="T244" i="42"/>
  <c r="S246" i="40"/>
  <c r="R247" i="40"/>
  <c r="T245" i="40"/>
  <c r="S246" i="42"/>
  <c r="R247" i="42"/>
  <c r="T245" i="42"/>
  <c r="T246" i="40"/>
  <c r="S247" i="40"/>
  <c r="R248" i="40"/>
  <c r="T246" i="42"/>
  <c r="S247" i="42"/>
  <c r="R248" i="42"/>
  <c r="T247" i="40"/>
  <c r="S248" i="40"/>
  <c r="R249" i="40"/>
  <c r="T247" i="42"/>
  <c r="S248" i="42"/>
  <c r="R249" i="42"/>
  <c r="T248" i="40"/>
  <c r="R250" i="40"/>
  <c r="S249" i="40"/>
  <c r="T248" i="42"/>
  <c r="R250" i="42"/>
  <c r="S249" i="42"/>
  <c r="R251" i="40"/>
  <c r="S250" i="40"/>
  <c r="T249" i="40"/>
  <c r="R251" i="42"/>
  <c r="S250" i="42"/>
  <c r="T249" i="42"/>
  <c r="R252" i="40"/>
  <c r="S251" i="40"/>
  <c r="T250" i="40"/>
  <c r="S251" i="42"/>
  <c r="R252" i="42"/>
  <c r="T250" i="42"/>
  <c r="R253" i="40"/>
  <c r="S252" i="40"/>
  <c r="T251" i="40"/>
  <c r="T251" i="42"/>
  <c r="R253" i="42"/>
  <c r="S252" i="42"/>
  <c r="R254" i="40"/>
  <c r="S253" i="40"/>
  <c r="T252" i="40"/>
  <c r="S253" i="42"/>
  <c r="R254" i="42"/>
  <c r="T252" i="42"/>
  <c r="R255" i="40"/>
  <c r="S254" i="40"/>
  <c r="T253" i="40"/>
  <c r="T253" i="42"/>
  <c r="R255" i="42"/>
  <c r="S254" i="42"/>
  <c r="S255" i="40"/>
  <c r="R256" i="40"/>
  <c r="T254" i="40"/>
  <c r="S255" i="42"/>
  <c r="R256" i="42"/>
  <c r="T254" i="42"/>
  <c r="T255" i="40"/>
  <c r="R257" i="40"/>
  <c r="S256" i="40"/>
  <c r="T255" i="42"/>
  <c r="S256" i="42"/>
  <c r="R257" i="42"/>
  <c r="R258" i="40"/>
  <c r="S257" i="40"/>
  <c r="T256" i="40"/>
  <c r="T256" i="42"/>
  <c r="R258" i="42"/>
  <c r="S257" i="42"/>
  <c r="R259" i="40"/>
  <c r="S258" i="40"/>
  <c r="T257" i="40"/>
  <c r="S258" i="42"/>
  <c r="R259" i="42"/>
  <c r="T257" i="42"/>
  <c r="R260" i="40"/>
  <c r="S259" i="40"/>
  <c r="T258" i="40"/>
  <c r="T258" i="42"/>
  <c r="S259" i="42"/>
  <c r="R260" i="42"/>
  <c r="S260" i="40"/>
  <c r="R261" i="40"/>
  <c r="T259" i="40"/>
  <c r="T259" i="42"/>
  <c r="S260" i="42"/>
  <c r="R261" i="42"/>
  <c r="T260" i="40"/>
  <c r="R262" i="40"/>
  <c r="S261" i="40"/>
  <c r="T260" i="42"/>
  <c r="S261" i="42"/>
  <c r="S262" i="40"/>
  <c r="T261" i="40"/>
  <c r="T261" i="42"/>
  <c r="T262" i="40"/>
  <c r="Q9" i="48" l="1"/>
  <c r="Q10" i="48"/>
  <c r="Q3" i="48"/>
  <c r="Q4" i="48"/>
  <c r="Q5" i="48"/>
  <c r="Q13" i="48"/>
  <c r="W13" i="48" s="1"/>
  <c r="O5" i="48"/>
  <c r="O4" i="48"/>
  <c r="O3" i="48"/>
  <c r="T10" i="39"/>
  <c r="T9" i="39"/>
  <c r="T4" i="39"/>
  <c r="T5" i="39"/>
  <c r="T3" i="39"/>
  <c r="S4" i="39"/>
  <c r="S3" i="39"/>
  <c r="S5" i="39"/>
  <c r="Q4" i="49"/>
  <c r="Q3" i="49"/>
  <c r="Q5" i="49"/>
  <c r="Q10" i="49"/>
  <c r="Q9" i="49"/>
  <c r="Q13" i="49"/>
  <c r="W13" i="49" s="1"/>
  <c r="U5" i="39"/>
  <c r="U3" i="39"/>
  <c r="U4" i="39"/>
  <c r="U13" i="39"/>
  <c r="AA13" i="39" s="1"/>
  <c r="U9" i="39"/>
  <c r="U10" i="39"/>
  <c r="P9" i="49"/>
  <c r="P10" i="49"/>
  <c r="P5" i="49"/>
  <c r="P4" i="49"/>
  <c r="P3" i="49"/>
  <c r="S5" i="43"/>
  <c r="S3" i="43"/>
  <c r="S4" i="43"/>
  <c r="O4" i="49"/>
  <c r="O3" i="49"/>
  <c r="O5" i="49"/>
  <c r="T9" i="43"/>
  <c r="AA9" i="43" s="1" a="1"/>
  <c r="T10" i="43"/>
  <c r="T4" i="43"/>
  <c r="T3" i="43"/>
  <c r="T5" i="43"/>
  <c r="P10" i="48"/>
  <c r="P9" i="48"/>
  <c r="P3" i="48"/>
  <c r="P4" i="48"/>
  <c r="P5" i="48"/>
  <c r="U3" i="43"/>
  <c r="U4" i="43"/>
  <c r="U5" i="43"/>
  <c r="U10" i="43"/>
  <c r="U9" i="43"/>
  <c r="U13" i="43"/>
  <c r="AA13" i="43" s="1"/>
  <c r="AA3" i="39" l="1" a="1"/>
  <c r="W3" i="49" a="1"/>
  <c r="W9" i="49" a="1"/>
  <c r="AA3" i="43" a="1"/>
  <c r="AA9" i="39" a="1"/>
  <c r="AA10" i="43"/>
  <c r="AA9" i="43"/>
  <c r="AB9" i="43"/>
  <c r="AB10" i="43"/>
  <c r="W3" i="48" a="1"/>
  <c r="W9" i="48" a="1"/>
  <c r="AA9" i="39" l="1"/>
  <c r="AB10" i="39"/>
  <c r="AB9" i="39"/>
  <c r="AA10" i="39"/>
  <c r="AC5" i="43"/>
  <c r="AB4" i="43"/>
  <c r="AA5" i="43"/>
  <c r="AA4" i="43"/>
  <c r="AB3" i="43"/>
  <c r="AB5" i="43"/>
  <c r="AC4" i="43"/>
  <c r="AA3" i="43"/>
  <c r="AC3" i="43"/>
  <c r="W10" i="48"/>
  <c r="W9" i="48"/>
  <c r="X9" i="48"/>
  <c r="X10" i="48"/>
  <c r="X9" i="49"/>
  <c r="W9" i="49"/>
  <c r="X10" i="49"/>
  <c r="W10" i="49"/>
  <c r="W5" i="48"/>
  <c r="X4" i="48"/>
  <c r="X3" i="48"/>
  <c r="X5" i="48"/>
  <c r="W4" i="48"/>
  <c r="Y4" i="48"/>
  <c r="Y5" i="48"/>
  <c r="W3" i="48"/>
  <c r="Y3" i="48"/>
  <c r="X3" i="49"/>
  <c r="Y5" i="49"/>
  <c r="Y3" i="49"/>
  <c r="Y4" i="49"/>
  <c r="X5" i="49"/>
  <c r="X4" i="49"/>
  <c r="W4" i="49"/>
  <c r="W5" i="49"/>
  <c r="W3" i="49"/>
  <c r="AC4" i="39"/>
  <c r="AA5" i="39"/>
  <c r="AC3" i="39"/>
  <c r="AC5" i="39"/>
  <c r="AA4" i="39"/>
  <c r="AB3" i="39"/>
  <c r="AA3" i="39"/>
  <c r="AB5" i="39"/>
  <c r="AB4" i="39"/>
  <c r="I19" i="29" l="1"/>
  <c r="W262" i="40"/>
  <c r="W261" i="42"/>
  <c r="W261" i="40"/>
  <c r="V262" i="40"/>
  <c r="V261" i="42"/>
  <c r="W260" i="42"/>
  <c r="V261" i="40"/>
  <c r="W260" i="40"/>
  <c r="V260" i="42"/>
  <c r="W259" i="42"/>
  <c r="W259" i="40"/>
  <c r="V260" i="40"/>
  <c r="V259" i="42"/>
  <c r="W258" i="42"/>
  <c r="W258" i="40"/>
  <c r="V259" i="40"/>
  <c r="W257" i="42"/>
  <c r="V258" i="42"/>
  <c r="W257" i="40"/>
  <c r="V258" i="40"/>
  <c r="V257" i="42"/>
  <c r="W256" i="42"/>
  <c r="W256" i="40"/>
  <c r="V257" i="40"/>
  <c r="V256" i="42"/>
  <c r="W255" i="42"/>
  <c r="V256" i="40"/>
  <c r="W255" i="40"/>
  <c r="W254" i="42"/>
  <c r="V255" i="42"/>
  <c r="W254" i="40"/>
  <c r="V255" i="40"/>
  <c r="V254" i="42"/>
  <c r="W253" i="42"/>
  <c r="W253" i="40"/>
  <c r="V254" i="40"/>
  <c r="W252" i="42"/>
  <c r="V253" i="42"/>
  <c r="W252" i="40"/>
  <c r="V253" i="40"/>
  <c r="V252" i="42"/>
  <c r="W251" i="42"/>
  <c r="W251" i="40"/>
  <c r="V252" i="40"/>
  <c r="W250" i="42"/>
  <c r="V251" i="42"/>
  <c r="W250" i="40"/>
  <c r="V251" i="40"/>
  <c r="W249" i="42"/>
  <c r="V250" i="42"/>
  <c r="W249" i="40"/>
  <c r="V250" i="40"/>
  <c r="V249" i="42"/>
  <c r="W248" i="42"/>
  <c r="V249" i="40"/>
  <c r="W248" i="40"/>
  <c r="V248" i="42"/>
  <c r="W247" i="42"/>
  <c r="V248" i="40"/>
  <c r="W247" i="40"/>
  <c r="V247" i="42"/>
  <c r="W246" i="42"/>
  <c r="V247" i="40"/>
  <c r="W246" i="40"/>
  <c r="W245" i="42"/>
  <c r="V246" i="42"/>
  <c r="W245" i="40"/>
  <c r="V246" i="40"/>
  <c r="W244" i="42"/>
  <c r="V245" i="42"/>
  <c r="V245" i="40"/>
  <c r="W244" i="40"/>
  <c r="W243" i="42"/>
  <c r="V244" i="42"/>
  <c r="W243" i="40"/>
  <c r="V244" i="40"/>
  <c r="V243" i="42"/>
  <c r="W242" i="42"/>
  <c r="W242" i="40"/>
  <c r="V243" i="40"/>
  <c r="V242" i="42"/>
  <c r="W241" i="42"/>
  <c r="V242" i="40"/>
  <c r="W241" i="40"/>
  <c r="V241" i="42"/>
  <c r="W240" i="42"/>
  <c r="W240" i="40"/>
  <c r="V241" i="40"/>
  <c r="W239" i="42"/>
  <c r="V240" i="42"/>
  <c r="W239" i="40"/>
  <c r="V240" i="40"/>
  <c r="V239" i="42"/>
  <c r="W238" i="42"/>
  <c r="V239" i="40"/>
  <c r="W238" i="40"/>
  <c r="W237" i="42"/>
  <c r="V238" i="42"/>
  <c r="W237" i="40"/>
  <c r="V238" i="40"/>
  <c r="V237" i="42"/>
  <c r="W236" i="42"/>
  <c r="V237" i="40"/>
  <c r="W236" i="40"/>
  <c r="W235" i="42"/>
  <c r="V236" i="42"/>
  <c r="W235" i="40"/>
  <c r="V236" i="40"/>
  <c r="V235" i="42"/>
  <c r="W234" i="42"/>
  <c r="W234" i="40"/>
  <c r="V235" i="40"/>
  <c r="W233" i="42"/>
  <c r="V234" i="42"/>
  <c r="V234" i="40"/>
  <c r="W233" i="40"/>
  <c r="W232" i="42"/>
  <c r="V233" i="42"/>
  <c r="W232" i="40"/>
  <c r="V233" i="40"/>
  <c r="V232" i="42"/>
  <c r="W231" i="42"/>
  <c r="W231" i="40"/>
  <c r="V232" i="40"/>
  <c r="V231" i="42"/>
  <c r="W230" i="42"/>
  <c r="W230" i="40"/>
  <c r="V231" i="40"/>
  <c r="V230" i="42"/>
  <c r="W229" i="42"/>
  <c r="W229" i="40"/>
  <c r="V230" i="40"/>
  <c r="W228" i="42"/>
  <c r="V229" i="42"/>
  <c r="V229" i="40"/>
  <c r="W228" i="40"/>
  <c r="W227" i="42"/>
  <c r="V228" i="42"/>
  <c r="V228" i="40"/>
  <c r="W227" i="40"/>
  <c r="V227" i="42"/>
  <c r="W226" i="42"/>
  <c r="W226" i="40"/>
  <c r="V227" i="40"/>
  <c r="W225" i="42"/>
  <c r="V226" i="42"/>
  <c r="W225" i="40"/>
  <c r="V226" i="40"/>
  <c r="V225" i="42"/>
  <c r="W224" i="42"/>
  <c r="V225" i="40"/>
  <c r="W224" i="40"/>
  <c r="W223" i="42"/>
  <c r="V224" i="42"/>
  <c r="V224" i="40"/>
  <c r="W223" i="40"/>
  <c r="V223" i="42"/>
  <c r="W222" i="42"/>
  <c r="W222" i="40"/>
  <c r="V223" i="40"/>
  <c r="W221" i="42"/>
  <c r="V222" i="42"/>
  <c r="W221" i="40"/>
  <c r="V222" i="40"/>
  <c r="W220" i="42"/>
  <c r="V221" i="42"/>
  <c r="V221" i="40"/>
  <c r="W220" i="40"/>
  <c r="W219" i="42"/>
  <c r="V220" i="42"/>
  <c r="W219" i="40"/>
  <c r="V220" i="40"/>
  <c r="V219" i="42"/>
  <c r="W218" i="42"/>
  <c r="V219" i="40"/>
  <c r="W218" i="40"/>
  <c r="W217" i="42"/>
  <c r="V218" i="42"/>
  <c r="W217" i="40"/>
  <c r="V218" i="40"/>
  <c r="V217" i="42"/>
  <c r="W216" i="42"/>
  <c r="W216" i="40"/>
  <c r="V217" i="40"/>
  <c r="W215" i="42"/>
  <c r="V216" i="42"/>
  <c r="W215" i="40"/>
  <c r="V216" i="40"/>
  <c r="V215" i="42"/>
  <c r="W214" i="42"/>
  <c r="W214" i="40"/>
  <c r="V215" i="40"/>
  <c r="V214" i="42"/>
  <c r="W213" i="42"/>
  <c r="W213" i="40"/>
  <c r="V214" i="40"/>
  <c r="W212" i="42"/>
  <c r="V213" i="42"/>
  <c r="W212" i="40"/>
  <c r="V213" i="40"/>
  <c r="W211" i="42"/>
  <c r="V212" i="42"/>
  <c r="V212" i="40"/>
  <c r="W211" i="40"/>
  <c r="W210" i="42"/>
  <c r="V211" i="42"/>
  <c r="V211" i="40"/>
  <c r="W210" i="40"/>
  <c r="W209" i="42"/>
  <c r="V210" i="42"/>
  <c r="V210" i="40"/>
  <c r="W209" i="40"/>
  <c r="V209" i="42"/>
  <c r="W208" i="42"/>
  <c r="V209" i="40"/>
  <c r="W208" i="40"/>
  <c r="W207" i="42"/>
  <c r="V208" i="42"/>
  <c r="W207" i="40"/>
  <c r="V208" i="40"/>
  <c r="V207" i="42"/>
  <c r="W206" i="42"/>
  <c r="W206" i="40"/>
  <c r="V207" i="40"/>
  <c r="W205" i="42"/>
  <c r="V206" i="42"/>
  <c r="W205" i="40"/>
  <c r="V206" i="40"/>
  <c r="W204" i="42"/>
  <c r="V205" i="42"/>
  <c r="V205" i="40"/>
  <c r="W204" i="40"/>
  <c r="W203" i="42"/>
  <c r="V204" i="42"/>
  <c r="W203" i="40"/>
  <c r="V204" i="40"/>
  <c r="W202" i="42"/>
  <c r="V203" i="42"/>
  <c r="W202" i="40"/>
  <c r="V203" i="40"/>
  <c r="W201" i="42"/>
  <c r="V202" i="42"/>
  <c r="W201" i="40"/>
  <c r="V202" i="40"/>
  <c r="V201" i="42"/>
  <c r="W200" i="42"/>
  <c r="V201" i="40"/>
  <c r="W200" i="40"/>
  <c r="V200" i="42"/>
  <c r="W199" i="42"/>
  <c r="W199" i="40"/>
  <c r="V200" i="40"/>
  <c r="V199" i="42"/>
  <c r="W198" i="42"/>
  <c r="V199" i="40"/>
  <c r="W198" i="40"/>
  <c r="W197" i="42"/>
  <c r="V198" i="42"/>
  <c r="W197" i="40"/>
  <c r="V198" i="40"/>
  <c r="W196" i="42"/>
  <c r="V197" i="42"/>
  <c r="W196" i="40"/>
  <c r="V197" i="40"/>
  <c r="W195" i="42"/>
  <c r="V196" i="42"/>
  <c r="W195" i="40"/>
  <c r="V196" i="40"/>
  <c r="W194" i="42"/>
  <c r="V195" i="42"/>
  <c r="W194" i="40"/>
  <c r="V195" i="40"/>
  <c r="W193" i="42"/>
  <c r="V194" i="42"/>
  <c r="W193" i="40"/>
  <c r="V194" i="40"/>
  <c r="W192" i="42"/>
  <c r="V193" i="42"/>
  <c r="V193" i="40"/>
  <c r="W192" i="40"/>
  <c r="W191" i="42"/>
  <c r="V192" i="42"/>
  <c r="W191" i="40"/>
  <c r="V192" i="40"/>
  <c r="V191" i="42"/>
  <c r="W190" i="42"/>
  <c r="V191" i="40"/>
  <c r="W190" i="40"/>
  <c r="V190" i="42"/>
  <c r="W189" i="42"/>
  <c r="W189" i="40"/>
  <c r="V190" i="40"/>
  <c r="V189" i="42"/>
  <c r="W188" i="42"/>
  <c r="V189" i="40"/>
  <c r="W188" i="40"/>
  <c r="W187" i="42"/>
  <c r="V188" i="42"/>
  <c r="V188" i="40"/>
  <c r="W187" i="40"/>
  <c r="W186" i="42"/>
  <c r="V187" i="42"/>
  <c r="W186" i="40"/>
  <c r="V187" i="40"/>
  <c r="W185" i="42"/>
  <c r="V186" i="42"/>
  <c r="W185" i="40"/>
  <c r="V186" i="40"/>
  <c r="V185" i="42"/>
  <c r="W184" i="42"/>
  <c r="W184" i="40"/>
  <c r="V185" i="40"/>
  <c r="V184" i="42"/>
  <c r="W183" i="42"/>
  <c r="W183" i="40"/>
  <c r="V184" i="40"/>
  <c r="V183" i="42"/>
  <c r="W182" i="42"/>
  <c r="W182" i="40"/>
  <c r="V183" i="40"/>
  <c r="W181" i="42"/>
  <c r="V182" i="42"/>
  <c r="W181" i="40"/>
  <c r="V182" i="40"/>
  <c r="V181" i="42"/>
  <c r="W180" i="42"/>
  <c r="W180" i="40"/>
  <c r="V181" i="40"/>
  <c r="W179" i="42"/>
  <c r="V180" i="42"/>
  <c r="W179" i="40"/>
  <c r="V180" i="40"/>
  <c r="W178" i="42"/>
  <c r="V179" i="42"/>
  <c r="V179" i="40"/>
  <c r="W178" i="40"/>
  <c r="W177" i="42"/>
  <c r="V178" i="42"/>
  <c r="W177" i="40"/>
  <c r="V178" i="40"/>
  <c r="V177" i="42"/>
  <c r="W176" i="42"/>
  <c r="V177" i="40"/>
  <c r="W176" i="40"/>
  <c r="W175" i="42"/>
  <c r="V176" i="42"/>
  <c r="W175" i="40"/>
  <c r="V176" i="40"/>
  <c r="V175" i="42"/>
  <c r="W174" i="42"/>
  <c r="W174" i="40"/>
  <c r="V175" i="40"/>
  <c r="W173" i="42"/>
  <c r="V174" i="42"/>
  <c r="W173" i="40"/>
  <c r="V174" i="40"/>
  <c r="W172" i="42"/>
  <c r="V173" i="42"/>
  <c r="V173" i="40"/>
  <c r="W172" i="40"/>
  <c r="W171" i="42"/>
  <c r="V172" i="42"/>
  <c r="V172" i="40"/>
  <c r="W171" i="40"/>
  <c r="V171" i="42"/>
  <c r="W170" i="42"/>
  <c r="W170" i="40"/>
  <c r="V171" i="40"/>
  <c r="W169" i="42"/>
  <c r="V170" i="42"/>
  <c r="V170" i="40"/>
  <c r="W169" i="40"/>
  <c r="W168" i="42"/>
  <c r="V169" i="42"/>
  <c r="V169" i="40"/>
  <c r="W168" i="40"/>
  <c r="V168" i="42"/>
  <c r="W167" i="42"/>
  <c r="V168" i="40"/>
  <c r="W167" i="40"/>
  <c r="V167" i="42"/>
  <c r="W166" i="42"/>
  <c r="W166" i="40"/>
  <c r="V167" i="40"/>
  <c r="W165" i="42"/>
  <c r="V166" i="42"/>
  <c r="W165" i="40"/>
  <c r="V166" i="40"/>
  <c r="V165" i="42"/>
  <c r="W164" i="42"/>
  <c r="W164" i="40"/>
  <c r="V165" i="40"/>
  <c r="V164" i="42"/>
  <c r="W163" i="42"/>
  <c r="W163" i="40"/>
  <c r="V164" i="40"/>
  <c r="W162" i="42"/>
  <c r="V163" i="42"/>
  <c r="W162" i="40"/>
  <c r="V163" i="40"/>
  <c r="V162" i="42"/>
  <c r="W161" i="42"/>
  <c r="W161" i="40"/>
  <c r="V162" i="40"/>
  <c r="W160" i="42"/>
  <c r="V161" i="42"/>
  <c r="W160" i="40"/>
  <c r="V161" i="40"/>
  <c r="W159" i="42"/>
  <c r="V160" i="42"/>
  <c r="W159" i="40"/>
  <c r="V160" i="40"/>
  <c r="V159" i="42"/>
  <c r="W158" i="42"/>
  <c r="V159" i="40"/>
  <c r="W158" i="40"/>
  <c r="W157" i="42"/>
  <c r="V158" i="42"/>
  <c r="V158" i="40"/>
  <c r="W157" i="40"/>
  <c r="W156" i="42"/>
  <c r="V157" i="42"/>
  <c r="V157" i="40"/>
  <c r="W156" i="40"/>
  <c r="W155" i="42"/>
  <c r="V156" i="42"/>
  <c r="V156" i="40"/>
  <c r="W155" i="40"/>
  <c r="V155" i="42"/>
  <c r="W154" i="42"/>
  <c r="W154" i="40"/>
  <c r="V155" i="40"/>
  <c r="V154" i="42"/>
  <c r="W153" i="42"/>
  <c r="W153" i="40"/>
  <c r="V154" i="40"/>
  <c r="W152" i="42"/>
  <c r="V153" i="42"/>
  <c r="W152" i="40"/>
  <c r="V153" i="40"/>
  <c r="W151" i="42"/>
  <c r="V152" i="42"/>
  <c r="V152" i="40"/>
  <c r="W151" i="40"/>
  <c r="V151" i="42"/>
  <c r="W150" i="42"/>
  <c r="W150" i="40"/>
  <c r="V151" i="40"/>
  <c r="W149" i="42"/>
  <c r="V150" i="42"/>
  <c r="W149" i="40"/>
  <c r="V150" i="40"/>
  <c r="V149" i="42"/>
  <c r="W148" i="42"/>
  <c r="W148" i="40"/>
  <c r="V149" i="40"/>
  <c r="W147" i="42"/>
  <c r="V148" i="42"/>
  <c r="V148" i="40"/>
  <c r="W147" i="40"/>
  <c r="V147" i="42"/>
  <c r="W146" i="42"/>
  <c r="V147" i="40"/>
  <c r="W146" i="40"/>
  <c r="W145" i="42"/>
  <c r="V146" i="42"/>
  <c r="V146" i="40"/>
  <c r="W145" i="40"/>
  <c r="W144" i="42"/>
  <c r="V145" i="42"/>
  <c r="V145" i="40"/>
  <c r="W144" i="40"/>
  <c r="W143" i="42"/>
  <c r="V144" i="42"/>
  <c r="W143" i="40"/>
  <c r="V144" i="40"/>
  <c r="W142" i="42"/>
  <c r="V143" i="42"/>
  <c r="W142" i="40"/>
  <c r="V143" i="40"/>
  <c r="V142" i="42"/>
  <c r="W141" i="42"/>
  <c r="V142" i="40"/>
  <c r="W141" i="40"/>
  <c r="W140" i="42"/>
  <c r="V141" i="42"/>
  <c r="W140" i="40"/>
  <c r="V141" i="40"/>
  <c r="W139" i="42"/>
  <c r="V140" i="42"/>
  <c r="W139" i="40"/>
  <c r="V140" i="40"/>
  <c r="V139" i="42"/>
  <c r="W138" i="42"/>
  <c r="W138" i="40"/>
  <c r="V139" i="40"/>
  <c r="W137" i="42"/>
  <c r="V138" i="42"/>
  <c r="V138" i="40"/>
  <c r="W137" i="40"/>
  <c r="W136" i="42"/>
  <c r="V137" i="42"/>
  <c r="V137" i="40"/>
  <c r="W136" i="40"/>
  <c r="W135" i="42"/>
  <c r="V136" i="42"/>
  <c r="W135" i="40"/>
  <c r="V136" i="40"/>
  <c r="W134" i="42"/>
  <c r="V135" i="42"/>
  <c r="W134" i="40"/>
  <c r="V135" i="40"/>
  <c r="W133" i="42"/>
  <c r="V134" i="42"/>
  <c r="W133" i="40"/>
  <c r="V134" i="40"/>
  <c r="W132" i="42"/>
  <c r="V133" i="42"/>
  <c r="W132" i="40"/>
  <c r="V133" i="40"/>
  <c r="V132" i="42"/>
  <c r="W131" i="42"/>
  <c r="W131" i="40"/>
  <c r="V132" i="40"/>
  <c r="V131" i="42"/>
  <c r="W130" i="42"/>
  <c r="V131" i="40"/>
  <c r="W130" i="40"/>
  <c r="V130" i="42"/>
  <c r="W129" i="42"/>
  <c r="W129" i="40"/>
  <c r="V130" i="40"/>
  <c r="V129" i="42"/>
  <c r="W128" i="42"/>
  <c r="V129" i="40"/>
  <c r="W128" i="40"/>
  <c r="V128" i="42"/>
  <c r="W127" i="42"/>
  <c r="V128" i="40"/>
  <c r="W127" i="40"/>
  <c r="V127" i="42"/>
  <c r="W126" i="42"/>
  <c r="W126" i="40"/>
  <c r="V127" i="40"/>
  <c r="W125" i="42"/>
  <c r="V126" i="42"/>
  <c r="V126" i="40"/>
  <c r="W125" i="40"/>
  <c r="V125" i="42"/>
  <c r="W124" i="42"/>
  <c r="W124" i="40"/>
  <c r="V125" i="40"/>
  <c r="W123" i="42"/>
  <c r="V124" i="42"/>
  <c r="V124" i="40"/>
  <c r="W123" i="40"/>
  <c r="W122" i="42"/>
  <c r="V123" i="42"/>
  <c r="V123" i="40"/>
  <c r="W122" i="40"/>
  <c r="W121" i="42"/>
  <c r="V122" i="42"/>
  <c r="V122" i="40"/>
  <c r="W121" i="40"/>
  <c r="V121" i="42"/>
  <c r="W120" i="42"/>
  <c r="V121" i="40"/>
  <c r="W120" i="40"/>
  <c r="V120" i="42"/>
  <c r="W119" i="42"/>
  <c r="W119" i="40"/>
  <c r="V120" i="40"/>
  <c r="W118" i="42"/>
  <c r="V119" i="42"/>
  <c r="V119" i="40"/>
  <c r="W118" i="40"/>
  <c r="W117" i="42"/>
  <c r="V118" i="42"/>
  <c r="V118" i="40"/>
  <c r="W117" i="40"/>
  <c r="W116" i="42"/>
  <c r="V117" i="42"/>
  <c r="W116" i="40"/>
  <c r="V117" i="40"/>
  <c r="W115" i="42"/>
  <c r="V116" i="42"/>
  <c r="V116" i="40"/>
  <c r="W115" i="40"/>
  <c r="V115" i="42"/>
  <c r="W114" i="42"/>
  <c r="V115" i="40"/>
  <c r="W114" i="40"/>
  <c r="V114" i="42"/>
  <c r="W113" i="42"/>
  <c r="W113" i="40"/>
  <c r="V114" i="40"/>
  <c r="W112" i="42"/>
  <c r="V113" i="42"/>
  <c r="W112" i="40"/>
  <c r="V113" i="40"/>
  <c r="V112" i="42"/>
  <c r="W111" i="42"/>
  <c r="V112" i="40"/>
  <c r="W111" i="40"/>
  <c r="V111" i="42"/>
  <c r="W110" i="42"/>
  <c r="V111" i="40"/>
  <c r="W110" i="40"/>
  <c r="V110" i="42"/>
  <c r="W109" i="42"/>
  <c r="V110" i="40"/>
  <c r="W109" i="40"/>
  <c r="W108" i="42"/>
  <c r="V109" i="42"/>
  <c r="W108" i="40"/>
  <c r="V109" i="40"/>
  <c r="V108" i="42"/>
  <c r="W107" i="42"/>
  <c r="V108" i="40"/>
  <c r="W107" i="40"/>
  <c r="V107" i="42"/>
  <c r="W106" i="42"/>
  <c r="W106" i="40"/>
  <c r="V107" i="40"/>
  <c r="W105" i="42"/>
  <c r="V106" i="42"/>
  <c r="W105" i="40"/>
  <c r="V106" i="40"/>
  <c r="W104" i="42"/>
  <c r="V105" i="42"/>
  <c r="V105" i="40"/>
  <c r="W104" i="40"/>
  <c r="V104" i="42"/>
  <c r="W103" i="42"/>
  <c r="V104" i="40"/>
  <c r="W103" i="40"/>
  <c r="W102" i="42"/>
  <c r="V103" i="42"/>
  <c r="V103" i="40"/>
  <c r="W102" i="40"/>
  <c r="V102" i="42"/>
  <c r="W101" i="42"/>
  <c r="V102" i="40"/>
  <c r="W101" i="40"/>
  <c r="V101" i="42"/>
  <c r="W100" i="42"/>
  <c r="W100" i="40"/>
  <c r="V101" i="40"/>
  <c r="W99" i="42"/>
  <c r="V100" i="42"/>
  <c r="W99" i="40"/>
  <c r="V100" i="40"/>
  <c r="W98" i="42"/>
  <c r="V99" i="42"/>
  <c r="V99" i="40"/>
  <c r="W98" i="40"/>
  <c r="W97" i="42"/>
  <c r="V98" i="42"/>
  <c r="V98" i="40"/>
  <c r="W97" i="40"/>
  <c r="V97" i="42"/>
  <c r="W96" i="42"/>
  <c r="V97" i="40"/>
  <c r="W96" i="40"/>
  <c r="V96" i="42"/>
  <c r="W95" i="42"/>
  <c r="V96" i="40"/>
  <c r="W95" i="40"/>
  <c r="V95" i="42"/>
  <c r="W94" i="42"/>
  <c r="V95" i="40"/>
  <c r="W94" i="40"/>
  <c r="W93" i="42"/>
  <c r="V94" i="42"/>
  <c r="W93" i="40"/>
  <c r="V94" i="40"/>
  <c r="W92" i="42"/>
  <c r="V93" i="42"/>
  <c r="W92" i="40"/>
  <c r="V93" i="40"/>
  <c r="V92" i="42"/>
  <c r="W91" i="42"/>
  <c r="W91" i="40"/>
  <c r="V92" i="40"/>
  <c r="W90" i="42"/>
  <c r="V91" i="42"/>
  <c r="V91" i="40"/>
  <c r="W90" i="40"/>
  <c r="W89" i="42"/>
  <c r="V90" i="42"/>
  <c r="W89" i="40"/>
  <c r="V90" i="40"/>
  <c r="V89" i="42"/>
  <c r="W88" i="42"/>
  <c r="W88" i="40"/>
  <c r="V89" i="40"/>
  <c r="W87" i="42"/>
  <c r="V88" i="42"/>
  <c r="V88" i="40"/>
  <c r="W87" i="40"/>
  <c r="V87" i="42"/>
  <c r="W86" i="42"/>
  <c r="V87" i="40"/>
  <c r="W86" i="40"/>
  <c r="V86" i="42"/>
  <c r="W85" i="42"/>
  <c r="W85" i="40"/>
  <c r="V86" i="40"/>
  <c r="V85" i="42"/>
  <c r="W84" i="42"/>
  <c r="V85" i="40"/>
  <c r="W84" i="40"/>
  <c r="V84" i="42"/>
  <c r="W83" i="42"/>
  <c r="V84" i="40"/>
  <c r="W83" i="40"/>
  <c r="V83" i="42"/>
  <c r="W82" i="42"/>
  <c r="V83" i="40"/>
  <c r="W82" i="40"/>
  <c r="W81" i="42"/>
  <c r="V82" i="42"/>
  <c r="V82" i="40"/>
  <c r="W81" i="40"/>
  <c r="V81" i="42"/>
  <c r="W80" i="42"/>
  <c r="W80" i="40"/>
  <c r="V81" i="40"/>
  <c r="W79" i="42"/>
  <c r="V80" i="42"/>
  <c r="W79" i="40"/>
  <c r="V80" i="40"/>
  <c r="V79" i="42"/>
  <c r="W78" i="42"/>
  <c r="V79" i="40"/>
  <c r="W78" i="40"/>
  <c r="V78" i="42"/>
  <c r="W77" i="42"/>
  <c r="W77" i="40"/>
  <c r="V78" i="40"/>
  <c r="W76" i="42"/>
  <c r="V77" i="42"/>
  <c r="W76" i="40"/>
  <c r="V77" i="40"/>
  <c r="V76" i="42"/>
  <c r="W75" i="42"/>
  <c r="V76" i="40"/>
  <c r="W75" i="40"/>
  <c r="W74" i="42"/>
  <c r="V75" i="42"/>
  <c r="V75" i="40"/>
  <c r="W74" i="40"/>
  <c r="W73" i="42"/>
  <c r="V74" i="42"/>
  <c r="W73" i="40"/>
  <c r="V74" i="40"/>
  <c r="V73" i="42"/>
  <c r="W72" i="42"/>
  <c r="W72" i="40"/>
  <c r="V73" i="40"/>
  <c r="W71" i="42"/>
  <c r="V72" i="42"/>
  <c r="W71" i="40"/>
  <c r="V72" i="40"/>
  <c r="W70" i="42"/>
  <c r="V71" i="42"/>
  <c r="W70" i="40"/>
  <c r="V71" i="40"/>
  <c r="W69" i="42"/>
  <c r="V70" i="42"/>
  <c r="W69" i="40"/>
  <c r="V70" i="40"/>
  <c r="V69" i="42"/>
  <c r="W68" i="42"/>
  <c r="V69" i="40"/>
  <c r="W68" i="40"/>
  <c r="W67" i="42"/>
  <c r="V68" i="42"/>
  <c r="V68" i="40"/>
  <c r="W67" i="40"/>
  <c r="V67" i="42"/>
  <c r="W66" i="42"/>
  <c r="W66" i="40"/>
  <c r="V67" i="40"/>
  <c r="W65" i="42"/>
  <c r="V66" i="42"/>
  <c r="W65" i="40"/>
  <c r="V66" i="40"/>
  <c r="V65" i="42"/>
  <c r="W64" i="42"/>
  <c r="V65" i="40"/>
  <c r="W64" i="40"/>
  <c r="V64" i="42"/>
  <c r="W63" i="42"/>
  <c r="V64" i="40"/>
  <c r="W63" i="40"/>
  <c r="W62" i="42"/>
  <c r="V63" i="42"/>
  <c r="V63" i="40"/>
  <c r="W62" i="40"/>
  <c r="V62" i="42"/>
  <c r="W61" i="42"/>
  <c r="W61" i="40"/>
  <c r="V62" i="40"/>
  <c r="W60" i="42"/>
  <c r="V61" i="42"/>
  <c r="W60" i="40"/>
  <c r="V61" i="40"/>
  <c r="V60" i="42"/>
  <c r="W59" i="42"/>
  <c r="W59" i="40"/>
  <c r="V60" i="40"/>
  <c r="W58" i="42"/>
  <c r="V59" i="42"/>
  <c r="W58" i="40"/>
  <c r="V59" i="40"/>
  <c r="V58" i="42"/>
  <c r="W57" i="42"/>
  <c r="W57" i="40"/>
  <c r="V58" i="40"/>
  <c r="V57" i="42"/>
  <c r="W56" i="42"/>
  <c r="W56" i="40"/>
  <c r="V57" i="40"/>
  <c r="W55" i="42"/>
  <c r="V56" i="42"/>
  <c r="W55" i="40"/>
  <c r="V56" i="40"/>
  <c r="V55" i="42"/>
  <c r="W54" i="42"/>
  <c r="V55" i="40"/>
  <c r="W54" i="40"/>
  <c r="W53" i="42"/>
  <c r="V54" i="42"/>
  <c r="W53" i="40"/>
  <c r="V54" i="40"/>
  <c r="W52" i="42"/>
  <c r="V53" i="42"/>
  <c r="V53" i="40"/>
  <c r="W52" i="40"/>
  <c r="W51" i="42"/>
  <c r="V52" i="42"/>
  <c r="W51" i="40"/>
  <c r="V52" i="40"/>
  <c r="W50" i="42"/>
  <c r="V51" i="42"/>
  <c r="W50" i="40"/>
  <c r="V51" i="40"/>
  <c r="W49" i="42"/>
  <c r="V50" i="42"/>
  <c r="V50" i="40"/>
  <c r="W49" i="40"/>
  <c r="V49" i="42"/>
  <c r="W48" i="42"/>
  <c r="W48" i="40"/>
  <c r="V49" i="40"/>
  <c r="W47" i="42"/>
  <c r="V48" i="42"/>
  <c r="V48" i="40"/>
  <c r="W47" i="40"/>
  <c r="W46" i="42"/>
  <c r="V47" i="42"/>
  <c r="W46" i="40"/>
  <c r="V47" i="40"/>
  <c r="W45" i="42"/>
  <c r="V46" i="42"/>
  <c r="W45" i="40"/>
  <c r="V46" i="40"/>
  <c r="V45" i="42"/>
  <c r="W44" i="42"/>
  <c r="W44" i="40"/>
  <c r="V45" i="40"/>
  <c r="W43" i="42"/>
  <c r="V44" i="42"/>
  <c r="W43" i="40"/>
  <c r="V44" i="40"/>
  <c r="W42" i="42"/>
  <c r="V43" i="42"/>
  <c r="V43" i="40"/>
  <c r="W42" i="40"/>
  <c r="W41" i="42"/>
  <c r="V42" i="42"/>
  <c r="V42" i="40"/>
  <c r="W41" i="40"/>
  <c r="V41" i="42"/>
  <c r="W40" i="42"/>
  <c r="V41" i="40"/>
  <c r="W40" i="40"/>
  <c r="W39" i="42"/>
  <c r="V40" i="42"/>
  <c r="W39" i="40"/>
  <c r="V40" i="40"/>
  <c r="W38" i="42"/>
  <c r="V39" i="42"/>
  <c r="W38" i="40"/>
  <c r="V39" i="40"/>
  <c r="W37" i="42"/>
  <c r="V38" i="42"/>
  <c r="V38" i="40"/>
  <c r="W37" i="40"/>
  <c r="W36" i="42"/>
  <c r="V37" i="42"/>
  <c r="W36" i="40"/>
  <c r="V37" i="40"/>
  <c r="W35" i="42"/>
  <c r="V36" i="42"/>
  <c r="W35" i="40"/>
  <c r="V36" i="40"/>
  <c r="V35" i="42"/>
  <c r="W34" i="42"/>
  <c r="W34" i="40"/>
  <c r="V35" i="40"/>
  <c r="W33" i="42"/>
  <c r="V34" i="42"/>
  <c r="V34" i="40"/>
  <c r="W33" i="40"/>
  <c r="V33" i="42"/>
  <c r="W32" i="42"/>
  <c r="W32" i="40"/>
  <c r="V33" i="40"/>
  <c r="V32" i="42"/>
  <c r="W31" i="42"/>
  <c r="W31" i="40"/>
  <c r="V32" i="40"/>
  <c r="V31" i="42"/>
  <c r="W30" i="42"/>
  <c r="W30" i="40"/>
  <c r="V31" i="40"/>
  <c r="W29" i="42"/>
  <c r="V30" i="42"/>
  <c r="W29" i="40"/>
  <c r="V30" i="40"/>
  <c r="V29" i="42"/>
  <c r="W28" i="42"/>
  <c r="V29" i="40"/>
  <c r="W28" i="40"/>
  <c r="W27" i="42"/>
  <c r="V28" i="42"/>
  <c r="V28" i="40"/>
  <c r="W27" i="40"/>
  <c r="V27" i="42"/>
  <c r="W26" i="42"/>
  <c r="V27" i="40"/>
  <c r="W26" i="40"/>
  <c r="W25" i="42"/>
  <c r="V26" i="42"/>
  <c r="V26" i="40"/>
  <c r="W25" i="40"/>
  <c r="W24" i="42"/>
  <c r="V25" i="42"/>
  <c r="V25" i="40"/>
  <c r="W24" i="40"/>
  <c r="V24" i="42"/>
  <c r="W23" i="42"/>
  <c r="W23" i="40"/>
  <c r="V24" i="40"/>
  <c r="V23" i="42"/>
  <c r="W22" i="42"/>
  <c r="V23" i="40"/>
  <c r="W22" i="40"/>
  <c r="W21" i="42"/>
  <c r="V22" i="42"/>
  <c r="V22" i="40"/>
  <c r="W21" i="40"/>
  <c r="V21" i="42"/>
  <c r="W20" i="42"/>
  <c r="W20" i="40"/>
  <c r="V21" i="40"/>
  <c r="V20" i="42"/>
  <c r="W19" i="42"/>
  <c r="V20" i="40"/>
  <c r="W19" i="40"/>
  <c r="V19" i="42"/>
  <c r="W18" i="42"/>
  <c r="W18" i="40"/>
  <c r="V19" i="40"/>
  <c r="W17" i="42"/>
  <c r="V18" i="42"/>
  <c r="W17" i="40"/>
  <c r="V18" i="40"/>
  <c r="V17" i="42"/>
  <c r="W16" i="42"/>
  <c r="W16" i="40"/>
  <c r="V17" i="40"/>
  <c r="W15" i="42"/>
  <c r="V16" i="42"/>
  <c r="W15" i="40"/>
  <c r="V16" i="40"/>
  <c r="V15" i="42"/>
  <c r="W14" i="42"/>
  <c r="W14" i="40"/>
  <c r="V15" i="40"/>
  <c r="W13" i="42"/>
  <c r="V14" i="42"/>
  <c r="V14" i="40"/>
  <c r="W13" i="40"/>
  <c r="V13" i="42"/>
  <c r="W12" i="42"/>
  <c r="V13" i="40"/>
  <c r="W12" i="40"/>
  <c r="W11" i="42"/>
  <c r="V12" i="42"/>
  <c r="W11" i="40"/>
  <c r="V12" i="40"/>
  <c r="W10" i="42"/>
  <c r="V11" i="42"/>
  <c r="W10" i="40"/>
  <c r="V11" i="40"/>
  <c r="W9" i="42"/>
  <c r="V10" i="42"/>
  <c r="W9" i="40"/>
  <c r="V10" i="40"/>
  <c r="V9" i="42"/>
  <c r="W8" i="42"/>
  <c r="V9" i="40"/>
  <c r="W8" i="40"/>
  <c r="V8" i="42"/>
  <c r="W7" i="42"/>
  <c r="W7" i="40"/>
  <c r="V8" i="40"/>
  <c r="V7" i="42"/>
  <c r="W6" i="42"/>
  <c r="W6" i="40"/>
  <c r="V7" i="40"/>
  <c r="V6" i="42"/>
  <c r="W5" i="42"/>
  <c r="W5" i="40"/>
  <c r="V6" i="40"/>
  <c r="V5" i="42"/>
  <c r="W4" i="42"/>
  <c r="V5" i="40"/>
  <c r="W4" i="40"/>
  <c r="W3" i="42"/>
  <c r="V4" i="42"/>
  <c r="W3" i="40"/>
  <c r="V4" i="40"/>
  <c r="V3" i="42"/>
  <c r="H8" i="42"/>
  <c r="V3" i="40"/>
  <c r="H9" i="42"/>
  <c r="H10" i="42"/>
  <c r="H11" i="42"/>
  <c r="H12" i="42"/>
  <c r="H13" i="42"/>
  <c r="H14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9" i="40"/>
  <c r="J16" i="40"/>
  <c r="J7" i="40"/>
  <c r="J6" i="40"/>
  <c r="J18" i="40"/>
  <c r="J11" i="40"/>
  <c r="J14" i="40"/>
  <c r="J12" i="40"/>
  <c r="J17" i="40"/>
  <c r="J8" i="40"/>
  <c r="J19" i="40"/>
  <c r="J21" i="40"/>
  <c r="J5" i="40"/>
  <c r="J10" i="40"/>
  <c r="J15" i="40"/>
  <c r="J13" i="40"/>
  <c r="J20" i="40"/>
  <c r="J4" i="40"/>
  <c r="J5" i="42"/>
  <c r="J6" i="42"/>
  <c r="J7" i="42"/>
  <c r="J4" i="42"/>
  <c r="I9" i="40"/>
  <c r="I16" i="40"/>
  <c r="I7" i="40"/>
  <c r="I6" i="40"/>
  <c r="I18" i="40"/>
  <c r="I11" i="40"/>
  <c r="I14" i="40"/>
  <c r="I12" i="40"/>
  <c r="I17" i="40"/>
  <c r="I8" i="40"/>
  <c r="I19" i="40"/>
  <c r="I21" i="40"/>
  <c r="I5" i="40"/>
  <c r="I10" i="40"/>
  <c r="J3" i="40"/>
  <c r="I15" i="40"/>
  <c r="I13" i="40"/>
  <c r="I20" i="40"/>
  <c r="I4" i="40"/>
  <c r="J3" i="42"/>
  <c r="I5" i="42"/>
  <c r="I6" i="42"/>
  <c r="I7" i="42"/>
  <c r="I4" i="42"/>
  <c r="G3" i="43"/>
  <c r="G3" i="39"/>
  <c r="I3" i="40"/>
  <c r="I3" i="42"/>
  <c r="F3" i="43"/>
  <c r="F3" i="39"/>
  <c r="U34" i="47"/>
  <c r="Q9" i="47"/>
  <c r="F5" i="35"/>
  <c r="K24" i="39"/>
  <c r="H19" i="49"/>
  <c r="Q8" i="47"/>
  <c r="P6" i="47"/>
  <c r="F36" i="35"/>
  <c r="U28" i="45"/>
  <c r="F42" i="35"/>
  <c r="H7" i="40"/>
  <c r="Q10" i="47"/>
  <c r="F6" i="43"/>
  <c r="Q5" i="45"/>
  <c r="G26" i="49"/>
  <c r="F8" i="35"/>
  <c r="F10" i="35"/>
  <c r="H13" i="40"/>
  <c r="Q5" i="47"/>
  <c r="G6" i="39"/>
  <c r="Q6" i="45"/>
  <c r="H18" i="48"/>
  <c r="L19" i="43"/>
  <c r="K22" i="39"/>
  <c r="F44" i="35"/>
  <c r="G5" i="39"/>
  <c r="F5" i="43"/>
  <c r="Q7" i="47"/>
  <c r="H16" i="40"/>
  <c r="F9" i="35"/>
  <c r="F4" i="35"/>
  <c r="G15" i="49"/>
  <c r="F35" i="35"/>
  <c r="H30" i="49"/>
  <c r="F45" i="35"/>
  <c r="K15" i="39"/>
  <c r="V27" i="45"/>
  <c r="F11" i="35"/>
  <c r="G19" i="49"/>
  <c r="G25" i="49"/>
  <c r="G27" i="49"/>
  <c r="S35" i="47"/>
  <c r="F19" i="35"/>
  <c r="F21" i="35"/>
  <c r="S33" i="47"/>
  <c r="G22" i="49"/>
  <c r="G15" i="48"/>
  <c r="L15" i="43"/>
  <c r="L17" i="43"/>
  <c r="F22" i="35"/>
  <c r="U36" i="47"/>
  <c r="K17" i="43"/>
  <c r="F43" i="35"/>
  <c r="L20" i="43"/>
  <c r="H9" i="40"/>
  <c r="U27" i="45"/>
  <c r="F32" i="35"/>
  <c r="Q7" i="45"/>
  <c r="K17" i="39"/>
  <c r="P4" i="47"/>
  <c r="V33" i="47"/>
  <c r="P10" i="47"/>
  <c r="S32" i="47"/>
  <c r="H17" i="48"/>
  <c r="F29" i="35"/>
  <c r="H24" i="49"/>
  <c r="G4" i="43"/>
  <c r="S28" i="45"/>
  <c r="U32" i="47"/>
  <c r="K21" i="39"/>
  <c r="H19" i="40"/>
  <c r="G17" i="48"/>
  <c r="H21" i="40"/>
  <c r="P3" i="45"/>
  <c r="K19" i="43"/>
  <c r="H28" i="49"/>
  <c r="H11" i="40"/>
  <c r="H4" i="40"/>
  <c r="H23" i="49"/>
  <c r="H17" i="40"/>
  <c r="G7" i="39"/>
  <c r="P5" i="47"/>
  <c r="F15" i="35"/>
  <c r="S26" i="45"/>
  <c r="F7" i="43"/>
  <c r="H22" i="49"/>
  <c r="H26" i="49"/>
  <c r="F39" i="35"/>
  <c r="F2" i="35"/>
  <c r="L17" i="39"/>
  <c r="F3" i="35"/>
  <c r="F6" i="39"/>
  <c r="S31" i="47"/>
  <c r="L24" i="39"/>
  <c r="L18" i="39"/>
  <c r="F7" i="35"/>
  <c r="F7" i="39"/>
  <c r="H17" i="49"/>
  <c r="P7" i="45"/>
  <c r="L16" i="43"/>
  <c r="F4" i="39"/>
  <c r="K19" i="39"/>
  <c r="P7" i="47"/>
  <c r="G30" i="49"/>
  <c r="H20" i="49"/>
  <c r="G5" i="43"/>
  <c r="H20" i="40"/>
  <c r="P6" i="45"/>
  <c r="G16" i="48"/>
  <c r="G23" i="49"/>
  <c r="L15" i="39"/>
  <c r="H16" i="49"/>
  <c r="V36" i="47"/>
  <c r="H12" i="40"/>
  <c r="U33" i="47"/>
  <c r="H8" i="40"/>
  <c r="F13" i="35"/>
  <c r="L20" i="39"/>
  <c r="S36" i="47"/>
  <c r="G20" i="49"/>
  <c r="G16" i="49"/>
  <c r="S34" i="47"/>
  <c r="F27" i="35"/>
  <c r="V29" i="45"/>
  <c r="H14" i="40"/>
  <c r="L21" i="43"/>
  <c r="U31" i="47"/>
  <c r="V28" i="45"/>
  <c r="H6" i="40"/>
  <c r="F46" i="35"/>
  <c r="K20" i="39"/>
  <c r="Q8" i="45"/>
  <c r="P8" i="45"/>
  <c r="Q4" i="45"/>
  <c r="Q13" i="45" s="1" a="1"/>
  <c r="F49" i="35"/>
  <c r="T12" i="45" a="1"/>
  <c r="K16" i="43"/>
  <c r="G18" i="48"/>
  <c r="F47" i="35"/>
  <c r="F41" i="35"/>
  <c r="G18" i="49"/>
  <c r="G29" i="49"/>
  <c r="H15" i="48"/>
  <c r="H5" i="40"/>
  <c r="V34" i="47"/>
  <c r="L19" i="39"/>
  <c r="G7" i="43"/>
  <c r="K18" i="43"/>
  <c r="F20" i="35"/>
  <c r="Q9" i="45"/>
  <c r="H18" i="40"/>
  <c r="K20" i="43"/>
  <c r="U26" i="45"/>
  <c r="F38" i="35"/>
  <c r="S27" i="45"/>
  <c r="P8" i="47"/>
  <c r="S29" i="45"/>
  <c r="F5" i="39"/>
  <c r="V32" i="47"/>
  <c r="F48" i="35"/>
  <c r="K21" i="43"/>
  <c r="H19" i="48"/>
  <c r="F12" i="35"/>
  <c r="L22" i="39"/>
  <c r="H18" i="49"/>
  <c r="G17" i="49"/>
  <c r="U29" i="45"/>
  <c r="H16" i="48"/>
  <c r="U35" i="47"/>
  <c r="L18" i="43"/>
  <c r="Q6" i="47"/>
  <c r="Q14" i="47" s="1" a="1"/>
  <c r="F4" i="43"/>
  <c r="P5" i="45"/>
  <c r="F26" i="35"/>
  <c r="F6" i="35"/>
  <c r="F33" i="35"/>
  <c r="F14" i="35"/>
  <c r="P9" i="45"/>
  <c r="F34" i="35"/>
  <c r="H10" i="40"/>
  <c r="T13" i="47" a="1"/>
  <c r="K16" i="39"/>
  <c r="K15" i="43"/>
  <c r="F50" i="35"/>
  <c r="H27" i="49"/>
  <c r="L16" i="39"/>
  <c r="H25" i="49"/>
  <c r="G6" i="43"/>
  <c r="H15" i="49"/>
  <c r="K23" i="39"/>
  <c r="P9" i="47"/>
  <c r="F37" i="35"/>
  <c r="F40" i="35"/>
  <c r="F17" i="35"/>
  <c r="F23" i="35"/>
  <c r="F31" i="35"/>
  <c r="P4" i="45"/>
  <c r="L23" i="39"/>
  <c r="F28" i="35"/>
  <c r="H7" i="42"/>
  <c r="H29" i="49"/>
  <c r="H4" i="42"/>
  <c r="H21" i="49"/>
  <c r="L21" i="39"/>
  <c r="V26" i="45"/>
  <c r="K18" i="39"/>
  <c r="G24" i="49"/>
  <c r="H6" i="42"/>
  <c r="G28" i="49"/>
  <c r="H5" i="42"/>
  <c r="V35" i="47"/>
  <c r="G19" i="48"/>
  <c r="P3" i="47"/>
  <c r="G21" i="49"/>
  <c r="F18" i="35"/>
  <c r="F30" i="35"/>
  <c r="F16" i="35"/>
  <c r="V31" i="47"/>
  <c r="F25" i="35"/>
  <c r="F24" i="35"/>
  <c r="H15" i="40"/>
  <c r="G4" i="39"/>
  <c r="I21" i="49" l="1"/>
  <c r="I19" i="48"/>
  <c r="I28" i="49"/>
  <c r="I24" i="49"/>
  <c r="M18" i="39"/>
  <c r="M23" i="39"/>
  <c r="M15" i="43"/>
  <c r="M16" i="39"/>
  <c r="T18" i="47"/>
  <c r="T22" i="47"/>
  <c r="T13" i="47"/>
  <c r="T27" i="47"/>
  <c r="T20" i="47"/>
  <c r="T23" i="47"/>
  <c r="T14" i="47"/>
  <c r="T17" i="47"/>
  <c r="T24" i="47"/>
  <c r="T15" i="47"/>
  <c r="T19" i="47"/>
  <c r="T16" i="47"/>
  <c r="T25" i="47"/>
  <c r="T21" i="47"/>
  <c r="T26" i="47"/>
  <c r="I4" i="43"/>
  <c r="Q20" i="47"/>
  <c r="Q18" i="47"/>
  <c r="Q19" i="47"/>
  <c r="Q27" i="47"/>
  <c r="Q17" i="47"/>
  <c r="Q26" i="47"/>
  <c r="Q21" i="47"/>
  <c r="Q24" i="47"/>
  <c r="Q22" i="47"/>
  <c r="Q15" i="47"/>
  <c r="Q25" i="47"/>
  <c r="Q14" i="47"/>
  <c r="Q16" i="47"/>
  <c r="Q23" i="47"/>
  <c r="T35" i="47"/>
  <c r="W35" i="47" s="1"/>
  <c r="T29" i="45"/>
  <c r="W29" i="45" s="1"/>
  <c r="F7" i="48" s="1"/>
  <c r="I17" i="49"/>
  <c r="M21" i="43"/>
  <c r="I5" i="39"/>
  <c r="T26" i="45"/>
  <c r="W26" i="45" s="1"/>
  <c r="M20" i="43"/>
  <c r="M18" i="43"/>
  <c r="I29" i="49"/>
  <c r="I18" i="49"/>
  <c r="I18" i="48"/>
  <c r="M16" i="43"/>
  <c r="T16" i="45"/>
  <c r="T15" i="45"/>
  <c r="T13" i="45"/>
  <c r="T21" i="45"/>
  <c r="T14" i="45"/>
  <c r="T17" i="45"/>
  <c r="T20" i="45"/>
  <c r="T19" i="45"/>
  <c r="T18" i="45"/>
  <c r="T12" i="45"/>
  <c r="Q14" i="45"/>
  <c r="Q20" i="45"/>
  <c r="Q15" i="45"/>
  <c r="Q18" i="45"/>
  <c r="Q16" i="45"/>
  <c r="Q13" i="45"/>
  <c r="Q21" i="45"/>
  <c r="Q19" i="45"/>
  <c r="Q17" i="45"/>
  <c r="M20" i="39"/>
  <c r="T31" i="47"/>
  <c r="X31" i="47" s="1"/>
  <c r="I16" i="49"/>
  <c r="I20" i="49"/>
  <c r="T33" i="47"/>
  <c r="W33" i="47" s="1"/>
  <c r="F6" i="49" s="1"/>
  <c r="I23" i="49"/>
  <c r="I16" i="48"/>
  <c r="I30" i="49"/>
  <c r="M19" i="39"/>
  <c r="I4" i="39"/>
  <c r="I7" i="39"/>
  <c r="I6" i="39"/>
  <c r="I7" i="43"/>
  <c r="M19" i="43"/>
  <c r="I17" i="48"/>
  <c r="M21" i="39"/>
  <c r="T32" i="47"/>
  <c r="X32" i="47" s="1"/>
  <c r="M17" i="39"/>
  <c r="T27" i="45"/>
  <c r="W27" i="45" s="1"/>
  <c r="F5" i="48" s="1"/>
  <c r="M17" i="43"/>
  <c r="T36" i="47"/>
  <c r="X36" i="47" s="1"/>
  <c r="I15" i="48"/>
  <c r="I22" i="49"/>
  <c r="I27" i="49"/>
  <c r="I25" i="49"/>
  <c r="I19" i="49"/>
  <c r="M15" i="39"/>
  <c r="I15" i="49"/>
  <c r="I5" i="43"/>
  <c r="M22" i="39"/>
  <c r="I26" i="49"/>
  <c r="I6" i="43"/>
  <c r="T28" i="45"/>
  <c r="W28" i="45" s="1"/>
  <c r="F6" i="48" s="1"/>
  <c r="M24" i="39"/>
  <c r="T34" i="47"/>
  <c r="X34" i="47" s="1"/>
  <c r="I3" i="39"/>
  <c r="I3" i="43"/>
  <c r="K3" i="42"/>
  <c r="K3" i="40"/>
  <c r="K4" i="42"/>
  <c r="P4" i="42" s="1"/>
  <c r="K7" i="42"/>
  <c r="L7" i="42" s="1"/>
  <c r="K6" i="42"/>
  <c r="L6" i="42" s="1"/>
  <c r="K5" i="42"/>
  <c r="P5" i="42" s="1"/>
  <c r="K4" i="40"/>
  <c r="P4" i="40" s="1"/>
  <c r="K20" i="40"/>
  <c r="P20" i="40" s="1"/>
  <c r="K13" i="40"/>
  <c r="P13" i="40" s="1"/>
  <c r="K15" i="40"/>
  <c r="P15" i="40" s="1"/>
  <c r="K10" i="40"/>
  <c r="P10" i="40" s="1"/>
  <c r="K5" i="40"/>
  <c r="P5" i="40" s="1"/>
  <c r="K21" i="40"/>
  <c r="P21" i="40" s="1"/>
  <c r="K19" i="40"/>
  <c r="P19" i="40" s="1"/>
  <c r="K8" i="40"/>
  <c r="P8" i="40" s="1"/>
  <c r="K17" i="40"/>
  <c r="P17" i="40" s="1"/>
  <c r="K12" i="40"/>
  <c r="P12" i="40" s="1"/>
  <c r="K14" i="40"/>
  <c r="P14" i="40" s="1"/>
  <c r="K11" i="40"/>
  <c r="P11" i="40" s="1"/>
  <c r="K18" i="40"/>
  <c r="P18" i="40" s="1"/>
  <c r="K6" i="40"/>
  <c r="P6" i="40" s="1"/>
  <c r="K7" i="40"/>
  <c r="P7" i="40" s="1"/>
  <c r="K16" i="40"/>
  <c r="P16" i="40" s="1"/>
  <c r="K9" i="40"/>
  <c r="P9" i="40" s="1"/>
  <c r="K8" i="42"/>
  <c r="L8" i="42" s="1"/>
  <c r="K9" i="42"/>
  <c r="L9" i="42" s="1"/>
  <c r="K10" i="42"/>
  <c r="L10" i="42" s="1"/>
  <c r="K11" i="42"/>
  <c r="L11" i="42" s="1"/>
  <c r="K12" i="42"/>
  <c r="L12" i="42" s="1"/>
  <c r="K13" i="42"/>
  <c r="P13" i="42" s="1"/>
  <c r="K14" i="42"/>
  <c r="L14" i="42" s="1"/>
  <c r="K15" i="42"/>
  <c r="L15" i="42" s="1"/>
  <c r="X3" i="40"/>
  <c r="X3" i="42"/>
  <c r="X4" i="40"/>
  <c r="X4" i="42"/>
  <c r="X5" i="40"/>
  <c r="X5" i="42"/>
  <c r="X6" i="40"/>
  <c r="X6" i="42"/>
  <c r="X7" i="40"/>
  <c r="X7" i="42"/>
  <c r="X8" i="40"/>
  <c r="X8" i="42"/>
  <c r="X9" i="40"/>
  <c r="X9" i="42"/>
  <c r="X10" i="40"/>
  <c r="X10" i="42"/>
  <c r="X11" i="40"/>
  <c r="X11" i="42"/>
  <c r="X12" i="40"/>
  <c r="X12" i="42"/>
  <c r="X13" i="40"/>
  <c r="X13" i="42"/>
  <c r="X14" i="40"/>
  <c r="X14" i="42"/>
  <c r="X15" i="40"/>
  <c r="X15" i="42"/>
  <c r="X16" i="40"/>
  <c r="X16" i="42"/>
  <c r="X17" i="40"/>
  <c r="X17" i="42"/>
  <c r="X18" i="40"/>
  <c r="X18" i="42"/>
  <c r="X19" i="40"/>
  <c r="X19" i="42"/>
  <c r="X20" i="40"/>
  <c r="X20" i="42"/>
  <c r="X21" i="40"/>
  <c r="X21" i="42"/>
  <c r="X22" i="40"/>
  <c r="X22" i="42"/>
  <c r="X23" i="40"/>
  <c r="X23" i="42"/>
  <c r="X24" i="40"/>
  <c r="X24" i="42"/>
  <c r="X25" i="40"/>
  <c r="X25" i="42"/>
  <c r="X26" i="40"/>
  <c r="X26" i="42"/>
  <c r="X27" i="40"/>
  <c r="X27" i="42"/>
  <c r="X28" i="40"/>
  <c r="X28" i="42"/>
  <c r="X29" i="40"/>
  <c r="X29" i="42"/>
  <c r="X30" i="40"/>
  <c r="X30" i="42"/>
  <c r="X31" i="40"/>
  <c r="X31" i="42"/>
  <c r="X32" i="40"/>
  <c r="X32" i="42"/>
  <c r="X33" i="40"/>
  <c r="X33" i="42"/>
  <c r="X34" i="40"/>
  <c r="X34" i="42"/>
  <c r="X35" i="40"/>
  <c r="X35" i="42"/>
  <c r="X36" i="40"/>
  <c r="X36" i="42"/>
  <c r="X37" i="40"/>
  <c r="X37" i="42"/>
  <c r="X38" i="40"/>
  <c r="X38" i="42"/>
  <c r="X39" i="40"/>
  <c r="X39" i="42"/>
  <c r="X40" i="40"/>
  <c r="X40" i="42"/>
  <c r="X41" i="40"/>
  <c r="X41" i="42"/>
  <c r="X42" i="40"/>
  <c r="X42" i="42"/>
  <c r="X43" i="40"/>
  <c r="X43" i="42"/>
  <c r="X44" i="40"/>
  <c r="X44" i="42"/>
  <c r="X45" i="40"/>
  <c r="X45" i="42"/>
  <c r="X46" i="40"/>
  <c r="X46" i="42"/>
  <c r="X47" i="40"/>
  <c r="X47" i="42"/>
  <c r="X48" i="40"/>
  <c r="X48" i="42"/>
  <c r="X49" i="40"/>
  <c r="X49" i="42"/>
  <c r="X50" i="40"/>
  <c r="X50" i="42"/>
  <c r="X51" i="40"/>
  <c r="X51" i="42"/>
  <c r="X52" i="40"/>
  <c r="X52" i="42"/>
  <c r="X53" i="40"/>
  <c r="X53" i="42"/>
  <c r="X54" i="40"/>
  <c r="X54" i="42"/>
  <c r="X55" i="40"/>
  <c r="X55" i="42"/>
  <c r="X56" i="40"/>
  <c r="X56" i="42"/>
  <c r="X57" i="40"/>
  <c r="X57" i="42"/>
  <c r="X58" i="40"/>
  <c r="X58" i="42"/>
  <c r="X59" i="40"/>
  <c r="X59" i="42"/>
  <c r="X60" i="40"/>
  <c r="X60" i="42"/>
  <c r="X61" i="40"/>
  <c r="X61" i="42"/>
  <c r="X62" i="40"/>
  <c r="X62" i="42"/>
  <c r="X63" i="40"/>
  <c r="X63" i="42"/>
  <c r="X64" i="40"/>
  <c r="X64" i="42"/>
  <c r="X65" i="40"/>
  <c r="X65" i="42"/>
  <c r="X66" i="40"/>
  <c r="X66" i="42"/>
  <c r="X67" i="40"/>
  <c r="X67" i="42"/>
  <c r="X68" i="40"/>
  <c r="X68" i="42"/>
  <c r="X69" i="40"/>
  <c r="X69" i="42"/>
  <c r="X70" i="40"/>
  <c r="X70" i="42"/>
  <c r="X71" i="40"/>
  <c r="X71" i="42"/>
  <c r="X72" i="40"/>
  <c r="X72" i="42"/>
  <c r="X73" i="40"/>
  <c r="X73" i="42"/>
  <c r="X74" i="40"/>
  <c r="X74" i="42"/>
  <c r="X75" i="40"/>
  <c r="X75" i="42"/>
  <c r="X76" i="40"/>
  <c r="X76" i="42"/>
  <c r="X77" i="40"/>
  <c r="X77" i="42"/>
  <c r="X78" i="40"/>
  <c r="X78" i="42"/>
  <c r="X79" i="40"/>
  <c r="X79" i="42"/>
  <c r="X80" i="40"/>
  <c r="X80" i="42"/>
  <c r="X81" i="40"/>
  <c r="X81" i="42"/>
  <c r="X82" i="40"/>
  <c r="X82" i="42"/>
  <c r="X83" i="40"/>
  <c r="X83" i="42"/>
  <c r="X84" i="40"/>
  <c r="X84" i="42"/>
  <c r="X85" i="40"/>
  <c r="X85" i="42"/>
  <c r="X86" i="40"/>
  <c r="X86" i="42"/>
  <c r="X87" i="40"/>
  <c r="X87" i="42"/>
  <c r="X88" i="40"/>
  <c r="X88" i="42"/>
  <c r="X89" i="40"/>
  <c r="X89" i="42"/>
  <c r="X90" i="40"/>
  <c r="X90" i="42"/>
  <c r="X91" i="40"/>
  <c r="X91" i="42"/>
  <c r="X92" i="40"/>
  <c r="X92" i="42"/>
  <c r="X93" i="40"/>
  <c r="X93" i="42"/>
  <c r="X94" i="40"/>
  <c r="X94" i="42"/>
  <c r="X95" i="40"/>
  <c r="X95" i="42"/>
  <c r="X96" i="40"/>
  <c r="X96" i="42"/>
  <c r="X97" i="40"/>
  <c r="X97" i="42"/>
  <c r="X98" i="40"/>
  <c r="X98" i="42"/>
  <c r="X99" i="40"/>
  <c r="X99" i="42"/>
  <c r="X100" i="40"/>
  <c r="X100" i="42"/>
  <c r="X101" i="40"/>
  <c r="X101" i="42"/>
  <c r="X102" i="40"/>
  <c r="X102" i="42"/>
  <c r="X103" i="40"/>
  <c r="X103" i="42"/>
  <c r="X104" i="40"/>
  <c r="X104" i="42"/>
  <c r="X105" i="40"/>
  <c r="X105" i="42"/>
  <c r="X106" i="40"/>
  <c r="X106" i="42"/>
  <c r="X107" i="40"/>
  <c r="X107" i="42"/>
  <c r="X108" i="40"/>
  <c r="X108" i="42"/>
  <c r="X109" i="40"/>
  <c r="X109" i="42"/>
  <c r="X110" i="40"/>
  <c r="X110" i="42"/>
  <c r="X111" i="40"/>
  <c r="X111" i="42"/>
  <c r="X112" i="40"/>
  <c r="X112" i="42"/>
  <c r="X113" i="40"/>
  <c r="X113" i="42"/>
  <c r="X114" i="40"/>
  <c r="X114" i="42"/>
  <c r="X115" i="40"/>
  <c r="X115" i="42"/>
  <c r="X116" i="40"/>
  <c r="X116" i="42"/>
  <c r="X117" i="40"/>
  <c r="X117" i="42"/>
  <c r="X118" i="40"/>
  <c r="X118" i="42"/>
  <c r="X119" i="40"/>
  <c r="X119" i="42"/>
  <c r="X120" i="40"/>
  <c r="X120" i="42"/>
  <c r="X121" i="40"/>
  <c r="X121" i="42"/>
  <c r="X122" i="40"/>
  <c r="X122" i="42"/>
  <c r="X123" i="40"/>
  <c r="X123" i="42"/>
  <c r="X124" i="40"/>
  <c r="X124" i="42"/>
  <c r="X125" i="40"/>
  <c r="X125" i="42"/>
  <c r="X126" i="40"/>
  <c r="X126" i="42"/>
  <c r="X127" i="40"/>
  <c r="X127" i="42"/>
  <c r="X128" i="40"/>
  <c r="X128" i="42"/>
  <c r="X129" i="40"/>
  <c r="X129" i="42"/>
  <c r="X130" i="40"/>
  <c r="X130" i="42"/>
  <c r="X131" i="40"/>
  <c r="X131" i="42"/>
  <c r="X132" i="40"/>
  <c r="X132" i="42"/>
  <c r="X133" i="40"/>
  <c r="X133" i="42"/>
  <c r="X134" i="40"/>
  <c r="X134" i="42"/>
  <c r="X135" i="40"/>
  <c r="X135" i="42"/>
  <c r="X136" i="40"/>
  <c r="X136" i="42"/>
  <c r="X137" i="40"/>
  <c r="X137" i="42"/>
  <c r="X138" i="40"/>
  <c r="X138" i="42"/>
  <c r="X139" i="40"/>
  <c r="X139" i="42"/>
  <c r="X140" i="40"/>
  <c r="X140" i="42"/>
  <c r="X141" i="40"/>
  <c r="X141" i="42"/>
  <c r="X142" i="40"/>
  <c r="X142" i="42"/>
  <c r="X143" i="40"/>
  <c r="X143" i="42"/>
  <c r="X144" i="40"/>
  <c r="X144" i="42"/>
  <c r="X145" i="40"/>
  <c r="X145" i="42"/>
  <c r="X146" i="40"/>
  <c r="X146" i="42"/>
  <c r="X147" i="40"/>
  <c r="X147" i="42"/>
  <c r="X148" i="40"/>
  <c r="X148" i="42"/>
  <c r="X149" i="40"/>
  <c r="X149" i="42"/>
  <c r="X150" i="40"/>
  <c r="X150" i="42"/>
  <c r="X151" i="40"/>
  <c r="X151" i="42"/>
  <c r="X152" i="40"/>
  <c r="X152" i="42"/>
  <c r="X153" i="40"/>
  <c r="X153" i="42"/>
  <c r="X154" i="40"/>
  <c r="X154" i="42"/>
  <c r="X155" i="40"/>
  <c r="X155" i="42"/>
  <c r="X156" i="40"/>
  <c r="X156" i="42"/>
  <c r="X157" i="40"/>
  <c r="X157" i="42"/>
  <c r="X158" i="40"/>
  <c r="X158" i="42"/>
  <c r="X159" i="40"/>
  <c r="X159" i="42"/>
  <c r="X160" i="40"/>
  <c r="X160" i="42"/>
  <c r="X161" i="40"/>
  <c r="X161" i="42"/>
  <c r="X162" i="40"/>
  <c r="X162" i="42"/>
  <c r="X163" i="40"/>
  <c r="X163" i="42"/>
  <c r="X164" i="40"/>
  <c r="X164" i="42"/>
  <c r="X165" i="40"/>
  <c r="X165" i="42"/>
  <c r="X166" i="40"/>
  <c r="X166" i="42"/>
  <c r="X167" i="40"/>
  <c r="X167" i="42"/>
  <c r="X168" i="40"/>
  <c r="X168" i="42"/>
  <c r="X169" i="40"/>
  <c r="X169" i="42"/>
  <c r="X170" i="40"/>
  <c r="X170" i="42"/>
  <c r="X171" i="40"/>
  <c r="X171" i="42"/>
  <c r="X172" i="40"/>
  <c r="X172" i="42"/>
  <c r="X173" i="40"/>
  <c r="X173" i="42"/>
  <c r="X174" i="40"/>
  <c r="X174" i="42"/>
  <c r="X175" i="40"/>
  <c r="X175" i="42"/>
  <c r="X176" i="40"/>
  <c r="X176" i="42"/>
  <c r="X177" i="40"/>
  <c r="X177" i="42"/>
  <c r="X178" i="40"/>
  <c r="X178" i="42"/>
  <c r="X179" i="40"/>
  <c r="X179" i="42"/>
  <c r="X180" i="40"/>
  <c r="X180" i="42"/>
  <c r="X181" i="40"/>
  <c r="X181" i="42"/>
  <c r="X182" i="40"/>
  <c r="X182" i="42"/>
  <c r="X183" i="40"/>
  <c r="X183" i="42"/>
  <c r="X184" i="40"/>
  <c r="X184" i="42"/>
  <c r="X185" i="40"/>
  <c r="X185" i="42"/>
  <c r="X186" i="40"/>
  <c r="X186" i="42"/>
  <c r="X187" i="40"/>
  <c r="X187" i="42"/>
  <c r="X188" i="40"/>
  <c r="X188" i="42"/>
  <c r="X189" i="40"/>
  <c r="X189" i="42"/>
  <c r="X190" i="40"/>
  <c r="X190" i="42"/>
  <c r="X191" i="40"/>
  <c r="X191" i="42"/>
  <c r="X192" i="40"/>
  <c r="X192" i="42"/>
  <c r="X193" i="40"/>
  <c r="X193" i="42"/>
  <c r="X194" i="40"/>
  <c r="X194" i="42"/>
  <c r="X195" i="40"/>
  <c r="X195" i="42"/>
  <c r="X196" i="40"/>
  <c r="X196" i="42"/>
  <c r="X197" i="40"/>
  <c r="X197" i="42"/>
  <c r="X198" i="40"/>
  <c r="X198" i="42"/>
  <c r="X199" i="40"/>
  <c r="X199" i="42"/>
  <c r="X200" i="40"/>
  <c r="X200" i="42"/>
  <c r="X201" i="40"/>
  <c r="X201" i="42"/>
  <c r="X202" i="40"/>
  <c r="X202" i="42"/>
  <c r="X203" i="40"/>
  <c r="X203" i="42"/>
  <c r="X204" i="40"/>
  <c r="X204" i="42"/>
  <c r="X205" i="40"/>
  <c r="X205" i="42"/>
  <c r="X206" i="40"/>
  <c r="X206" i="42"/>
  <c r="X207" i="40"/>
  <c r="X207" i="42"/>
  <c r="X208" i="40"/>
  <c r="X208" i="42"/>
  <c r="X209" i="40"/>
  <c r="X209" i="42"/>
  <c r="X210" i="40"/>
  <c r="X210" i="42"/>
  <c r="X211" i="40"/>
  <c r="X211" i="42"/>
  <c r="X212" i="40"/>
  <c r="X212" i="42"/>
  <c r="X213" i="40"/>
  <c r="X213" i="42"/>
  <c r="X214" i="40"/>
  <c r="X214" i="42"/>
  <c r="X215" i="40"/>
  <c r="X215" i="42"/>
  <c r="X216" i="40"/>
  <c r="X216" i="42"/>
  <c r="X217" i="40"/>
  <c r="X217" i="42"/>
  <c r="X218" i="40"/>
  <c r="X218" i="42"/>
  <c r="X219" i="40"/>
  <c r="X219" i="42"/>
  <c r="X220" i="40"/>
  <c r="X220" i="42"/>
  <c r="X221" i="40"/>
  <c r="X221" i="42"/>
  <c r="X222" i="40"/>
  <c r="X222" i="42"/>
  <c r="X223" i="40"/>
  <c r="X223" i="42"/>
  <c r="X224" i="40"/>
  <c r="X224" i="42"/>
  <c r="X225" i="40"/>
  <c r="X225" i="42"/>
  <c r="X226" i="40"/>
  <c r="X226" i="42"/>
  <c r="X227" i="40"/>
  <c r="X227" i="42"/>
  <c r="X228" i="40"/>
  <c r="X228" i="42"/>
  <c r="X229" i="40"/>
  <c r="X229" i="42"/>
  <c r="X230" i="40"/>
  <c r="X230" i="42"/>
  <c r="X231" i="40"/>
  <c r="X231" i="42"/>
  <c r="X232" i="40"/>
  <c r="X232" i="42"/>
  <c r="X233" i="40"/>
  <c r="X233" i="42"/>
  <c r="X234" i="40"/>
  <c r="X234" i="42"/>
  <c r="X235" i="40"/>
  <c r="X235" i="42"/>
  <c r="X236" i="40"/>
  <c r="X236" i="42"/>
  <c r="X237" i="40"/>
  <c r="X237" i="42"/>
  <c r="X238" i="40"/>
  <c r="X238" i="42"/>
  <c r="X239" i="40"/>
  <c r="X239" i="42"/>
  <c r="X240" i="40"/>
  <c r="X240" i="42"/>
  <c r="X241" i="40"/>
  <c r="X241" i="42"/>
  <c r="X242" i="40"/>
  <c r="X242" i="42"/>
  <c r="X243" i="40"/>
  <c r="X243" i="42"/>
  <c r="X244" i="40"/>
  <c r="X244" i="42"/>
  <c r="X245" i="40"/>
  <c r="X245" i="42"/>
  <c r="X246" i="40"/>
  <c r="X246" i="42"/>
  <c r="X247" i="40"/>
  <c r="X247" i="42"/>
  <c r="X248" i="40"/>
  <c r="X248" i="42"/>
  <c r="X249" i="40"/>
  <c r="X249" i="42"/>
  <c r="X250" i="40"/>
  <c r="X250" i="42"/>
  <c r="X251" i="40"/>
  <c r="X251" i="42"/>
  <c r="X252" i="40"/>
  <c r="X252" i="42"/>
  <c r="X253" i="40"/>
  <c r="X253" i="42"/>
  <c r="X254" i="40"/>
  <c r="X254" i="42"/>
  <c r="X255" i="40"/>
  <c r="X255" i="42"/>
  <c r="X256" i="40"/>
  <c r="X256" i="42"/>
  <c r="X257" i="40"/>
  <c r="X257" i="42"/>
  <c r="X258" i="40"/>
  <c r="X258" i="42"/>
  <c r="X259" i="40"/>
  <c r="X259" i="42"/>
  <c r="X260" i="40"/>
  <c r="X260" i="42"/>
  <c r="X261" i="40"/>
  <c r="X261" i="42"/>
  <c r="X262" i="40"/>
  <c r="L18" i="40" l="1"/>
  <c r="P7" i="42"/>
  <c r="W31" i="47"/>
  <c r="F3" i="49" s="1"/>
  <c r="L4" i="42"/>
  <c r="W36" i="47"/>
  <c r="P10" i="42"/>
  <c r="X33" i="47"/>
  <c r="P11" i="42"/>
  <c r="L21" i="40"/>
  <c r="W32" i="47"/>
  <c r="F5" i="49" s="1"/>
  <c r="L14" i="40"/>
  <c r="P8" i="42"/>
  <c r="L11" i="40"/>
  <c r="L6" i="40"/>
  <c r="P9" i="42"/>
  <c r="L7" i="40"/>
  <c r="P15" i="42"/>
  <c r="L3" i="42"/>
  <c r="P3" i="42"/>
  <c r="J3" i="43" s="1"/>
  <c r="L16" i="40"/>
  <c r="L20" i="40"/>
  <c r="F4" i="48"/>
  <c r="F3" i="48"/>
  <c r="L4" i="40"/>
  <c r="W34" i="47"/>
  <c r="F7" i="49" s="1"/>
  <c r="P12" i="42"/>
  <c r="X35" i="47"/>
  <c r="L17" i="40"/>
  <c r="L12" i="40"/>
  <c r="L5" i="40"/>
  <c r="P6" i="42"/>
  <c r="L13" i="42"/>
  <c r="L13" i="40"/>
  <c r="P14" i="42"/>
  <c r="L3" i="40"/>
  <c r="P3" i="40"/>
  <c r="J3" i="39" s="1"/>
  <c r="L9" i="40"/>
  <c r="L19" i="40"/>
  <c r="L8" i="40"/>
  <c r="L10" i="40"/>
  <c r="L5" i="42"/>
  <c r="L15" i="40"/>
  <c r="F4" i="49" l="1"/>
  <c r="U13" i="49" a="1"/>
  <c r="U3" i="48" a="1"/>
  <c r="P13" i="45" a="1"/>
  <c r="U3" i="49" a="1"/>
  <c r="U13" i="48" a="1"/>
  <c r="N1" i="40"/>
  <c r="U55" i="40"/>
  <c r="U25" i="40"/>
  <c r="U78" i="40"/>
  <c r="U234" i="40"/>
  <c r="U9" i="49" a="1"/>
  <c r="U160" i="40"/>
  <c r="U89" i="40"/>
  <c r="U209" i="40"/>
  <c r="U192" i="40"/>
  <c r="U20" i="40"/>
  <c r="N9" i="40"/>
  <c r="U73" i="40"/>
  <c r="U86" i="40"/>
  <c r="U214" i="40"/>
  <c r="U172" i="40"/>
  <c r="N18" i="40"/>
  <c r="U96" i="40"/>
  <c r="U151" i="40"/>
  <c r="U97" i="40"/>
  <c r="N20" i="40"/>
  <c r="U145" i="40"/>
  <c r="U252" i="40"/>
  <c r="U124" i="40"/>
  <c r="U32" i="40"/>
  <c r="U44" i="40"/>
  <c r="U198" i="40"/>
  <c r="U82" i="40"/>
  <c r="U258" i="40"/>
  <c r="U34" i="40"/>
  <c r="U16" i="40"/>
  <c r="U240" i="40"/>
  <c r="U5" i="40"/>
  <c r="U66" i="40"/>
  <c r="U147" i="40"/>
  <c r="U51" i="40"/>
  <c r="U226" i="40"/>
  <c r="D41" i="29"/>
  <c r="N17" i="40"/>
  <c r="U115" i="40"/>
  <c r="U114" i="40"/>
  <c r="U18" i="40"/>
  <c r="U225" i="40"/>
  <c r="N15" i="40"/>
  <c r="U122" i="40"/>
  <c r="U158" i="40"/>
  <c r="G43" i="35"/>
  <c r="U19" i="40"/>
  <c r="G42" i="35"/>
  <c r="U80" i="40"/>
  <c r="U230" i="40"/>
  <c r="U53" i="40"/>
  <c r="U159" i="40"/>
  <c r="U104" i="40"/>
  <c r="G24" i="35"/>
  <c r="G32" i="35"/>
  <c r="N1" i="42"/>
  <c r="U3" i="42"/>
  <c r="N9" i="42"/>
  <c r="N15" i="42"/>
  <c r="U10" i="42"/>
  <c r="N6" i="40"/>
  <c r="U247" i="40"/>
  <c r="U150" i="40"/>
  <c r="U9" i="48" a="1"/>
  <c r="U68" i="40"/>
  <c r="U157" i="40"/>
  <c r="N14" i="42"/>
  <c r="U205" i="40"/>
  <c r="U52" i="40"/>
  <c r="U103" i="40"/>
  <c r="U111" i="40"/>
  <c r="U11" i="40"/>
  <c r="U125" i="40"/>
  <c r="U6" i="40"/>
  <c r="U77" i="40"/>
  <c r="N21" i="40"/>
  <c r="U255" i="40"/>
  <c r="U193" i="40"/>
  <c r="N12" i="40"/>
  <c r="U152" i="40"/>
  <c r="U171" i="40"/>
  <c r="N5" i="40"/>
  <c r="U173" i="40"/>
  <c r="U108" i="40"/>
  <c r="U168" i="40"/>
  <c r="U63" i="40"/>
  <c r="U143" i="40"/>
  <c r="U28" i="40"/>
  <c r="U70" i="40"/>
  <c r="U179" i="40"/>
  <c r="N16" i="40"/>
  <c r="U133" i="40"/>
  <c r="J6" i="39"/>
  <c r="U178" i="40"/>
  <c r="N14" i="40"/>
  <c r="G27" i="35"/>
  <c r="U159" i="42"/>
  <c r="U68" i="42"/>
  <c r="U76" i="42"/>
  <c r="U30" i="42"/>
  <c r="U61" i="42"/>
  <c r="U78" i="42"/>
  <c r="U22" i="42"/>
  <c r="N11" i="42"/>
  <c r="U132" i="40"/>
  <c r="U257" i="40"/>
  <c r="U90" i="40"/>
  <c r="N3" i="42"/>
  <c r="U215" i="40"/>
  <c r="U167" i="40"/>
  <c r="U218" i="40"/>
  <c r="U31" i="40"/>
  <c r="U38" i="40"/>
  <c r="U35" i="40"/>
  <c r="U4" i="40"/>
  <c r="U109" i="40"/>
  <c r="G4" i="35"/>
  <c r="G28" i="35"/>
  <c r="U46" i="42"/>
  <c r="U85" i="42"/>
  <c r="U74" i="42"/>
  <c r="U197" i="42"/>
  <c r="U115" i="42"/>
  <c r="U44" i="42"/>
  <c r="U109" i="42"/>
  <c r="U142" i="42"/>
  <c r="U89" i="42"/>
  <c r="U219" i="40"/>
  <c r="U13" i="40"/>
  <c r="U130" i="40"/>
  <c r="U42" i="40"/>
  <c r="U248" i="40"/>
  <c r="U259" i="40"/>
  <c r="U79" i="40"/>
  <c r="U238" i="40"/>
  <c r="U137" i="40"/>
  <c r="U216" i="40"/>
  <c r="U105" i="40"/>
  <c r="G20" i="35"/>
  <c r="G48" i="35"/>
  <c r="U27" i="42"/>
  <c r="N13" i="42"/>
  <c r="J5" i="43"/>
  <c r="U4" i="42"/>
  <c r="U14" i="42"/>
  <c r="U47" i="40"/>
  <c r="U256" i="40"/>
  <c r="U71" i="40"/>
  <c r="U65" i="40"/>
  <c r="U135" i="40"/>
  <c r="U102" i="40"/>
  <c r="G18" i="35"/>
  <c r="U148" i="40"/>
  <c r="U118" i="40"/>
  <c r="N10" i="40"/>
  <c r="U20" i="42"/>
  <c r="U67" i="40"/>
  <c r="U188" i="40"/>
  <c r="U221" i="40"/>
  <c r="U235" i="40"/>
  <c r="U211" i="40"/>
  <c r="U204" i="40"/>
  <c r="U186" i="40"/>
  <c r="U220" i="40"/>
  <c r="U8" i="40"/>
  <c r="U227" i="40"/>
  <c r="G15" i="35"/>
  <c r="U111" i="42"/>
  <c r="U246" i="42"/>
  <c r="U198" i="42"/>
  <c r="U149" i="42"/>
  <c r="U81" i="42"/>
  <c r="U163" i="42"/>
  <c r="U249" i="42"/>
  <c r="U70" i="42"/>
  <c r="U31" i="42"/>
  <c r="U229" i="42"/>
  <c r="U175" i="42"/>
  <c r="N6" i="42"/>
  <c r="U92" i="40"/>
  <c r="U175" i="40"/>
  <c r="G13" i="35"/>
  <c r="U127" i="42"/>
  <c r="U228" i="42"/>
  <c r="U183" i="42"/>
  <c r="U125" i="42"/>
  <c r="U235" i="42"/>
  <c r="U6" i="42"/>
  <c r="U140" i="40"/>
  <c r="U33" i="40"/>
  <c r="U254" i="40"/>
  <c r="U176" i="42"/>
  <c r="U204" i="42"/>
  <c r="U156" i="42"/>
  <c r="U135" i="42"/>
  <c r="U106" i="42"/>
  <c r="U16" i="42"/>
  <c r="U48" i="40"/>
  <c r="U113" i="40"/>
  <c r="U197" i="40"/>
  <c r="G17" i="35"/>
  <c r="U187" i="42"/>
  <c r="U225" i="42"/>
  <c r="U179" i="42"/>
  <c r="U195" i="42"/>
  <c r="U110" i="42"/>
  <c r="U129" i="40"/>
  <c r="U17" i="40"/>
  <c r="U253" i="40"/>
  <c r="U110" i="40"/>
  <c r="U246" i="40"/>
  <c r="U192" i="42"/>
  <c r="U80" i="42"/>
  <c r="U60" i="42"/>
  <c r="U200" i="42"/>
  <c r="U12" i="42"/>
  <c r="U185" i="40"/>
  <c r="U59" i="40"/>
  <c r="U210" i="40"/>
  <c r="U126" i="40"/>
  <c r="U62" i="42"/>
  <c r="U248" i="42"/>
  <c r="U168" i="42"/>
  <c r="U56" i="42"/>
  <c r="U158" i="42"/>
  <c r="U7" i="42"/>
  <c r="U58" i="40"/>
  <c r="U119" i="40"/>
  <c r="U24" i="40"/>
  <c r="U241" i="42"/>
  <c r="U59" i="42"/>
  <c r="U66" i="42"/>
  <c r="U165" i="42"/>
  <c r="J7" i="43"/>
  <c r="U76" i="40"/>
  <c r="N4" i="40"/>
  <c r="G22" i="35"/>
  <c r="U94" i="40"/>
  <c r="U182" i="40"/>
  <c r="U142" i="40"/>
  <c r="U207" i="40"/>
  <c r="U116" i="40"/>
  <c r="U165" i="40"/>
  <c r="G45" i="35"/>
  <c r="G41" i="35"/>
  <c r="U117" i="42"/>
  <c r="U96" i="42"/>
  <c r="U233" i="42"/>
  <c r="U155" i="42"/>
  <c r="U172" i="42"/>
  <c r="U185" i="42"/>
  <c r="U55" i="42"/>
  <c r="U121" i="42"/>
  <c r="U35" i="42"/>
  <c r="U255" i="42"/>
  <c r="U223" i="42"/>
  <c r="U144" i="40"/>
  <c r="U41" i="40"/>
  <c r="G47" i="35"/>
  <c r="N3" i="40"/>
  <c r="U23" i="40"/>
  <c r="U12" i="40"/>
  <c r="U181" i="40"/>
  <c r="G21" i="35"/>
  <c r="U118" i="42"/>
  <c r="U160" i="42"/>
  <c r="U97" i="42"/>
  <c r="U82" i="42"/>
  <c r="U83" i="42"/>
  <c r="U36" i="42"/>
  <c r="U23" i="42"/>
  <c r="U40" i="40"/>
  <c r="U206" i="40"/>
  <c r="U14" i="40"/>
  <c r="U243" i="40"/>
  <c r="U156" i="40"/>
  <c r="U232" i="40"/>
  <c r="G10" i="35"/>
  <c r="U129" i="42"/>
  <c r="U222" i="42"/>
  <c r="U210" i="42"/>
  <c r="U50" i="42"/>
  <c r="U88" i="42"/>
  <c r="U240" i="42"/>
  <c r="U13" i="42"/>
  <c r="U237" i="40"/>
  <c r="U166" i="40"/>
  <c r="U17" i="42"/>
  <c r="U93" i="40"/>
  <c r="U153" i="40"/>
  <c r="U106" i="40"/>
  <c r="U226" i="42"/>
  <c r="U124" i="42"/>
  <c r="U98" i="42"/>
  <c r="U93" i="42"/>
  <c r="U19" i="42"/>
  <c r="U36" i="40"/>
  <c r="U180" i="40"/>
  <c r="U91" i="40"/>
  <c r="U84" i="40"/>
  <c r="G50" i="35"/>
  <c r="U232" i="42"/>
  <c r="U231" i="42"/>
  <c r="U130" i="42"/>
  <c r="U122" i="42"/>
  <c r="U223" i="40"/>
  <c r="P14" i="47" a="1"/>
  <c r="U155" i="40"/>
  <c r="U242" i="40"/>
  <c r="G40" i="35"/>
  <c r="U230" i="42"/>
  <c r="U43" i="42"/>
  <c r="U92" i="42"/>
  <c r="U170" i="42"/>
  <c r="U30" i="40"/>
  <c r="U191" i="40"/>
  <c r="U184" i="40"/>
  <c r="N7" i="40"/>
  <c r="U262" i="40"/>
  <c r="U73" i="42"/>
  <c r="U107" i="42"/>
  <c r="U189" i="42"/>
  <c r="U239" i="42"/>
  <c r="U37" i="42"/>
  <c r="U57" i="40"/>
  <c r="U58" i="42"/>
  <c r="U146" i="42"/>
  <c r="U153" i="42"/>
  <c r="U201" i="40"/>
  <c r="J4" i="39"/>
  <c r="U95" i="42"/>
  <c r="U206" i="42"/>
  <c r="U183" i="40"/>
  <c r="U138" i="40"/>
  <c r="G11" i="35"/>
  <c r="U184" i="42"/>
  <c r="U141" i="42"/>
  <c r="U174" i="42"/>
  <c r="U98" i="40"/>
  <c r="U75" i="40"/>
  <c r="U99" i="40"/>
  <c r="U146" i="40"/>
  <c r="U21" i="40"/>
  <c r="N13" i="40"/>
  <c r="U141" i="40"/>
  <c r="U43" i="40"/>
  <c r="N19" i="40"/>
  <c r="U74" i="40"/>
  <c r="U187" i="40"/>
  <c r="U117" i="40"/>
  <c r="U39" i="40"/>
  <c r="U245" i="40"/>
  <c r="N8" i="40"/>
  <c r="U69" i="40"/>
  <c r="U239" i="40"/>
  <c r="U244" i="40"/>
  <c r="U250" i="40"/>
  <c r="U15" i="40"/>
  <c r="U128" i="40"/>
  <c r="J5" i="39"/>
  <c r="U83" i="40"/>
  <c r="U3" i="40"/>
  <c r="U123" i="40"/>
  <c r="U251" i="40"/>
  <c r="U88" i="40"/>
  <c r="U233" i="40"/>
  <c r="U202" i="40"/>
  <c r="U100" i="40"/>
  <c r="U213" i="40"/>
  <c r="U29" i="40"/>
  <c r="U228" i="40"/>
  <c r="U60" i="40"/>
  <c r="U170" i="40"/>
  <c r="U7" i="40"/>
  <c r="U95" i="40"/>
  <c r="U22" i="40"/>
  <c r="U162" i="40"/>
  <c r="U101" i="40"/>
  <c r="U61" i="40"/>
  <c r="U217" i="40"/>
  <c r="U45" i="40"/>
  <c r="U154" i="40"/>
  <c r="U64" i="40"/>
  <c r="U176" i="40"/>
  <c r="U56" i="40"/>
  <c r="U136" i="40"/>
  <c r="U208" i="40"/>
  <c r="U9" i="40"/>
  <c r="U169" i="40"/>
  <c r="U27" i="40"/>
  <c r="U195" i="40"/>
  <c r="U134" i="40"/>
  <c r="U112" i="40"/>
  <c r="U62" i="40"/>
  <c r="U161" i="40"/>
  <c r="U49" i="40"/>
  <c r="U261" i="40"/>
  <c r="N11" i="40"/>
  <c r="U81" i="40"/>
  <c r="U222" i="40"/>
  <c r="U196" i="40"/>
  <c r="U127" i="40"/>
  <c r="U249" i="40"/>
  <c r="U50" i="40"/>
  <c r="U87" i="40"/>
  <c r="U149" i="40"/>
  <c r="U37" i="40"/>
  <c r="U200" i="40"/>
  <c r="U199" i="40"/>
  <c r="J7" i="39"/>
  <c r="U174" i="40"/>
  <c r="U203" i="40"/>
  <c r="U194" i="40"/>
  <c r="U229" i="40"/>
  <c r="U46" i="40"/>
  <c r="U54" i="40"/>
  <c r="U189" i="40"/>
  <c r="U85" i="40"/>
  <c r="U131" i="40"/>
  <c r="U231" i="40"/>
  <c r="U212" i="40"/>
  <c r="U260" i="40"/>
  <c r="U236" i="40"/>
  <c r="U26" i="40"/>
  <c r="U107" i="40"/>
  <c r="U224" i="40"/>
  <c r="U163" i="40"/>
  <c r="U72" i="40"/>
  <c r="U164" i="40"/>
  <c r="U190" i="40"/>
  <c r="U10" i="40"/>
  <c r="U177" i="40"/>
  <c r="U241" i="40"/>
  <c r="U121" i="40"/>
  <c r="U139" i="40"/>
  <c r="U120" i="40"/>
  <c r="G6" i="35"/>
  <c r="G3" i="35"/>
  <c r="G36" i="35"/>
  <c r="G39" i="35"/>
  <c r="G35" i="35"/>
  <c r="G5" i="35"/>
  <c r="G26" i="35"/>
  <c r="G34" i="35"/>
  <c r="G31" i="35"/>
  <c r="G19" i="35"/>
  <c r="G25" i="35"/>
  <c r="G9" i="35"/>
  <c r="G37" i="35"/>
  <c r="G23" i="35"/>
  <c r="G49" i="35"/>
  <c r="G2" i="35"/>
  <c r="G29" i="35"/>
  <c r="G14" i="35"/>
  <c r="G38" i="35"/>
  <c r="G44" i="35"/>
  <c r="G8" i="35"/>
  <c r="G12" i="35"/>
  <c r="G33" i="35"/>
  <c r="G16" i="35"/>
  <c r="G46" i="35"/>
  <c r="G30" i="35"/>
  <c r="G7" i="35"/>
  <c r="U212" i="42"/>
  <c r="U254" i="42"/>
  <c r="U51" i="42"/>
  <c r="U65" i="42"/>
  <c r="U161" i="42"/>
  <c r="U145" i="42"/>
  <c r="U214" i="42"/>
  <c r="U224" i="42"/>
  <c r="N8" i="42"/>
  <c r="U202" i="42"/>
  <c r="U207" i="42"/>
  <c r="U136" i="42"/>
  <c r="U250" i="42"/>
  <c r="U40" i="42"/>
  <c r="U114" i="42"/>
  <c r="U86" i="42"/>
  <c r="U133" i="42"/>
  <c r="U139" i="42"/>
  <c r="U151" i="42"/>
  <c r="U64" i="42"/>
  <c r="U42" i="42"/>
  <c r="U182" i="42"/>
  <c r="J4" i="43"/>
  <c r="N5" i="42"/>
  <c r="U28" i="42"/>
  <c r="U25" i="42"/>
  <c r="N10" i="42"/>
  <c r="U5" i="42"/>
  <c r="U208" i="42"/>
  <c r="U71" i="42"/>
  <c r="U39" i="42"/>
  <c r="U108" i="42"/>
  <c r="U173" i="42"/>
  <c r="U101" i="42"/>
  <c r="U18" i="42"/>
  <c r="U148" i="42"/>
  <c r="U105" i="42"/>
  <c r="U258" i="42"/>
  <c r="U193" i="42"/>
  <c r="U188" i="42"/>
  <c r="U94" i="42"/>
  <c r="U196" i="42"/>
  <c r="U143" i="42"/>
  <c r="U201" i="42"/>
  <c r="U57" i="42"/>
  <c r="U157" i="42"/>
  <c r="U218" i="42"/>
  <c r="U253" i="42"/>
  <c r="U237" i="42"/>
  <c r="U113" i="42"/>
  <c r="U128" i="42"/>
  <c r="U103" i="42"/>
  <c r="U48" i="42"/>
  <c r="U213" i="42"/>
  <c r="U90" i="42"/>
  <c r="U256" i="42"/>
  <c r="U137" i="42"/>
  <c r="U190" i="42"/>
  <c r="U45" i="42"/>
  <c r="U152" i="42"/>
  <c r="U87" i="42"/>
  <c r="U199" i="42"/>
  <c r="U244" i="42"/>
  <c r="U259" i="42"/>
  <c r="U227" i="42"/>
  <c r="U260" i="42"/>
  <c r="U215" i="42"/>
  <c r="U243" i="42"/>
  <c r="U102" i="42"/>
  <c r="U242" i="42"/>
  <c r="U177" i="42"/>
  <c r="U123" i="42"/>
  <c r="U53" i="42"/>
  <c r="U120" i="42"/>
  <c r="U69" i="42"/>
  <c r="U167" i="42"/>
  <c r="U261" i="42"/>
  <c r="U209" i="42"/>
  <c r="U138" i="42"/>
  <c r="U84" i="42"/>
  <c r="U29" i="42"/>
  <c r="U8" i="42"/>
  <c r="U26" i="42"/>
  <c r="N4" i="42"/>
  <c r="U21" i="42"/>
  <c r="U15" i="42"/>
  <c r="U9" i="42"/>
  <c r="U154" i="42"/>
  <c r="U180" i="42"/>
  <c r="U162" i="42"/>
  <c r="U33" i="42"/>
  <c r="U150" i="42"/>
  <c r="U171" i="42"/>
  <c r="U11" i="42"/>
  <c r="U164" i="42"/>
  <c r="U34" i="42"/>
  <c r="U252" i="42"/>
  <c r="U119" i="42"/>
  <c r="U219" i="42"/>
  <c r="U72" i="42"/>
  <c r="U131" i="42"/>
  <c r="U238" i="42"/>
  <c r="U99" i="42"/>
  <c r="U245" i="42"/>
  <c r="U38" i="42"/>
  <c r="U75" i="42"/>
  <c r="U54" i="42"/>
  <c r="U247" i="42"/>
  <c r="U63" i="42"/>
  <c r="U134" i="42"/>
  <c r="U178" i="42"/>
  <c r="U144" i="42"/>
  <c r="U32" i="42"/>
  <c r="U191" i="42"/>
  <c r="U67" i="42"/>
  <c r="U116" i="42"/>
  <c r="U234" i="42"/>
  <c r="U251" i="42"/>
  <c r="U181" i="42"/>
  <c r="U126" i="42"/>
  <c r="U52" i="42"/>
  <c r="U186" i="42"/>
  <c r="U100" i="42"/>
  <c r="U41" i="42"/>
  <c r="U217" i="42"/>
  <c r="U147" i="42"/>
  <c r="U77" i="42"/>
  <c r="U169" i="42"/>
  <c r="U211" i="42"/>
  <c r="U221" i="42"/>
  <c r="U205" i="42"/>
  <c r="U216" i="42"/>
  <c r="U194" i="42"/>
  <c r="U220" i="42"/>
  <c r="U91" i="42"/>
  <c r="U236" i="42"/>
  <c r="U166" i="42"/>
  <c r="U112" i="42"/>
  <c r="U47" i="42"/>
  <c r="U104" i="42"/>
  <c r="U49" i="42"/>
  <c r="U140" i="42"/>
  <c r="U257" i="42"/>
  <c r="U203" i="42"/>
  <c r="U132" i="42"/>
  <c r="U79" i="42"/>
  <c r="U24" i="42"/>
  <c r="N12" i="42"/>
  <c r="N7" i="42"/>
  <c r="J6" i="43"/>
  <c r="Y9" i="39" a="1"/>
  <c r="Y3" i="39" a="1"/>
  <c r="Y13" i="39" a="1"/>
  <c r="Y9" i="43" a="1"/>
  <c r="Y3" i="43" a="1"/>
  <c r="Y13" i="43" a="1"/>
  <c r="Y13" i="43"/>
  <c r="W13" i="43" s="1"/>
  <c r="AH52" i="43" s="1"/>
  <c r="Y5" i="39"/>
  <c r="Y21" i="42"/>
  <c r="Y120" i="40"/>
  <c r="Y72" i="40"/>
  <c r="Y231" i="40"/>
  <c r="Y203" i="40"/>
  <c r="Y249" i="40"/>
  <c r="Y62" i="40"/>
  <c r="Y136" i="40"/>
  <c r="Y101" i="40"/>
  <c r="Y29" i="40"/>
  <c r="Y3" i="40"/>
  <c r="Y245" i="40"/>
  <c r="Y146" i="40"/>
  <c r="Y262" i="40"/>
  <c r="P19" i="47"/>
  <c r="P24" i="47"/>
  <c r="Y36" i="40"/>
  <c r="Y13" i="42"/>
  <c r="Y181" i="40"/>
  <c r="Y142" i="40"/>
  <c r="Y126" i="40"/>
  <c r="Y17" i="40"/>
  <c r="Y140" i="40"/>
  <c r="Y204" i="40"/>
  <c r="Y148" i="40"/>
  <c r="Y4" i="42"/>
  <c r="Y248" i="40"/>
  <c r="Y38" i="40"/>
  <c r="Y22" i="42"/>
  <c r="Y168" i="40"/>
  <c r="Y6" i="40"/>
  <c r="Y68" i="40"/>
  <c r="Y159" i="40"/>
  <c r="Y18" i="40"/>
  <c r="Y240" i="40"/>
  <c r="Y124" i="40"/>
  <c r="Y86" i="40"/>
  <c r="U10" i="49"/>
  <c r="U4" i="49"/>
  <c r="P17" i="45"/>
  <c r="Y57" i="42"/>
  <c r="Y75" i="42"/>
  <c r="Y134" i="42"/>
  <c r="Y122" i="42"/>
  <c r="Y165" i="42"/>
  <c r="Y223" i="42"/>
  <c r="Y58" i="42"/>
  <c r="Y85" i="42"/>
  <c r="Y151" i="42"/>
  <c r="Y116" i="42"/>
  <c r="Y227" i="42"/>
  <c r="Y53" i="42"/>
  <c r="Y175" i="42"/>
  <c r="Y129" i="42"/>
  <c r="Y155" i="42"/>
  <c r="Y60" i="42"/>
  <c r="Y109" i="42"/>
  <c r="Y148" i="42"/>
  <c r="Y188" i="42"/>
  <c r="Y41" i="42"/>
  <c r="Y216" i="42"/>
  <c r="Y104" i="42"/>
  <c r="Y36" i="42"/>
  <c r="Y246" i="42"/>
  <c r="Y59" i="42"/>
  <c r="Y50" i="42"/>
  <c r="Y142" i="42"/>
  <c r="Y171" i="42"/>
  <c r="Y119" i="42"/>
  <c r="Y254" i="42"/>
  <c r="Y219" i="42"/>
  <c r="Y13" i="40"/>
  <c r="Y171" i="40"/>
  <c r="Y111" i="40"/>
  <c r="Y226" i="40"/>
  <c r="Y97" i="40"/>
  <c r="P13" i="45"/>
  <c r="Y4" i="43"/>
  <c r="Y4" i="39"/>
  <c r="Y26" i="42"/>
  <c r="Y139" i="40"/>
  <c r="Y163" i="40"/>
  <c r="Y131" i="40"/>
  <c r="Y174" i="40"/>
  <c r="Y127" i="40"/>
  <c r="Y112" i="40"/>
  <c r="Y56" i="40"/>
  <c r="Y162" i="40"/>
  <c r="Y213" i="40"/>
  <c r="Y83" i="40"/>
  <c r="Y39" i="40"/>
  <c r="Y99" i="40"/>
  <c r="Y184" i="40"/>
  <c r="P18" i="47"/>
  <c r="P17" i="47"/>
  <c r="Y19" i="42"/>
  <c r="Y232" i="40"/>
  <c r="Y12" i="40"/>
  <c r="Y182" i="40"/>
  <c r="Y210" i="40"/>
  <c r="Y129" i="40"/>
  <c r="Y6" i="42"/>
  <c r="Y211" i="40"/>
  <c r="Y102" i="40"/>
  <c r="Y27" i="42"/>
  <c r="Y42" i="40"/>
  <c r="Y31" i="40"/>
  <c r="Y178" i="40"/>
  <c r="Y108" i="40"/>
  <c r="Y125" i="40"/>
  <c r="U9" i="48"/>
  <c r="Y53" i="40"/>
  <c r="Y114" i="40"/>
  <c r="Y16" i="40"/>
  <c r="Y252" i="40"/>
  <c r="Y73" i="40"/>
  <c r="Y234" i="40"/>
  <c r="P16" i="45"/>
  <c r="P14" i="45"/>
  <c r="Y238" i="42"/>
  <c r="Y237" i="42"/>
  <c r="Y103" i="42"/>
  <c r="Y35" i="42"/>
  <c r="Y170" i="42"/>
  <c r="Y229" i="42"/>
  <c r="Y208" i="42"/>
  <c r="Y101" i="42"/>
  <c r="Y64" i="42"/>
  <c r="Y45" i="42"/>
  <c r="Y260" i="42"/>
  <c r="Y120" i="42"/>
  <c r="Y174" i="42"/>
  <c r="Y127" i="42"/>
  <c r="Y198" i="42"/>
  <c r="Y141" i="42"/>
  <c r="Y39" i="42"/>
  <c r="Y207" i="42"/>
  <c r="Y159" i="42"/>
  <c r="Y217" i="42"/>
  <c r="Y194" i="42"/>
  <c r="Y49" i="42"/>
  <c r="Y93" i="42"/>
  <c r="Y73" i="42"/>
  <c r="Y95" i="42"/>
  <c r="Y97" i="42"/>
  <c r="Y78" i="42"/>
  <c r="Y167" i="40"/>
  <c r="Y150" i="40"/>
  <c r="Y258" i="40"/>
  <c r="Y192" i="40"/>
  <c r="U3" i="48"/>
  <c r="Y5" i="43"/>
  <c r="Y9" i="39"/>
  <c r="Y8" i="42"/>
  <c r="Y121" i="40"/>
  <c r="Y224" i="40"/>
  <c r="Y85" i="40"/>
  <c r="Y199" i="40"/>
  <c r="Y196" i="40"/>
  <c r="Y134" i="40"/>
  <c r="Y176" i="40"/>
  <c r="Y22" i="40"/>
  <c r="Y100" i="40"/>
  <c r="Y128" i="40"/>
  <c r="Y117" i="40"/>
  <c r="Y75" i="40"/>
  <c r="Y191" i="40"/>
  <c r="P22" i="47"/>
  <c r="P16" i="47"/>
  <c r="Y106" i="40"/>
  <c r="Y156" i="40"/>
  <c r="Y23" i="40"/>
  <c r="Y94" i="40"/>
  <c r="Y59" i="40"/>
  <c r="Y197" i="40"/>
  <c r="Y175" i="40"/>
  <c r="Y235" i="40"/>
  <c r="Y135" i="40"/>
  <c r="Y105" i="40"/>
  <c r="Y130" i="40"/>
  <c r="Y218" i="40"/>
  <c r="Y133" i="40"/>
  <c r="Y173" i="40"/>
  <c r="Y11" i="40"/>
  <c r="U10" i="48"/>
  <c r="Y230" i="40"/>
  <c r="Y115" i="40"/>
  <c r="Y34" i="40"/>
  <c r="Y145" i="40"/>
  <c r="Y20" i="40"/>
  <c r="Y78" i="40"/>
  <c r="P18" i="45"/>
  <c r="U4" i="48"/>
  <c r="AH45" i="43"/>
  <c r="Y157" i="42"/>
  <c r="Y54" i="42"/>
  <c r="Y178" i="42"/>
  <c r="Y70" i="42"/>
  <c r="Y125" i="42"/>
  <c r="Y239" i="42"/>
  <c r="Y212" i="42"/>
  <c r="Y202" i="42"/>
  <c r="Y94" i="42"/>
  <c r="Y234" i="42"/>
  <c r="Y215" i="42"/>
  <c r="Y69" i="42"/>
  <c r="Y206" i="42"/>
  <c r="Y110" i="42"/>
  <c r="Y241" i="42"/>
  <c r="Y43" i="42"/>
  <c r="Y65" i="42"/>
  <c r="Y250" i="42"/>
  <c r="Y251" i="42"/>
  <c r="Y147" i="42"/>
  <c r="Y220" i="42"/>
  <c r="Y140" i="42"/>
  <c r="Y135" i="42"/>
  <c r="Y235" i="42"/>
  <c r="Y232" i="42"/>
  <c r="Y172" i="42"/>
  <c r="Y51" i="42"/>
  <c r="Y136" i="42"/>
  <c r="Y42" i="42"/>
  <c r="Y216" i="40"/>
  <c r="Y80" i="40"/>
  <c r="Y25" i="40"/>
  <c r="Y3" i="43"/>
  <c r="Y10" i="39"/>
  <c r="Y29" i="42"/>
  <c r="Y241" i="40"/>
  <c r="Y107" i="40"/>
  <c r="Y189" i="40"/>
  <c r="Y200" i="40"/>
  <c r="Y222" i="40"/>
  <c r="Y195" i="40"/>
  <c r="Y64" i="40"/>
  <c r="Y95" i="40"/>
  <c r="Y202" i="40"/>
  <c r="Y15" i="40"/>
  <c r="Y187" i="40"/>
  <c r="Y98" i="40"/>
  <c r="Y30" i="40"/>
  <c r="P26" i="47"/>
  <c r="P15" i="47"/>
  <c r="Y153" i="40"/>
  <c r="Y243" i="40"/>
  <c r="Y41" i="40"/>
  <c r="Y76" i="40"/>
  <c r="Y185" i="40"/>
  <c r="Y113" i="40"/>
  <c r="Y92" i="40"/>
  <c r="Y221" i="40"/>
  <c r="Y65" i="40"/>
  <c r="Y9" i="43"/>
  <c r="Y10" i="43"/>
  <c r="Y24" i="42"/>
  <c r="Y18" i="42"/>
  <c r="Y177" i="40"/>
  <c r="Y26" i="40"/>
  <c r="Y54" i="40"/>
  <c r="Y37" i="40"/>
  <c r="Y81" i="40"/>
  <c r="Y27" i="40"/>
  <c r="Y154" i="40"/>
  <c r="Y7" i="40"/>
  <c r="Y233" i="40"/>
  <c r="Y250" i="40"/>
  <c r="Y74" i="40"/>
  <c r="Y138" i="40"/>
  <c r="Y242" i="40"/>
  <c r="P23" i="47"/>
  <c r="Y223" i="40"/>
  <c r="Y93" i="40"/>
  <c r="Y14" i="40"/>
  <c r="Y144" i="40"/>
  <c r="Y24" i="40"/>
  <c r="Y12" i="42"/>
  <c r="Y48" i="40"/>
  <c r="Y227" i="40"/>
  <c r="Y188" i="40"/>
  <c r="Y71" i="40"/>
  <c r="Y137" i="40"/>
  <c r="Y219" i="40"/>
  <c r="Y215" i="40"/>
  <c r="Y11" i="42"/>
  <c r="Y5" i="42"/>
  <c r="Y10" i="40"/>
  <c r="Y236" i="40"/>
  <c r="Y46" i="40"/>
  <c r="Y149" i="40"/>
  <c r="Y261" i="40"/>
  <c r="Y169" i="40"/>
  <c r="Y45" i="40"/>
  <c r="Y170" i="40"/>
  <c r="Y88" i="40"/>
  <c r="Y244" i="40"/>
  <c r="Y43" i="40"/>
  <c r="Y183" i="40"/>
  <c r="Y155" i="40"/>
  <c r="P14" i="47"/>
  <c r="Y84" i="40"/>
  <c r="Y17" i="42"/>
  <c r="Y206" i="40"/>
  <c r="Y165" i="40"/>
  <c r="Y119" i="40"/>
  <c r="Y246" i="40"/>
  <c r="Y16" i="42"/>
  <c r="Y8" i="40"/>
  <c r="Y67" i="40"/>
  <c r="Y256" i="40"/>
  <c r="Y238" i="40"/>
  <c r="Y109" i="40"/>
  <c r="Y90" i="40"/>
  <c r="Y13" i="39"/>
  <c r="W13" i="39"/>
  <c r="AH62" i="39" s="1"/>
  <c r="Y9" i="42"/>
  <c r="Y25" i="42"/>
  <c r="Y190" i="40"/>
  <c r="Y260" i="40"/>
  <c r="Y229" i="40"/>
  <c r="Y87" i="40"/>
  <c r="Y49" i="40"/>
  <c r="Y9" i="40"/>
  <c r="Y217" i="40"/>
  <c r="Y60" i="40"/>
  <c r="Y251" i="40"/>
  <c r="Y239" i="40"/>
  <c r="Y141" i="40"/>
  <c r="Y201" i="40"/>
  <c r="P21" i="47"/>
  <c r="P27" i="47"/>
  <c r="Y91" i="40"/>
  <c r="Y166" i="40"/>
  <c r="Y40" i="40"/>
  <c r="Y116" i="40"/>
  <c r="Y58" i="40"/>
  <c r="Y110" i="40"/>
  <c r="Y254" i="40"/>
  <c r="Y220" i="40"/>
  <c r="Y20" i="42"/>
  <c r="Y47" i="40"/>
  <c r="Y79" i="40"/>
  <c r="Y4" i="40"/>
  <c r="Y257" i="40"/>
  <c r="Y3" i="39"/>
  <c r="Y15" i="42"/>
  <c r="Y28" i="42"/>
  <c r="Y164" i="40"/>
  <c r="Y212" i="40"/>
  <c r="Y194" i="40"/>
  <c r="Y50" i="40"/>
  <c r="Y161" i="40"/>
  <c r="Y208" i="40"/>
  <c r="Y61" i="40"/>
  <c r="Y228" i="40"/>
  <c r="Y123" i="40"/>
  <c r="Y69" i="40"/>
  <c r="Y21" i="40"/>
  <c r="Y57" i="40"/>
  <c r="P25" i="47"/>
  <c r="P20" i="47"/>
  <c r="Y180" i="40"/>
  <c r="Y237" i="40"/>
  <c r="Y23" i="42"/>
  <c r="Y207" i="40"/>
  <c r="Y7" i="42"/>
  <c r="Y253" i="40"/>
  <c r="Y33" i="40"/>
  <c r="Y186" i="40"/>
  <c r="Y118" i="40"/>
  <c r="Y14" i="42"/>
  <c r="Y259" i="40"/>
  <c r="Y35" i="40"/>
  <c r="Y132" i="40"/>
  <c r="Y63" i="40"/>
  <c r="Y77" i="40"/>
  <c r="Y157" i="40"/>
  <c r="Y104" i="40"/>
  <c r="Y225" i="40"/>
  <c r="Y5" i="40"/>
  <c r="Y32" i="40"/>
  <c r="Y214" i="40"/>
  <c r="U9" i="49"/>
  <c r="U5" i="49"/>
  <c r="P20" i="45"/>
  <c r="Y131" i="42"/>
  <c r="Y253" i="42"/>
  <c r="Y63" i="42"/>
  <c r="Y32" i="42"/>
  <c r="Y192" i="42"/>
  <c r="Y118" i="42"/>
  <c r="Y96" i="42"/>
  <c r="Y74" i="42"/>
  <c r="Y252" i="42"/>
  <c r="Y190" i="42"/>
  <c r="Y259" i="42"/>
  <c r="Y123" i="42"/>
  <c r="Y84" i="42"/>
  <c r="Y37" i="42"/>
  <c r="Y183" i="42"/>
  <c r="Y56" i="42"/>
  <c r="Y71" i="42"/>
  <c r="Y46" i="42"/>
  <c r="Y68" i="42"/>
  <c r="Y179" i="40"/>
  <c r="Y52" i="40"/>
  <c r="Y51" i="40"/>
  <c r="Y172" i="40"/>
  <c r="P15" i="45"/>
  <c r="Y99" i="42"/>
  <c r="Y48" i="42"/>
  <c r="Y92" i="42"/>
  <c r="Y180" i="42"/>
  <c r="Y256" i="42"/>
  <c r="Y243" i="42"/>
  <c r="Y130" i="42"/>
  <c r="Y117" i="42"/>
  <c r="Y161" i="42"/>
  <c r="Y181" i="42"/>
  <c r="Y221" i="42"/>
  <c r="Y203" i="42"/>
  <c r="Y233" i="42"/>
  <c r="Y106" i="42"/>
  <c r="Y44" i="42"/>
  <c r="Y133" i="42"/>
  <c r="Y102" i="42"/>
  <c r="Y158" i="42"/>
  <c r="Y126" i="42"/>
  <c r="Y205" i="42"/>
  <c r="Y255" i="42"/>
  <c r="Y83" i="42"/>
  <c r="Y139" i="42"/>
  <c r="Y121" i="42"/>
  <c r="Y33" i="42"/>
  <c r="Y231" i="42"/>
  <c r="Y186" i="42"/>
  <c r="Y173" i="42"/>
  <c r="Y113" i="42"/>
  <c r="Y249" i="42"/>
  <c r="Y61" i="42"/>
  <c r="Y88" i="42"/>
  <c r="Y80" i="42"/>
  <c r="Y166" i="42"/>
  <c r="Y55" i="42"/>
  <c r="Y214" i="42"/>
  <c r="Y19" i="40"/>
  <c r="Y247" i="42"/>
  <c r="Y124" i="42"/>
  <c r="Y261" i="42"/>
  <c r="Y34" i="42"/>
  <c r="Y185" i="42"/>
  <c r="Y105" i="42"/>
  <c r="Y151" i="40"/>
  <c r="Y182" i="42"/>
  <c r="Y30" i="42"/>
  <c r="Y98" i="42"/>
  <c r="Y76" i="42"/>
  <c r="Y47" i="42"/>
  <c r="Y111" i="42"/>
  <c r="P21" i="45"/>
  <c r="AH63" i="43"/>
  <c r="Y248" i="42"/>
  <c r="Y138" i="42"/>
  <c r="Y211" i="42"/>
  <c r="Y62" i="42"/>
  <c r="Y70" i="40"/>
  <c r="Y205" i="40"/>
  <c r="Y147" i="40"/>
  <c r="Y209" i="40"/>
  <c r="P19" i="45"/>
  <c r="Y218" i="42"/>
  <c r="Y213" i="42"/>
  <c r="Y146" i="42"/>
  <c r="Y162" i="42"/>
  <c r="Y191" i="42"/>
  <c r="Y179" i="42"/>
  <c r="Y145" i="42"/>
  <c r="Y132" i="42"/>
  <c r="Y108" i="42"/>
  <c r="Y90" i="42"/>
  <c r="Y67" i="42"/>
  <c r="Y224" i="42"/>
  <c r="Y240" i="42"/>
  <c r="Y196" i="42"/>
  <c r="Y189" i="42"/>
  <c r="Y167" i="42"/>
  <c r="Y100" i="42"/>
  <c r="Y82" i="42"/>
  <c r="Y44" i="40"/>
  <c r="U13" i="48"/>
  <c r="S13" i="48"/>
  <c r="AD8" i="48" s="1"/>
  <c r="Y81" i="42"/>
  <c r="Y87" i="42"/>
  <c r="Y226" i="42"/>
  <c r="Y112" i="42"/>
  <c r="Y230" i="42"/>
  <c r="Y158" i="40"/>
  <c r="Y107" i="42"/>
  <c r="Y199" i="42"/>
  <c r="Y169" i="42"/>
  <c r="Y187" i="42"/>
  <c r="Y96" i="40"/>
  <c r="Y201" i="42"/>
  <c r="Y228" i="42"/>
  <c r="Y156" i="42"/>
  <c r="Y257" i="42"/>
  <c r="Y154" i="42"/>
  <c r="Y28" i="40"/>
  <c r="Y247" i="40"/>
  <c r="Y66" i="40"/>
  <c r="Y89" i="40"/>
  <c r="U5" i="48"/>
  <c r="Y245" i="42"/>
  <c r="Y144" i="42"/>
  <c r="Y225" i="42"/>
  <c r="Y115" i="42"/>
  <c r="Y137" i="42"/>
  <c r="Y242" i="42"/>
  <c r="Y168" i="42"/>
  <c r="Y153" i="42"/>
  <c r="Y150" i="42"/>
  <c r="Y52" i="42"/>
  <c r="Y91" i="42"/>
  <c r="Y79" i="42"/>
  <c r="Y31" i="42"/>
  <c r="Y197" i="42"/>
  <c r="Y38" i="42"/>
  <c r="Y222" i="42"/>
  <c r="Y177" i="42"/>
  <c r="Y195" i="42"/>
  <c r="Y236" i="42"/>
  <c r="Y66" i="42"/>
  <c r="Y40" i="42"/>
  <c r="Y184" i="42"/>
  <c r="Y193" i="40"/>
  <c r="Y143" i="42"/>
  <c r="Y164" i="42"/>
  <c r="Y200" i="42"/>
  <c r="Y77" i="42"/>
  <c r="Y163" i="42"/>
  <c r="Y255" i="40"/>
  <c r="U3" i="49"/>
  <c r="Y72" i="42"/>
  <c r="Y204" i="42"/>
  <c r="Y209" i="42"/>
  <c r="Y176" i="42"/>
  <c r="Y210" i="42"/>
  <c r="Y114" i="42"/>
  <c r="Y128" i="42"/>
  <c r="Y258" i="42"/>
  <c r="Y89" i="42"/>
  <c r="Y160" i="42"/>
  <c r="Y86" i="42"/>
  <c r="Y143" i="40"/>
  <c r="Y10" i="42"/>
  <c r="Y82" i="40"/>
  <c r="Y160" i="40"/>
  <c r="U13" i="49"/>
  <c r="S13" i="49" s="1"/>
  <c r="Y149" i="42"/>
  <c r="Y122" i="40"/>
  <c r="Y244" i="42"/>
  <c r="Y152" i="40"/>
  <c r="Y3" i="42"/>
  <c r="Y198" i="40"/>
  <c r="Y55" i="40"/>
  <c r="Y152" i="42"/>
  <c r="Y103" i="40"/>
  <c r="Y193" i="42"/>
  <c r="AH33" i="43"/>
  <c r="AH14" i="43"/>
  <c r="AH4" i="43"/>
  <c r="AH13" i="43"/>
  <c r="H31" i="35"/>
  <c r="H67" i="33" s="1"/>
  <c r="L67" i="33" s="1"/>
  <c r="M67" i="33"/>
  <c r="AH6" i="43" l="1"/>
  <c r="W3" i="39" a="1"/>
  <c r="W5" i="39" s="1"/>
  <c r="S9" i="48" a="1"/>
  <c r="S10" i="48" s="1"/>
  <c r="AD66" i="49"/>
  <c r="AD148" i="49"/>
  <c r="AD45" i="49"/>
  <c r="AD103" i="49"/>
  <c r="AD256" i="49"/>
  <c r="AD251" i="49"/>
  <c r="AH11" i="43"/>
  <c r="AH51" i="43"/>
  <c r="AH22" i="43"/>
  <c r="AH31" i="43"/>
  <c r="W9" i="43" a="1"/>
  <c r="W10" i="43" s="1"/>
  <c r="AH7" i="43"/>
  <c r="AH50" i="43"/>
  <c r="AH44" i="43"/>
  <c r="AH25" i="43"/>
  <c r="AH16" i="43"/>
  <c r="AH10" i="43"/>
  <c r="AH32" i="43"/>
  <c r="AH57" i="43"/>
  <c r="AH55" i="43"/>
  <c r="AH48" i="43"/>
  <c r="AH15" i="43"/>
  <c r="AH39" i="43"/>
  <c r="AH61" i="43"/>
  <c r="AH19" i="43"/>
  <c r="AH46" i="43"/>
  <c r="AH40" i="43"/>
  <c r="AH49" i="43"/>
  <c r="AH41" i="43"/>
  <c r="AH5" i="43"/>
  <c r="AH36" i="43"/>
  <c r="AD140" i="49"/>
  <c r="AD68" i="49"/>
  <c r="AH37" i="43"/>
  <c r="AH35" i="43"/>
  <c r="AD176" i="49"/>
  <c r="AH60" i="43"/>
  <c r="W9" i="39" a="1"/>
  <c r="W10" i="39" s="1"/>
  <c r="AH34" i="43"/>
  <c r="AH64" i="43"/>
  <c r="AH21" i="43"/>
  <c r="AD85" i="49"/>
  <c r="AH18" i="43"/>
  <c r="AD53" i="49"/>
  <c r="AH54" i="43"/>
  <c r="AH43" i="43"/>
  <c r="AH56" i="43"/>
  <c r="AH17" i="43"/>
  <c r="AH58" i="43"/>
  <c r="AD22" i="48"/>
  <c r="AD14" i="48"/>
  <c r="AD24" i="48"/>
  <c r="AD5" i="48"/>
  <c r="AD18" i="48"/>
  <c r="AD74" i="49"/>
  <c r="AD183" i="49"/>
  <c r="AD142" i="49"/>
  <c r="AD72" i="49"/>
  <c r="AD70" i="49"/>
  <c r="AD199" i="49"/>
  <c r="AD104" i="49"/>
  <c r="AD175" i="49"/>
  <c r="AD211" i="49"/>
  <c r="AD57" i="49"/>
  <c r="AD122" i="49"/>
  <c r="AD160" i="49"/>
  <c r="AD182" i="49"/>
  <c r="AD64" i="49"/>
  <c r="AD94" i="49"/>
  <c r="AD40" i="49"/>
  <c r="AD196" i="49"/>
  <c r="AD190" i="49"/>
  <c r="AD173" i="49"/>
  <c r="AD130" i="49"/>
  <c r="AD28" i="49"/>
  <c r="AD29" i="49"/>
  <c r="AD20" i="49"/>
  <c r="AD214" i="49"/>
  <c r="AD98" i="49"/>
  <c r="AD107" i="49"/>
  <c r="AD23" i="49"/>
  <c r="AD127" i="49"/>
  <c r="AD46" i="49"/>
  <c r="AD157" i="49"/>
  <c r="AD42" i="49"/>
  <c r="AD186" i="49"/>
  <c r="AD54" i="49"/>
  <c r="AD156" i="49"/>
  <c r="AD228" i="49"/>
  <c r="AD50" i="49"/>
  <c r="AD80" i="49"/>
  <c r="AD145" i="49"/>
  <c r="AD147" i="49"/>
  <c r="AD257" i="49"/>
  <c r="AD114" i="49"/>
  <c r="AD191" i="49"/>
  <c r="AD226" i="49"/>
  <c r="AD27" i="49"/>
  <c r="AD149" i="49"/>
  <c r="AD128" i="49"/>
  <c r="AD248" i="49"/>
  <c r="AD213" i="49"/>
  <c r="AD146" i="49"/>
  <c r="AD83" i="49"/>
  <c r="AD102" i="49"/>
  <c r="AD52" i="49"/>
  <c r="AD247" i="49"/>
  <c r="AD187" i="49"/>
  <c r="AD193" i="49"/>
  <c r="AD212" i="49"/>
  <c r="AD245" i="49"/>
  <c r="AD232" i="49"/>
  <c r="AD165" i="49"/>
  <c r="AD241" i="49"/>
  <c r="AD4" i="49"/>
  <c r="AD237" i="49"/>
  <c r="AD113" i="49"/>
  <c r="AD231" i="49"/>
  <c r="AD39" i="49"/>
  <c r="AD172" i="49"/>
  <c r="AD100" i="49"/>
  <c r="AD15" i="48"/>
  <c r="AD240" i="49"/>
  <c r="S3" i="48" a="1"/>
  <c r="AD7" i="49"/>
  <c r="AD125" i="49"/>
  <c r="AD62" i="49"/>
  <c r="AD131" i="49"/>
  <c r="AD207" i="49"/>
  <c r="AD6" i="48"/>
  <c r="AD206" i="49"/>
  <c r="AD90" i="49"/>
  <c r="AD67" i="49"/>
  <c r="AD21" i="49"/>
  <c r="AD92" i="49"/>
  <c r="AD25" i="48"/>
  <c r="AH40" i="39"/>
  <c r="AH24" i="39"/>
  <c r="AH53" i="39"/>
  <c r="AH86" i="39"/>
  <c r="AD84" i="49"/>
  <c r="AD246" i="49"/>
  <c r="AD178" i="49"/>
  <c r="AD10" i="48"/>
  <c r="AD49" i="49"/>
  <c r="AD14" i="49"/>
  <c r="AD153" i="49"/>
  <c r="AD200" i="49"/>
  <c r="AD124" i="49"/>
  <c r="AD34" i="49"/>
  <c r="AD167" i="49"/>
  <c r="AD254" i="49"/>
  <c r="AD43" i="49"/>
  <c r="AD15" i="49"/>
  <c r="AD118" i="49"/>
  <c r="AD61" i="49"/>
  <c r="AD13" i="49"/>
  <c r="AD41" i="49"/>
  <c r="AD4" i="48"/>
  <c r="AD205" i="49"/>
  <c r="AD151" i="49"/>
  <c r="AD55" i="49"/>
  <c r="AD3" i="48"/>
  <c r="S9" i="49" a="1"/>
  <c r="AH62" i="43"/>
  <c r="AH29" i="43"/>
  <c r="AH3" i="43"/>
  <c r="AH65" i="43"/>
  <c r="AH23" i="43"/>
  <c r="AH27" i="43"/>
  <c r="AH53" i="43"/>
  <c r="AH59" i="43"/>
  <c r="AH8" i="43"/>
  <c r="AH59" i="39"/>
  <c r="AH14" i="39"/>
  <c r="AH22" i="39"/>
  <c r="AH19" i="39"/>
  <c r="AH108" i="39"/>
  <c r="AH28" i="39"/>
  <c r="AH37" i="39"/>
  <c r="AH101" i="39"/>
  <c r="AH15" i="39"/>
  <c r="AH29" i="39"/>
  <c r="AH98" i="39"/>
  <c r="AH116" i="39"/>
  <c r="AH125" i="39"/>
  <c r="AH91" i="39"/>
  <c r="AH35" i="39"/>
  <c r="AH130" i="39"/>
  <c r="AH21" i="39"/>
  <c r="AH87" i="39"/>
  <c r="AH85" i="39"/>
  <c r="AH17" i="39"/>
  <c r="AH46" i="39"/>
  <c r="AH42" i="39"/>
  <c r="AH64" i="39"/>
  <c r="AH11" i="39"/>
  <c r="AH115" i="39"/>
  <c r="AH131" i="39"/>
  <c r="AH60" i="39"/>
  <c r="AH50" i="39"/>
  <c r="AH126" i="39"/>
  <c r="AH95" i="39"/>
  <c r="AH55" i="39"/>
  <c r="AH6" i="39"/>
  <c r="AH114" i="39"/>
  <c r="AH56" i="39"/>
  <c r="AH76" i="39"/>
  <c r="AH44" i="39"/>
  <c r="AH73" i="39"/>
  <c r="AH107" i="39"/>
  <c r="AH49" i="39"/>
  <c r="AH84" i="39"/>
  <c r="AH71" i="39"/>
  <c r="AH27" i="39"/>
  <c r="AH39" i="39"/>
  <c r="AH122" i="39"/>
  <c r="AH9" i="39"/>
  <c r="AH97" i="39"/>
  <c r="AH18" i="39"/>
  <c r="AH48" i="39"/>
  <c r="AH118" i="39"/>
  <c r="AH129" i="39"/>
  <c r="AH57" i="39"/>
  <c r="AH70" i="39"/>
  <c r="AH80" i="39"/>
  <c r="AH111" i="39"/>
  <c r="AH25" i="39"/>
  <c r="AH79" i="39"/>
  <c r="AH52" i="39"/>
  <c r="AH103" i="39"/>
  <c r="AH106" i="39"/>
  <c r="AH127" i="39"/>
  <c r="AH123" i="39"/>
  <c r="AH102" i="39"/>
  <c r="AH110" i="39"/>
  <c r="AH96" i="39"/>
  <c r="AH78" i="39"/>
  <c r="AH72" i="39"/>
  <c r="AH77" i="39"/>
  <c r="AH109" i="39"/>
  <c r="AH45" i="39"/>
  <c r="AH89" i="39"/>
  <c r="AH69" i="39"/>
  <c r="AH94" i="39"/>
  <c r="AH63" i="39"/>
  <c r="AH41" i="39"/>
  <c r="AH47" i="39"/>
  <c r="AH20" i="39"/>
  <c r="AH74" i="39"/>
  <c r="AH54" i="39"/>
  <c r="AH104" i="39"/>
  <c r="AH90" i="39"/>
  <c r="AH120" i="39"/>
  <c r="AH128" i="39"/>
  <c r="AH7" i="39"/>
  <c r="AH67" i="39"/>
  <c r="AH13" i="39"/>
  <c r="AH93" i="39"/>
  <c r="AH33" i="39"/>
  <c r="AH88" i="39"/>
  <c r="AH61" i="39"/>
  <c r="AH36" i="39"/>
  <c r="AH121" i="39"/>
  <c r="AH81" i="39"/>
  <c r="AH31" i="39"/>
  <c r="AH5" i="39"/>
  <c r="AH51" i="39"/>
  <c r="AH83" i="39"/>
  <c r="AH8" i="39"/>
  <c r="AH32" i="39"/>
  <c r="AH105" i="39"/>
  <c r="AH112" i="39"/>
  <c r="AH30" i="39"/>
  <c r="AH26" i="39"/>
  <c r="AH100" i="39"/>
  <c r="AH65" i="39"/>
  <c r="AH23" i="39"/>
  <c r="AH12" i="39"/>
  <c r="AH4" i="39"/>
  <c r="AH82" i="39"/>
  <c r="AH16" i="39"/>
  <c r="AH10" i="39"/>
  <c r="AH43" i="39"/>
  <c r="AH124" i="39"/>
  <c r="AH38" i="39"/>
  <c r="AH75" i="39"/>
  <c r="AH113" i="39"/>
  <c r="AH58" i="39"/>
  <c r="AH132" i="39"/>
  <c r="AH34" i="39"/>
  <c r="AH3" i="39"/>
  <c r="AH92" i="39"/>
  <c r="AH66" i="39"/>
  <c r="AH117" i="39"/>
  <c r="AH68" i="39"/>
  <c r="AH99" i="39"/>
  <c r="AH119" i="39"/>
  <c r="W3" i="39"/>
  <c r="AD139" i="49"/>
  <c r="AD58" i="49"/>
  <c r="AD5" i="49"/>
  <c r="AD17" i="49"/>
  <c r="AD38" i="49"/>
  <c r="AD143" i="49"/>
  <c r="AD79" i="49"/>
  <c r="AD198" i="49"/>
  <c r="AD25" i="49"/>
  <c r="AD119" i="49"/>
  <c r="AD161" i="49"/>
  <c r="AD195" i="49"/>
  <c r="AD253" i="49"/>
  <c r="AD71" i="49"/>
  <c r="AD109" i="49"/>
  <c r="AD242" i="49"/>
  <c r="AD243" i="49"/>
  <c r="AD35" i="49"/>
  <c r="AD138" i="49"/>
  <c r="AD216" i="49"/>
  <c r="AD180" i="49"/>
  <c r="AD47" i="49"/>
  <c r="AD202" i="49"/>
  <c r="AD135" i="49"/>
  <c r="AD120" i="49"/>
  <c r="AD220" i="49"/>
  <c r="AD154" i="49"/>
  <c r="AD51" i="49"/>
  <c r="AD133" i="49"/>
  <c r="AD184" i="49"/>
  <c r="AD36" i="49"/>
  <c r="AD82" i="49"/>
  <c r="AD123" i="49"/>
  <c r="AD9" i="49"/>
  <c r="AD255" i="49"/>
  <c r="AD112" i="49"/>
  <c r="AD210" i="49"/>
  <c r="AD250" i="49"/>
  <c r="AD44" i="49"/>
  <c r="AD101" i="49"/>
  <c r="AD10" i="49"/>
  <c r="AD230" i="49"/>
  <c r="AD197" i="49"/>
  <c r="AD110" i="49"/>
  <c r="AD185" i="49"/>
  <c r="AD95" i="49"/>
  <c r="AD170" i="49"/>
  <c r="AD194" i="49"/>
  <c r="AD33" i="49"/>
  <c r="AD150" i="49"/>
  <c r="AD137" i="49"/>
  <c r="AD239" i="49"/>
  <c r="AD132" i="49"/>
  <c r="AD115" i="49"/>
  <c r="AD179" i="49"/>
  <c r="AD106" i="49"/>
  <c r="AD88" i="49"/>
  <c r="AD238" i="49"/>
  <c r="AD227" i="49"/>
  <c r="AD134" i="49"/>
  <c r="AD6" i="49"/>
  <c r="AD203" i="49"/>
  <c r="AD26" i="49"/>
  <c r="AD59" i="49"/>
  <c r="AD192" i="49"/>
  <c r="AD225" i="49"/>
  <c r="AD136" i="49"/>
  <c r="AD163" i="49"/>
  <c r="AD86" i="49"/>
  <c r="AD3" i="49"/>
  <c r="AD189" i="49"/>
  <c r="AD155" i="49"/>
  <c r="AD91" i="49"/>
  <c r="AD224" i="49"/>
  <c r="AD181" i="49"/>
  <c r="AD11" i="49"/>
  <c r="AD18" i="49"/>
  <c r="AD32" i="49"/>
  <c r="AD105" i="49"/>
  <c r="AD233" i="49"/>
  <c r="AD158" i="49"/>
  <c r="AD73" i="49"/>
  <c r="AD117" i="49"/>
  <c r="AD108" i="49"/>
  <c r="AD168" i="49"/>
  <c r="AD111" i="49"/>
  <c r="AD24" i="49"/>
  <c r="AD65" i="49"/>
  <c r="AD177" i="49"/>
  <c r="AD77" i="49"/>
  <c r="AD222" i="49"/>
  <c r="AD116" i="49"/>
  <c r="AD234" i="49"/>
  <c r="AD63" i="49"/>
  <c r="AD252" i="49"/>
  <c r="AD201" i="49"/>
  <c r="AD129" i="49"/>
  <c r="AD37" i="49"/>
  <c r="AD48" i="49"/>
  <c r="AD69" i="49"/>
  <c r="AD56" i="49"/>
  <c r="AD219" i="49"/>
  <c r="AD244" i="49"/>
  <c r="AD164" i="49"/>
  <c r="AD31" i="49"/>
  <c r="AD22" i="49"/>
  <c r="AD152" i="49"/>
  <c r="W3" i="43" a="1"/>
  <c r="AD93" i="49"/>
  <c r="AD144" i="49"/>
  <c r="AD78" i="49"/>
  <c r="AD208" i="49"/>
  <c r="AD217" i="49"/>
  <c r="AD76" i="49"/>
  <c r="AD30" i="49"/>
  <c r="AD221" i="49"/>
  <c r="AD75" i="49"/>
  <c r="AD166" i="49"/>
  <c r="AD16" i="49"/>
  <c r="AD81" i="49"/>
  <c r="AD7" i="48"/>
  <c r="AD17" i="48"/>
  <c r="AD12" i="48"/>
  <c r="AD11" i="48"/>
  <c r="AD19" i="48"/>
  <c r="AD23" i="48"/>
  <c r="AD13" i="48"/>
  <c r="AD9" i="48"/>
  <c r="AD20" i="48"/>
  <c r="AD26" i="48"/>
  <c r="AD215" i="49"/>
  <c r="AD223" i="49"/>
  <c r="AD169" i="49"/>
  <c r="AD141" i="49"/>
  <c r="AD96" i="49"/>
  <c r="AD89" i="49"/>
  <c r="AD97" i="49"/>
  <c r="AD209" i="49"/>
  <c r="AD188" i="49"/>
  <c r="AD249" i="49"/>
  <c r="AD21" i="48"/>
  <c r="AD16" i="48"/>
  <c r="AD159" i="49"/>
  <c r="AD126" i="49"/>
  <c r="AD229" i="49"/>
  <c r="AD8" i="49"/>
  <c r="AD204" i="49"/>
  <c r="AD218" i="49"/>
  <c r="AD12" i="49"/>
  <c r="AD60" i="49"/>
  <c r="AD235" i="49"/>
  <c r="AD171" i="49"/>
  <c r="AD19" i="49"/>
  <c r="AD121" i="49"/>
  <c r="AD162" i="49"/>
  <c r="AD87" i="49"/>
  <c r="AD174" i="49"/>
  <c r="AD99" i="49"/>
  <c r="AD236" i="49"/>
  <c r="S3" i="49" a="1"/>
  <c r="AH26" i="43"/>
  <c r="AH47" i="43"/>
  <c r="AH30" i="43"/>
  <c r="AH42" i="43"/>
  <c r="AH20" i="43"/>
  <c r="AH24" i="43"/>
  <c r="AH12" i="43"/>
  <c r="AH9" i="43"/>
  <c r="AH38" i="43"/>
  <c r="AH28" i="43"/>
  <c r="H12" i="35"/>
  <c r="H50" i="33" s="1"/>
  <c r="L50" i="33" s="1"/>
  <c r="M50" i="33"/>
  <c r="S9" i="48" l="1"/>
  <c r="AE8" i="48" s="1"/>
  <c r="W4" i="39"/>
  <c r="AJ41" i="39" s="1"/>
  <c r="AJ26" i="39"/>
  <c r="AJ32" i="39"/>
  <c r="AJ38" i="39"/>
  <c r="AJ54" i="39"/>
  <c r="AJ31" i="39"/>
  <c r="W9" i="39"/>
  <c r="AI118" i="39" s="1"/>
  <c r="W9" i="43"/>
  <c r="AI17" i="43" s="1"/>
  <c r="AJ25" i="39"/>
  <c r="AJ5" i="39"/>
  <c r="AJ71" i="39"/>
  <c r="S3" i="48"/>
  <c r="S5" i="48"/>
  <c r="S4" i="48"/>
  <c r="AJ17" i="39"/>
  <c r="AJ53" i="39"/>
  <c r="S10" i="49"/>
  <c r="S9" i="49"/>
  <c r="AJ97" i="39"/>
  <c r="AJ126" i="39"/>
  <c r="AJ95" i="39"/>
  <c r="AJ33" i="39"/>
  <c r="AJ16" i="39"/>
  <c r="AJ74" i="39"/>
  <c r="AJ109" i="39"/>
  <c r="AJ12" i="39"/>
  <c r="AJ108" i="39"/>
  <c r="AJ48" i="39"/>
  <c r="AJ65" i="39"/>
  <c r="AJ87" i="39"/>
  <c r="AJ3" i="39"/>
  <c r="AJ69" i="39"/>
  <c r="AJ99" i="39"/>
  <c r="AJ76" i="39"/>
  <c r="AJ51" i="39"/>
  <c r="AJ58" i="39"/>
  <c r="W3" i="43"/>
  <c r="W5" i="43"/>
  <c r="W4" i="43"/>
  <c r="AJ57" i="39"/>
  <c r="AJ50" i="39"/>
  <c r="S4" i="49"/>
  <c r="S5" i="49"/>
  <c r="S3" i="49"/>
  <c r="AJ22" i="39"/>
  <c r="AJ119" i="39"/>
  <c r="AJ118" i="39"/>
  <c r="AJ94" i="39"/>
  <c r="AJ10" i="39"/>
  <c r="AJ132" i="39"/>
  <c r="AJ106" i="39"/>
  <c r="AJ35" i="39"/>
  <c r="AJ11" i="39"/>
  <c r="AJ18" i="39"/>
  <c r="AJ129" i="39"/>
  <c r="AJ15" i="39"/>
  <c r="AJ102" i="39"/>
  <c r="AJ75" i="39"/>
  <c r="AJ56" i="39"/>
  <c r="AJ70" i="39"/>
  <c r="AJ60" i="39"/>
  <c r="AJ90" i="39"/>
  <c r="H20" i="35"/>
  <c r="H57" i="33" s="1"/>
  <c r="L57" i="33" s="1"/>
  <c r="M57" i="33"/>
  <c r="AJ93" i="39" l="1"/>
  <c r="AJ66" i="39"/>
  <c r="AJ44" i="39"/>
  <c r="AJ20" i="39"/>
  <c r="AJ45" i="39"/>
  <c r="AJ4" i="39"/>
  <c r="AJ59" i="39"/>
  <c r="AJ79" i="39"/>
  <c r="AJ55" i="39"/>
  <c r="AJ86" i="39"/>
  <c r="AJ122" i="39"/>
  <c r="AJ124" i="39"/>
  <c r="AJ113" i="39"/>
  <c r="AJ52" i="39"/>
  <c r="AJ123" i="39"/>
  <c r="AJ43" i="39"/>
  <c r="AJ84" i="39"/>
  <c r="AJ7" i="39"/>
  <c r="AJ78" i="39"/>
  <c r="AJ96" i="39"/>
  <c r="AJ101" i="39"/>
  <c r="AJ37" i="39"/>
  <c r="AJ39" i="39"/>
  <c r="AJ89" i="39"/>
  <c r="AJ19" i="39"/>
  <c r="AJ42" i="39"/>
  <c r="AJ61" i="39"/>
  <c r="AE18" i="48"/>
  <c r="AE22" i="48"/>
  <c r="AE5" i="48"/>
  <c r="AE26" i="48"/>
  <c r="AJ80" i="39"/>
  <c r="AJ114" i="39"/>
  <c r="AJ111" i="39"/>
  <c r="AJ64" i="39"/>
  <c r="AJ121" i="39"/>
  <c r="AJ100" i="39"/>
  <c r="AJ85" i="39"/>
  <c r="AJ67" i="39"/>
  <c r="AJ27" i="39"/>
  <c r="AJ30" i="39"/>
  <c r="AJ40" i="39"/>
  <c r="AJ23" i="39"/>
  <c r="AJ28" i="39"/>
  <c r="AJ73" i="39"/>
  <c r="AJ91" i="39"/>
  <c r="AJ127" i="39"/>
  <c r="AJ128" i="39"/>
  <c r="AJ21" i="39"/>
  <c r="AJ63" i="39"/>
  <c r="AJ115" i="39"/>
  <c r="AJ130" i="39"/>
  <c r="AJ131" i="39"/>
  <c r="AJ103" i="39"/>
  <c r="AJ29" i="39"/>
  <c r="AJ49" i="39"/>
  <c r="AJ68" i="39"/>
  <c r="AJ81" i="39"/>
  <c r="AJ34" i="39"/>
  <c r="AE21" i="48"/>
  <c r="AE9" i="48"/>
  <c r="AE17" i="48"/>
  <c r="AE25" i="48"/>
  <c r="AE6" i="48"/>
  <c r="AE19" i="48"/>
  <c r="AE11" i="48"/>
  <c r="AE14" i="48"/>
  <c r="AE3" i="48"/>
  <c r="AE24" i="48"/>
  <c r="AE10" i="48"/>
  <c r="AE12" i="48"/>
  <c r="AE13" i="48"/>
  <c r="AE4" i="48"/>
  <c r="AE15" i="48"/>
  <c r="AJ6" i="39"/>
  <c r="AJ24" i="39"/>
  <c r="AJ46" i="39"/>
  <c r="AJ83" i="39"/>
  <c r="AJ107" i="39"/>
  <c r="AJ105" i="39"/>
  <c r="AJ120" i="39"/>
  <c r="AJ98" i="39"/>
  <c r="AJ13" i="39"/>
  <c r="AJ88" i="39"/>
  <c r="AJ125" i="39"/>
  <c r="AJ36" i="39"/>
  <c r="AJ62" i="39"/>
  <c r="AE7" i="48"/>
  <c r="AE23" i="48"/>
  <c r="AE16" i="48"/>
  <c r="AE20" i="48"/>
  <c r="AJ104" i="39"/>
  <c r="AJ72" i="39"/>
  <c r="AJ92" i="39"/>
  <c r="AJ110" i="39"/>
  <c r="AJ9" i="39"/>
  <c r="AJ77" i="39"/>
  <c r="AJ112" i="39"/>
  <c r="AJ47" i="39"/>
  <c r="AJ117" i="39"/>
  <c r="AJ116" i="39"/>
  <c r="AJ8" i="39"/>
  <c r="AJ82" i="39"/>
  <c r="AJ14" i="39"/>
  <c r="AI113" i="39"/>
  <c r="AI21" i="39"/>
  <c r="AI120" i="39"/>
  <c r="AI89" i="39"/>
  <c r="AI22" i="39"/>
  <c r="AI77" i="39"/>
  <c r="AI90" i="39"/>
  <c r="AI48" i="39"/>
  <c r="AI100" i="39"/>
  <c r="AI110" i="39"/>
  <c r="AI82" i="39"/>
  <c r="AI104" i="39"/>
  <c r="AI12" i="39"/>
  <c r="AI72" i="39"/>
  <c r="AI66" i="39"/>
  <c r="AI121" i="39"/>
  <c r="AI130" i="39"/>
  <c r="AI123" i="39"/>
  <c r="AI54" i="39"/>
  <c r="AI38" i="39"/>
  <c r="AI32" i="39"/>
  <c r="AI86" i="39"/>
  <c r="AI109" i="39"/>
  <c r="AI125" i="39"/>
  <c r="AI31" i="39"/>
  <c r="AI69" i="39"/>
  <c r="AI115" i="39"/>
  <c r="AI38" i="43"/>
  <c r="AI36" i="39"/>
  <c r="AI117" i="39"/>
  <c r="AI108" i="39"/>
  <c r="AI73" i="39"/>
  <c r="AI13" i="39"/>
  <c r="AI71" i="39"/>
  <c r="AI127" i="39"/>
  <c r="AI78" i="39"/>
  <c r="AI80" i="39"/>
  <c r="AI126" i="39"/>
  <c r="AI50" i="39"/>
  <c r="AI124" i="39"/>
  <c r="AI93" i="39"/>
  <c r="AI87" i="39"/>
  <c r="AI83" i="39"/>
  <c r="AI46" i="43"/>
  <c r="AI116" i="39"/>
  <c r="AI102" i="39"/>
  <c r="AI74" i="39"/>
  <c r="AI30" i="39"/>
  <c r="AI4" i="43"/>
  <c r="AI9" i="43"/>
  <c r="AI114" i="39"/>
  <c r="AI99" i="39"/>
  <c r="AI56" i="39"/>
  <c r="AI88" i="39"/>
  <c r="AI27" i="39"/>
  <c r="AI7" i="39"/>
  <c r="AI17" i="39"/>
  <c r="AI111" i="39"/>
  <c r="AI55" i="39"/>
  <c r="AI18" i="39"/>
  <c r="AI11" i="43"/>
  <c r="AI119" i="39"/>
  <c r="AI97" i="39"/>
  <c r="AI53" i="39"/>
  <c r="AI112" i="39"/>
  <c r="AI59" i="39"/>
  <c r="AI128" i="39"/>
  <c r="AI5" i="39"/>
  <c r="AI85" i="39"/>
  <c r="AI42" i="39"/>
  <c r="AI37" i="39"/>
  <c r="AI45" i="39"/>
  <c r="AI25" i="39"/>
  <c r="AI70" i="39"/>
  <c r="AI103" i="39"/>
  <c r="AI24" i="43"/>
  <c r="AI96" i="39"/>
  <c r="AI132" i="39"/>
  <c r="AI41" i="39"/>
  <c r="AI63" i="39"/>
  <c r="AI20" i="39"/>
  <c r="AI6" i="39"/>
  <c r="AI43" i="39"/>
  <c r="AI49" i="39"/>
  <c r="AI16" i="39"/>
  <c r="AI101" i="39"/>
  <c r="AI60" i="39"/>
  <c r="AI105" i="39"/>
  <c r="AI29" i="39"/>
  <c r="AI8" i="39"/>
  <c r="AI42" i="43"/>
  <c r="AI43" i="43"/>
  <c r="AI107" i="39"/>
  <c r="AI98" i="39"/>
  <c r="AI23" i="39"/>
  <c r="AI4" i="39"/>
  <c r="AI47" i="39"/>
  <c r="AI11" i="39"/>
  <c r="AI65" i="39"/>
  <c r="AI61" i="39"/>
  <c r="AI84" i="39"/>
  <c r="AI24" i="39"/>
  <c r="AI62" i="39"/>
  <c r="AI52" i="39"/>
  <c r="AI9" i="39"/>
  <c r="AI67" i="39"/>
  <c r="AI106" i="39"/>
  <c r="AI5" i="43"/>
  <c r="AI26" i="43"/>
  <c r="AI57" i="43"/>
  <c r="AI46" i="39"/>
  <c r="AI15" i="39"/>
  <c r="AI26" i="39"/>
  <c r="AI76" i="39"/>
  <c r="AI129" i="39"/>
  <c r="AI40" i="39"/>
  <c r="AI44" i="39"/>
  <c r="AI131" i="39"/>
  <c r="AI94" i="39"/>
  <c r="AI79" i="39"/>
  <c r="AI34" i="39"/>
  <c r="AI64" i="39"/>
  <c r="AI81" i="39"/>
  <c r="AI122" i="39"/>
  <c r="AI75" i="39"/>
  <c r="AE43" i="49"/>
  <c r="AI63" i="43"/>
  <c r="AI64" i="43"/>
  <c r="AI34" i="43"/>
  <c r="AI59" i="43"/>
  <c r="AI55" i="43"/>
  <c r="AI36" i="43"/>
  <c r="AI40" i="43"/>
  <c r="AI16" i="43"/>
  <c r="AI20" i="43"/>
  <c r="AI28" i="43"/>
  <c r="AI58" i="43"/>
  <c r="AI3" i="43"/>
  <c r="AI10" i="43"/>
  <c r="AI12" i="43"/>
  <c r="AI31" i="43"/>
  <c r="AI32" i="43"/>
  <c r="AI8" i="43"/>
  <c r="AI33" i="43"/>
  <c r="AI60" i="43"/>
  <c r="AI48" i="43"/>
  <c r="AI49" i="43"/>
  <c r="AI30" i="43"/>
  <c r="AI22" i="43"/>
  <c r="AI15" i="43"/>
  <c r="AI52" i="43"/>
  <c r="AI14" i="43"/>
  <c r="AI53" i="43"/>
  <c r="AI19" i="43"/>
  <c r="AI91" i="39"/>
  <c r="AI19" i="39"/>
  <c r="AI95" i="39"/>
  <c r="AI28" i="39"/>
  <c r="AI51" i="39"/>
  <c r="AI14" i="39"/>
  <c r="AI68" i="39"/>
  <c r="AI33" i="39"/>
  <c r="AI39" i="39"/>
  <c r="AI58" i="39"/>
  <c r="AI35" i="39"/>
  <c r="AI10" i="39"/>
  <c r="AI57" i="39"/>
  <c r="AI3" i="39"/>
  <c r="AI92" i="39"/>
  <c r="AI65" i="43"/>
  <c r="AI62" i="43"/>
  <c r="AI37" i="43"/>
  <c r="AI18" i="43"/>
  <c r="AI45" i="43"/>
  <c r="AI21" i="43"/>
  <c r="AI23" i="43"/>
  <c r="AI41" i="43"/>
  <c r="AI25" i="43"/>
  <c r="AI47" i="43"/>
  <c r="AI7" i="43"/>
  <c r="AI27" i="43"/>
  <c r="AI61" i="43"/>
  <c r="AI39" i="43"/>
  <c r="AI35" i="43"/>
  <c r="AI56" i="43"/>
  <c r="AI51" i="43"/>
  <c r="AI6" i="43"/>
  <c r="AI54" i="43"/>
  <c r="AI50" i="43"/>
  <c r="AI13" i="43"/>
  <c r="AI44" i="43"/>
  <c r="AI29" i="43"/>
  <c r="AE4" i="49"/>
  <c r="AE10" i="49"/>
  <c r="AE200" i="49"/>
  <c r="AE133" i="49"/>
  <c r="AE41" i="49"/>
  <c r="AE80" i="49"/>
  <c r="AE68" i="49"/>
  <c r="AE135" i="49"/>
  <c r="AE188" i="49"/>
  <c r="AE193" i="49"/>
  <c r="AE173" i="49"/>
  <c r="AE13" i="49"/>
  <c r="AE71" i="49"/>
  <c r="AE26" i="49"/>
  <c r="AE163" i="49"/>
  <c r="AE84" i="49"/>
  <c r="AE177" i="49"/>
  <c r="AE140" i="49"/>
  <c r="AE97" i="49"/>
  <c r="AE16" i="49"/>
  <c r="AE6" i="49"/>
  <c r="AE246" i="49"/>
  <c r="AE156" i="49"/>
  <c r="AE230" i="49"/>
  <c r="AE91" i="49"/>
  <c r="AE143" i="49"/>
  <c r="AE168" i="49"/>
  <c r="AE106" i="49"/>
  <c r="AE48" i="49"/>
  <c r="AE223" i="49"/>
  <c r="AE236" i="49"/>
  <c r="AE76" i="49"/>
  <c r="AE136" i="49"/>
  <c r="AE209" i="49"/>
  <c r="AE257" i="49"/>
  <c r="AE28" i="49"/>
  <c r="AE126" i="49"/>
  <c r="AE33" i="49"/>
  <c r="AE170" i="49"/>
  <c r="AE60" i="49"/>
  <c r="AE109" i="49"/>
  <c r="AE158" i="49"/>
  <c r="AE83" i="49"/>
  <c r="AE219" i="49"/>
  <c r="AE107" i="49"/>
  <c r="AE218" i="49"/>
  <c r="AE161" i="49"/>
  <c r="AE27" i="49"/>
  <c r="AE204" i="49"/>
  <c r="AE38" i="49"/>
  <c r="AE115" i="49"/>
  <c r="AE232" i="49"/>
  <c r="AE256" i="49"/>
  <c r="AE23" i="49"/>
  <c r="AE169" i="49"/>
  <c r="AE111" i="49"/>
  <c r="AE17" i="49"/>
  <c r="AE164" i="49"/>
  <c r="AE250" i="49"/>
  <c r="AE19" i="49"/>
  <c r="AE7" i="49"/>
  <c r="AE50" i="49"/>
  <c r="AE229" i="49"/>
  <c r="AE234" i="49"/>
  <c r="AE150" i="49"/>
  <c r="AE186" i="49"/>
  <c r="AE221" i="49"/>
  <c r="AE139" i="49"/>
  <c r="AE130" i="49"/>
  <c r="AE3" i="49"/>
  <c r="AE142" i="49"/>
  <c r="AE45" i="49"/>
  <c r="AE214" i="49"/>
  <c r="AE149" i="49"/>
  <c r="AE31" i="49"/>
  <c r="AE94" i="49"/>
  <c r="AE196" i="49"/>
  <c r="AE160" i="49"/>
  <c r="AE131" i="49"/>
  <c r="AE244" i="49"/>
  <c r="AE124" i="49"/>
  <c r="AE206" i="49"/>
  <c r="AE119" i="49"/>
  <c r="AE24" i="49"/>
  <c r="AE205" i="49"/>
  <c r="AE30" i="49"/>
  <c r="AE128" i="49"/>
  <c r="AE40" i="49"/>
  <c r="AE102" i="49"/>
  <c r="AE148" i="49"/>
  <c r="AE64" i="49"/>
  <c r="AE9" i="49"/>
  <c r="AE211" i="49"/>
  <c r="AE59" i="49"/>
  <c r="AE65" i="49"/>
  <c r="AE22" i="49"/>
  <c r="AE210" i="49"/>
  <c r="AE182" i="49"/>
  <c r="AE104" i="49"/>
  <c r="AE42" i="49"/>
  <c r="AE197" i="49"/>
  <c r="AE207" i="49"/>
  <c r="AE138" i="49"/>
  <c r="AE144" i="49"/>
  <c r="AE69" i="49"/>
  <c r="AE121" i="49"/>
  <c r="AE181" i="49"/>
  <c r="AE199" i="49"/>
  <c r="AE35" i="49"/>
  <c r="AE18" i="49"/>
  <c r="AE61" i="49"/>
  <c r="AE75" i="49"/>
  <c r="AE47" i="49"/>
  <c r="AE208" i="49"/>
  <c r="AE116" i="49"/>
  <c r="AE189" i="49"/>
  <c r="AE82" i="49"/>
  <c r="AE54" i="49"/>
  <c r="AE5" i="49"/>
  <c r="AE213" i="49"/>
  <c r="AE254" i="49"/>
  <c r="AE224" i="49"/>
  <c r="AE44" i="49"/>
  <c r="AE251" i="49"/>
  <c r="AE141" i="49"/>
  <c r="AE238" i="49"/>
  <c r="AE222" i="49"/>
  <c r="AE171" i="49"/>
  <c r="AE85" i="49"/>
  <c r="AE167" i="49"/>
  <c r="AE51" i="49"/>
  <c r="AE77" i="49"/>
  <c r="AE86" i="49"/>
  <c r="AE159" i="49"/>
  <c r="AE105" i="49"/>
  <c r="AE166" i="49"/>
  <c r="AE228" i="49"/>
  <c r="AE253" i="49"/>
  <c r="AE174" i="49"/>
  <c r="AE146" i="49"/>
  <c r="AE220" i="49"/>
  <c r="AE249" i="49"/>
  <c r="AE29" i="49"/>
  <c r="AE242" i="49"/>
  <c r="AE162" i="49"/>
  <c r="AE46" i="49"/>
  <c r="AE191" i="49"/>
  <c r="AE202" i="49"/>
  <c r="AE216" i="49"/>
  <c r="AE56" i="49"/>
  <c r="AE36" i="49"/>
  <c r="AE235" i="49"/>
  <c r="AE180" i="49"/>
  <c r="AE79" i="49"/>
  <c r="AE52" i="49"/>
  <c r="AE192" i="49"/>
  <c r="AE118" i="49"/>
  <c r="AE154" i="49"/>
  <c r="AE8" i="49"/>
  <c r="AE179" i="49"/>
  <c r="AE247" i="49"/>
  <c r="AE20" i="49"/>
  <c r="AE123" i="49"/>
  <c r="AE237" i="49"/>
  <c r="AE185" i="49"/>
  <c r="AE239" i="49"/>
  <c r="AE34" i="49"/>
  <c r="AE227" i="49"/>
  <c r="AE114" i="49"/>
  <c r="AE231" i="49"/>
  <c r="AE39" i="49"/>
  <c r="AE165" i="49"/>
  <c r="AE153" i="49"/>
  <c r="AE70" i="49"/>
  <c r="AE78" i="49"/>
  <c r="AE157" i="49"/>
  <c r="AE63" i="49"/>
  <c r="AE53" i="49"/>
  <c r="AE245" i="49"/>
  <c r="AE120" i="49"/>
  <c r="AE147" i="49"/>
  <c r="AE92" i="49"/>
  <c r="AE172" i="49"/>
  <c r="AE217" i="49"/>
  <c r="AE98" i="49"/>
  <c r="AE88" i="49"/>
  <c r="AE58" i="49"/>
  <c r="AE93" i="49"/>
  <c r="AE74" i="49"/>
  <c r="AE11" i="49"/>
  <c r="AE190" i="49"/>
  <c r="AE108" i="49"/>
  <c r="AE72" i="49"/>
  <c r="AE14" i="49"/>
  <c r="AE101" i="49"/>
  <c r="AE89" i="49"/>
  <c r="AE152" i="49"/>
  <c r="AE12" i="49"/>
  <c r="AE212" i="49"/>
  <c r="AE62" i="49"/>
  <c r="AE151" i="49"/>
  <c r="AE252" i="49"/>
  <c r="AE243" i="49"/>
  <c r="AE99" i="49"/>
  <c r="AE55" i="49"/>
  <c r="AE112" i="49"/>
  <c r="AE255" i="49"/>
  <c r="AE90" i="49"/>
  <c r="AE201" i="49"/>
  <c r="AE81" i="49"/>
  <c r="AE226" i="49"/>
  <c r="AE241" i="49"/>
  <c r="AE95" i="49"/>
  <c r="AE32" i="49"/>
  <c r="AE137" i="49"/>
  <c r="AE225" i="49"/>
  <c r="AE66" i="49"/>
  <c r="AE183" i="49"/>
  <c r="AE15" i="49"/>
  <c r="AE113" i="49"/>
  <c r="AE87" i="49"/>
  <c r="AE194" i="49"/>
  <c r="AE21" i="49"/>
  <c r="AE37" i="49"/>
  <c r="AE117" i="49"/>
  <c r="AE240" i="49"/>
  <c r="AE125" i="49"/>
  <c r="AE57" i="49"/>
  <c r="AE175" i="49"/>
  <c r="AE49" i="49"/>
  <c r="AE198" i="49"/>
  <c r="AE203" i="49"/>
  <c r="AE155" i="49"/>
  <c r="AE100" i="49"/>
  <c r="AE67" i="49"/>
  <c r="AE178" i="49"/>
  <c r="AE184" i="49"/>
  <c r="AE145" i="49"/>
  <c r="AE96" i="49"/>
  <c r="AE127" i="49"/>
  <c r="AE73" i="49"/>
  <c r="AE25" i="49"/>
  <c r="AE176" i="49"/>
  <c r="AE110" i="49"/>
  <c r="AE103" i="49"/>
  <c r="AE195" i="49"/>
  <c r="AE187" i="49"/>
  <c r="AE132" i="49"/>
  <c r="AE233" i="49"/>
  <c r="AE215" i="49"/>
  <c r="AE129" i="49"/>
  <c r="AE248" i="49"/>
  <c r="AE122" i="49"/>
  <c r="AE134" i="49"/>
  <c r="AF7" i="48"/>
  <c r="AF22" i="48"/>
  <c r="AF23" i="48"/>
  <c r="AF19" i="48"/>
  <c r="AF16" i="48"/>
  <c r="AF21" i="48"/>
  <c r="AF17" i="48"/>
  <c r="AF26" i="48"/>
  <c r="AF4" i="48"/>
  <c r="AF12" i="48"/>
  <c r="AF3" i="48"/>
  <c r="AF14" i="48"/>
  <c r="AF6" i="48"/>
  <c r="AF18" i="48"/>
  <c r="AF10" i="48"/>
  <c r="AF8" i="48"/>
  <c r="AF15" i="48"/>
  <c r="AF25" i="48"/>
  <c r="AF20" i="48"/>
  <c r="AF11" i="48"/>
  <c r="AF9" i="48"/>
  <c r="AF5" i="48"/>
  <c r="AF13" i="48"/>
  <c r="AF24" i="48"/>
  <c r="AJ53" i="43"/>
  <c r="AJ40" i="43"/>
  <c r="AJ23" i="43"/>
  <c r="AJ36" i="43"/>
  <c r="AJ35" i="43"/>
  <c r="AJ52" i="43"/>
  <c r="AJ31" i="43"/>
  <c r="AJ9" i="43"/>
  <c r="AJ62" i="43"/>
  <c r="AJ15" i="43"/>
  <c r="AJ37" i="43"/>
  <c r="AJ33" i="43"/>
  <c r="AJ39" i="43"/>
  <c r="AJ47" i="43"/>
  <c r="AJ28" i="43"/>
  <c r="AJ30" i="43"/>
  <c r="AJ16" i="43"/>
  <c r="AJ32" i="43"/>
  <c r="AJ6" i="43"/>
  <c r="AJ56" i="43"/>
  <c r="AJ50" i="43"/>
  <c r="AJ34" i="43"/>
  <c r="AJ59" i="43"/>
  <c r="AJ26" i="43"/>
  <c r="AJ25" i="43"/>
  <c r="AJ61" i="43"/>
  <c r="AJ18" i="43"/>
  <c r="AJ43" i="43"/>
  <c r="AJ17" i="43"/>
  <c r="AJ19" i="43"/>
  <c r="AJ20" i="43"/>
  <c r="AJ27" i="43"/>
  <c r="AJ63" i="43"/>
  <c r="AJ3" i="43"/>
  <c r="AJ65" i="43"/>
  <c r="AJ22" i="43"/>
  <c r="AJ12" i="43"/>
  <c r="AJ21" i="43"/>
  <c r="AJ57" i="43"/>
  <c r="AJ48" i="43"/>
  <c r="AJ41" i="43"/>
  <c r="AJ60" i="43"/>
  <c r="AJ13" i="43"/>
  <c r="AJ14" i="43"/>
  <c r="AJ10" i="43"/>
  <c r="AJ64" i="43"/>
  <c r="AJ45" i="43"/>
  <c r="AJ24" i="43"/>
  <c r="AJ8" i="43"/>
  <c r="AJ29" i="43"/>
  <c r="AJ51" i="43"/>
  <c r="AJ5" i="43"/>
  <c r="AJ38" i="43"/>
  <c r="AJ49" i="43"/>
  <c r="AJ46" i="43"/>
  <c r="AJ44" i="43"/>
  <c r="AJ4" i="43"/>
  <c r="AJ7" i="43"/>
  <c r="AJ55" i="43"/>
  <c r="AJ58" i="43"/>
  <c r="AJ11" i="43"/>
  <c r="AJ42" i="43"/>
  <c r="AJ54" i="43"/>
  <c r="AF250" i="49"/>
  <c r="AF115" i="49"/>
  <c r="AF202" i="49"/>
  <c r="AF168" i="49"/>
  <c r="AF246" i="49"/>
  <c r="AF93" i="49"/>
  <c r="AF209" i="49"/>
  <c r="AF50" i="49"/>
  <c r="AF156" i="49"/>
  <c r="AF205" i="49"/>
  <c r="AF208" i="49"/>
  <c r="AF36" i="49"/>
  <c r="AF26" i="49"/>
  <c r="AF184" i="49"/>
  <c r="AF30" i="49"/>
  <c r="AF159" i="49"/>
  <c r="AF121" i="49"/>
  <c r="AF28" i="49"/>
  <c r="AF166" i="49"/>
  <c r="AF94" i="49"/>
  <c r="AF102" i="49"/>
  <c r="AF181" i="49"/>
  <c r="AF255" i="49"/>
  <c r="AF204" i="49"/>
  <c r="AF44" i="49"/>
  <c r="AF251" i="49"/>
  <c r="AF161" i="49"/>
  <c r="AF178" i="49"/>
  <c r="AF135" i="49"/>
  <c r="AF248" i="49"/>
  <c r="AF158" i="49"/>
  <c r="AF129" i="49"/>
  <c r="AF152" i="49"/>
  <c r="AF194" i="49"/>
  <c r="AF51" i="49"/>
  <c r="AF65" i="49"/>
  <c r="AF64" i="49"/>
  <c r="AF12" i="49"/>
  <c r="AF253" i="49"/>
  <c r="AF167" i="49"/>
  <c r="AF108" i="49"/>
  <c r="AF17" i="49"/>
  <c r="AF131" i="49"/>
  <c r="AF171" i="49"/>
  <c r="AF132" i="49"/>
  <c r="AF96" i="49"/>
  <c r="AF89" i="49"/>
  <c r="AF54" i="49"/>
  <c r="AF229" i="49"/>
  <c r="AF46" i="49"/>
  <c r="AF153" i="49"/>
  <c r="AF81" i="49"/>
  <c r="AF56" i="49"/>
  <c r="AF244" i="49"/>
  <c r="AF118" i="49"/>
  <c r="AF137" i="49"/>
  <c r="AF200" i="49"/>
  <c r="AF243" i="49"/>
  <c r="AF176" i="49"/>
  <c r="AF4" i="49"/>
  <c r="AF77" i="49"/>
  <c r="AF48" i="49"/>
  <c r="AF74" i="49"/>
  <c r="AF257" i="49"/>
  <c r="AF106" i="49"/>
  <c r="AF3" i="49"/>
  <c r="AF120" i="49"/>
  <c r="AF212" i="49"/>
  <c r="AF6" i="49"/>
  <c r="AF207" i="49"/>
  <c r="AF75" i="49"/>
  <c r="AF196" i="49"/>
  <c r="AF187" i="49"/>
  <c r="AF45" i="49"/>
  <c r="AF157" i="49"/>
  <c r="AF80" i="49"/>
  <c r="AF247" i="49"/>
  <c r="AF206" i="49"/>
  <c r="AF104" i="49"/>
  <c r="AF37" i="49"/>
  <c r="AF18" i="49"/>
  <c r="AF136" i="49"/>
  <c r="AF7" i="49"/>
  <c r="AF133" i="49"/>
  <c r="AF177" i="49"/>
  <c r="AF116" i="49"/>
  <c r="AF123" i="49"/>
  <c r="AF230" i="49"/>
  <c r="AF105" i="49"/>
  <c r="AF183" i="49"/>
  <c r="AF190" i="49"/>
  <c r="AF99" i="49"/>
  <c r="AF148" i="49"/>
  <c r="AF66" i="49"/>
  <c r="AF87" i="49"/>
  <c r="AF226" i="49"/>
  <c r="AF173" i="49"/>
  <c r="AF90" i="49"/>
  <c r="AF82" i="49"/>
  <c r="AF124" i="49"/>
  <c r="AF16" i="49"/>
  <c r="AF238" i="49"/>
  <c r="AF103" i="49"/>
  <c r="AF151" i="49"/>
  <c r="AF62" i="49"/>
  <c r="AF33" i="49"/>
  <c r="AF111" i="49"/>
  <c r="AF134" i="49"/>
  <c r="AF218" i="49"/>
  <c r="AF214" i="49"/>
  <c r="AF225" i="49"/>
  <c r="AF42" i="49"/>
  <c r="AF84" i="49"/>
  <c r="AF169" i="49"/>
  <c r="AF175" i="49"/>
  <c r="AF140" i="49"/>
  <c r="AF213" i="49"/>
  <c r="AF9" i="49"/>
  <c r="AF38" i="49"/>
  <c r="AF91" i="49"/>
  <c r="AF252" i="49"/>
  <c r="AF164" i="49"/>
  <c r="AF114" i="49"/>
  <c r="AF126" i="49"/>
  <c r="AF186" i="49"/>
  <c r="AF95" i="49"/>
  <c r="AF101" i="49"/>
  <c r="AF10" i="49"/>
  <c r="AF35" i="49"/>
  <c r="AF170" i="49"/>
  <c r="AF109" i="49"/>
  <c r="AF182" i="49"/>
  <c r="AF199" i="49"/>
  <c r="AF61" i="49"/>
  <c r="AF20" i="49"/>
  <c r="AF154" i="49"/>
  <c r="AF228" i="49"/>
  <c r="AF40" i="49"/>
  <c r="AF19" i="49"/>
  <c r="AF58" i="49"/>
  <c r="AF256" i="49"/>
  <c r="AF34" i="49"/>
  <c r="AF83" i="49"/>
  <c r="AF222" i="49"/>
  <c r="AF5" i="49"/>
  <c r="AF197" i="49"/>
  <c r="AF172" i="49"/>
  <c r="AF193" i="49"/>
  <c r="AF188" i="49"/>
  <c r="AF112" i="49"/>
  <c r="AF242" i="49"/>
  <c r="AF127" i="49"/>
  <c r="AF24" i="49"/>
  <c r="AF198" i="49"/>
  <c r="AF141" i="49"/>
  <c r="AF76" i="49"/>
  <c r="AF236" i="49"/>
  <c r="AF216" i="49"/>
  <c r="AF180" i="49"/>
  <c r="AF78" i="49"/>
  <c r="AF224" i="49"/>
  <c r="AF231" i="49"/>
  <c r="AF31" i="49"/>
  <c r="AF63" i="49"/>
  <c r="AF39" i="49"/>
  <c r="AF59" i="49"/>
  <c r="AF41" i="49"/>
  <c r="AF219" i="49"/>
  <c r="AF47" i="49"/>
  <c r="AF67" i="49"/>
  <c r="AF68" i="49"/>
  <c r="AF23" i="49"/>
  <c r="AF15" i="49"/>
  <c r="AF53" i="49"/>
  <c r="AF73" i="49"/>
  <c r="AF241" i="49"/>
  <c r="AF185" i="49"/>
  <c r="AF70" i="49"/>
  <c r="AF100" i="49"/>
  <c r="AF235" i="49"/>
  <c r="AF192" i="49"/>
  <c r="AF69" i="49"/>
  <c r="AF92" i="49"/>
  <c r="AF128" i="49"/>
  <c r="AF107" i="49"/>
  <c r="AF163" i="49"/>
  <c r="AF72" i="49"/>
  <c r="AF130" i="49"/>
  <c r="AF113" i="49"/>
  <c r="AF195" i="49"/>
  <c r="AF11" i="49"/>
  <c r="AF215" i="49"/>
  <c r="AF25" i="49"/>
  <c r="AF160" i="49"/>
  <c r="AF110" i="49"/>
  <c r="AF97" i="49"/>
  <c r="AF144" i="49"/>
  <c r="AF249" i="49"/>
  <c r="AF221" i="49"/>
  <c r="AF98" i="49"/>
  <c r="AF86" i="49"/>
  <c r="AF220" i="49"/>
  <c r="AF14" i="49"/>
  <c r="AF227" i="49"/>
  <c r="AF146" i="49"/>
  <c r="AF138" i="49"/>
  <c r="AF211" i="49"/>
  <c r="AF22" i="49"/>
  <c r="AF210" i="49"/>
  <c r="AF52" i="49"/>
  <c r="AF85" i="49"/>
  <c r="AF119" i="49"/>
  <c r="AF142" i="49"/>
  <c r="AF43" i="49"/>
  <c r="AF71" i="49"/>
  <c r="AF233" i="49"/>
  <c r="AF122" i="49"/>
  <c r="AF149" i="49"/>
  <c r="AF240" i="49"/>
  <c r="AF237" i="49"/>
  <c r="AF125" i="49"/>
  <c r="AF49" i="49"/>
  <c r="AF143" i="49"/>
  <c r="AF232" i="49"/>
  <c r="AF32" i="49"/>
  <c r="AF27" i="49"/>
  <c r="AF117" i="49"/>
  <c r="AF88" i="49"/>
  <c r="AF8" i="49"/>
  <c r="AF245" i="49"/>
  <c r="AF191" i="49"/>
  <c r="AF155" i="49"/>
  <c r="AF165" i="49"/>
  <c r="AF203" i="49"/>
  <c r="AF139" i="49"/>
  <c r="AF79" i="49"/>
  <c r="AF239" i="49"/>
  <c r="AF254" i="49"/>
  <c r="AF60" i="49"/>
  <c r="AF234" i="49"/>
  <c r="AF55" i="49"/>
  <c r="AF223" i="49"/>
  <c r="AF150" i="49"/>
  <c r="AF145" i="49"/>
  <c r="AF147" i="49"/>
  <c r="AF189" i="49"/>
  <c r="AF179" i="49"/>
  <c r="AF162" i="49"/>
  <c r="AF217" i="49"/>
  <c r="AF21" i="49"/>
  <c r="AF201" i="49"/>
  <c r="AF13" i="49"/>
  <c r="AF174" i="49"/>
  <c r="AF29" i="49"/>
  <c r="AF57" i="49"/>
  <c r="H21" i="35"/>
  <c r="H58" i="33"/>
  <c r="L58" i="33" s="1"/>
  <c r="M58" i="33"/>
  <c r="H45" i="35"/>
  <c r="H80" i="33" s="1"/>
  <c r="L80" i="33" s="1"/>
  <c r="M80" i="33"/>
  <c r="O9" i="42"/>
  <c r="H24" i="35"/>
  <c r="H61" i="33" s="1"/>
  <c r="L61" i="33" s="1"/>
  <c r="M61" i="33"/>
  <c r="H23" i="35"/>
  <c r="H60" i="33" s="1"/>
  <c r="L60" i="33" s="1"/>
  <c r="M60" i="33"/>
  <c r="H34" i="35"/>
  <c r="H70" i="33" s="1"/>
  <c r="L70" i="33" s="1"/>
  <c r="M70" i="33"/>
  <c r="H3" i="35"/>
  <c r="H41" i="33" s="1"/>
  <c r="L41" i="33" s="1"/>
  <c r="M41" i="33"/>
  <c r="H4" i="35"/>
  <c r="H42" i="33" s="1"/>
  <c r="L42" i="33" s="1"/>
  <c r="M42" i="33"/>
  <c r="H5" i="35"/>
  <c r="H43" i="33" s="1"/>
  <c r="L43" i="33" s="1"/>
  <c r="M43" i="33"/>
  <c r="H6" i="35"/>
  <c r="H44" i="33" s="1"/>
  <c r="L44" i="33" s="1"/>
  <c r="M44" i="33"/>
  <c r="H7" i="35"/>
  <c r="H45" i="33" s="1"/>
  <c r="L45" i="33" s="1"/>
  <c r="M45" i="33"/>
  <c r="H8" i="35"/>
  <c r="H46" i="33" s="1"/>
  <c r="L46" i="33" s="1"/>
  <c r="M46" i="33"/>
  <c r="H9" i="35"/>
  <c r="H47" i="33" s="1"/>
  <c r="L47" i="33" s="1"/>
  <c r="M47" i="33"/>
  <c r="H10" i="35"/>
  <c r="H48" i="33" s="1"/>
  <c r="L48" i="33" s="1"/>
  <c r="M48" i="33"/>
  <c r="H11" i="35"/>
  <c r="H49" i="33" s="1"/>
  <c r="L49" i="33" s="1"/>
  <c r="M49" i="33"/>
  <c r="H13" i="35"/>
  <c r="H51" i="33" s="1"/>
  <c r="L51" i="33" s="1"/>
  <c r="M51" i="33"/>
  <c r="H15" i="35"/>
  <c r="H52" i="33" s="1"/>
  <c r="L52" i="33" s="1"/>
  <c r="M52" i="33"/>
  <c r="H16" i="35"/>
  <c r="H53" i="33" s="1"/>
  <c r="L53" i="33" s="1"/>
  <c r="M53" i="33"/>
  <c r="H17" i="35"/>
  <c r="H54" i="33" s="1"/>
  <c r="L54" i="33" s="1"/>
  <c r="M54" i="33"/>
  <c r="H18" i="35"/>
  <c r="H55" i="33" s="1"/>
  <c r="L55" i="33" s="1"/>
  <c r="M55" i="33"/>
  <c r="H19" i="35"/>
  <c r="H56" i="33" s="1"/>
  <c r="L56" i="33" s="1"/>
  <c r="M56" i="33"/>
  <c r="H22" i="35"/>
  <c r="H59" i="33" s="1"/>
  <c r="L59" i="33" s="1"/>
  <c r="M59" i="33"/>
  <c r="H25" i="35"/>
  <c r="H62" i="33" s="1"/>
  <c r="L62" i="33" s="1"/>
  <c r="M62" i="33"/>
  <c r="H27" i="35"/>
  <c r="H63" i="33" s="1"/>
  <c r="L63" i="33" s="1"/>
  <c r="M63" i="33"/>
  <c r="H28" i="35"/>
  <c r="H64" i="33" s="1"/>
  <c r="L64" i="33" s="1"/>
  <c r="M64" i="33"/>
  <c r="H29" i="35"/>
  <c r="H65" i="33" s="1"/>
  <c r="L65" i="33" s="1"/>
  <c r="M65" i="33"/>
  <c r="H30" i="35"/>
  <c r="H66" i="33" s="1"/>
  <c r="L66" i="33" s="1"/>
  <c r="M66" i="33"/>
  <c r="H32" i="35"/>
  <c r="H68" i="33" s="1"/>
  <c r="L68" i="33" s="1"/>
  <c r="M68" i="33"/>
  <c r="H33" i="35"/>
  <c r="H69" i="33" s="1"/>
  <c r="L69" i="33" s="1"/>
  <c r="M69" i="33"/>
  <c r="H35" i="35"/>
  <c r="H71" i="33" s="1"/>
  <c r="L71" i="33" s="1"/>
  <c r="M71" i="33"/>
  <c r="H36" i="35"/>
  <c r="H72" i="33" s="1"/>
  <c r="L72" i="33" s="1"/>
  <c r="M72" i="33"/>
  <c r="H37" i="35"/>
  <c r="H73" i="33" s="1"/>
  <c r="L73" i="33" s="1"/>
  <c r="M73" i="33"/>
  <c r="H39" i="35"/>
  <c r="H74" i="33" s="1"/>
  <c r="L74" i="33" s="1"/>
  <c r="M74" i="33"/>
  <c r="H40" i="35"/>
  <c r="H75" i="33" s="1"/>
  <c r="L75" i="33" s="1"/>
  <c r="M75" i="33"/>
  <c r="H41" i="35"/>
  <c r="H76" i="33" s="1"/>
  <c r="L76" i="33" s="1"/>
  <c r="M76" i="33"/>
  <c r="H42" i="35"/>
  <c r="H77" i="33" s="1"/>
  <c r="L77" i="33" s="1"/>
  <c r="M77" i="33"/>
  <c r="H43" i="35"/>
  <c r="H78" i="33" s="1"/>
  <c r="L78" i="33" s="1"/>
  <c r="M78" i="33"/>
  <c r="H44" i="35"/>
  <c r="H79" i="33" s="1"/>
  <c r="L79" i="33" s="1"/>
  <c r="M79" i="33"/>
  <c r="H46" i="35"/>
  <c r="H81" i="33" s="1"/>
  <c r="L81" i="33" s="1"/>
  <c r="M81" i="33"/>
  <c r="H47" i="35"/>
  <c r="H82" i="33" s="1"/>
  <c r="L82" i="33" s="1"/>
  <c r="M82" i="33"/>
  <c r="H48" i="35"/>
  <c r="H83" i="33" s="1"/>
  <c r="L83" i="33" s="1"/>
  <c r="M83" i="33"/>
  <c r="H49" i="35"/>
  <c r="H84" i="33" s="1"/>
  <c r="L84" i="33" s="1"/>
  <c r="M84" i="33"/>
  <c r="N41" i="33"/>
  <c r="O14" i="40"/>
  <c r="O10" i="42"/>
  <c r="H14" i="35"/>
  <c r="O7" i="42"/>
  <c r="O11" i="42"/>
  <c r="O6" i="42"/>
  <c r="O12" i="42"/>
  <c r="H38" i="35"/>
  <c r="O11" i="40"/>
  <c r="O4" i="42"/>
  <c r="H26" i="35"/>
  <c r="O14" i="42"/>
  <c r="H50" i="35"/>
  <c r="H2" i="35"/>
  <c r="O21" i="40"/>
  <c r="O7" i="40"/>
  <c r="O15" i="42"/>
  <c r="O18" i="40"/>
  <c r="O6" i="40"/>
  <c r="O8" i="42"/>
  <c r="K17" i="48"/>
  <c r="J17" i="49"/>
  <c r="L22" i="49"/>
  <c r="O20" i="43" l="1"/>
  <c r="J15" i="48"/>
  <c r="P19" i="43"/>
  <c r="C29" i="43" s="1"/>
  <c r="H12" i="33" s="1"/>
  <c r="L12" i="33" s="1"/>
  <c r="M12" i="33"/>
  <c r="L25" i="49"/>
  <c r="K16" i="49" l="1"/>
  <c r="J27" i="49"/>
  <c r="P24" i="39"/>
  <c r="C37" i="39" s="1"/>
  <c r="H24" i="33" s="1"/>
  <c r="L24" i="33" s="1"/>
  <c r="M24" i="33"/>
  <c r="O17" i="43"/>
  <c r="O21" i="39"/>
  <c r="N21" i="43"/>
  <c r="P22" i="39"/>
  <c r="C35" i="39" s="1"/>
  <c r="H22" i="33" s="1"/>
  <c r="L22" i="33" s="1"/>
  <c r="M22" i="33"/>
  <c r="O10" i="40"/>
  <c r="O3" i="42"/>
  <c r="O19" i="39"/>
  <c r="K17" i="49"/>
  <c r="K22" i="49"/>
  <c r="C41" i="49" s="1"/>
  <c r="H32" i="33" s="1"/>
  <c r="L32" i="33" s="1"/>
  <c r="L21" i="49"/>
  <c r="M32" i="33"/>
  <c r="L15" i="48" l="1"/>
  <c r="C23" i="48" s="1"/>
  <c r="H3" i="33" s="1"/>
  <c r="L3" i="33" s="1"/>
  <c r="M3" i="33"/>
  <c r="O20" i="40"/>
  <c r="K25" i="49"/>
  <c r="C44" i="49" s="1"/>
  <c r="H35" i="33" s="1"/>
  <c r="L35" i="33" s="1"/>
  <c r="L18" i="49"/>
  <c r="M35" i="33"/>
  <c r="K27" i="49" l="1"/>
  <c r="L29" i="49"/>
  <c r="O24" i="39" l="1"/>
  <c r="P17" i="43"/>
  <c r="C27" i="43" s="1"/>
  <c r="H10" i="33" s="1"/>
  <c r="L10" i="33" s="1"/>
  <c r="M10" i="33"/>
  <c r="N21" i="39"/>
  <c r="L28" i="49"/>
  <c r="O22" i="39" l="1"/>
  <c r="N16" i="39"/>
  <c r="P19" i="39"/>
  <c r="C32" i="39" s="1"/>
  <c r="H19" i="33" s="1"/>
  <c r="L19" i="33" s="1"/>
  <c r="M19" i="33"/>
  <c r="O15" i="43"/>
  <c r="J22" i="49"/>
  <c r="K21" i="49"/>
  <c r="C40" i="49" s="1"/>
  <c r="H31" i="33" s="1"/>
  <c r="L31" i="33" s="1"/>
  <c r="K15" i="48"/>
  <c r="J20" i="49"/>
  <c r="P23" i="39"/>
  <c r="C36" i="39" s="1"/>
  <c r="H23" i="33" s="1"/>
  <c r="L23" i="33" s="1"/>
  <c r="M31" i="33"/>
  <c r="M23" i="33"/>
  <c r="J25" i="49"/>
  <c r="J18" i="49"/>
  <c r="O4" i="40"/>
  <c r="K29" i="49"/>
  <c r="C48" i="49" s="1"/>
  <c r="H39" i="33" s="1"/>
  <c r="L39" i="33" s="1"/>
  <c r="N24" i="39"/>
  <c r="O17" i="40"/>
  <c r="P21" i="39"/>
  <c r="C34" i="39" s="1"/>
  <c r="H21" i="33" s="1"/>
  <c r="L21" i="33" s="1"/>
  <c r="M39" i="33"/>
  <c r="M21" i="33"/>
  <c r="J28" i="49"/>
  <c r="O9" i="40"/>
  <c r="P16" i="39"/>
  <c r="C29" i="39" s="1"/>
  <c r="H16" i="33" s="1"/>
  <c r="L16" i="33" s="1"/>
  <c r="M16" i="33"/>
  <c r="N15" i="39"/>
  <c r="N19" i="39"/>
  <c r="N15" i="43"/>
  <c r="L30" i="49"/>
  <c r="J21" i="49" l="1"/>
  <c r="N17" i="39"/>
  <c r="K20" i="49"/>
  <c r="N23" i="39"/>
  <c r="J16" i="48"/>
  <c r="K18" i="49"/>
  <c r="C37" i="49" s="1"/>
  <c r="H28" i="33" s="1"/>
  <c r="L28" i="33" s="1"/>
  <c r="J29" i="49"/>
  <c r="L15" i="49"/>
  <c r="M28" i="33"/>
  <c r="O12" i="40" l="1"/>
  <c r="N18" i="43"/>
  <c r="K28" i="49"/>
  <c r="C47" i="49" s="1"/>
  <c r="H38" i="33" s="1"/>
  <c r="L38" i="33" s="1"/>
  <c r="O19" i="40"/>
  <c r="O16" i="39"/>
  <c r="P15" i="39"/>
  <c r="C28" i="39" s="1"/>
  <c r="H15" i="33" s="1"/>
  <c r="L15" i="33" s="1"/>
  <c r="M38" i="33"/>
  <c r="M15" i="33"/>
  <c r="L18" i="48"/>
  <c r="C26" i="48" s="1"/>
  <c r="H6" i="33" s="1"/>
  <c r="L6" i="33" s="1"/>
  <c r="M6" i="33"/>
  <c r="L16" i="48"/>
  <c r="C24" i="48" s="1"/>
  <c r="H4" i="33" s="1"/>
  <c r="L4" i="33" s="1"/>
  <c r="M4" i="33"/>
  <c r="L17" i="48"/>
  <c r="C25" i="48" s="1"/>
  <c r="H5" i="33" s="1"/>
  <c r="L5" i="33" s="1"/>
  <c r="M5" i="33"/>
  <c r="L19" i="48"/>
  <c r="C27" i="48" s="1"/>
  <c r="H7" i="33" s="1"/>
  <c r="L7" i="33" s="1"/>
  <c r="M7" i="33"/>
  <c r="N2" i="33"/>
  <c r="P15" i="43"/>
  <c r="C25" i="43" s="1"/>
  <c r="H8" i="33" s="1"/>
  <c r="L8" i="33" s="1"/>
  <c r="M8" i="33"/>
  <c r="K30" i="49"/>
  <c r="C49" i="49" s="1"/>
  <c r="H40" i="33" s="1"/>
  <c r="L40" i="33" s="1"/>
  <c r="O16" i="40"/>
  <c r="P17" i="39"/>
  <c r="C30" i="39" s="1"/>
  <c r="H17" i="33" s="1"/>
  <c r="L17" i="33" s="1"/>
  <c r="M40" i="33"/>
  <c r="M17" i="33"/>
  <c r="L20" i="49"/>
  <c r="C39" i="49" s="1"/>
  <c r="H30" i="33" s="1"/>
  <c r="L30" i="33" s="1"/>
  <c r="M30" i="33"/>
  <c r="O23" i="39"/>
  <c r="N18" i="39"/>
  <c r="J24" i="49"/>
  <c r="J15" i="49"/>
  <c r="O5" i="40"/>
  <c r="O18" i="43"/>
  <c r="O5" i="42"/>
  <c r="O15" i="39"/>
  <c r="K18" i="48"/>
  <c r="L19" i="49"/>
  <c r="O17" i="39" l="1"/>
  <c r="N20" i="39"/>
  <c r="K26" i="49"/>
  <c r="P18" i="39"/>
  <c r="C31" i="39" s="1"/>
  <c r="H18" i="33" s="1"/>
  <c r="L18" i="33" s="1"/>
  <c r="M18" i="33"/>
  <c r="L23" i="49"/>
  <c r="K15" i="49" l="1"/>
  <c r="C34" i="49" s="1"/>
  <c r="H25" i="33" s="1"/>
  <c r="L25" i="33" s="1"/>
  <c r="P18" i="43"/>
  <c r="C28" i="43" s="1"/>
  <c r="H11" i="33" s="1"/>
  <c r="L11" i="33" s="1"/>
  <c r="M25" i="33"/>
  <c r="M11" i="33"/>
  <c r="O3" i="40"/>
  <c r="O16" i="43"/>
  <c r="O15" i="40"/>
  <c r="J18" i="48"/>
  <c r="K19" i="48"/>
  <c r="J19" i="49"/>
  <c r="P20" i="39"/>
  <c r="C33" i="39" s="1"/>
  <c r="H20" i="33" s="1"/>
  <c r="L20" i="33" s="1"/>
  <c r="M20" i="33"/>
  <c r="N15" i="33"/>
  <c r="J16" i="49"/>
  <c r="J23" i="49"/>
  <c r="L24" i="49"/>
  <c r="O13" i="42" l="1"/>
  <c r="O21" i="43"/>
  <c r="P16" i="43"/>
  <c r="C26" i="43" s="1"/>
  <c r="H9" i="33" s="1"/>
  <c r="L9" i="33" s="1"/>
  <c r="M9" i="33"/>
  <c r="P20" i="43"/>
  <c r="C30" i="43" s="1"/>
  <c r="H13" i="33" s="1"/>
  <c r="L13" i="33" s="1"/>
  <c r="M13" i="33"/>
  <c r="P21" i="43"/>
  <c r="C31" i="43" s="1"/>
  <c r="H14" i="33" s="1"/>
  <c r="L14" i="33" s="1"/>
  <c r="M14" i="33"/>
  <c r="N8" i="33"/>
  <c r="L17" i="49"/>
  <c r="C36" i="49" s="1"/>
  <c r="H27" i="33" s="1"/>
  <c r="L27" i="33" s="1"/>
  <c r="M27" i="33"/>
  <c r="J19" i="48"/>
  <c r="K19" i="49"/>
  <c r="C38" i="49" s="1"/>
  <c r="H29" i="33" s="1"/>
  <c r="L29" i="33" s="1"/>
  <c r="O19" i="43"/>
  <c r="J26" i="49"/>
  <c r="L16" i="49"/>
  <c r="C35" i="49" s="1"/>
  <c r="H26" i="33" s="1"/>
  <c r="L26" i="33" s="1"/>
  <c r="M29" i="33"/>
  <c r="M26" i="33"/>
  <c r="K23" i="49"/>
  <c r="C42" i="49" s="1"/>
  <c r="H33" i="33" s="1"/>
  <c r="L33" i="33" s="1"/>
  <c r="N17" i="43"/>
  <c r="O13" i="40"/>
  <c r="N16" i="43"/>
  <c r="O8" i="40"/>
  <c r="J30" i="49"/>
  <c r="K16" i="48"/>
  <c r="K24" i="49"/>
  <c r="C43" i="49" s="1"/>
  <c r="H34" i="33" s="1"/>
  <c r="L34" i="33" s="1"/>
  <c r="J17" i="48"/>
  <c r="N20" i="43"/>
  <c r="N19" i="43"/>
  <c r="L26" i="49"/>
  <c r="C45" i="49" s="1"/>
  <c r="H36" i="33" s="1"/>
  <c r="L36" i="33" s="1"/>
  <c r="M33" i="33"/>
  <c r="M34" i="33"/>
  <c r="M36" i="33"/>
  <c r="L27" i="49"/>
  <c r="C46" i="49" s="1"/>
  <c r="H37" i="33" s="1"/>
  <c r="L37" i="33" s="1"/>
  <c r="M37" i="33"/>
  <c r="N25" i="33"/>
  <c r="O18" i="39"/>
  <c r="O20" i="39"/>
  <c r="N22" i="39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<sst xmlns="http://schemas.openxmlformats.org/spreadsheetml/2006/main" count="798" uniqueCount="193">
  <si>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</si>
  <si>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</si>
  <si>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</si>
  <si>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</si>
  <si>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</si>
  <si>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</si>
  <si>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</si>
  <si>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</si>
  <si>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</si>
  <si>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</si>
  <si>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</si>
  <si>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</si>
  <si>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</si>
  <si>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</si>
  <si>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</si>
  <si>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</si>
  <si>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</si>
  <si>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</si>
  <si>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</si>
  <si>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</si>
  <si>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</si>
  <si>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</si>
  <si>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</si>
  <si>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</si>
  <si>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</si>
  <si>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</si>
  <si>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</si>
  <si>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</si>
  <si>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</si>
  <si>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</si>
  <si>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</si>
  <si>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</si>
  <si>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</si>
  <si>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</si>
  <si>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</si>
  <si>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</si>
  <si>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</si>
  <si>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</si>
  <si>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</si>
  <si>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</si>
  <si>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</si>
  <si>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</si>
  <si>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</si>
  <si>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</si>
  <si>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</si>
  <si>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</si>
  <si>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</si>
  <si>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</si>
  <si>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</si>
  <si>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</si>
  <si>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</si>
  <si>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</si>
  <si>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</si>
  <si>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</si>
  <si>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</si>
  <si>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</si>
  <si>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</si>
  <si>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</si>
  <si>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</si>
  <si>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</si>
  <si>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</si>
  <si>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</si>
  <si>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</si>
  <si>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</si>
  <si>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</si>
  <si>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</si>
  <si>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</si>
  <si>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</si>
  <si>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</si>
  <si>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</si>
  <si>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</si>
  <si>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</si>
  <si>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</si>
  <si>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</si>
  <si>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</si>
  <si>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</si>
  <si>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</si>
  <si>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</si>
  <si>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</si>
  <si>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</si>
  <si>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</si>
  <si>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</si>
  <si>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</si>
  <si>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</si>
  <si>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</si>
  <si>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</si>
  <si>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</si>
  <si>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</si>
  <si>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</si>
  <si>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</si>
  <si>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</si>
  <si>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</si>
  <si>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</si>
  <si>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</si>
  <si>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</si>
  <si>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</si>
  <si>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</si>
  <si>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</si>
  <si>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</si>
  <si>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</si>
  <si>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</si>
  <si>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</si>
  <si>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</si>
  <si>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</si>
  <si>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</si>
  <si>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</si>
  <si>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</si>
  <si>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</si>
  <si>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</si>
  <si>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</si>
  <si>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</si>
  <si>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</si>
  <si>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</si>
  <si>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</si>
  <si>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</si>
  <si>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</si>
  <si>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</si>
  <si>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</si>
  <si>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</si>
  <si>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</si>
  <si>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</si>
  <si>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</si>
  <si>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</si>
  <si>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</si>
  <si>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</si>
  <si>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</si>
  <si>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</si>
  <si>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</si>
  <si>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</si>
  <si>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</si>
  <si>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</si>
  <si>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</si>
  <si>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</si>
  <si>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</si>
  <si>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</si>
  <si>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</si>
  <si>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</si>
  <si>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</si>
  <si>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</si>
  <si>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</si>
  <si>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</si>
  <si>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</si>
  <si>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</si>
  <si>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</si>
  <si>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</si>
  <si>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</si>
  <si>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</si>
  <si>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</si>
  <si>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</si>
  <si>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</si>
  <si>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</si>
  <si>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</si>
  <si>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</si>
  <si>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</si>
  <si>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</si>
  <si>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</si>
  <si>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</si>
  <si>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</si>
  <si>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</si>
  <si>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</si>
  <si>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</si>
  <si>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</si>
  <si>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</si>
  <si>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</si>
  <si>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</si>
  <si>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</si>
  <si>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</si>
  <si>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</si>
  <si>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</si>
  <si>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</si>
  <si>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</si>
  <si>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</si>
  <si>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</si>
  <si>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</si>
  <si>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</si>
  <si>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</si>
  <si>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</si>
  <si>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</si>
  <si>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</si>
  <si>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</si>
  <si>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</si>
  <si>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</si>
  <si>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</si>
  <si>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</si>
  <si>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</si>
  <si>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</si>
  <si>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</si>
  <si>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</si>
  <si>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</si>
  <si>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</si>
  <si>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</si>
  <si>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</si>
  <si>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Semiannual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</si>
</sst>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3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  <font>
      <sz val="8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9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5" fillId="5" borderId="23" xfId="14" applyFont="1" applyFill="1" applyBorder="1" applyAlignment="1">
      <alignment horizontal="left"/>
    </xf>
    <xf numFmtId="0" fontId="5" fillId="5" borderId="24" xfId="14" applyFont="1" applyFill="1" applyBorder="1"/>
    <xf numFmtId="0" fontId="5" fillId="0" borderId="24" xfId="14" applyFont="1" applyBorder="1"/>
    <xf numFmtId="0" fontId="5" fillId="5" borderId="25" xfId="14" applyFont="1" applyFill="1" applyBorder="1"/>
    <xf numFmtId="0" fontId="5" fillId="0" borderId="0" xfId="14" applyFont="1"/>
    <xf numFmtId="0" fontId="5" fillId="5" borderId="4" xfId="14" applyFont="1" applyFill="1" applyBorder="1" applyAlignment="1">
      <alignment horizont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5" fillId="5" borderId="5" xfId="14" applyFont="1" applyFill="1" applyBorder="1"/>
    <xf numFmtId="49" fontId="5" fillId="0" borderId="6" xfId="35" applyNumberFormat="1" applyFont="1" applyFill="1" applyBorder="1" applyAlignment="1">
      <alignment horizontal="center"/>
    </xf>
    <xf numFmtId="0" fontId="5" fillId="5" borderId="6" xfId="14" applyNumberFormat="1" applyFont="1" applyFill="1" applyBorder="1" applyAlignment="1">
      <alignment horizontal="center"/>
    </xf>
    <xf numFmtId="172" fontId="5" fillId="5" borderId="6" xfId="35" applyNumberFormat="1" applyFont="1" applyFill="1" applyBorder="1" applyAlignment="1">
      <alignment horizontal="left"/>
    </xf>
    <xf numFmtId="0" fontId="30" fillId="5" borderId="6" xfId="14" applyNumberFormat="1" applyFont="1" applyFill="1" applyBorder="1" applyAlignment="1"/>
    <xf numFmtId="0" fontId="5" fillId="5" borderId="6" xfId="14" applyNumberFormat="1" applyFont="1" applyFill="1" applyBorder="1" applyAlignment="1">
      <alignment horizontal="left"/>
    </xf>
    <xf numFmtId="0" fontId="5" fillId="5" borderId="6" xfId="14" applyNumberFormat="1" applyFont="1" applyFill="1" applyBorder="1" applyAlignment="1"/>
    <xf numFmtId="0" fontId="5" fillId="5" borderId="10" xfId="14" applyFont="1" applyFill="1" applyBorder="1"/>
    <xf numFmtId="0" fontId="5" fillId="5" borderId="11" xfId="14" applyFont="1" applyFill="1" applyBorder="1"/>
    <xf numFmtId="0" fontId="5" fillId="5" borderId="11" xfId="14" applyFont="1" applyFill="1" applyBorder="1" applyAlignment="1">
      <alignment horizontal="left"/>
    </xf>
    <xf numFmtId="0" fontId="5" fillId="5" borderId="12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4.4723151719939933E-4</c:v>
                </c:pt>
                <c:pt idx="1">
                  <c:v>4.4723151719939933E-4</c:v>
                </c:pt>
                <c:pt idx="2">
                  <c:v>4.4723151719939933E-4</c:v>
                </c:pt>
                <c:pt idx="3">
                  <c:v>4.4723151719939933E-4</c:v>
                </c:pt>
                <c:pt idx="4">
                  <c:v>4.4723151719939933E-4</c:v>
                </c:pt>
                <c:pt idx="5">
                  <c:v>4.4723151719939933E-4</c:v>
                </c:pt>
                <c:pt idx="6">
                  <c:v>4.4723151719939933E-4</c:v>
                </c:pt>
                <c:pt idx="7">
                  <c:v>4.4723151719939933E-4</c:v>
                </c:pt>
                <c:pt idx="8">
                  <c:v>4.4723151719939933E-4</c:v>
                </c:pt>
                <c:pt idx="9">
                  <c:v>4.4723151719939933E-4</c:v>
                </c:pt>
                <c:pt idx="10">
                  <c:v>4.4723151719939933E-4</c:v>
                </c:pt>
                <c:pt idx="11">
                  <c:v>4.4723151719939933E-4</c:v>
                </c:pt>
                <c:pt idx="12">
                  <c:v>4.4723151719939933E-4</c:v>
                </c:pt>
                <c:pt idx="13">
                  <c:v>4.4723151719939933E-4</c:v>
                </c:pt>
                <c:pt idx="14">
                  <c:v>4.4723151719939933E-4</c:v>
                </c:pt>
                <c:pt idx="15">
                  <c:v>4.4723151719939933E-4</c:v>
                </c:pt>
                <c:pt idx="16">
                  <c:v>4.4723151719939933E-4</c:v>
                </c:pt>
                <c:pt idx="17">
                  <c:v>4.4723151719939933E-4</c:v>
                </c:pt>
                <c:pt idx="18">
                  <c:v>4.4723151719939933E-4</c:v>
                </c:pt>
                <c:pt idx="19">
                  <c:v>4.4723151719939933E-4</c:v>
                </c:pt>
                <c:pt idx="20">
                  <c:v>4.4723151719939933E-4</c:v>
                </c:pt>
                <c:pt idx="21">
                  <c:v>4.4723151719939933E-4</c:v>
                </c:pt>
                <c:pt idx="22">
                  <c:v>4.4723151719939933E-4</c:v>
                </c:pt>
                <c:pt idx="23">
                  <c:v>4.4723151719939933E-4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3.7910922485726164E-4</c:v>
                </c:pt>
                <c:pt idx="1">
                  <c:v>3.8300192727681236E-4</c:v>
                </c:pt>
                <c:pt idx="2">
                  <c:v>3.8689462969636307E-4</c:v>
                </c:pt>
                <c:pt idx="3">
                  <c:v>3.9078733211591379E-4</c:v>
                </c:pt>
                <c:pt idx="4">
                  <c:v>4.0246543937456599E-4</c:v>
                </c:pt>
                <c:pt idx="5">
                  <c:v>4.0635814179411671E-4</c:v>
                </c:pt>
                <c:pt idx="6">
                  <c:v>4.1025084421366742E-4</c:v>
                </c:pt>
                <c:pt idx="7">
                  <c:v>4.1414354663321814E-4</c:v>
                </c:pt>
                <c:pt idx="8">
                  <c:v>4.1803624905276885E-4</c:v>
                </c:pt>
                <c:pt idx="9">
                  <c:v>4.29714356311421E-4</c:v>
                </c:pt>
                <c:pt idx="10">
                  <c:v>4.3360705873097172E-4</c:v>
                </c:pt>
                <c:pt idx="11">
                  <c:v>4.3749976115052243E-4</c:v>
                </c:pt>
                <c:pt idx="12">
                  <c:v>4.413924635700732E-4</c:v>
                </c:pt>
                <c:pt idx="13">
                  <c:v>4.4528516598962392E-4</c:v>
                </c:pt>
                <c:pt idx="14">
                  <c:v>4.5696327324827607E-4</c:v>
                </c:pt>
                <c:pt idx="15">
                  <c:v>4.6085597566782678E-4</c:v>
                </c:pt>
                <c:pt idx="16">
                  <c:v>4.647486780873775E-4</c:v>
                </c:pt>
                <c:pt idx="17">
                  <c:v>4.6864138050692827E-4</c:v>
                </c:pt>
                <c:pt idx="18">
                  <c:v>4.7253408292647893E-4</c:v>
                </c:pt>
                <c:pt idx="19">
                  <c:v>4.8421219018513113E-4</c:v>
                </c:pt>
                <c:pt idx="20">
                  <c:v>4.8810489260468185E-4</c:v>
                </c:pt>
                <c:pt idx="21">
                  <c:v>4.9199759502423256E-4</c:v>
                </c:pt>
                <c:pt idx="22">
                  <c:v>4.9589029744378328E-4</c:v>
                </c:pt>
                <c:pt idx="23">
                  <c:v>5.1535380954153686E-4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3.4152068524415091E-4</c:v>
                </c:pt>
                <c:pt idx="1">
                  <c:v>3.4866830735767214E-4</c:v>
                </c:pt>
                <c:pt idx="2">
                  <c:v>3.5571679486122464E-4</c:v>
                </c:pt>
                <c:pt idx="3">
                  <c:v>3.6266614775480854E-4</c:v>
                </c:pt>
                <c:pt idx="4">
                  <c:v>3.8291939877574838E-4</c:v>
                </c:pt>
                <c:pt idx="5">
                  <c:v>3.8947221322945777E-4</c:v>
                </c:pt>
                <c:pt idx="6">
                  <c:v>3.9592589307319839E-4</c:v>
                </c:pt>
                <c:pt idx="7">
                  <c:v>4.0228043830697045E-4</c:v>
                </c:pt>
                <c:pt idx="8">
                  <c:v>4.0853584893077384E-4</c:v>
                </c:pt>
                <c:pt idx="9">
                  <c:v>4.2670727314237213E-4</c:v>
                </c:pt>
                <c:pt idx="10">
                  <c:v>4.3256614532630102E-4</c:v>
                </c:pt>
                <c:pt idx="11">
                  <c:v>4.3832588290026114E-4</c:v>
                </c:pt>
                <c:pt idx="12">
                  <c:v>4.4398648586425269E-4</c:v>
                </c:pt>
                <c:pt idx="13">
                  <c:v>4.4954795421827559E-4</c:v>
                </c:pt>
                <c:pt idx="14">
                  <c:v>4.6563755162053237E-4</c:v>
                </c:pt>
                <c:pt idx="15">
                  <c:v>4.7080248153468071E-4</c:v>
                </c:pt>
                <c:pt idx="16">
                  <c:v>4.7586827683886038E-4</c:v>
                </c:pt>
                <c:pt idx="17">
                  <c:v>4.8083493753307144E-4</c:v>
                </c:pt>
                <c:pt idx="18">
                  <c:v>4.8570246361731372E-4</c:v>
                </c:pt>
                <c:pt idx="19">
                  <c:v>4.9971023421022912E-4</c:v>
                </c:pt>
                <c:pt idx="20">
                  <c:v>5.041812218545969E-4</c:v>
                </c:pt>
                <c:pt idx="21">
                  <c:v>5.0855307488899607E-4</c:v>
                </c:pt>
                <c:pt idx="22">
                  <c:v>5.1282579331342663E-4</c:v>
                </c:pt>
                <c:pt idx="23">
                  <c:v>5.3270236628604958E-4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024000"/>
        <c:axId val="193025536"/>
      </c:lineChart>
      <c:dateAx>
        <c:axId val="1930240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3025536"/>
        <c:crosses val="autoZero"/>
        <c:auto val="1"/>
        <c:lblOffset val="100"/>
        <c:baseTimeUnit val="days"/>
      </c:dateAx>
      <c:valAx>
        <c:axId val="193025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302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1.1504647826645069E-3</c:v>
                </c:pt>
                <c:pt idx="1">
                  <c:v>1.1504647826645069E-3</c:v>
                </c:pt>
                <c:pt idx="2">
                  <c:v>1.1504647826645069E-3</c:v>
                </c:pt>
                <c:pt idx="3">
                  <c:v>1.1504647826645069E-3</c:v>
                </c:pt>
                <c:pt idx="4">
                  <c:v>1.1504647826645069E-3</c:v>
                </c:pt>
                <c:pt idx="5">
                  <c:v>1.1504647826645069E-3</c:v>
                </c:pt>
                <c:pt idx="6">
                  <c:v>1.1504647826645069E-3</c:v>
                </c:pt>
                <c:pt idx="7">
                  <c:v>1.1504647826645069E-3</c:v>
                </c:pt>
                <c:pt idx="8">
                  <c:v>1.1504647826645069E-3</c:v>
                </c:pt>
                <c:pt idx="9">
                  <c:v>1.1504647826645069E-3</c:v>
                </c:pt>
                <c:pt idx="10">
                  <c:v>1.1504647826645069E-3</c:v>
                </c:pt>
                <c:pt idx="11">
                  <c:v>1.1504647826645069E-3</c:v>
                </c:pt>
                <c:pt idx="12">
                  <c:v>1.1504647826645069E-3</c:v>
                </c:pt>
                <c:pt idx="13">
                  <c:v>1.1504647826645069E-3</c:v>
                </c:pt>
                <c:pt idx="14">
                  <c:v>1.1504647826645069E-3</c:v>
                </c:pt>
                <c:pt idx="15">
                  <c:v>1.1504647826645069E-3</c:v>
                </c:pt>
                <c:pt idx="16">
                  <c:v>1.1504647826645069E-3</c:v>
                </c:pt>
                <c:pt idx="17">
                  <c:v>1.1504647826645069E-3</c:v>
                </c:pt>
                <c:pt idx="18">
                  <c:v>1.1504647826645069E-3</c:v>
                </c:pt>
                <c:pt idx="19">
                  <c:v>1.1504647826645069E-3</c:v>
                </c:pt>
                <c:pt idx="20">
                  <c:v>1.1504647826645069E-3</c:v>
                </c:pt>
                <c:pt idx="21">
                  <c:v>1.1504647826645069E-3</c:v>
                </c:pt>
                <c:pt idx="22">
                  <c:v>1.1504647826645069E-3</c:v>
                </c:pt>
                <c:pt idx="23">
                  <c:v>1.1504647826645069E-3</c:v>
                </c:pt>
                <c:pt idx="24">
                  <c:v>1.1504647826645069E-3</c:v>
                </c:pt>
                <c:pt idx="25">
                  <c:v>1.1504647826645069E-3</c:v>
                </c:pt>
                <c:pt idx="26">
                  <c:v>1.1504647826645069E-3</c:v>
                </c:pt>
                <c:pt idx="27">
                  <c:v>1.1504647826645069E-3</c:v>
                </c:pt>
                <c:pt idx="28">
                  <c:v>1.1504647826645069E-3</c:v>
                </c:pt>
                <c:pt idx="29">
                  <c:v>1.1504647826645069E-3</c:v>
                </c:pt>
                <c:pt idx="30">
                  <c:v>1.1504647826645069E-3</c:v>
                </c:pt>
                <c:pt idx="31">
                  <c:v>1.1504647826645069E-3</c:v>
                </c:pt>
                <c:pt idx="32">
                  <c:v>1.1504647826645069E-3</c:v>
                </c:pt>
                <c:pt idx="33">
                  <c:v>1.1504647826645069E-3</c:v>
                </c:pt>
                <c:pt idx="34">
                  <c:v>1.1504647826645069E-3</c:v>
                </c:pt>
                <c:pt idx="35">
                  <c:v>1.1504647826645069E-3</c:v>
                </c:pt>
                <c:pt idx="36">
                  <c:v>1.1504647826645069E-3</c:v>
                </c:pt>
                <c:pt idx="37">
                  <c:v>1.1504647826645069E-3</c:v>
                </c:pt>
                <c:pt idx="38">
                  <c:v>1.1504647826645069E-3</c:v>
                </c:pt>
                <c:pt idx="39">
                  <c:v>1.1504647826645069E-3</c:v>
                </c:pt>
                <c:pt idx="40">
                  <c:v>1.1504647826645069E-3</c:v>
                </c:pt>
                <c:pt idx="41">
                  <c:v>1.1504647826645069E-3</c:v>
                </c:pt>
                <c:pt idx="42">
                  <c:v>1.1504647826645069E-3</c:v>
                </c:pt>
                <c:pt idx="43">
                  <c:v>1.1504647826645069E-3</c:v>
                </c:pt>
                <c:pt idx="44">
                  <c:v>1.1504647826645069E-3</c:v>
                </c:pt>
                <c:pt idx="45">
                  <c:v>1.1504647826645069E-3</c:v>
                </c:pt>
                <c:pt idx="46">
                  <c:v>1.1504647826645069E-3</c:v>
                </c:pt>
                <c:pt idx="47">
                  <c:v>1.1504647826645069E-3</c:v>
                </c:pt>
                <c:pt idx="48">
                  <c:v>1.1504647826645069E-3</c:v>
                </c:pt>
                <c:pt idx="49">
                  <c:v>1.1504647826645069E-3</c:v>
                </c:pt>
                <c:pt idx="50">
                  <c:v>1.1504647826645069E-3</c:v>
                </c:pt>
                <c:pt idx="51">
                  <c:v>1.1504647826645069E-3</c:v>
                </c:pt>
                <c:pt idx="52">
                  <c:v>1.1504647826645069E-3</c:v>
                </c:pt>
                <c:pt idx="53">
                  <c:v>1.1504647826645069E-3</c:v>
                </c:pt>
                <c:pt idx="54">
                  <c:v>1.1504647826645069E-3</c:v>
                </c:pt>
                <c:pt idx="55">
                  <c:v>1.1504647826645069E-3</c:v>
                </c:pt>
                <c:pt idx="56">
                  <c:v>1.1504647826645069E-3</c:v>
                </c:pt>
                <c:pt idx="57">
                  <c:v>1.1504647826645069E-3</c:v>
                </c:pt>
                <c:pt idx="58">
                  <c:v>1.1504647826645069E-3</c:v>
                </c:pt>
                <c:pt idx="59">
                  <c:v>1.1504647826645069E-3</c:v>
                </c:pt>
                <c:pt idx="60">
                  <c:v>1.1504647826645069E-3</c:v>
                </c:pt>
                <c:pt idx="61">
                  <c:v>1.1504647826645069E-3</c:v>
                </c:pt>
                <c:pt idx="62">
                  <c:v>1.1504647826645069E-3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1.0542585330276795E-3</c:v>
                </c:pt>
                <c:pt idx="1">
                  <c:v>1.0563499732371758E-3</c:v>
                </c:pt>
                <c:pt idx="2">
                  <c:v>1.0584414134466719E-3</c:v>
                </c:pt>
                <c:pt idx="3">
                  <c:v>1.0605328536561682E-3</c:v>
                </c:pt>
                <c:pt idx="4">
                  <c:v>1.0668071742846569E-3</c:v>
                </c:pt>
                <c:pt idx="5">
                  <c:v>1.0688986144941532E-3</c:v>
                </c:pt>
                <c:pt idx="6">
                  <c:v>1.0709900547036496E-3</c:v>
                </c:pt>
                <c:pt idx="7">
                  <c:v>1.0730814949131459E-3</c:v>
                </c:pt>
                <c:pt idx="8">
                  <c:v>1.075172935122642E-3</c:v>
                </c:pt>
                <c:pt idx="9">
                  <c:v>1.0814472557511307E-3</c:v>
                </c:pt>
                <c:pt idx="10">
                  <c:v>1.083538695960627E-3</c:v>
                </c:pt>
                <c:pt idx="11">
                  <c:v>1.0856301361701233E-3</c:v>
                </c:pt>
                <c:pt idx="12">
                  <c:v>1.0877215763796196E-3</c:v>
                </c:pt>
                <c:pt idx="13">
                  <c:v>1.0898130165891157E-3</c:v>
                </c:pt>
                <c:pt idx="14">
                  <c:v>1.0960873372176047E-3</c:v>
                </c:pt>
                <c:pt idx="15">
                  <c:v>1.0981787774271008E-3</c:v>
                </c:pt>
                <c:pt idx="16">
                  <c:v>1.1002702176365971E-3</c:v>
                </c:pt>
                <c:pt idx="17">
                  <c:v>1.1023616578460934E-3</c:v>
                </c:pt>
                <c:pt idx="18">
                  <c:v>1.1044530980555895E-3</c:v>
                </c:pt>
                <c:pt idx="19">
                  <c:v>1.1107274186840784E-3</c:v>
                </c:pt>
                <c:pt idx="20">
                  <c:v>1.1128188588935745E-3</c:v>
                </c:pt>
                <c:pt idx="21">
                  <c:v>1.1149102991030709E-3</c:v>
                </c:pt>
                <c:pt idx="22">
                  <c:v>1.1170017393125672E-3</c:v>
                </c:pt>
                <c:pt idx="23">
                  <c:v>1.1274589403600485E-3</c:v>
                </c:pt>
                <c:pt idx="24">
                  <c:v>1.1295503805695446E-3</c:v>
                </c:pt>
                <c:pt idx="25">
                  <c:v>1.1316418207790409E-3</c:v>
                </c:pt>
                <c:pt idx="26">
                  <c:v>1.1337332609885373E-3</c:v>
                </c:pt>
                <c:pt idx="27">
                  <c:v>1.140007581617026E-3</c:v>
                </c:pt>
                <c:pt idx="28">
                  <c:v>1.1420990218265223E-3</c:v>
                </c:pt>
                <c:pt idx="29">
                  <c:v>1.1441904620360184E-3</c:v>
                </c:pt>
                <c:pt idx="30">
                  <c:v>1.1462819022455147E-3</c:v>
                </c:pt>
                <c:pt idx="31">
                  <c:v>1.148373342455011E-3</c:v>
                </c:pt>
                <c:pt idx="32">
                  <c:v>1.1546476630834997E-3</c:v>
                </c:pt>
                <c:pt idx="33">
                  <c:v>1.1567391032929961E-3</c:v>
                </c:pt>
                <c:pt idx="34">
                  <c:v>1.1588305435024922E-3</c:v>
                </c:pt>
                <c:pt idx="35">
                  <c:v>1.1609219837119885E-3</c:v>
                </c:pt>
                <c:pt idx="36">
                  <c:v>1.1630134239214848E-3</c:v>
                </c:pt>
                <c:pt idx="37">
                  <c:v>1.1692877445499735E-3</c:v>
                </c:pt>
                <c:pt idx="38">
                  <c:v>1.1713791847594698E-3</c:v>
                </c:pt>
                <c:pt idx="39">
                  <c:v>1.1734706249689661E-3</c:v>
                </c:pt>
                <c:pt idx="40">
                  <c:v>1.1755620651784622E-3</c:v>
                </c:pt>
                <c:pt idx="41">
                  <c:v>1.1776535053879586E-3</c:v>
                </c:pt>
                <c:pt idx="42">
                  <c:v>1.1860192662259436E-3</c:v>
                </c:pt>
                <c:pt idx="43">
                  <c:v>1.1881107064354399E-3</c:v>
                </c:pt>
                <c:pt idx="44">
                  <c:v>1.190202146644936E-3</c:v>
                </c:pt>
                <c:pt idx="45">
                  <c:v>1.1922935868544323E-3</c:v>
                </c:pt>
                <c:pt idx="46">
                  <c:v>1.198567907482921E-3</c:v>
                </c:pt>
                <c:pt idx="47">
                  <c:v>1.2006593476924174E-3</c:v>
                </c:pt>
                <c:pt idx="48">
                  <c:v>1.2027507879019137E-3</c:v>
                </c:pt>
                <c:pt idx="49">
                  <c:v>1.2048422281114098E-3</c:v>
                </c:pt>
                <c:pt idx="50">
                  <c:v>1.2069336683209061E-3</c:v>
                </c:pt>
                <c:pt idx="51">
                  <c:v>1.2132079889493948E-3</c:v>
                </c:pt>
                <c:pt idx="52">
                  <c:v>1.2152994291588911E-3</c:v>
                </c:pt>
                <c:pt idx="53">
                  <c:v>1.2173908693683874E-3</c:v>
                </c:pt>
                <c:pt idx="54">
                  <c:v>1.2194823095778838E-3</c:v>
                </c:pt>
                <c:pt idx="55">
                  <c:v>1.2215737497873799E-3</c:v>
                </c:pt>
                <c:pt idx="56">
                  <c:v>1.2299395106253649E-3</c:v>
                </c:pt>
                <c:pt idx="57">
                  <c:v>1.2320309508348612E-3</c:v>
                </c:pt>
                <c:pt idx="58">
                  <c:v>1.2341223910443575E-3</c:v>
                </c:pt>
                <c:pt idx="59">
                  <c:v>1.2362138312538536E-3</c:v>
                </c:pt>
                <c:pt idx="60">
                  <c:v>1.2424881518823426E-3</c:v>
                </c:pt>
                <c:pt idx="61">
                  <c:v>1.2445795920918387E-3</c:v>
                </c:pt>
                <c:pt idx="62">
                  <c:v>1.246671032301335E-3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1.0483188377227132E-3</c:v>
                </c:pt>
                <c:pt idx="1">
                  <c:v>1.0506597650269084E-3</c:v>
                </c:pt>
                <c:pt idx="2">
                  <c:v>1.0529967023879966E-3</c:v>
                </c:pt>
                <c:pt idx="3">
                  <c:v>1.0553296498059784E-3</c:v>
                </c:pt>
                <c:pt idx="4">
                  <c:v>1.0623045524012823E-3</c:v>
                </c:pt>
                <c:pt idx="5">
                  <c:v>1.0646215400468366E-3</c:v>
                </c:pt>
                <c:pt idx="6">
                  <c:v>1.0669345377492844E-3</c:v>
                </c:pt>
                <c:pt idx="7">
                  <c:v>1.0692435455086254E-3</c:v>
                </c:pt>
                <c:pt idx="8">
                  <c:v>1.0715485633248593E-3</c:v>
                </c:pt>
                <c:pt idx="9">
                  <c:v>1.0784396771149208E-3</c:v>
                </c:pt>
                <c:pt idx="10">
                  <c:v>1.0807287351587279E-3</c:v>
                </c:pt>
                <c:pt idx="11">
                  <c:v>1.083013803259428E-3</c:v>
                </c:pt>
                <c:pt idx="12">
                  <c:v>1.0852948814170213E-3</c:v>
                </c:pt>
                <c:pt idx="13">
                  <c:v>1.087571969631508E-3</c:v>
                </c:pt>
                <c:pt idx="14">
                  <c:v>1.0943792946163271E-3</c:v>
                </c:pt>
                <c:pt idx="15">
                  <c:v>1.0966404230583864E-3</c:v>
                </c:pt>
                <c:pt idx="16">
                  <c:v>1.0988975615573392E-3</c:v>
                </c:pt>
                <c:pt idx="17">
                  <c:v>1.101150710113185E-3</c:v>
                </c:pt>
                <c:pt idx="18">
                  <c:v>1.103399868725924E-3</c:v>
                </c:pt>
                <c:pt idx="19">
                  <c:v>1.1101234049055006E-3</c:v>
                </c:pt>
                <c:pt idx="20">
                  <c:v>1.1123566037458126E-3</c:v>
                </c:pt>
                <c:pt idx="21">
                  <c:v>1.114585812643018E-3</c:v>
                </c:pt>
                <c:pt idx="22">
                  <c:v>1.1168110315971161E-3</c:v>
                </c:pt>
                <c:pt idx="23">
                  <c:v>1.1278772772210061E-3</c:v>
                </c:pt>
                <c:pt idx="24">
                  <c:v>1.1300785565164638E-3</c:v>
                </c:pt>
                <c:pt idx="25">
                  <c:v>1.132275845868815E-3</c:v>
                </c:pt>
                <c:pt idx="26">
                  <c:v>1.1344691452780588E-3</c:v>
                </c:pt>
                <c:pt idx="27">
                  <c:v>1.1410251038471504E-3</c:v>
                </c:pt>
                <c:pt idx="28">
                  <c:v>1.1432024434839675E-3</c:v>
                </c:pt>
                <c:pt idx="29">
                  <c:v>1.1453757931776775E-3</c:v>
                </c:pt>
                <c:pt idx="30">
                  <c:v>1.147545152928281E-3</c:v>
                </c:pt>
                <c:pt idx="31">
                  <c:v>1.1497105227357776E-3</c:v>
                </c:pt>
                <c:pt idx="32">
                  <c:v>1.1561826924996268E-3</c:v>
                </c:pt>
                <c:pt idx="33">
                  <c:v>1.1583321025346962E-3</c:v>
                </c:pt>
                <c:pt idx="34">
                  <c:v>1.160477522626659E-3</c:v>
                </c:pt>
                <c:pt idx="35">
                  <c:v>1.1626189527755148E-3</c:v>
                </c:pt>
                <c:pt idx="36">
                  <c:v>1.1647563929812639E-3</c:v>
                </c:pt>
                <c:pt idx="37">
                  <c:v>1.1711447739398704E-3</c:v>
                </c:pt>
                <c:pt idx="38">
                  <c:v>1.1732662543731925E-3</c:v>
                </c:pt>
                <c:pt idx="39">
                  <c:v>1.1753837448634076E-3</c:v>
                </c:pt>
                <c:pt idx="40">
                  <c:v>1.1774972454105159E-3</c:v>
                </c:pt>
                <c:pt idx="41">
                  <c:v>1.1796067560145176E-3</c:v>
                </c:pt>
                <c:pt idx="42">
                  <c:v>1.1880048989994561E-3</c:v>
                </c:pt>
                <c:pt idx="43">
                  <c:v>1.190094459887924E-3</c:v>
                </c:pt>
                <c:pt idx="44">
                  <c:v>1.1921800308332846E-3</c:v>
                </c:pt>
                <c:pt idx="45">
                  <c:v>1.1942616118355389E-3</c:v>
                </c:pt>
                <c:pt idx="46">
                  <c:v>1.2004824151836606E-3</c:v>
                </c:pt>
                <c:pt idx="47">
                  <c:v>1.2025480364134876E-3</c:v>
                </c:pt>
                <c:pt idx="48">
                  <c:v>1.2046096677002076E-3</c:v>
                </c:pt>
                <c:pt idx="49">
                  <c:v>1.2066673090438212E-3</c:v>
                </c:pt>
                <c:pt idx="50">
                  <c:v>1.2087209604443277E-3</c:v>
                </c:pt>
                <c:pt idx="51">
                  <c:v>1.2148579749872068E-3</c:v>
                </c:pt>
                <c:pt idx="52">
                  <c:v>1.2168956666152864E-3</c:v>
                </c:pt>
                <c:pt idx="53">
                  <c:v>1.2189293683002591E-3</c:v>
                </c:pt>
                <c:pt idx="54">
                  <c:v>1.2209590800421248E-3</c:v>
                </c:pt>
                <c:pt idx="55">
                  <c:v>1.2229848018408841E-3</c:v>
                </c:pt>
                <c:pt idx="56">
                  <c:v>1.2310477896048527E-3</c:v>
                </c:pt>
                <c:pt idx="57">
                  <c:v>1.2330535616880778E-3</c:v>
                </c:pt>
                <c:pt idx="58">
                  <c:v>1.2350553438281963E-3</c:v>
                </c:pt>
                <c:pt idx="59">
                  <c:v>1.2370531360252079E-3</c:v>
                </c:pt>
                <c:pt idx="60">
                  <c:v>1.243022572957602E-3</c:v>
                </c:pt>
                <c:pt idx="61">
                  <c:v>1.2450044053821867E-3</c:v>
                </c:pt>
                <c:pt idx="62">
                  <c:v>1.2469822478636643E-3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778368"/>
        <c:axId val="532780160"/>
      </c:lineChart>
      <c:dateAx>
        <c:axId val="532778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2780160"/>
        <c:crosses val="autoZero"/>
        <c:auto val="1"/>
        <c:lblOffset val="100"/>
        <c:baseTimeUnit val="days"/>
      </c:dateAx>
      <c:valAx>
        <c:axId val="532780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277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2.2000163820892669E-3</c:v>
                </c:pt>
                <c:pt idx="1">
                  <c:v>2.2000163820892669E-3</c:v>
                </c:pt>
                <c:pt idx="2">
                  <c:v>2.2000163820892669E-3</c:v>
                </c:pt>
                <c:pt idx="3">
                  <c:v>2.2000163820892669E-3</c:v>
                </c:pt>
                <c:pt idx="4">
                  <c:v>2.2000163820892669E-3</c:v>
                </c:pt>
                <c:pt idx="5">
                  <c:v>2.2000163820892669E-3</c:v>
                </c:pt>
                <c:pt idx="6">
                  <c:v>2.2000163820892669E-3</c:v>
                </c:pt>
                <c:pt idx="7">
                  <c:v>2.2000163820892669E-3</c:v>
                </c:pt>
                <c:pt idx="8">
                  <c:v>2.2000163820892669E-3</c:v>
                </c:pt>
                <c:pt idx="9">
                  <c:v>2.2000163820892669E-3</c:v>
                </c:pt>
                <c:pt idx="10">
                  <c:v>2.2000163820892669E-3</c:v>
                </c:pt>
                <c:pt idx="11">
                  <c:v>2.2000163820892669E-3</c:v>
                </c:pt>
                <c:pt idx="12">
                  <c:v>2.2000163820892669E-3</c:v>
                </c:pt>
                <c:pt idx="13">
                  <c:v>2.2000163820892669E-3</c:v>
                </c:pt>
                <c:pt idx="14">
                  <c:v>2.2000163820892669E-3</c:v>
                </c:pt>
                <c:pt idx="15">
                  <c:v>2.2000163820892669E-3</c:v>
                </c:pt>
                <c:pt idx="16">
                  <c:v>2.2000163820892669E-3</c:v>
                </c:pt>
                <c:pt idx="17">
                  <c:v>2.2000163820892669E-3</c:v>
                </c:pt>
                <c:pt idx="18">
                  <c:v>2.2000163820892669E-3</c:v>
                </c:pt>
                <c:pt idx="19">
                  <c:v>2.2000163820892669E-3</c:v>
                </c:pt>
                <c:pt idx="20">
                  <c:v>2.2000163820892669E-3</c:v>
                </c:pt>
                <c:pt idx="21">
                  <c:v>2.2000163820892669E-3</c:v>
                </c:pt>
                <c:pt idx="22">
                  <c:v>2.2000163820892669E-3</c:v>
                </c:pt>
                <c:pt idx="23">
                  <c:v>2.2000163820892669E-3</c:v>
                </c:pt>
                <c:pt idx="24">
                  <c:v>2.2000163820892669E-3</c:v>
                </c:pt>
                <c:pt idx="25">
                  <c:v>2.2000163820892669E-3</c:v>
                </c:pt>
                <c:pt idx="26">
                  <c:v>2.2000163820892669E-3</c:v>
                </c:pt>
                <c:pt idx="27">
                  <c:v>2.2000163820892669E-3</c:v>
                </c:pt>
                <c:pt idx="28">
                  <c:v>2.2000163820892669E-3</c:v>
                </c:pt>
                <c:pt idx="29">
                  <c:v>2.2000163820892669E-3</c:v>
                </c:pt>
                <c:pt idx="30">
                  <c:v>2.2000163820892669E-3</c:v>
                </c:pt>
                <c:pt idx="31">
                  <c:v>2.2000163820892669E-3</c:v>
                </c:pt>
                <c:pt idx="32">
                  <c:v>2.2000163820892669E-3</c:v>
                </c:pt>
                <c:pt idx="33">
                  <c:v>2.2000163820892669E-3</c:v>
                </c:pt>
                <c:pt idx="34">
                  <c:v>2.2000163820892669E-3</c:v>
                </c:pt>
                <c:pt idx="35">
                  <c:v>2.2000163820892669E-3</c:v>
                </c:pt>
                <c:pt idx="36">
                  <c:v>2.2000163820892669E-3</c:v>
                </c:pt>
                <c:pt idx="37">
                  <c:v>2.2000163820892669E-3</c:v>
                </c:pt>
                <c:pt idx="38">
                  <c:v>2.2000163820892669E-3</c:v>
                </c:pt>
                <c:pt idx="39">
                  <c:v>2.2000163820892669E-3</c:v>
                </c:pt>
                <c:pt idx="40">
                  <c:v>2.2000163820892669E-3</c:v>
                </c:pt>
                <c:pt idx="41">
                  <c:v>2.2000163820892669E-3</c:v>
                </c:pt>
                <c:pt idx="42">
                  <c:v>2.2000163820892669E-3</c:v>
                </c:pt>
                <c:pt idx="43">
                  <c:v>2.2000163820892669E-3</c:v>
                </c:pt>
                <c:pt idx="44">
                  <c:v>2.2000163820892669E-3</c:v>
                </c:pt>
                <c:pt idx="45">
                  <c:v>2.2000163820892669E-3</c:v>
                </c:pt>
                <c:pt idx="46">
                  <c:v>2.2000163820892669E-3</c:v>
                </c:pt>
                <c:pt idx="47">
                  <c:v>2.2000163820892669E-3</c:v>
                </c:pt>
                <c:pt idx="48">
                  <c:v>2.2000163820892669E-3</c:v>
                </c:pt>
                <c:pt idx="49">
                  <c:v>2.2000163820892669E-3</c:v>
                </c:pt>
                <c:pt idx="50">
                  <c:v>2.2000163820892669E-3</c:v>
                </c:pt>
                <c:pt idx="51">
                  <c:v>2.2000163820892669E-3</c:v>
                </c:pt>
                <c:pt idx="52">
                  <c:v>2.2000163820892669E-3</c:v>
                </c:pt>
                <c:pt idx="53">
                  <c:v>2.2000163820892669E-3</c:v>
                </c:pt>
                <c:pt idx="54">
                  <c:v>2.2000163820892669E-3</c:v>
                </c:pt>
                <c:pt idx="55">
                  <c:v>2.2000163820892669E-3</c:v>
                </c:pt>
                <c:pt idx="56">
                  <c:v>2.2000163820892669E-3</c:v>
                </c:pt>
                <c:pt idx="57">
                  <c:v>2.2000163820892669E-3</c:v>
                </c:pt>
                <c:pt idx="58">
                  <c:v>2.2000163820892669E-3</c:v>
                </c:pt>
                <c:pt idx="59">
                  <c:v>2.2000163820892669E-3</c:v>
                </c:pt>
                <c:pt idx="60">
                  <c:v>2.2000163820892669E-3</c:v>
                </c:pt>
                <c:pt idx="61">
                  <c:v>2.2000163820892669E-3</c:v>
                </c:pt>
                <c:pt idx="62">
                  <c:v>2.2000163820892669E-3</c:v>
                </c:pt>
                <c:pt idx="63">
                  <c:v>2.2000163820892669E-3</c:v>
                </c:pt>
                <c:pt idx="64">
                  <c:v>2.2000163820892669E-3</c:v>
                </c:pt>
                <c:pt idx="65">
                  <c:v>2.2000163820892669E-3</c:v>
                </c:pt>
                <c:pt idx="66">
                  <c:v>2.2000163820892669E-3</c:v>
                </c:pt>
                <c:pt idx="67">
                  <c:v>2.2000163820892669E-3</c:v>
                </c:pt>
                <c:pt idx="68">
                  <c:v>2.2000163820892669E-3</c:v>
                </c:pt>
                <c:pt idx="69">
                  <c:v>2.2000163820892669E-3</c:v>
                </c:pt>
                <c:pt idx="70">
                  <c:v>2.2000163820892669E-3</c:v>
                </c:pt>
                <c:pt idx="71">
                  <c:v>2.2000163820892669E-3</c:v>
                </c:pt>
                <c:pt idx="72">
                  <c:v>2.2000163820892669E-3</c:v>
                </c:pt>
                <c:pt idx="73">
                  <c:v>2.2000163820892669E-3</c:v>
                </c:pt>
                <c:pt idx="74">
                  <c:v>2.2000163820892669E-3</c:v>
                </c:pt>
                <c:pt idx="75">
                  <c:v>2.2000163820892669E-3</c:v>
                </c:pt>
                <c:pt idx="76">
                  <c:v>2.2000163820892669E-3</c:v>
                </c:pt>
                <c:pt idx="77">
                  <c:v>2.2000163820892669E-3</c:v>
                </c:pt>
                <c:pt idx="78">
                  <c:v>2.2000163820892669E-3</c:v>
                </c:pt>
                <c:pt idx="79">
                  <c:v>2.2000163820892669E-3</c:v>
                </c:pt>
                <c:pt idx="80">
                  <c:v>2.2000163820892669E-3</c:v>
                </c:pt>
                <c:pt idx="81">
                  <c:v>2.2000163820892669E-3</c:v>
                </c:pt>
                <c:pt idx="82">
                  <c:v>2.2000163820892669E-3</c:v>
                </c:pt>
                <c:pt idx="83">
                  <c:v>2.2000163820892669E-3</c:v>
                </c:pt>
                <c:pt idx="84">
                  <c:v>2.2000163820892669E-3</c:v>
                </c:pt>
                <c:pt idx="85">
                  <c:v>2.2000163820892669E-3</c:v>
                </c:pt>
                <c:pt idx="86">
                  <c:v>2.2000163820892669E-3</c:v>
                </c:pt>
                <c:pt idx="87">
                  <c:v>2.2000163820892669E-3</c:v>
                </c:pt>
                <c:pt idx="88">
                  <c:v>2.2000163820892669E-3</c:v>
                </c:pt>
                <c:pt idx="89">
                  <c:v>2.2000163820892669E-3</c:v>
                </c:pt>
                <c:pt idx="90">
                  <c:v>2.2000163820892669E-3</c:v>
                </c:pt>
                <c:pt idx="91">
                  <c:v>2.2000163820892669E-3</c:v>
                </c:pt>
                <c:pt idx="92">
                  <c:v>2.2000163820892669E-3</c:v>
                </c:pt>
                <c:pt idx="93">
                  <c:v>2.2000163820892669E-3</c:v>
                </c:pt>
                <c:pt idx="94">
                  <c:v>2.2000163820892669E-3</c:v>
                </c:pt>
                <c:pt idx="95">
                  <c:v>2.2000163820892669E-3</c:v>
                </c:pt>
                <c:pt idx="96">
                  <c:v>2.2000163820892669E-3</c:v>
                </c:pt>
                <c:pt idx="97">
                  <c:v>2.2000163820892669E-3</c:v>
                </c:pt>
                <c:pt idx="98">
                  <c:v>2.2000163820892669E-3</c:v>
                </c:pt>
                <c:pt idx="99">
                  <c:v>2.2000163820892669E-3</c:v>
                </c:pt>
                <c:pt idx="100">
                  <c:v>2.2000163820892669E-3</c:v>
                </c:pt>
                <c:pt idx="101">
                  <c:v>2.2000163820892669E-3</c:v>
                </c:pt>
                <c:pt idx="102">
                  <c:v>2.2000163820892669E-3</c:v>
                </c:pt>
                <c:pt idx="103">
                  <c:v>2.2000163820892669E-3</c:v>
                </c:pt>
                <c:pt idx="104">
                  <c:v>2.2000163820892669E-3</c:v>
                </c:pt>
                <c:pt idx="105">
                  <c:v>2.2000163820892669E-3</c:v>
                </c:pt>
                <c:pt idx="106">
                  <c:v>2.2000163820892669E-3</c:v>
                </c:pt>
                <c:pt idx="107">
                  <c:v>2.2000163820892669E-3</c:v>
                </c:pt>
                <c:pt idx="108">
                  <c:v>2.2000163820892669E-3</c:v>
                </c:pt>
                <c:pt idx="109">
                  <c:v>2.2000163820892669E-3</c:v>
                </c:pt>
                <c:pt idx="110">
                  <c:v>2.2000163820892669E-3</c:v>
                </c:pt>
                <c:pt idx="111">
                  <c:v>2.2000163820892669E-3</c:v>
                </c:pt>
                <c:pt idx="112">
                  <c:v>2.2000163820892669E-3</c:v>
                </c:pt>
                <c:pt idx="113">
                  <c:v>2.2000163820892669E-3</c:v>
                </c:pt>
                <c:pt idx="114">
                  <c:v>2.2000163820892669E-3</c:v>
                </c:pt>
                <c:pt idx="115">
                  <c:v>2.2000163820892669E-3</c:v>
                </c:pt>
                <c:pt idx="116">
                  <c:v>2.2000163820892669E-3</c:v>
                </c:pt>
                <c:pt idx="117">
                  <c:v>2.2000163820892669E-3</c:v>
                </c:pt>
                <c:pt idx="118">
                  <c:v>2.2000163820892669E-3</c:v>
                </c:pt>
                <c:pt idx="119">
                  <c:v>2.2000163820892669E-3</c:v>
                </c:pt>
                <c:pt idx="120">
                  <c:v>2.2000163820892669E-3</c:v>
                </c:pt>
                <c:pt idx="121">
                  <c:v>2.2000163820892669E-3</c:v>
                </c:pt>
                <c:pt idx="122">
                  <c:v>2.2000163820892669E-3</c:v>
                </c:pt>
                <c:pt idx="123">
                  <c:v>2.2000163820892669E-3</c:v>
                </c:pt>
                <c:pt idx="124">
                  <c:v>2.2000163820892669E-3</c:v>
                </c:pt>
                <c:pt idx="125">
                  <c:v>2.2000163820892669E-3</c:v>
                </c:pt>
                <c:pt idx="126">
                  <c:v>2.2000163820892669E-3</c:v>
                </c:pt>
                <c:pt idx="127">
                  <c:v>2.2000163820892669E-3</c:v>
                </c:pt>
                <c:pt idx="128">
                  <c:v>2.2000163820892669E-3</c:v>
                </c:pt>
                <c:pt idx="129">
                  <c:v>2.2000163820892669E-3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1.9972953621450028E-3</c:v>
                </c:pt>
                <c:pt idx="1">
                  <c:v>1.9994988514922232E-3</c:v>
                </c:pt>
                <c:pt idx="2">
                  <c:v>2.0017023408394432E-3</c:v>
                </c:pt>
                <c:pt idx="3">
                  <c:v>2.0039058301866636E-3</c:v>
                </c:pt>
                <c:pt idx="4">
                  <c:v>2.0105162982283244E-3</c:v>
                </c:pt>
                <c:pt idx="5">
                  <c:v>2.0127197875755448E-3</c:v>
                </c:pt>
                <c:pt idx="6">
                  <c:v>2.0149232769227652E-3</c:v>
                </c:pt>
                <c:pt idx="7">
                  <c:v>2.0171267662699851E-3</c:v>
                </c:pt>
                <c:pt idx="8">
                  <c:v>2.0193302556172055E-3</c:v>
                </c:pt>
                <c:pt idx="9">
                  <c:v>2.0259407236588663E-3</c:v>
                </c:pt>
                <c:pt idx="10">
                  <c:v>2.0281442130060867E-3</c:v>
                </c:pt>
                <c:pt idx="11">
                  <c:v>2.0303477023533066E-3</c:v>
                </c:pt>
                <c:pt idx="12">
                  <c:v>2.032551191700527E-3</c:v>
                </c:pt>
                <c:pt idx="13">
                  <c:v>2.0347546810477474E-3</c:v>
                </c:pt>
                <c:pt idx="14">
                  <c:v>2.0413651490894082E-3</c:v>
                </c:pt>
                <c:pt idx="15">
                  <c:v>2.0435686384366282E-3</c:v>
                </c:pt>
                <c:pt idx="16">
                  <c:v>2.0457721277838486E-3</c:v>
                </c:pt>
                <c:pt idx="17">
                  <c:v>2.047975617131069E-3</c:v>
                </c:pt>
                <c:pt idx="18">
                  <c:v>2.0501791064782894E-3</c:v>
                </c:pt>
                <c:pt idx="19">
                  <c:v>2.0567895745199501E-3</c:v>
                </c:pt>
                <c:pt idx="20">
                  <c:v>2.0589930638671701E-3</c:v>
                </c:pt>
                <c:pt idx="21">
                  <c:v>2.0611965532143905E-3</c:v>
                </c:pt>
                <c:pt idx="22">
                  <c:v>2.0634000425616109E-3</c:v>
                </c:pt>
                <c:pt idx="23">
                  <c:v>2.074417489297712E-3</c:v>
                </c:pt>
                <c:pt idx="24">
                  <c:v>2.0766209786449324E-3</c:v>
                </c:pt>
                <c:pt idx="25">
                  <c:v>2.0788244679921528E-3</c:v>
                </c:pt>
                <c:pt idx="26">
                  <c:v>2.0810279573393728E-3</c:v>
                </c:pt>
                <c:pt idx="27">
                  <c:v>2.0876384253810335E-3</c:v>
                </c:pt>
                <c:pt idx="28">
                  <c:v>2.0898419147282539E-3</c:v>
                </c:pt>
                <c:pt idx="29">
                  <c:v>2.0920454040754743E-3</c:v>
                </c:pt>
                <c:pt idx="30">
                  <c:v>2.0942488934226943E-3</c:v>
                </c:pt>
                <c:pt idx="31">
                  <c:v>2.0964523827699147E-3</c:v>
                </c:pt>
                <c:pt idx="32">
                  <c:v>2.1030628508115754E-3</c:v>
                </c:pt>
                <c:pt idx="33">
                  <c:v>2.1052663401587958E-3</c:v>
                </c:pt>
                <c:pt idx="34">
                  <c:v>2.1074698295060158E-3</c:v>
                </c:pt>
                <c:pt idx="35">
                  <c:v>2.1096733188532362E-3</c:v>
                </c:pt>
                <c:pt idx="36">
                  <c:v>2.1118768082004566E-3</c:v>
                </c:pt>
                <c:pt idx="37">
                  <c:v>2.1184872762421173E-3</c:v>
                </c:pt>
                <c:pt idx="38">
                  <c:v>2.1206907655893377E-3</c:v>
                </c:pt>
                <c:pt idx="39">
                  <c:v>2.1228942549365577E-3</c:v>
                </c:pt>
                <c:pt idx="40">
                  <c:v>2.1250977442837781E-3</c:v>
                </c:pt>
                <c:pt idx="41">
                  <c:v>2.1273012336309985E-3</c:v>
                </c:pt>
                <c:pt idx="42">
                  <c:v>2.1361151910198797E-3</c:v>
                </c:pt>
                <c:pt idx="43">
                  <c:v>2.1383186803670996E-3</c:v>
                </c:pt>
                <c:pt idx="44">
                  <c:v>2.14052216971432E-3</c:v>
                </c:pt>
                <c:pt idx="45">
                  <c:v>2.1427256590615404E-3</c:v>
                </c:pt>
                <c:pt idx="46">
                  <c:v>2.1493361271032012E-3</c:v>
                </c:pt>
                <c:pt idx="47">
                  <c:v>2.1515396164504211E-3</c:v>
                </c:pt>
                <c:pt idx="48">
                  <c:v>2.1537431057976415E-3</c:v>
                </c:pt>
                <c:pt idx="49">
                  <c:v>2.1559465951448619E-3</c:v>
                </c:pt>
                <c:pt idx="50">
                  <c:v>2.1581500844920819E-3</c:v>
                </c:pt>
                <c:pt idx="51">
                  <c:v>2.1647605525337427E-3</c:v>
                </c:pt>
                <c:pt idx="52">
                  <c:v>2.1669640418809631E-3</c:v>
                </c:pt>
                <c:pt idx="53">
                  <c:v>2.1691675312281835E-3</c:v>
                </c:pt>
                <c:pt idx="54">
                  <c:v>2.1713710205754039E-3</c:v>
                </c:pt>
                <c:pt idx="55">
                  <c:v>2.1735745099226238E-3</c:v>
                </c:pt>
                <c:pt idx="56">
                  <c:v>2.182388467311505E-3</c:v>
                </c:pt>
                <c:pt idx="57">
                  <c:v>2.1845919566587254E-3</c:v>
                </c:pt>
                <c:pt idx="58">
                  <c:v>2.1867954460059453E-3</c:v>
                </c:pt>
                <c:pt idx="59">
                  <c:v>2.1889989353531657E-3</c:v>
                </c:pt>
                <c:pt idx="60">
                  <c:v>2.1956094033948265E-3</c:v>
                </c:pt>
                <c:pt idx="61">
                  <c:v>2.1978128927420469E-3</c:v>
                </c:pt>
                <c:pt idx="62">
                  <c:v>2.2000163820892673E-3</c:v>
                </c:pt>
                <c:pt idx="63">
                  <c:v>2.2022198714364873E-3</c:v>
                </c:pt>
                <c:pt idx="64">
                  <c:v>2.2044233607837077E-3</c:v>
                </c:pt>
                <c:pt idx="65">
                  <c:v>2.2110338288253684E-3</c:v>
                </c:pt>
                <c:pt idx="66">
                  <c:v>2.2132373181725888E-3</c:v>
                </c:pt>
                <c:pt idx="67">
                  <c:v>2.2154408075198088E-3</c:v>
                </c:pt>
                <c:pt idx="68">
                  <c:v>2.2176442968670292E-3</c:v>
                </c:pt>
                <c:pt idx="69">
                  <c:v>2.2198477862142496E-3</c:v>
                </c:pt>
                <c:pt idx="70">
                  <c:v>2.2264582542559103E-3</c:v>
                </c:pt>
                <c:pt idx="71">
                  <c:v>2.2286617436031303E-3</c:v>
                </c:pt>
                <c:pt idx="72">
                  <c:v>2.2308652329503507E-3</c:v>
                </c:pt>
                <c:pt idx="73">
                  <c:v>2.2330687222975711E-3</c:v>
                </c:pt>
                <c:pt idx="74">
                  <c:v>2.2352722116447915E-3</c:v>
                </c:pt>
                <c:pt idx="75">
                  <c:v>2.2418826796864522E-3</c:v>
                </c:pt>
                <c:pt idx="76">
                  <c:v>2.2440861690336722E-3</c:v>
                </c:pt>
                <c:pt idx="77">
                  <c:v>2.2462896583808926E-3</c:v>
                </c:pt>
                <c:pt idx="78">
                  <c:v>2.248493147728113E-3</c:v>
                </c:pt>
                <c:pt idx="79">
                  <c:v>2.250696637075333E-3</c:v>
                </c:pt>
                <c:pt idx="80">
                  <c:v>2.2573071051169942E-3</c:v>
                </c:pt>
                <c:pt idx="81">
                  <c:v>2.2595105944642141E-3</c:v>
                </c:pt>
                <c:pt idx="82">
                  <c:v>2.2617140838114345E-3</c:v>
                </c:pt>
                <c:pt idx="83">
                  <c:v>2.2639175731586549E-3</c:v>
                </c:pt>
                <c:pt idx="84">
                  <c:v>2.2661210625058749E-3</c:v>
                </c:pt>
                <c:pt idx="85">
                  <c:v>2.2727315305475356E-3</c:v>
                </c:pt>
                <c:pt idx="86">
                  <c:v>2.274935019894756E-3</c:v>
                </c:pt>
                <c:pt idx="87">
                  <c:v>2.2771385092419764E-3</c:v>
                </c:pt>
                <c:pt idx="88">
                  <c:v>2.2793419985891964E-3</c:v>
                </c:pt>
                <c:pt idx="89">
                  <c:v>2.2815454879364168E-3</c:v>
                </c:pt>
                <c:pt idx="90">
                  <c:v>2.2881559559780776E-3</c:v>
                </c:pt>
                <c:pt idx="91">
                  <c:v>2.290359445325298E-3</c:v>
                </c:pt>
                <c:pt idx="92">
                  <c:v>2.2925629346725179E-3</c:v>
                </c:pt>
                <c:pt idx="93">
                  <c:v>2.2947664240197383E-3</c:v>
                </c:pt>
                <c:pt idx="94">
                  <c:v>2.2969699133669587E-3</c:v>
                </c:pt>
                <c:pt idx="95">
                  <c:v>2.3035803814086195E-3</c:v>
                </c:pt>
                <c:pt idx="96">
                  <c:v>2.3057838707558399E-3</c:v>
                </c:pt>
                <c:pt idx="97">
                  <c:v>2.3079873601030598E-3</c:v>
                </c:pt>
                <c:pt idx="98">
                  <c:v>2.3101908494502802E-3</c:v>
                </c:pt>
                <c:pt idx="99">
                  <c:v>2.3123943387975006E-3</c:v>
                </c:pt>
                <c:pt idx="100">
                  <c:v>2.3190048068391614E-3</c:v>
                </c:pt>
                <c:pt idx="101">
                  <c:v>2.3212082961863818E-3</c:v>
                </c:pt>
                <c:pt idx="102">
                  <c:v>2.3234117855336018E-3</c:v>
                </c:pt>
                <c:pt idx="103">
                  <c:v>2.3256152748808222E-3</c:v>
                </c:pt>
                <c:pt idx="104">
                  <c:v>2.3278187642280426E-3</c:v>
                </c:pt>
                <c:pt idx="105">
                  <c:v>2.3344292322697033E-3</c:v>
                </c:pt>
                <c:pt idx="106">
                  <c:v>2.3366327216169233E-3</c:v>
                </c:pt>
                <c:pt idx="107">
                  <c:v>2.3388362109641437E-3</c:v>
                </c:pt>
                <c:pt idx="108">
                  <c:v>2.3410397003113641E-3</c:v>
                </c:pt>
                <c:pt idx="109">
                  <c:v>2.343243189658584E-3</c:v>
                </c:pt>
                <c:pt idx="110">
                  <c:v>2.3498536577002448E-3</c:v>
                </c:pt>
                <c:pt idx="111">
                  <c:v>2.3520571470474652E-3</c:v>
                </c:pt>
                <c:pt idx="112">
                  <c:v>2.3542606363946856E-3</c:v>
                </c:pt>
                <c:pt idx="113">
                  <c:v>2.3564641257419056E-3</c:v>
                </c:pt>
                <c:pt idx="114">
                  <c:v>2.358667615089126E-3</c:v>
                </c:pt>
                <c:pt idx="115">
                  <c:v>2.3652780831307867E-3</c:v>
                </c:pt>
                <c:pt idx="116">
                  <c:v>2.3674815724780071E-3</c:v>
                </c:pt>
                <c:pt idx="117">
                  <c:v>2.3696850618252275E-3</c:v>
                </c:pt>
                <c:pt idx="118">
                  <c:v>2.3718885511724475E-3</c:v>
                </c:pt>
                <c:pt idx="119">
                  <c:v>2.3740920405196679E-3</c:v>
                </c:pt>
                <c:pt idx="120">
                  <c:v>2.3807025085613286E-3</c:v>
                </c:pt>
                <c:pt idx="121">
                  <c:v>2.382905997908549E-3</c:v>
                </c:pt>
                <c:pt idx="122">
                  <c:v>2.3851094872557694E-3</c:v>
                </c:pt>
                <c:pt idx="123">
                  <c:v>2.3873129766029894E-3</c:v>
                </c:pt>
                <c:pt idx="124">
                  <c:v>2.3895164659502098E-3</c:v>
                </c:pt>
                <c:pt idx="125">
                  <c:v>2.3983304233390909E-3</c:v>
                </c:pt>
                <c:pt idx="126">
                  <c:v>2.4005339126863109E-3</c:v>
                </c:pt>
                <c:pt idx="127">
                  <c:v>2.4027374020335313E-3</c:v>
                </c:pt>
                <c:pt idx="128">
                  <c:v>2.4049408913807517E-3</c:v>
                </c:pt>
                <c:pt idx="129">
                  <c:v>2.4115513594224125E-3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2.0390381877110151E-3</c:v>
                </c:pt>
                <c:pt idx="1">
                  <c:v>2.0402065373170417E-3</c:v>
                </c:pt>
                <c:pt idx="2">
                  <c:v>2.0413844444032276E-3</c:v>
                </c:pt>
                <c:pt idx="3">
                  <c:v>2.0425719089695728E-3</c:v>
                </c:pt>
                <c:pt idx="4">
                  <c:v>2.0461916475495619E-3</c:v>
                </c:pt>
                <c:pt idx="5">
                  <c:v>2.0474173420365433E-3</c:v>
                </c:pt>
                <c:pt idx="6">
                  <c:v>2.0486525940036837E-3</c:v>
                </c:pt>
                <c:pt idx="7">
                  <c:v>2.0498974034509833E-3</c:v>
                </c:pt>
                <c:pt idx="8">
                  <c:v>2.0511517703784422E-3</c:v>
                </c:pt>
                <c:pt idx="9">
                  <c:v>2.054972216041773E-3</c:v>
                </c:pt>
                <c:pt idx="10">
                  <c:v>2.0562648128898678E-3</c:v>
                </c:pt>
                <c:pt idx="11">
                  <c:v>2.0575669672181223E-3</c:v>
                </c:pt>
                <c:pt idx="12">
                  <c:v>2.0588786790265352E-3</c:v>
                </c:pt>
                <c:pt idx="13">
                  <c:v>2.0601999483151078E-3</c:v>
                </c:pt>
                <c:pt idx="14">
                  <c:v>2.0642211010617798E-3</c:v>
                </c:pt>
                <c:pt idx="15">
                  <c:v>2.0655806002709888E-3</c:v>
                </c:pt>
                <c:pt idx="16">
                  <c:v>2.0669496569603566E-3</c:v>
                </c:pt>
                <c:pt idx="17">
                  <c:v>2.0683282711298837E-3</c:v>
                </c:pt>
                <c:pt idx="18">
                  <c:v>2.0697164427795696E-3</c:v>
                </c:pt>
                <c:pt idx="19">
                  <c:v>2.0739383026095828E-3</c:v>
                </c:pt>
                <c:pt idx="20">
                  <c:v>2.0753647041799055E-3</c:v>
                </c:pt>
                <c:pt idx="21">
                  <c:v>2.076800663230387E-3</c:v>
                </c:pt>
                <c:pt idx="22">
                  <c:v>2.0782461797610279E-3</c:v>
                </c:pt>
                <c:pt idx="23">
                  <c:v>2.0856171246166188E-3</c:v>
                </c:pt>
                <c:pt idx="24">
                  <c:v>2.0871199860282141E-3</c:v>
                </c:pt>
                <c:pt idx="25">
                  <c:v>2.0886324049199682E-3</c:v>
                </c:pt>
                <c:pt idx="26">
                  <c:v>2.0901543812918821E-3</c:v>
                </c:pt>
                <c:pt idx="27">
                  <c:v>2.0947776552885777E-3</c:v>
                </c:pt>
                <c:pt idx="28">
                  <c:v>2.0963378615811274E-3</c:v>
                </c:pt>
                <c:pt idx="29">
                  <c:v>2.0979076253538368E-3</c:v>
                </c:pt>
                <c:pt idx="30">
                  <c:v>2.0994869466067051E-3</c:v>
                </c:pt>
                <c:pt idx="31">
                  <c:v>2.1010758253397323E-3</c:v>
                </c:pt>
                <c:pt idx="32">
                  <c:v>2.1058998064197691E-3</c:v>
                </c:pt>
                <c:pt idx="33">
                  <c:v>2.107526915073433E-3</c:v>
                </c:pt>
                <c:pt idx="34">
                  <c:v>2.1091635812072562E-3</c:v>
                </c:pt>
                <c:pt idx="35">
                  <c:v>2.1108098048212382E-3</c:v>
                </c:pt>
                <c:pt idx="36">
                  <c:v>2.1124655859153792E-3</c:v>
                </c:pt>
                <c:pt idx="37">
                  <c:v>2.1174902740787572E-3</c:v>
                </c:pt>
                <c:pt idx="38">
                  <c:v>2.1191842850935348E-3</c:v>
                </c:pt>
                <c:pt idx="39">
                  <c:v>2.1208878535884717E-3</c:v>
                </c:pt>
                <c:pt idx="40">
                  <c:v>2.1226009795635675E-3</c:v>
                </c:pt>
                <c:pt idx="41">
                  <c:v>2.1243236630188221E-3</c:v>
                </c:pt>
                <c:pt idx="42">
                  <c:v>2.1313099716414327E-3</c:v>
                </c:pt>
                <c:pt idx="43">
                  <c:v>2.1330804424974834E-3</c:v>
                </c:pt>
                <c:pt idx="44">
                  <c:v>2.1348604708336929E-3</c:v>
                </c:pt>
                <c:pt idx="45">
                  <c:v>2.1366500566500613E-3</c:v>
                </c:pt>
                <c:pt idx="46">
                  <c:v>2.1420761589801222E-3</c:v>
                </c:pt>
                <c:pt idx="47">
                  <c:v>2.1439039747171273E-3</c:v>
                </c:pt>
                <c:pt idx="48">
                  <c:v>2.1457413479342912E-3</c:v>
                </c:pt>
                <c:pt idx="49">
                  <c:v>2.1475882786316145E-3</c:v>
                </c:pt>
                <c:pt idx="50">
                  <c:v>2.149444766809097E-3</c:v>
                </c:pt>
                <c:pt idx="51">
                  <c:v>2.1550715762224987E-3</c:v>
                </c:pt>
                <c:pt idx="52">
                  <c:v>2.1569662943206175E-3</c:v>
                </c:pt>
                <c:pt idx="53">
                  <c:v>2.1588705698988952E-3</c:v>
                </c:pt>
                <c:pt idx="54">
                  <c:v>2.1607844029573327E-3</c:v>
                </c:pt>
                <c:pt idx="55">
                  <c:v>2.1627077934959285E-3</c:v>
                </c:pt>
                <c:pt idx="56">
                  <c:v>2.1704969304519039E-3</c:v>
                </c:pt>
                <c:pt idx="57">
                  <c:v>2.1724681083912958E-3</c:v>
                </c:pt>
                <c:pt idx="58">
                  <c:v>2.1744488438108465E-3</c:v>
                </c:pt>
                <c:pt idx="59">
                  <c:v>2.1764391367105566E-3</c:v>
                </c:pt>
                <c:pt idx="60">
                  <c:v>2.1824673602906406E-3</c:v>
                </c:pt>
                <c:pt idx="61">
                  <c:v>2.184495883110987E-3</c:v>
                </c:pt>
                <c:pt idx="62">
                  <c:v>2.1865339634114926E-3</c:v>
                </c:pt>
                <c:pt idx="63">
                  <c:v>2.188581601192157E-3</c:v>
                </c:pt>
                <c:pt idx="64">
                  <c:v>2.1906387964529804E-3</c:v>
                </c:pt>
                <c:pt idx="65">
                  <c:v>2.1968677271164061E-3</c:v>
                </c:pt>
                <c:pt idx="66">
                  <c:v>2.1989631522978661E-3</c:v>
                </c:pt>
                <c:pt idx="67">
                  <c:v>2.201068134959485E-3</c:v>
                </c:pt>
                <c:pt idx="68">
                  <c:v>2.2031826751012637E-3</c:v>
                </c:pt>
                <c:pt idx="69">
                  <c:v>2.2053067727232007E-3</c:v>
                </c:pt>
                <c:pt idx="70">
                  <c:v>2.2117364104699676E-3</c:v>
                </c:pt>
                <c:pt idx="71">
                  <c:v>2.2138987380125414E-3</c:v>
                </c:pt>
                <c:pt idx="72">
                  <c:v>2.2160706230352737E-3</c:v>
                </c:pt>
                <c:pt idx="73">
                  <c:v>2.2182520655381665E-3</c:v>
                </c:pt>
                <c:pt idx="74">
                  <c:v>2.2204430655212168E-3</c:v>
                </c:pt>
                <c:pt idx="75">
                  <c:v>2.2270734103513254E-3</c:v>
                </c:pt>
                <c:pt idx="76">
                  <c:v>2.2293026402550125E-3</c:v>
                </c:pt>
                <c:pt idx="77">
                  <c:v>2.2315414276388589E-3</c:v>
                </c:pt>
                <c:pt idx="78">
                  <c:v>2.233789772502865E-3</c:v>
                </c:pt>
                <c:pt idx="79">
                  <c:v>2.2360476748470295E-3</c:v>
                </c:pt>
                <c:pt idx="80">
                  <c:v>2.2428787267604789E-3</c:v>
                </c:pt>
                <c:pt idx="81">
                  <c:v>2.2451748590252801E-3</c:v>
                </c:pt>
                <c:pt idx="82">
                  <c:v>2.2474805487702407E-3</c:v>
                </c:pt>
                <c:pt idx="83">
                  <c:v>2.2497957959953601E-3</c:v>
                </c:pt>
                <c:pt idx="84">
                  <c:v>2.2521206007006388E-3</c:v>
                </c:pt>
                <c:pt idx="85">
                  <c:v>2.2591523596974289E-3</c:v>
                </c:pt>
                <c:pt idx="86">
                  <c:v>2.2615153943233439E-3</c:v>
                </c:pt>
                <c:pt idx="87">
                  <c:v>2.2638879864294182E-3</c:v>
                </c:pt>
                <c:pt idx="88">
                  <c:v>2.2662701360156513E-3</c:v>
                </c:pt>
                <c:pt idx="89">
                  <c:v>2.2686618430820438E-3</c:v>
                </c:pt>
                <c:pt idx="90">
                  <c:v>2.2758943091621756E-3</c:v>
                </c:pt>
                <c:pt idx="91">
                  <c:v>2.2783242461492043E-3</c:v>
                </c:pt>
                <c:pt idx="92">
                  <c:v>2.2807637406163919E-3</c:v>
                </c:pt>
                <c:pt idx="93">
                  <c:v>2.2832127925637392E-3</c:v>
                </c:pt>
                <c:pt idx="94">
                  <c:v>2.2856714019912449E-3</c:v>
                </c:pt>
                <c:pt idx="95">
                  <c:v>2.2931045751547179E-3</c:v>
                </c:pt>
                <c:pt idx="96">
                  <c:v>2.2956014145028604E-3</c:v>
                </c:pt>
                <c:pt idx="97">
                  <c:v>2.2981078113311622E-3</c:v>
                </c:pt>
                <c:pt idx="98">
                  <c:v>2.3006237656396228E-3</c:v>
                </c:pt>
                <c:pt idx="99">
                  <c:v>2.3031492774282427E-3</c:v>
                </c:pt>
                <c:pt idx="100">
                  <c:v>2.3107831576750569E-3</c:v>
                </c:pt>
                <c:pt idx="101">
                  <c:v>2.3133468993843131E-3</c:v>
                </c:pt>
                <c:pt idx="102">
                  <c:v>2.3159201985737286E-3</c:v>
                </c:pt>
                <c:pt idx="103">
                  <c:v>2.318503055243303E-3</c:v>
                </c:pt>
                <c:pt idx="104">
                  <c:v>2.3210954693930366E-3</c:v>
                </c:pt>
                <c:pt idx="105">
                  <c:v>2.328930056723192E-3</c:v>
                </c:pt>
                <c:pt idx="106">
                  <c:v>2.331560700793562E-3</c:v>
                </c:pt>
                <c:pt idx="107">
                  <c:v>2.3342009023440908E-3</c:v>
                </c:pt>
                <c:pt idx="108">
                  <c:v>2.3368506613747793E-3</c:v>
                </c:pt>
                <c:pt idx="109">
                  <c:v>2.3395099778856267E-3</c:v>
                </c:pt>
                <c:pt idx="110">
                  <c:v>2.3475452722991233E-3</c:v>
                </c:pt>
                <c:pt idx="111">
                  <c:v>2.350242818730607E-3</c:v>
                </c:pt>
                <c:pt idx="112">
                  <c:v>2.3529499226422499E-3</c:v>
                </c:pt>
                <c:pt idx="113">
                  <c:v>2.3556665840340518E-3</c:v>
                </c:pt>
                <c:pt idx="114">
                  <c:v>2.3583928029060129E-3</c:v>
                </c:pt>
                <c:pt idx="115">
                  <c:v>2.3666288044028507E-3</c:v>
                </c:pt>
                <c:pt idx="116">
                  <c:v>2.3693932531954481E-3</c:v>
                </c:pt>
                <c:pt idx="117">
                  <c:v>2.3721672594682048E-3</c:v>
                </c:pt>
                <c:pt idx="118">
                  <c:v>2.3749508232211204E-3</c:v>
                </c:pt>
                <c:pt idx="119">
                  <c:v>2.3777439444541953E-3</c:v>
                </c:pt>
                <c:pt idx="120">
                  <c:v>2.3861806530343743E-3</c:v>
                </c:pt>
                <c:pt idx="121">
                  <c:v>2.3890120041880855E-3</c:v>
                </c:pt>
                <c:pt idx="122">
                  <c:v>2.3918529128219559E-3</c:v>
                </c:pt>
                <c:pt idx="123">
                  <c:v>2.3947033789359852E-3</c:v>
                </c:pt>
                <c:pt idx="124">
                  <c:v>2.3975634025301738E-3</c:v>
                </c:pt>
                <c:pt idx="125">
                  <c:v>2.4090990717085189E-3</c:v>
                </c:pt>
                <c:pt idx="126">
                  <c:v>2.4120068827035031E-3</c:v>
                </c:pt>
                <c:pt idx="127">
                  <c:v>2.4149242511786466E-3</c:v>
                </c:pt>
                <c:pt idx="128">
                  <c:v>2.4178511771339485E-3</c:v>
                </c:pt>
                <c:pt idx="129">
                  <c:v>2.42668929988081E-3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87200"/>
        <c:axId val="533188992"/>
      </c:lineChart>
      <c:dateAx>
        <c:axId val="5331872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3188992"/>
        <c:crosses val="autoZero"/>
        <c:auto val="1"/>
        <c:lblOffset val="100"/>
        <c:baseTimeUnit val="days"/>
      </c:dateAx>
      <c:valAx>
        <c:axId val="5331889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3187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4.5532856454536591E-3</c:v>
                </c:pt>
                <c:pt idx="1">
                  <c:v>4.5532856454536591E-3</c:v>
                </c:pt>
                <c:pt idx="2">
                  <c:v>4.5532856454536591E-3</c:v>
                </c:pt>
                <c:pt idx="3">
                  <c:v>4.5532856454536591E-3</c:v>
                </c:pt>
                <c:pt idx="4">
                  <c:v>4.5532856454536591E-3</c:v>
                </c:pt>
                <c:pt idx="5">
                  <c:v>4.5532856454536591E-3</c:v>
                </c:pt>
                <c:pt idx="6">
                  <c:v>4.5532856454536591E-3</c:v>
                </c:pt>
                <c:pt idx="7">
                  <c:v>4.5532856454536591E-3</c:v>
                </c:pt>
                <c:pt idx="8">
                  <c:v>4.5532856454536591E-3</c:v>
                </c:pt>
                <c:pt idx="9">
                  <c:v>4.5532856454536591E-3</c:v>
                </c:pt>
                <c:pt idx="10">
                  <c:v>4.5532856454536591E-3</c:v>
                </c:pt>
                <c:pt idx="11">
                  <c:v>4.5532856454536591E-3</c:v>
                </c:pt>
                <c:pt idx="12">
                  <c:v>4.5532856454536591E-3</c:v>
                </c:pt>
                <c:pt idx="13">
                  <c:v>4.5532856454536591E-3</c:v>
                </c:pt>
                <c:pt idx="14">
                  <c:v>4.5532856454536591E-3</c:v>
                </c:pt>
                <c:pt idx="15">
                  <c:v>4.5532856454536591E-3</c:v>
                </c:pt>
                <c:pt idx="16">
                  <c:v>4.5532856454536591E-3</c:v>
                </c:pt>
                <c:pt idx="17">
                  <c:v>4.5532856454536591E-3</c:v>
                </c:pt>
                <c:pt idx="18">
                  <c:v>4.5532856454536591E-3</c:v>
                </c:pt>
                <c:pt idx="19">
                  <c:v>4.5532856454536591E-3</c:v>
                </c:pt>
                <c:pt idx="20">
                  <c:v>4.5532856454536591E-3</c:v>
                </c:pt>
                <c:pt idx="21">
                  <c:v>4.5532856454536591E-3</c:v>
                </c:pt>
                <c:pt idx="22">
                  <c:v>4.5532856454536591E-3</c:v>
                </c:pt>
                <c:pt idx="23">
                  <c:v>4.5532856454536591E-3</c:v>
                </c:pt>
                <c:pt idx="24">
                  <c:v>4.5532856454536591E-3</c:v>
                </c:pt>
                <c:pt idx="25">
                  <c:v>4.5532856454536591E-3</c:v>
                </c:pt>
                <c:pt idx="26">
                  <c:v>4.5532856454536591E-3</c:v>
                </c:pt>
                <c:pt idx="27">
                  <c:v>4.5532856454536591E-3</c:v>
                </c:pt>
                <c:pt idx="28">
                  <c:v>4.5532856454536591E-3</c:v>
                </c:pt>
                <c:pt idx="29">
                  <c:v>4.5532856454536591E-3</c:v>
                </c:pt>
                <c:pt idx="30">
                  <c:v>4.5532856454536591E-3</c:v>
                </c:pt>
                <c:pt idx="31">
                  <c:v>4.5532856454536591E-3</c:v>
                </c:pt>
                <c:pt idx="32">
                  <c:v>4.5532856454536591E-3</c:v>
                </c:pt>
                <c:pt idx="33">
                  <c:v>4.5532856454536591E-3</c:v>
                </c:pt>
                <c:pt idx="34">
                  <c:v>4.5532856454536591E-3</c:v>
                </c:pt>
                <c:pt idx="35">
                  <c:v>4.5532856454536591E-3</c:v>
                </c:pt>
                <c:pt idx="36">
                  <c:v>4.5532856454536591E-3</c:v>
                </c:pt>
                <c:pt idx="37">
                  <c:v>4.5532856454536591E-3</c:v>
                </c:pt>
                <c:pt idx="38">
                  <c:v>4.5532856454536591E-3</c:v>
                </c:pt>
                <c:pt idx="39">
                  <c:v>4.5532856454536591E-3</c:v>
                </c:pt>
                <c:pt idx="40">
                  <c:v>4.5532856454536591E-3</c:v>
                </c:pt>
                <c:pt idx="41">
                  <c:v>4.5532856454536591E-3</c:v>
                </c:pt>
                <c:pt idx="42">
                  <c:v>4.5532856454536591E-3</c:v>
                </c:pt>
                <c:pt idx="43">
                  <c:v>4.5532856454536591E-3</c:v>
                </c:pt>
                <c:pt idx="44">
                  <c:v>4.5532856454536591E-3</c:v>
                </c:pt>
                <c:pt idx="45">
                  <c:v>4.5532856454536591E-3</c:v>
                </c:pt>
                <c:pt idx="46">
                  <c:v>4.5532856454536591E-3</c:v>
                </c:pt>
                <c:pt idx="47">
                  <c:v>4.5532856454536591E-3</c:v>
                </c:pt>
                <c:pt idx="48">
                  <c:v>4.5532856454536591E-3</c:v>
                </c:pt>
                <c:pt idx="49">
                  <c:v>4.5532856454536591E-3</c:v>
                </c:pt>
                <c:pt idx="50">
                  <c:v>4.5532856454536591E-3</c:v>
                </c:pt>
                <c:pt idx="51">
                  <c:v>4.5532856454536591E-3</c:v>
                </c:pt>
                <c:pt idx="52">
                  <c:v>4.5532856454536591E-3</c:v>
                </c:pt>
                <c:pt idx="53">
                  <c:v>4.5532856454536591E-3</c:v>
                </c:pt>
                <c:pt idx="54">
                  <c:v>4.5532856454536591E-3</c:v>
                </c:pt>
                <c:pt idx="55">
                  <c:v>4.5532856454536591E-3</c:v>
                </c:pt>
                <c:pt idx="56">
                  <c:v>4.5532856454536591E-3</c:v>
                </c:pt>
                <c:pt idx="57">
                  <c:v>4.5532856454536591E-3</c:v>
                </c:pt>
                <c:pt idx="58">
                  <c:v>4.5532856454536591E-3</c:v>
                </c:pt>
                <c:pt idx="59">
                  <c:v>4.5532856454536591E-3</c:v>
                </c:pt>
                <c:pt idx="60">
                  <c:v>4.5532856454536591E-3</c:v>
                </c:pt>
                <c:pt idx="61">
                  <c:v>4.5532856454536591E-3</c:v>
                </c:pt>
                <c:pt idx="62">
                  <c:v>4.5532856454536591E-3</c:v>
                </c:pt>
                <c:pt idx="63">
                  <c:v>4.5532856454536591E-3</c:v>
                </c:pt>
                <c:pt idx="64">
                  <c:v>4.5532856454536591E-3</c:v>
                </c:pt>
                <c:pt idx="65">
                  <c:v>4.5532856454536591E-3</c:v>
                </c:pt>
                <c:pt idx="66">
                  <c:v>4.5532856454536591E-3</c:v>
                </c:pt>
                <c:pt idx="67">
                  <c:v>4.5532856454536591E-3</c:v>
                </c:pt>
                <c:pt idx="68">
                  <c:v>4.5532856454536591E-3</c:v>
                </c:pt>
                <c:pt idx="69">
                  <c:v>4.5532856454536591E-3</c:v>
                </c:pt>
                <c:pt idx="70">
                  <c:v>4.5532856454536591E-3</c:v>
                </c:pt>
                <c:pt idx="71">
                  <c:v>4.5532856454536591E-3</c:v>
                </c:pt>
                <c:pt idx="72">
                  <c:v>4.5532856454536591E-3</c:v>
                </c:pt>
                <c:pt idx="73">
                  <c:v>4.5532856454536591E-3</c:v>
                </c:pt>
                <c:pt idx="74">
                  <c:v>4.5532856454536591E-3</c:v>
                </c:pt>
                <c:pt idx="75">
                  <c:v>4.5532856454536591E-3</c:v>
                </c:pt>
                <c:pt idx="76">
                  <c:v>4.5532856454536591E-3</c:v>
                </c:pt>
                <c:pt idx="77">
                  <c:v>4.5532856454536591E-3</c:v>
                </c:pt>
                <c:pt idx="78">
                  <c:v>4.5532856454536591E-3</c:v>
                </c:pt>
                <c:pt idx="79">
                  <c:v>4.5532856454536591E-3</c:v>
                </c:pt>
                <c:pt idx="80">
                  <c:v>4.5532856454536591E-3</c:v>
                </c:pt>
                <c:pt idx="81">
                  <c:v>4.5532856454536591E-3</c:v>
                </c:pt>
                <c:pt idx="82">
                  <c:v>4.5532856454536591E-3</c:v>
                </c:pt>
                <c:pt idx="83">
                  <c:v>4.5532856454536591E-3</c:v>
                </c:pt>
                <c:pt idx="84">
                  <c:v>4.5532856454536591E-3</c:v>
                </c:pt>
                <c:pt idx="85">
                  <c:v>4.5532856454536591E-3</c:v>
                </c:pt>
                <c:pt idx="86">
                  <c:v>4.5532856454536591E-3</c:v>
                </c:pt>
                <c:pt idx="87">
                  <c:v>4.5532856454536591E-3</c:v>
                </c:pt>
                <c:pt idx="88">
                  <c:v>4.5532856454536591E-3</c:v>
                </c:pt>
                <c:pt idx="89">
                  <c:v>4.5532856454536591E-3</c:v>
                </c:pt>
                <c:pt idx="90">
                  <c:v>4.5532856454536591E-3</c:v>
                </c:pt>
                <c:pt idx="91">
                  <c:v>4.5532856454536591E-3</c:v>
                </c:pt>
                <c:pt idx="92">
                  <c:v>4.5532856454536591E-3</c:v>
                </c:pt>
                <c:pt idx="93">
                  <c:v>4.5532856454536591E-3</c:v>
                </c:pt>
                <c:pt idx="94">
                  <c:v>4.5532856454536591E-3</c:v>
                </c:pt>
                <c:pt idx="95">
                  <c:v>4.5532856454536591E-3</c:v>
                </c:pt>
                <c:pt idx="96">
                  <c:v>4.5532856454536591E-3</c:v>
                </c:pt>
                <c:pt idx="97">
                  <c:v>4.5532856454536591E-3</c:v>
                </c:pt>
                <c:pt idx="98">
                  <c:v>4.5532856454536591E-3</c:v>
                </c:pt>
                <c:pt idx="99">
                  <c:v>4.5532856454536591E-3</c:v>
                </c:pt>
                <c:pt idx="100">
                  <c:v>4.5532856454536591E-3</c:v>
                </c:pt>
                <c:pt idx="101">
                  <c:v>4.5532856454536591E-3</c:v>
                </c:pt>
                <c:pt idx="102">
                  <c:v>4.5532856454536591E-3</c:v>
                </c:pt>
                <c:pt idx="103">
                  <c:v>4.5532856454536591E-3</c:v>
                </c:pt>
                <c:pt idx="104">
                  <c:v>4.5532856454536591E-3</c:v>
                </c:pt>
                <c:pt idx="105">
                  <c:v>4.5532856454536591E-3</c:v>
                </c:pt>
                <c:pt idx="106">
                  <c:v>4.5532856454536591E-3</c:v>
                </c:pt>
                <c:pt idx="107">
                  <c:v>4.5532856454536591E-3</c:v>
                </c:pt>
                <c:pt idx="108">
                  <c:v>4.5532856454536591E-3</c:v>
                </c:pt>
                <c:pt idx="109">
                  <c:v>4.5532856454536591E-3</c:v>
                </c:pt>
                <c:pt idx="110">
                  <c:v>4.5532856454536591E-3</c:v>
                </c:pt>
                <c:pt idx="111">
                  <c:v>4.5532856454536591E-3</c:v>
                </c:pt>
                <c:pt idx="112">
                  <c:v>4.5532856454536591E-3</c:v>
                </c:pt>
                <c:pt idx="113">
                  <c:v>4.5532856454536591E-3</c:v>
                </c:pt>
                <c:pt idx="114">
                  <c:v>4.5532856454536591E-3</c:v>
                </c:pt>
                <c:pt idx="115">
                  <c:v>4.5532856454536591E-3</c:v>
                </c:pt>
                <c:pt idx="116">
                  <c:v>4.5532856454536591E-3</c:v>
                </c:pt>
                <c:pt idx="117">
                  <c:v>4.5532856454536591E-3</c:v>
                </c:pt>
                <c:pt idx="118">
                  <c:v>4.5532856454536591E-3</c:v>
                </c:pt>
                <c:pt idx="119">
                  <c:v>4.5532856454536591E-3</c:v>
                </c:pt>
                <c:pt idx="120">
                  <c:v>4.5532856454536591E-3</c:v>
                </c:pt>
                <c:pt idx="121">
                  <c:v>4.5532856454536591E-3</c:v>
                </c:pt>
                <c:pt idx="122">
                  <c:v>4.5532856454536591E-3</c:v>
                </c:pt>
                <c:pt idx="123">
                  <c:v>4.5532856454536591E-3</c:v>
                </c:pt>
                <c:pt idx="124">
                  <c:v>4.5532856454536591E-3</c:v>
                </c:pt>
                <c:pt idx="125">
                  <c:v>4.5532856454536591E-3</c:v>
                </c:pt>
                <c:pt idx="126">
                  <c:v>4.5532856454536591E-3</c:v>
                </c:pt>
                <c:pt idx="127">
                  <c:v>4.5532856454536591E-3</c:v>
                </c:pt>
                <c:pt idx="128">
                  <c:v>4.5532856454536591E-3</c:v>
                </c:pt>
                <c:pt idx="129">
                  <c:v>4.5532856454536591E-3</c:v>
                </c:pt>
                <c:pt idx="130">
                  <c:v>4.5532856454536591E-3</c:v>
                </c:pt>
                <c:pt idx="131">
                  <c:v>4.5532856454536591E-3</c:v>
                </c:pt>
                <c:pt idx="132">
                  <c:v>4.5532856454536591E-3</c:v>
                </c:pt>
                <c:pt idx="133">
                  <c:v>4.5532856454536591E-3</c:v>
                </c:pt>
                <c:pt idx="134">
                  <c:v>4.5532856454536591E-3</c:v>
                </c:pt>
                <c:pt idx="135">
                  <c:v>4.5532856454536591E-3</c:v>
                </c:pt>
                <c:pt idx="136">
                  <c:v>4.5532856454536591E-3</c:v>
                </c:pt>
                <c:pt idx="137">
                  <c:v>4.5532856454536591E-3</c:v>
                </c:pt>
                <c:pt idx="138">
                  <c:v>4.5532856454536591E-3</c:v>
                </c:pt>
                <c:pt idx="139">
                  <c:v>4.5532856454536591E-3</c:v>
                </c:pt>
                <c:pt idx="140">
                  <c:v>4.5532856454536591E-3</c:v>
                </c:pt>
                <c:pt idx="141">
                  <c:v>4.5532856454536591E-3</c:v>
                </c:pt>
                <c:pt idx="142">
                  <c:v>4.5532856454536591E-3</c:v>
                </c:pt>
                <c:pt idx="143">
                  <c:v>4.5532856454536591E-3</c:v>
                </c:pt>
                <c:pt idx="144">
                  <c:v>4.5532856454536591E-3</c:v>
                </c:pt>
                <c:pt idx="145">
                  <c:v>4.5532856454536591E-3</c:v>
                </c:pt>
                <c:pt idx="146">
                  <c:v>4.5532856454536591E-3</c:v>
                </c:pt>
                <c:pt idx="147">
                  <c:v>4.5532856454536591E-3</c:v>
                </c:pt>
                <c:pt idx="148">
                  <c:v>4.5532856454536591E-3</c:v>
                </c:pt>
                <c:pt idx="149">
                  <c:v>4.5532856454536591E-3</c:v>
                </c:pt>
                <c:pt idx="150">
                  <c:v>4.5532856454536591E-3</c:v>
                </c:pt>
                <c:pt idx="151">
                  <c:v>4.5532856454536591E-3</c:v>
                </c:pt>
                <c:pt idx="152">
                  <c:v>4.5532856454536591E-3</c:v>
                </c:pt>
                <c:pt idx="153">
                  <c:v>4.5532856454536591E-3</c:v>
                </c:pt>
                <c:pt idx="154">
                  <c:v>4.5532856454536591E-3</c:v>
                </c:pt>
                <c:pt idx="155">
                  <c:v>4.5532856454536591E-3</c:v>
                </c:pt>
                <c:pt idx="156">
                  <c:v>4.5532856454536591E-3</c:v>
                </c:pt>
                <c:pt idx="157">
                  <c:v>4.5532856454536591E-3</c:v>
                </c:pt>
                <c:pt idx="158">
                  <c:v>4.5532856454536591E-3</c:v>
                </c:pt>
                <c:pt idx="159">
                  <c:v>4.5532856454536591E-3</c:v>
                </c:pt>
                <c:pt idx="160">
                  <c:v>4.5532856454536591E-3</c:v>
                </c:pt>
                <c:pt idx="161">
                  <c:v>4.5532856454536591E-3</c:v>
                </c:pt>
                <c:pt idx="162">
                  <c:v>4.5532856454536591E-3</c:v>
                </c:pt>
                <c:pt idx="163">
                  <c:v>4.5532856454536591E-3</c:v>
                </c:pt>
                <c:pt idx="164">
                  <c:v>4.5532856454536591E-3</c:v>
                </c:pt>
                <c:pt idx="165">
                  <c:v>4.5532856454536591E-3</c:v>
                </c:pt>
                <c:pt idx="166">
                  <c:v>4.5532856454536591E-3</c:v>
                </c:pt>
                <c:pt idx="167">
                  <c:v>4.5532856454536591E-3</c:v>
                </c:pt>
                <c:pt idx="168">
                  <c:v>4.5532856454536591E-3</c:v>
                </c:pt>
                <c:pt idx="169">
                  <c:v>4.5532856454536591E-3</c:v>
                </c:pt>
                <c:pt idx="170">
                  <c:v>4.5532856454536591E-3</c:v>
                </c:pt>
                <c:pt idx="171">
                  <c:v>4.5532856454536591E-3</c:v>
                </c:pt>
                <c:pt idx="172">
                  <c:v>4.5532856454536591E-3</c:v>
                </c:pt>
                <c:pt idx="173">
                  <c:v>4.5532856454536591E-3</c:v>
                </c:pt>
                <c:pt idx="174">
                  <c:v>4.5532856454536591E-3</c:v>
                </c:pt>
                <c:pt idx="175">
                  <c:v>4.5532856454536591E-3</c:v>
                </c:pt>
                <c:pt idx="176">
                  <c:v>4.5532856454536591E-3</c:v>
                </c:pt>
                <c:pt idx="177">
                  <c:v>4.5532856454536591E-3</c:v>
                </c:pt>
                <c:pt idx="178">
                  <c:v>4.5532856454536591E-3</c:v>
                </c:pt>
                <c:pt idx="179">
                  <c:v>4.5532856454536591E-3</c:v>
                </c:pt>
                <c:pt idx="180">
                  <c:v>4.5532856454536591E-3</c:v>
                </c:pt>
                <c:pt idx="181">
                  <c:v>4.5532856454536591E-3</c:v>
                </c:pt>
                <c:pt idx="182">
                  <c:v>4.5532856454536591E-3</c:v>
                </c:pt>
                <c:pt idx="183">
                  <c:v>4.5532856454536591E-3</c:v>
                </c:pt>
                <c:pt idx="184">
                  <c:v>4.5532856454536591E-3</c:v>
                </c:pt>
                <c:pt idx="185">
                  <c:v>4.5532856454536591E-3</c:v>
                </c:pt>
                <c:pt idx="186">
                  <c:v>4.5532856454536591E-3</c:v>
                </c:pt>
                <c:pt idx="187">
                  <c:v>4.5532856454536591E-3</c:v>
                </c:pt>
                <c:pt idx="188">
                  <c:v>4.5532856454536591E-3</c:v>
                </c:pt>
                <c:pt idx="189">
                  <c:v>4.5532856454536591E-3</c:v>
                </c:pt>
                <c:pt idx="190">
                  <c:v>4.5532856454536591E-3</c:v>
                </c:pt>
                <c:pt idx="191">
                  <c:v>4.5532856454536591E-3</c:v>
                </c:pt>
                <c:pt idx="192">
                  <c:v>4.5532856454536591E-3</c:v>
                </c:pt>
                <c:pt idx="193">
                  <c:v>4.5532856454536591E-3</c:v>
                </c:pt>
                <c:pt idx="194">
                  <c:v>4.5532856454536591E-3</c:v>
                </c:pt>
                <c:pt idx="195">
                  <c:v>4.5532856454536591E-3</c:v>
                </c:pt>
                <c:pt idx="196">
                  <c:v>4.5532856454536591E-3</c:v>
                </c:pt>
                <c:pt idx="197">
                  <c:v>4.5532856454536591E-3</c:v>
                </c:pt>
                <c:pt idx="198">
                  <c:v>4.5532856454536591E-3</c:v>
                </c:pt>
                <c:pt idx="199">
                  <c:v>4.5532856454536591E-3</c:v>
                </c:pt>
                <c:pt idx="200">
                  <c:v>4.5532856454536591E-3</c:v>
                </c:pt>
                <c:pt idx="201">
                  <c:v>4.5532856454536591E-3</c:v>
                </c:pt>
                <c:pt idx="202">
                  <c:v>4.5532856454536591E-3</c:v>
                </c:pt>
                <c:pt idx="203">
                  <c:v>4.5532856454536591E-3</c:v>
                </c:pt>
                <c:pt idx="204">
                  <c:v>4.5532856454536591E-3</c:v>
                </c:pt>
                <c:pt idx="205">
                  <c:v>4.5532856454536591E-3</c:v>
                </c:pt>
                <c:pt idx="206">
                  <c:v>4.5532856454536591E-3</c:v>
                </c:pt>
                <c:pt idx="207">
                  <c:v>4.5532856454536591E-3</c:v>
                </c:pt>
                <c:pt idx="208">
                  <c:v>4.5532856454536591E-3</c:v>
                </c:pt>
                <c:pt idx="209">
                  <c:v>4.5532856454536591E-3</c:v>
                </c:pt>
                <c:pt idx="210">
                  <c:v>4.5532856454536591E-3</c:v>
                </c:pt>
                <c:pt idx="211">
                  <c:v>4.5532856454536591E-3</c:v>
                </c:pt>
                <c:pt idx="212">
                  <c:v>4.5532856454536591E-3</c:v>
                </c:pt>
                <c:pt idx="213">
                  <c:v>4.5532856454536591E-3</c:v>
                </c:pt>
                <c:pt idx="214">
                  <c:v>4.5532856454536591E-3</c:v>
                </c:pt>
                <c:pt idx="215">
                  <c:v>4.5532856454536591E-3</c:v>
                </c:pt>
                <c:pt idx="216">
                  <c:v>4.5532856454536591E-3</c:v>
                </c:pt>
                <c:pt idx="217">
                  <c:v>4.5532856454536591E-3</c:v>
                </c:pt>
                <c:pt idx="218">
                  <c:v>4.5532856454536591E-3</c:v>
                </c:pt>
                <c:pt idx="219">
                  <c:v>4.5532856454536591E-3</c:v>
                </c:pt>
                <c:pt idx="220">
                  <c:v>4.5532856454536591E-3</c:v>
                </c:pt>
                <c:pt idx="221">
                  <c:v>4.5532856454536591E-3</c:v>
                </c:pt>
                <c:pt idx="222">
                  <c:v>4.5532856454536591E-3</c:v>
                </c:pt>
                <c:pt idx="223">
                  <c:v>4.5532856454536591E-3</c:v>
                </c:pt>
                <c:pt idx="224">
                  <c:v>4.5532856454536591E-3</c:v>
                </c:pt>
                <c:pt idx="225">
                  <c:v>4.5532856454536591E-3</c:v>
                </c:pt>
                <c:pt idx="226">
                  <c:v>4.5532856454536591E-3</c:v>
                </c:pt>
                <c:pt idx="227">
                  <c:v>4.5532856454536591E-3</c:v>
                </c:pt>
                <c:pt idx="228">
                  <c:v>4.5532856454536591E-3</c:v>
                </c:pt>
                <c:pt idx="229">
                  <c:v>4.5532856454536591E-3</c:v>
                </c:pt>
                <c:pt idx="230">
                  <c:v>4.5532856454536591E-3</c:v>
                </c:pt>
                <c:pt idx="231">
                  <c:v>4.5532856454536591E-3</c:v>
                </c:pt>
                <c:pt idx="232">
                  <c:v>4.5532856454536591E-3</c:v>
                </c:pt>
                <c:pt idx="233">
                  <c:v>4.5532856454536591E-3</c:v>
                </c:pt>
                <c:pt idx="234">
                  <c:v>4.5532856454536591E-3</c:v>
                </c:pt>
                <c:pt idx="235">
                  <c:v>4.5532856454536591E-3</c:v>
                </c:pt>
                <c:pt idx="236">
                  <c:v>4.5532856454536591E-3</c:v>
                </c:pt>
                <c:pt idx="237">
                  <c:v>4.5532856454536591E-3</c:v>
                </c:pt>
                <c:pt idx="238">
                  <c:v>4.5532856454536591E-3</c:v>
                </c:pt>
                <c:pt idx="239">
                  <c:v>4.5532856454536591E-3</c:v>
                </c:pt>
                <c:pt idx="240">
                  <c:v>4.5532856454536591E-3</c:v>
                </c:pt>
                <c:pt idx="241">
                  <c:v>4.5532856454536591E-3</c:v>
                </c:pt>
                <c:pt idx="242">
                  <c:v>4.5532856454536591E-3</c:v>
                </c:pt>
                <c:pt idx="243">
                  <c:v>4.5532856454536591E-3</c:v>
                </c:pt>
                <c:pt idx="244">
                  <c:v>4.5532856454536591E-3</c:v>
                </c:pt>
                <c:pt idx="245">
                  <c:v>4.5532856454536591E-3</c:v>
                </c:pt>
                <c:pt idx="246">
                  <c:v>4.5532856454536591E-3</c:v>
                </c:pt>
                <c:pt idx="247">
                  <c:v>4.5532856454536591E-3</c:v>
                </c:pt>
                <c:pt idx="248">
                  <c:v>4.5532856454536591E-3</c:v>
                </c:pt>
                <c:pt idx="249">
                  <c:v>4.5532856454536591E-3</c:v>
                </c:pt>
                <c:pt idx="250">
                  <c:v>4.5532856454536591E-3</c:v>
                </c:pt>
                <c:pt idx="251">
                  <c:v>4.5532856454536591E-3</c:v>
                </c:pt>
                <c:pt idx="252">
                  <c:v>4.5532856454536591E-3</c:v>
                </c:pt>
                <c:pt idx="253">
                  <c:v>4.5532856454536591E-3</c:v>
                </c:pt>
                <c:pt idx="254">
                  <c:v>4.5532856454536591E-3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4.0232418145652663E-3</c:v>
                </c:pt>
                <c:pt idx="1">
                  <c:v>4.0261382289417053E-3</c:v>
                </c:pt>
                <c:pt idx="2">
                  <c:v>4.0290346433181452E-3</c:v>
                </c:pt>
                <c:pt idx="3">
                  <c:v>4.0319310576945842E-3</c:v>
                </c:pt>
                <c:pt idx="4">
                  <c:v>4.0406203008239022E-3</c:v>
                </c:pt>
                <c:pt idx="5">
                  <c:v>4.0435167152003413E-3</c:v>
                </c:pt>
                <c:pt idx="6">
                  <c:v>4.0464131295767803E-3</c:v>
                </c:pt>
                <c:pt idx="7">
                  <c:v>4.0493095439532202E-3</c:v>
                </c:pt>
                <c:pt idx="8">
                  <c:v>4.0522059583296592E-3</c:v>
                </c:pt>
                <c:pt idx="9">
                  <c:v>4.0608952014589772E-3</c:v>
                </c:pt>
                <c:pt idx="10">
                  <c:v>4.0637916158354163E-3</c:v>
                </c:pt>
                <c:pt idx="11">
                  <c:v>4.0666880302118562E-3</c:v>
                </c:pt>
                <c:pt idx="12">
                  <c:v>4.0695844445882952E-3</c:v>
                </c:pt>
                <c:pt idx="13">
                  <c:v>4.0724808589647343E-3</c:v>
                </c:pt>
                <c:pt idx="14">
                  <c:v>4.0811701020940522E-3</c:v>
                </c:pt>
                <c:pt idx="15">
                  <c:v>4.0840665164704913E-3</c:v>
                </c:pt>
                <c:pt idx="16">
                  <c:v>4.0869629308469312E-3</c:v>
                </c:pt>
                <c:pt idx="17">
                  <c:v>4.0898593452233702E-3</c:v>
                </c:pt>
                <c:pt idx="18">
                  <c:v>4.0927557595998093E-3</c:v>
                </c:pt>
                <c:pt idx="19">
                  <c:v>4.1014450027291273E-3</c:v>
                </c:pt>
                <c:pt idx="20">
                  <c:v>4.1043414171055672E-3</c:v>
                </c:pt>
                <c:pt idx="21">
                  <c:v>4.1072378314820062E-3</c:v>
                </c:pt>
                <c:pt idx="22">
                  <c:v>4.1101342458584452E-3</c:v>
                </c:pt>
                <c:pt idx="23">
                  <c:v>4.1246163177406422E-3</c:v>
                </c:pt>
                <c:pt idx="24">
                  <c:v>4.1275127321170812E-3</c:v>
                </c:pt>
                <c:pt idx="25">
                  <c:v>4.1304091464935203E-3</c:v>
                </c:pt>
                <c:pt idx="26">
                  <c:v>4.1333055608699602E-3</c:v>
                </c:pt>
                <c:pt idx="27">
                  <c:v>4.1419948039992773E-3</c:v>
                </c:pt>
                <c:pt idx="28">
                  <c:v>4.1448912183757172E-3</c:v>
                </c:pt>
                <c:pt idx="29">
                  <c:v>4.1477876327521562E-3</c:v>
                </c:pt>
                <c:pt idx="30">
                  <c:v>4.1506840471285953E-3</c:v>
                </c:pt>
                <c:pt idx="31">
                  <c:v>4.1535804615050352E-3</c:v>
                </c:pt>
                <c:pt idx="32">
                  <c:v>4.1622697046343532E-3</c:v>
                </c:pt>
                <c:pt idx="33">
                  <c:v>4.1651661190107922E-3</c:v>
                </c:pt>
                <c:pt idx="34">
                  <c:v>4.1680625333872312E-3</c:v>
                </c:pt>
                <c:pt idx="35">
                  <c:v>4.1709589477636711E-3</c:v>
                </c:pt>
                <c:pt idx="36">
                  <c:v>4.1738553621401102E-3</c:v>
                </c:pt>
                <c:pt idx="37">
                  <c:v>4.1825446052694282E-3</c:v>
                </c:pt>
                <c:pt idx="38">
                  <c:v>4.1854410196458672E-3</c:v>
                </c:pt>
                <c:pt idx="39">
                  <c:v>4.1883374340223063E-3</c:v>
                </c:pt>
                <c:pt idx="40">
                  <c:v>4.1912338483987462E-3</c:v>
                </c:pt>
                <c:pt idx="41">
                  <c:v>4.1941302627751852E-3</c:v>
                </c:pt>
                <c:pt idx="42">
                  <c:v>4.2057159202809422E-3</c:v>
                </c:pt>
                <c:pt idx="43">
                  <c:v>4.2086123346573813E-3</c:v>
                </c:pt>
                <c:pt idx="44">
                  <c:v>4.2115087490338212E-3</c:v>
                </c:pt>
                <c:pt idx="45">
                  <c:v>4.2144051634102602E-3</c:v>
                </c:pt>
                <c:pt idx="46">
                  <c:v>4.2230944065395782E-3</c:v>
                </c:pt>
                <c:pt idx="47">
                  <c:v>4.2259908209160172E-3</c:v>
                </c:pt>
                <c:pt idx="48">
                  <c:v>4.2288872352924571E-3</c:v>
                </c:pt>
                <c:pt idx="49">
                  <c:v>4.2317836496688962E-3</c:v>
                </c:pt>
                <c:pt idx="50">
                  <c:v>4.2346800640453352E-3</c:v>
                </c:pt>
                <c:pt idx="51">
                  <c:v>4.2433693071746532E-3</c:v>
                </c:pt>
                <c:pt idx="52">
                  <c:v>4.2462657215510922E-3</c:v>
                </c:pt>
                <c:pt idx="53">
                  <c:v>4.2491621359275322E-3</c:v>
                </c:pt>
                <c:pt idx="54">
                  <c:v>4.2520585503039712E-3</c:v>
                </c:pt>
                <c:pt idx="55">
                  <c:v>4.2549549646804102E-3</c:v>
                </c:pt>
                <c:pt idx="56">
                  <c:v>4.2665406221861681E-3</c:v>
                </c:pt>
                <c:pt idx="57">
                  <c:v>4.2694370365626072E-3</c:v>
                </c:pt>
                <c:pt idx="58">
                  <c:v>4.2723334509390462E-3</c:v>
                </c:pt>
                <c:pt idx="59">
                  <c:v>4.2752298653154852E-3</c:v>
                </c:pt>
                <c:pt idx="60">
                  <c:v>4.2839191084448032E-3</c:v>
                </c:pt>
                <c:pt idx="61">
                  <c:v>4.2868155228212431E-3</c:v>
                </c:pt>
                <c:pt idx="62">
                  <c:v>4.2897119371976822E-3</c:v>
                </c:pt>
                <c:pt idx="63">
                  <c:v>4.2926083515741212E-3</c:v>
                </c:pt>
                <c:pt idx="64">
                  <c:v>4.2955047659505611E-3</c:v>
                </c:pt>
                <c:pt idx="65">
                  <c:v>4.3041940090798782E-3</c:v>
                </c:pt>
                <c:pt idx="66">
                  <c:v>4.3070904234563182E-3</c:v>
                </c:pt>
                <c:pt idx="67">
                  <c:v>4.3099868378327572E-3</c:v>
                </c:pt>
                <c:pt idx="68">
                  <c:v>4.3128832522091962E-3</c:v>
                </c:pt>
                <c:pt idx="69">
                  <c:v>4.3157796665856361E-3</c:v>
                </c:pt>
                <c:pt idx="70">
                  <c:v>4.3244689097149541E-3</c:v>
                </c:pt>
                <c:pt idx="71">
                  <c:v>4.3273653240913932E-3</c:v>
                </c:pt>
                <c:pt idx="72">
                  <c:v>4.3302617384678322E-3</c:v>
                </c:pt>
                <c:pt idx="73">
                  <c:v>4.3331581528442721E-3</c:v>
                </c:pt>
                <c:pt idx="74">
                  <c:v>4.3360545672207111E-3</c:v>
                </c:pt>
                <c:pt idx="75">
                  <c:v>4.3447438103500291E-3</c:v>
                </c:pt>
                <c:pt idx="76">
                  <c:v>4.3476402247264682E-3</c:v>
                </c:pt>
                <c:pt idx="77">
                  <c:v>4.3505366391029072E-3</c:v>
                </c:pt>
                <c:pt idx="78">
                  <c:v>4.3534330534793471E-3</c:v>
                </c:pt>
                <c:pt idx="79">
                  <c:v>4.3563294678557862E-3</c:v>
                </c:pt>
                <c:pt idx="80">
                  <c:v>4.3650187109851041E-3</c:v>
                </c:pt>
                <c:pt idx="81">
                  <c:v>4.3679151253615432E-3</c:v>
                </c:pt>
                <c:pt idx="82">
                  <c:v>4.3708115397379822E-3</c:v>
                </c:pt>
                <c:pt idx="83">
                  <c:v>4.3737079541144221E-3</c:v>
                </c:pt>
                <c:pt idx="84">
                  <c:v>4.3766043684908612E-3</c:v>
                </c:pt>
                <c:pt idx="85">
                  <c:v>4.3852936116201792E-3</c:v>
                </c:pt>
                <c:pt idx="86">
                  <c:v>4.3881900259966182E-3</c:v>
                </c:pt>
                <c:pt idx="87">
                  <c:v>4.3910864403730581E-3</c:v>
                </c:pt>
                <c:pt idx="88">
                  <c:v>4.3939828547494971E-3</c:v>
                </c:pt>
                <c:pt idx="89">
                  <c:v>4.3968792691259362E-3</c:v>
                </c:pt>
                <c:pt idx="90">
                  <c:v>4.4055685122552542E-3</c:v>
                </c:pt>
                <c:pt idx="91">
                  <c:v>4.4084649266316932E-3</c:v>
                </c:pt>
                <c:pt idx="92">
                  <c:v>4.4113613410081331E-3</c:v>
                </c:pt>
                <c:pt idx="93">
                  <c:v>4.4142577553845722E-3</c:v>
                </c:pt>
                <c:pt idx="94">
                  <c:v>4.4171541697610112E-3</c:v>
                </c:pt>
                <c:pt idx="95">
                  <c:v>4.4258434128903292E-3</c:v>
                </c:pt>
                <c:pt idx="96">
                  <c:v>4.4287398272667691E-3</c:v>
                </c:pt>
                <c:pt idx="97">
                  <c:v>4.4316362416432081E-3</c:v>
                </c:pt>
                <c:pt idx="98">
                  <c:v>4.4345326560196472E-3</c:v>
                </c:pt>
                <c:pt idx="99">
                  <c:v>4.4374290703960862E-3</c:v>
                </c:pt>
                <c:pt idx="100">
                  <c:v>4.4461183135254042E-3</c:v>
                </c:pt>
                <c:pt idx="101">
                  <c:v>4.4490147279018441E-3</c:v>
                </c:pt>
                <c:pt idx="102">
                  <c:v>4.4519111422782831E-3</c:v>
                </c:pt>
                <c:pt idx="103">
                  <c:v>4.4548075566547222E-3</c:v>
                </c:pt>
                <c:pt idx="104">
                  <c:v>4.4577039710311621E-3</c:v>
                </c:pt>
                <c:pt idx="105">
                  <c:v>4.4663932141604801E-3</c:v>
                </c:pt>
                <c:pt idx="106">
                  <c:v>4.4692896285369191E-3</c:v>
                </c:pt>
                <c:pt idx="107">
                  <c:v>4.4721860429133582E-3</c:v>
                </c:pt>
                <c:pt idx="108">
                  <c:v>4.4750824572897972E-3</c:v>
                </c:pt>
                <c:pt idx="109">
                  <c:v>4.4779788716662371E-3</c:v>
                </c:pt>
                <c:pt idx="110">
                  <c:v>4.4866681147955551E-3</c:v>
                </c:pt>
                <c:pt idx="111">
                  <c:v>4.4895645291719941E-3</c:v>
                </c:pt>
                <c:pt idx="112">
                  <c:v>4.4924609435484332E-3</c:v>
                </c:pt>
                <c:pt idx="113">
                  <c:v>4.4953573579248731E-3</c:v>
                </c:pt>
                <c:pt idx="114">
                  <c:v>4.4982537723013121E-3</c:v>
                </c:pt>
                <c:pt idx="115">
                  <c:v>4.5069430154306301E-3</c:v>
                </c:pt>
                <c:pt idx="116">
                  <c:v>4.5098394298070691E-3</c:v>
                </c:pt>
                <c:pt idx="117">
                  <c:v>4.5127358441835082E-3</c:v>
                </c:pt>
                <c:pt idx="118">
                  <c:v>4.5156322585599481E-3</c:v>
                </c:pt>
                <c:pt idx="119">
                  <c:v>4.5185286729363871E-3</c:v>
                </c:pt>
                <c:pt idx="120">
                  <c:v>4.5272179160657051E-3</c:v>
                </c:pt>
                <c:pt idx="121">
                  <c:v>4.5301143304421441E-3</c:v>
                </c:pt>
                <c:pt idx="122">
                  <c:v>4.5330107448185841E-3</c:v>
                </c:pt>
                <c:pt idx="123">
                  <c:v>4.5359071591950231E-3</c:v>
                </c:pt>
                <c:pt idx="124">
                  <c:v>4.5388035735714621E-3</c:v>
                </c:pt>
                <c:pt idx="125">
                  <c:v>4.5503892310772192E-3</c:v>
                </c:pt>
                <c:pt idx="126">
                  <c:v>4.5532856454536591E-3</c:v>
                </c:pt>
                <c:pt idx="127">
                  <c:v>4.5561820598300981E-3</c:v>
                </c:pt>
                <c:pt idx="128">
                  <c:v>4.5590784742065371E-3</c:v>
                </c:pt>
                <c:pt idx="129">
                  <c:v>4.5677677173358551E-3</c:v>
                </c:pt>
                <c:pt idx="130">
                  <c:v>4.5706641317122942E-3</c:v>
                </c:pt>
                <c:pt idx="131">
                  <c:v>4.5735605460887341E-3</c:v>
                </c:pt>
                <c:pt idx="132">
                  <c:v>4.5764569604651731E-3</c:v>
                </c:pt>
                <c:pt idx="133">
                  <c:v>4.5793533748416122E-3</c:v>
                </c:pt>
                <c:pt idx="134">
                  <c:v>4.5880426179709301E-3</c:v>
                </c:pt>
                <c:pt idx="135">
                  <c:v>4.5909390323473701E-3</c:v>
                </c:pt>
                <c:pt idx="136">
                  <c:v>4.5938354467238091E-3</c:v>
                </c:pt>
                <c:pt idx="137">
                  <c:v>4.5967318611002481E-3</c:v>
                </c:pt>
                <c:pt idx="138">
                  <c:v>4.599628275476688E-3</c:v>
                </c:pt>
                <c:pt idx="139">
                  <c:v>4.6083175186060052E-3</c:v>
                </c:pt>
                <c:pt idx="140">
                  <c:v>4.6112139329824451E-3</c:v>
                </c:pt>
                <c:pt idx="141">
                  <c:v>4.6141103473588841E-3</c:v>
                </c:pt>
                <c:pt idx="142">
                  <c:v>4.6170067617353231E-3</c:v>
                </c:pt>
                <c:pt idx="143">
                  <c:v>4.6199031761117631E-3</c:v>
                </c:pt>
                <c:pt idx="144">
                  <c:v>4.6285924192410802E-3</c:v>
                </c:pt>
                <c:pt idx="145">
                  <c:v>4.6314888336175201E-3</c:v>
                </c:pt>
                <c:pt idx="146">
                  <c:v>4.6343852479939591E-3</c:v>
                </c:pt>
                <c:pt idx="147">
                  <c:v>4.6372816623703982E-3</c:v>
                </c:pt>
                <c:pt idx="148">
                  <c:v>4.6401780767468381E-3</c:v>
                </c:pt>
                <c:pt idx="149">
                  <c:v>4.648867319876156E-3</c:v>
                </c:pt>
                <c:pt idx="150">
                  <c:v>4.6517637342525951E-3</c:v>
                </c:pt>
                <c:pt idx="151">
                  <c:v>4.6546601486290341E-3</c:v>
                </c:pt>
                <c:pt idx="152">
                  <c:v>4.657556563005474E-3</c:v>
                </c:pt>
                <c:pt idx="153">
                  <c:v>4.6604529773819131E-3</c:v>
                </c:pt>
                <c:pt idx="154">
                  <c:v>4.6691422205112311E-3</c:v>
                </c:pt>
                <c:pt idx="155">
                  <c:v>4.6720386348876701E-3</c:v>
                </c:pt>
                <c:pt idx="156">
                  <c:v>4.67493504926411E-3</c:v>
                </c:pt>
                <c:pt idx="157">
                  <c:v>4.677831463640549E-3</c:v>
                </c:pt>
                <c:pt idx="158">
                  <c:v>4.6807278780169881E-3</c:v>
                </c:pt>
                <c:pt idx="159">
                  <c:v>4.6894171211463061E-3</c:v>
                </c:pt>
                <c:pt idx="160">
                  <c:v>4.6923135355227451E-3</c:v>
                </c:pt>
                <c:pt idx="161">
                  <c:v>4.695209949899185E-3</c:v>
                </c:pt>
                <c:pt idx="162">
                  <c:v>4.6981063642756241E-3</c:v>
                </c:pt>
                <c:pt idx="163">
                  <c:v>4.7010027786520631E-3</c:v>
                </c:pt>
                <c:pt idx="164">
                  <c:v>4.7096920217813811E-3</c:v>
                </c:pt>
                <c:pt idx="165">
                  <c:v>4.7125884361578201E-3</c:v>
                </c:pt>
                <c:pt idx="166">
                  <c:v>4.71548485053426E-3</c:v>
                </c:pt>
                <c:pt idx="167">
                  <c:v>4.7183812649106991E-3</c:v>
                </c:pt>
                <c:pt idx="168">
                  <c:v>4.7212776792871381E-3</c:v>
                </c:pt>
                <c:pt idx="169">
                  <c:v>4.7299669224164561E-3</c:v>
                </c:pt>
                <c:pt idx="170">
                  <c:v>4.732863336792896E-3</c:v>
                </c:pt>
                <c:pt idx="171">
                  <c:v>4.735759751169335E-3</c:v>
                </c:pt>
                <c:pt idx="172">
                  <c:v>4.7386561655457741E-3</c:v>
                </c:pt>
                <c:pt idx="173">
                  <c:v>4.7415525799222131E-3</c:v>
                </c:pt>
                <c:pt idx="174">
                  <c:v>4.7502418230515311E-3</c:v>
                </c:pt>
                <c:pt idx="175">
                  <c:v>4.753138237427971E-3</c:v>
                </c:pt>
                <c:pt idx="176">
                  <c:v>4.7560346518044101E-3</c:v>
                </c:pt>
                <c:pt idx="177">
                  <c:v>4.7589310661808491E-3</c:v>
                </c:pt>
                <c:pt idx="178">
                  <c:v>4.761827480557289E-3</c:v>
                </c:pt>
                <c:pt idx="179">
                  <c:v>4.7705167236866061E-3</c:v>
                </c:pt>
                <c:pt idx="180">
                  <c:v>4.773413138063046E-3</c:v>
                </c:pt>
                <c:pt idx="181">
                  <c:v>4.7763095524394851E-3</c:v>
                </c:pt>
                <c:pt idx="182">
                  <c:v>4.7792059668159241E-3</c:v>
                </c:pt>
                <c:pt idx="183">
                  <c:v>4.782102381192364E-3</c:v>
                </c:pt>
                <c:pt idx="184">
                  <c:v>4.790791624321682E-3</c:v>
                </c:pt>
                <c:pt idx="185">
                  <c:v>4.793688038698121E-3</c:v>
                </c:pt>
                <c:pt idx="186">
                  <c:v>4.7965844530745601E-3</c:v>
                </c:pt>
                <c:pt idx="187">
                  <c:v>4.799480867451E-3</c:v>
                </c:pt>
                <c:pt idx="188">
                  <c:v>4.802377281827439E-3</c:v>
                </c:pt>
                <c:pt idx="189">
                  <c:v>4.811066524956757E-3</c:v>
                </c:pt>
                <c:pt idx="190">
                  <c:v>4.8139629393331961E-3</c:v>
                </c:pt>
                <c:pt idx="191">
                  <c:v>4.8168593537096351E-3</c:v>
                </c:pt>
                <c:pt idx="192">
                  <c:v>4.819755768086075E-3</c:v>
                </c:pt>
                <c:pt idx="193">
                  <c:v>4.822652182462514E-3</c:v>
                </c:pt>
                <c:pt idx="194">
                  <c:v>4.831341425591832E-3</c:v>
                </c:pt>
                <c:pt idx="195">
                  <c:v>4.8342378399682711E-3</c:v>
                </c:pt>
                <c:pt idx="196">
                  <c:v>4.8371342543447101E-3</c:v>
                </c:pt>
                <c:pt idx="197">
                  <c:v>4.84003066872115E-3</c:v>
                </c:pt>
                <c:pt idx="198">
                  <c:v>4.842927083097589E-3</c:v>
                </c:pt>
                <c:pt idx="199">
                  <c:v>4.851616326226907E-3</c:v>
                </c:pt>
                <c:pt idx="200">
                  <c:v>4.8545127406033461E-3</c:v>
                </c:pt>
                <c:pt idx="201">
                  <c:v>4.857409154979786E-3</c:v>
                </c:pt>
                <c:pt idx="202">
                  <c:v>4.860305569356225E-3</c:v>
                </c:pt>
                <c:pt idx="203">
                  <c:v>4.8632019837326641E-3</c:v>
                </c:pt>
                <c:pt idx="204">
                  <c:v>4.871891226861982E-3</c:v>
                </c:pt>
                <c:pt idx="205">
                  <c:v>4.8747876412384211E-3</c:v>
                </c:pt>
                <c:pt idx="206">
                  <c:v>4.877684055614861E-3</c:v>
                </c:pt>
                <c:pt idx="207">
                  <c:v>4.8805804699913E-3</c:v>
                </c:pt>
                <c:pt idx="208">
                  <c:v>4.895062541873497E-3</c:v>
                </c:pt>
                <c:pt idx="209">
                  <c:v>4.897958956249936E-3</c:v>
                </c:pt>
                <c:pt idx="210">
                  <c:v>4.900855370626375E-3</c:v>
                </c:pt>
                <c:pt idx="211">
                  <c:v>4.9124410281321321E-3</c:v>
                </c:pt>
                <c:pt idx="212">
                  <c:v>4.915337442508572E-3</c:v>
                </c:pt>
                <c:pt idx="213">
                  <c:v>4.918233856885011E-3</c:v>
                </c:pt>
                <c:pt idx="214">
                  <c:v>4.9211302712614501E-3</c:v>
                </c:pt>
                <c:pt idx="215">
                  <c:v>4.92402668563789E-3</c:v>
                </c:pt>
                <c:pt idx="216">
                  <c:v>4.9327159287672079E-3</c:v>
                </c:pt>
                <c:pt idx="217">
                  <c:v>4.935612343143647E-3</c:v>
                </c:pt>
                <c:pt idx="218">
                  <c:v>4.938508757520086E-3</c:v>
                </c:pt>
                <c:pt idx="219">
                  <c:v>4.9414051718965251E-3</c:v>
                </c:pt>
                <c:pt idx="220">
                  <c:v>4.944301586272965E-3</c:v>
                </c:pt>
                <c:pt idx="221">
                  <c:v>4.952990829402283E-3</c:v>
                </c:pt>
                <c:pt idx="222">
                  <c:v>4.955887243778722E-3</c:v>
                </c:pt>
                <c:pt idx="223">
                  <c:v>4.958783658155161E-3</c:v>
                </c:pt>
                <c:pt idx="224">
                  <c:v>4.9616800725316001E-3</c:v>
                </c:pt>
                <c:pt idx="225">
                  <c:v>4.96457648690804E-3</c:v>
                </c:pt>
                <c:pt idx="226">
                  <c:v>4.973265730037358E-3</c:v>
                </c:pt>
                <c:pt idx="227">
                  <c:v>4.976162144413797E-3</c:v>
                </c:pt>
                <c:pt idx="228">
                  <c:v>4.9790585587902361E-3</c:v>
                </c:pt>
                <c:pt idx="229">
                  <c:v>4.981954973166676E-3</c:v>
                </c:pt>
                <c:pt idx="230">
                  <c:v>4.984851387543115E-3</c:v>
                </c:pt>
                <c:pt idx="231">
                  <c:v>4.993540630672433E-3</c:v>
                </c:pt>
                <c:pt idx="232">
                  <c:v>4.996437045048872E-3</c:v>
                </c:pt>
                <c:pt idx="233">
                  <c:v>4.9993334594253119E-3</c:v>
                </c:pt>
                <c:pt idx="234">
                  <c:v>5.002229873801751E-3</c:v>
                </c:pt>
                <c:pt idx="235">
                  <c:v>5.00512628817819E-3</c:v>
                </c:pt>
                <c:pt idx="236">
                  <c:v>5.013815531307508E-3</c:v>
                </c:pt>
                <c:pt idx="237">
                  <c:v>5.016711945683947E-3</c:v>
                </c:pt>
                <c:pt idx="238">
                  <c:v>5.0196083600603869E-3</c:v>
                </c:pt>
                <c:pt idx="239">
                  <c:v>5.022504774436826E-3</c:v>
                </c:pt>
                <c:pt idx="240">
                  <c:v>5.025401188813265E-3</c:v>
                </c:pt>
                <c:pt idx="241">
                  <c:v>5.034090431942583E-3</c:v>
                </c:pt>
                <c:pt idx="242">
                  <c:v>5.036986846319022E-3</c:v>
                </c:pt>
                <c:pt idx="243">
                  <c:v>5.039883260695462E-3</c:v>
                </c:pt>
                <c:pt idx="244">
                  <c:v>5.042779675071901E-3</c:v>
                </c:pt>
                <c:pt idx="245">
                  <c:v>5.04567608944834E-3</c:v>
                </c:pt>
                <c:pt idx="246">
                  <c:v>5.054365332577658E-3</c:v>
                </c:pt>
                <c:pt idx="247">
                  <c:v>5.0572617469540979E-3</c:v>
                </c:pt>
                <c:pt idx="248">
                  <c:v>5.060158161330537E-3</c:v>
                </c:pt>
                <c:pt idx="249">
                  <c:v>5.063054575706976E-3</c:v>
                </c:pt>
                <c:pt idx="250">
                  <c:v>5.0659509900834159E-3</c:v>
                </c:pt>
                <c:pt idx="251">
                  <c:v>5.0746402332127339E-3</c:v>
                </c:pt>
                <c:pt idx="252">
                  <c:v>5.0775366475891729E-3</c:v>
                </c:pt>
                <c:pt idx="253">
                  <c:v>5.080433061965612E-3</c:v>
                </c:pt>
                <c:pt idx="254">
                  <c:v>5.0833294763420519E-3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2.2389767573848356E-3</c:v>
                </c:pt>
                <c:pt idx="1">
                  <c:v>2.2626946091529165E-3</c:v>
                </c:pt>
                <c:pt idx="2">
                  <c:v>2.2863213386567008E-3</c:v>
                </c:pt>
                <c:pt idx="3">
                  <c:v>2.3098569458961894E-3</c:v>
                </c:pt>
                <c:pt idx="4">
                  <c:v>2.3799170340288787E-3</c:v>
                </c:pt>
                <c:pt idx="5">
                  <c:v>2.4030881522111832E-3</c:v>
                </c:pt>
                <c:pt idx="6">
                  <c:v>2.4261681481291915E-3</c:v>
                </c:pt>
                <c:pt idx="7">
                  <c:v>2.4491570217829036E-3</c:v>
                </c:pt>
                <c:pt idx="8">
                  <c:v>2.4720547731723204E-3</c:v>
                </c:pt>
                <c:pt idx="9">
                  <c:v>2.5402012937547932E-3</c:v>
                </c:pt>
                <c:pt idx="10">
                  <c:v>2.5627345560870255E-3</c:v>
                </c:pt>
                <c:pt idx="11">
                  <c:v>2.5851766961549616E-3</c:v>
                </c:pt>
                <c:pt idx="12">
                  <c:v>2.607527713958602E-3</c:v>
                </c:pt>
                <c:pt idx="13">
                  <c:v>2.6297876094979462E-3</c:v>
                </c:pt>
                <c:pt idx="14">
                  <c:v>2.6960205625302029E-3</c:v>
                </c:pt>
                <c:pt idx="15">
                  <c:v>2.717915969012363E-3</c:v>
                </c:pt>
                <c:pt idx="16">
                  <c:v>2.7397202532302273E-3</c:v>
                </c:pt>
                <c:pt idx="17">
                  <c:v>2.7614334151837951E-3</c:v>
                </c:pt>
                <c:pt idx="18">
                  <c:v>2.7830554548730667E-3</c:v>
                </c:pt>
                <c:pt idx="19">
                  <c:v>2.8473748403551069E-3</c:v>
                </c:pt>
                <c:pt idx="20">
                  <c:v>2.8686323909871952E-3</c:v>
                </c:pt>
                <c:pt idx="21">
                  <c:v>2.8897988193549873E-3</c:v>
                </c:pt>
                <c:pt idx="22">
                  <c:v>2.9108741254584829E-3</c:v>
                </c:pt>
                <c:pt idx="23">
                  <c:v>3.0148838220115221E-3</c:v>
                </c:pt>
                <c:pt idx="24">
                  <c:v>3.0354123945292421E-3</c:v>
                </c:pt>
                <c:pt idx="25">
                  <c:v>3.0558498447826655E-3</c:v>
                </c:pt>
                <c:pt idx="26">
                  <c:v>3.0761961727717932E-3</c:v>
                </c:pt>
                <c:pt idx="27">
                  <c:v>3.1366884231534007E-3</c:v>
                </c:pt>
                <c:pt idx="28">
                  <c:v>3.1566702620853442E-3</c:v>
                </c:pt>
                <c:pt idx="29">
                  <c:v>3.1765609787529916E-3</c:v>
                </c:pt>
                <c:pt idx="30">
                  <c:v>3.1963605731563432E-3</c:v>
                </c:pt>
                <c:pt idx="31">
                  <c:v>3.2160690452953987E-3</c:v>
                </c:pt>
                <c:pt idx="32">
                  <c:v>3.2746477281267892E-3</c:v>
                </c:pt>
                <c:pt idx="33">
                  <c:v>3.293991711208661E-3</c:v>
                </c:pt>
                <c:pt idx="34">
                  <c:v>3.3132445720262362E-3</c:v>
                </c:pt>
                <c:pt idx="35">
                  <c:v>3.3324063105795157E-3</c:v>
                </c:pt>
                <c:pt idx="36">
                  <c:v>3.3514769268684994E-3</c:v>
                </c:pt>
                <c:pt idx="37">
                  <c:v>3.4081420421496738E-3</c:v>
                </c:pt>
                <c:pt idx="38">
                  <c:v>3.4268481693814725E-3</c:v>
                </c:pt>
                <c:pt idx="39">
                  <c:v>3.4454631743489755E-3</c:v>
                </c:pt>
                <c:pt idx="40">
                  <c:v>3.4639870570521837E-3</c:v>
                </c:pt>
                <c:pt idx="41">
                  <c:v>3.4824198174910944E-3</c:v>
                </c:pt>
                <c:pt idx="42">
                  <c:v>3.5552396366037792E-3</c:v>
                </c:pt>
                <c:pt idx="43">
                  <c:v>3.5732167857212105E-3</c:v>
                </c:pt>
                <c:pt idx="44">
                  <c:v>3.5911028125743456E-3</c:v>
                </c:pt>
                <c:pt idx="45">
                  <c:v>3.6088977171631845E-3</c:v>
                </c:pt>
                <c:pt idx="46">
                  <c:v>3.6617356973439258E-3</c:v>
                </c:pt>
                <c:pt idx="47">
                  <c:v>3.6791661128755806E-3</c:v>
                </c:pt>
                <c:pt idx="48">
                  <c:v>3.6965054061429401E-3</c:v>
                </c:pt>
                <c:pt idx="49">
                  <c:v>3.7137535771460026E-3</c:v>
                </c:pt>
                <c:pt idx="50">
                  <c:v>3.7309106258847694E-3</c:v>
                </c:pt>
                <c:pt idx="51">
                  <c:v>3.7818350385152941E-3</c:v>
                </c:pt>
                <c:pt idx="52">
                  <c:v>3.7986275981968767E-3</c:v>
                </c:pt>
                <c:pt idx="53">
                  <c:v>3.8153290356141641E-3</c:v>
                </c:pt>
                <c:pt idx="54">
                  <c:v>3.8319393507671544E-3</c:v>
                </c:pt>
                <c:pt idx="55">
                  <c:v>3.848458543655849E-3</c:v>
                </c:pt>
                <c:pt idx="56">
                  <c:v>3.9136240925676689E-3</c:v>
                </c:pt>
                <c:pt idx="57">
                  <c:v>3.9296876741348819E-3</c:v>
                </c:pt>
                <c:pt idx="58">
                  <c:v>3.9456601334378009E-3</c:v>
                </c:pt>
                <c:pt idx="59">
                  <c:v>3.9615414704764242E-3</c:v>
                </c:pt>
                <c:pt idx="60">
                  <c:v>4.0086387480065154E-3</c:v>
                </c:pt>
                <c:pt idx="61">
                  <c:v>4.024155595987954E-3</c:v>
                </c:pt>
                <c:pt idx="62">
                  <c:v>4.039581321705097E-3</c:v>
                </c:pt>
                <c:pt idx="63">
                  <c:v>4.0549159251579434E-3</c:v>
                </c:pt>
                <c:pt idx="64">
                  <c:v>4.0701594063464932E-3</c:v>
                </c:pt>
                <c:pt idx="65">
                  <c:v>4.1153431163263683E-3</c:v>
                </c:pt>
                <c:pt idx="66">
                  <c:v>4.1302221084577352E-3</c:v>
                </c:pt>
                <c:pt idx="67">
                  <c:v>4.1450099783248056E-3</c:v>
                </c:pt>
                <c:pt idx="68">
                  <c:v>4.1597067259275793E-3</c:v>
                </c:pt>
                <c:pt idx="69">
                  <c:v>4.1743123512660582E-3</c:v>
                </c:pt>
                <c:pt idx="70">
                  <c:v>4.2175824936957172E-3</c:v>
                </c:pt>
                <c:pt idx="71">
                  <c:v>4.2318236299770107E-3</c:v>
                </c:pt>
                <c:pt idx="72">
                  <c:v>4.2459736439940093E-3</c:v>
                </c:pt>
                <c:pt idx="73">
                  <c:v>4.2600325357467113E-3</c:v>
                </c:pt>
                <c:pt idx="74">
                  <c:v>4.2740003052351176E-3</c:v>
                </c:pt>
                <c:pt idx="75">
                  <c:v>4.3153568801145596E-3</c:v>
                </c:pt>
                <c:pt idx="76">
                  <c:v>4.3289601605457813E-3</c:v>
                </c:pt>
                <c:pt idx="77">
                  <c:v>4.3424723187127081E-3</c:v>
                </c:pt>
                <c:pt idx="78">
                  <c:v>4.3558933546153367E-3</c:v>
                </c:pt>
                <c:pt idx="79">
                  <c:v>4.3692232682536721E-3</c:v>
                </c:pt>
                <c:pt idx="80">
                  <c:v>4.4086662755828971E-3</c:v>
                </c:pt>
                <c:pt idx="81">
                  <c:v>4.4216317001640471E-3</c:v>
                </c:pt>
                <c:pt idx="82">
                  <c:v>4.4345060024809004E-3</c:v>
                </c:pt>
                <c:pt idx="83">
                  <c:v>4.4472891825334589E-3</c:v>
                </c:pt>
                <c:pt idx="84">
                  <c:v>4.4599812403217209E-3</c:v>
                </c:pt>
                <c:pt idx="85">
                  <c:v>4.4975106801007298E-3</c:v>
                </c:pt>
                <c:pt idx="86">
                  <c:v>4.5098382488318071E-3</c:v>
                </c:pt>
                <c:pt idx="87">
                  <c:v>4.5220746952985896E-3</c:v>
                </c:pt>
                <c:pt idx="88">
                  <c:v>4.5342200195010746E-3</c:v>
                </c:pt>
                <c:pt idx="89">
                  <c:v>4.5462742214392648E-3</c:v>
                </c:pt>
                <c:pt idx="90">
                  <c:v>4.5818900936680576E-3</c:v>
                </c:pt>
                <c:pt idx="91">
                  <c:v>4.5935798065490632E-3</c:v>
                </c:pt>
                <c:pt idx="92">
                  <c:v>4.6051783971657722E-3</c:v>
                </c:pt>
                <c:pt idx="93">
                  <c:v>4.6166858655181863E-3</c:v>
                </c:pt>
                <c:pt idx="94">
                  <c:v>4.6281022116063039E-3</c:v>
                </c:pt>
                <c:pt idx="95">
                  <c:v>4.6618045162848797E-3</c:v>
                </c:pt>
                <c:pt idx="96">
                  <c:v>4.6728563733158127E-3</c:v>
                </c:pt>
                <c:pt idx="97">
                  <c:v>4.6838171080824508E-3</c:v>
                </c:pt>
                <c:pt idx="98">
                  <c:v>4.6946867205847924E-3</c:v>
                </c:pt>
                <c:pt idx="99">
                  <c:v>4.7054652108228364E-3</c:v>
                </c:pt>
                <c:pt idx="100">
                  <c:v>4.7372539479511961E-3</c:v>
                </c:pt>
                <c:pt idx="101">
                  <c:v>4.7476679491320582E-3</c:v>
                </c:pt>
                <c:pt idx="102">
                  <c:v>4.7579908280486229E-3</c:v>
                </c:pt>
                <c:pt idx="103">
                  <c:v>4.7682225847008926E-3</c:v>
                </c:pt>
                <c:pt idx="104">
                  <c:v>4.7783632190888659E-3</c:v>
                </c:pt>
                <c:pt idx="105">
                  <c:v>4.8082383886670094E-3</c:v>
                </c:pt>
                <c:pt idx="106">
                  <c:v>4.818014533997798E-3</c:v>
                </c:pt>
                <c:pt idx="107">
                  <c:v>4.8276995570642918E-3</c:v>
                </c:pt>
                <c:pt idx="108">
                  <c:v>4.837293457866489E-3</c:v>
                </c:pt>
                <c:pt idx="109">
                  <c:v>4.8467962364043896E-3</c:v>
                </c:pt>
                <c:pt idx="110">
                  <c:v>4.8747578384323153E-3</c:v>
                </c:pt>
                <c:pt idx="111">
                  <c:v>4.883896127913033E-3</c:v>
                </c:pt>
                <c:pt idx="112">
                  <c:v>4.8929432951294542E-3</c:v>
                </c:pt>
                <c:pt idx="113">
                  <c:v>4.9018993400815787E-3</c:v>
                </c:pt>
                <c:pt idx="114">
                  <c:v>4.9107642627694075E-3</c:v>
                </c:pt>
                <c:pt idx="115">
                  <c:v>4.936812297247118E-3</c:v>
                </c:pt>
                <c:pt idx="116">
                  <c:v>4.9453127308777623E-3</c:v>
                </c:pt>
                <c:pt idx="117">
                  <c:v>4.9537220422441108E-3</c:v>
                </c:pt>
                <c:pt idx="118">
                  <c:v>4.9620402313461636E-3</c:v>
                </c:pt>
                <c:pt idx="119">
                  <c:v>4.9702672981839207E-3</c:v>
                </c:pt>
                <c:pt idx="120">
                  <c:v>4.9944017651114151E-3</c:v>
                </c:pt>
                <c:pt idx="121">
                  <c:v>5.0022643428919867E-3</c:v>
                </c:pt>
                <c:pt idx="122">
                  <c:v>5.0100357984082643E-3</c:v>
                </c:pt>
                <c:pt idx="123">
                  <c:v>5.0177161316602445E-3</c:v>
                </c:pt>
                <c:pt idx="124">
                  <c:v>5.025305342647929E-3</c:v>
                </c:pt>
                <c:pt idx="125">
                  <c:v>5.0547509639557063E-3</c:v>
                </c:pt>
                <c:pt idx="126">
                  <c:v>5.0618845636219104E-3</c:v>
                </c:pt>
                <c:pt idx="127">
                  <c:v>5.0689270410238189E-3</c:v>
                </c:pt>
                <c:pt idx="128">
                  <c:v>5.0758783961614325E-3</c:v>
                </c:pt>
                <c:pt idx="129">
                  <c:v>5.0961857279884929E-3</c:v>
                </c:pt>
                <c:pt idx="130">
                  <c:v>5.102772594068921E-3</c:v>
                </c:pt>
                <c:pt idx="131">
                  <c:v>5.1092683378850525E-3</c:v>
                </c:pt>
                <c:pt idx="132">
                  <c:v>5.1156729594368892E-3</c:v>
                </c:pt>
                <c:pt idx="133">
                  <c:v>5.1219864587244293E-3</c:v>
                </c:pt>
                <c:pt idx="134">
                  <c:v>5.1403802230012745E-3</c:v>
                </c:pt>
                <c:pt idx="135">
                  <c:v>5.14632923323163E-3</c:v>
                </c:pt>
                <c:pt idx="136">
                  <c:v>5.1521871211976898E-3</c:v>
                </c:pt>
                <c:pt idx="137">
                  <c:v>5.1579538868994539E-3</c:v>
                </c:pt>
                <c:pt idx="138">
                  <c:v>5.1636295303369223E-3</c:v>
                </c:pt>
                <c:pt idx="139">
                  <c:v>5.1801097270635504E-3</c:v>
                </c:pt>
                <c:pt idx="140">
                  <c:v>5.1854208814438342E-3</c:v>
                </c:pt>
                <c:pt idx="141">
                  <c:v>5.1906409135598222E-3</c:v>
                </c:pt>
                <c:pt idx="142">
                  <c:v>5.1957698234115146E-3</c:v>
                </c:pt>
                <c:pt idx="143">
                  <c:v>5.2008076109989103E-3</c:v>
                </c:pt>
                <c:pt idx="144">
                  <c:v>5.2153742401753207E-3</c:v>
                </c:pt>
                <c:pt idx="145">
                  <c:v>5.2200475387055335E-3</c:v>
                </c:pt>
                <c:pt idx="146">
                  <c:v>5.224629714971449E-3</c:v>
                </c:pt>
                <c:pt idx="147">
                  <c:v>5.2291207689730687E-3</c:v>
                </c:pt>
                <c:pt idx="148">
                  <c:v>5.2335207007103927E-3</c:v>
                </c:pt>
                <c:pt idx="149">
                  <c:v>5.2461737623365878E-3</c:v>
                </c:pt>
                <c:pt idx="150">
                  <c:v>5.2502092050167263E-3</c:v>
                </c:pt>
                <c:pt idx="151">
                  <c:v>5.25415352543257E-3</c:v>
                </c:pt>
                <c:pt idx="152">
                  <c:v>5.2580067235841171E-3</c:v>
                </c:pt>
                <c:pt idx="153">
                  <c:v>5.2617687994713702E-3</c:v>
                </c:pt>
                <c:pt idx="154">
                  <c:v>5.2725082935473483E-3</c:v>
                </c:pt>
                <c:pt idx="155">
                  <c:v>5.2759058803774151E-3</c:v>
                </c:pt>
                <c:pt idx="156">
                  <c:v>5.279212344943187E-3</c:v>
                </c:pt>
                <c:pt idx="157">
                  <c:v>5.2824276872446632E-3</c:v>
                </c:pt>
                <c:pt idx="158">
                  <c:v>5.285551907281842E-3</c:v>
                </c:pt>
                <c:pt idx="159">
                  <c:v>5.294377833807604E-3</c:v>
                </c:pt>
                <c:pt idx="160">
                  <c:v>5.297137564787599E-3</c:v>
                </c:pt>
                <c:pt idx="161">
                  <c:v>5.2998061735032992E-3</c:v>
                </c:pt>
                <c:pt idx="162">
                  <c:v>5.3023836599547011E-3</c:v>
                </c:pt>
                <c:pt idx="163">
                  <c:v>5.3048700241418081E-3</c:v>
                </c:pt>
                <c:pt idx="164">
                  <c:v>5.3117823831173531E-3</c:v>
                </c:pt>
                <c:pt idx="165">
                  <c:v>5.3139042582472772E-3</c:v>
                </c:pt>
                <c:pt idx="166">
                  <c:v>5.3159350111129048E-3</c:v>
                </c:pt>
                <c:pt idx="167">
                  <c:v>5.3178746417142358E-3</c:v>
                </c:pt>
                <c:pt idx="168">
                  <c:v>5.319723150051271E-3</c:v>
                </c:pt>
                <c:pt idx="169">
                  <c:v>5.3247219414765991E-3</c:v>
                </c:pt>
                <c:pt idx="170">
                  <c:v>5.3262059607564515E-3</c:v>
                </c:pt>
                <c:pt idx="171">
                  <c:v>5.3275988577720056E-3</c:v>
                </c:pt>
                <c:pt idx="172">
                  <c:v>5.3289006325232648E-3</c:v>
                </c:pt>
                <c:pt idx="173">
                  <c:v>5.3301112850102283E-3</c:v>
                </c:pt>
                <c:pt idx="174">
                  <c:v>5.3331965088853411E-3</c:v>
                </c:pt>
                <c:pt idx="175">
                  <c:v>5.3340426723151183E-3</c:v>
                </c:pt>
                <c:pt idx="176">
                  <c:v>5.3347977134806015E-3</c:v>
                </c:pt>
                <c:pt idx="177">
                  <c:v>5.335461632381789E-3</c:v>
                </c:pt>
                <c:pt idx="178">
                  <c:v>5.336034429018679E-3</c:v>
                </c:pt>
                <c:pt idx="179">
                  <c:v>5.3372060853435748E-3</c:v>
                </c:pt>
                <c:pt idx="180">
                  <c:v>5.3374143929232811E-3</c:v>
                </c:pt>
                <c:pt idx="181">
                  <c:v>5.3375315782386943E-3</c:v>
                </c:pt>
                <c:pt idx="182">
                  <c:v>5.3375576412898074E-3</c:v>
                </c:pt>
                <c:pt idx="183">
                  <c:v>5.3374925820766257E-3</c:v>
                </c:pt>
                <c:pt idx="184">
                  <c:v>5.3367506708513063E-3</c:v>
                </c:pt>
                <c:pt idx="185">
                  <c:v>5.3363211225809417E-3</c:v>
                </c:pt>
                <c:pt idx="186">
                  <c:v>5.3358004520462788E-3</c:v>
                </c:pt>
                <c:pt idx="187">
                  <c:v>5.3351886592473193E-3</c:v>
                </c:pt>
                <c:pt idx="188">
                  <c:v>5.3344857441840685E-3</c:v>
                </c:pt>
                <c:pt idx="189">
                  <c:v>5.3318302654085312E-3</c:v>
                </c:pt>
                <c:pt idx="190">
                  <c:v>5.3307628612880922E-3</c:v>
                </c:pt>
                <c:pt idx="191">
                  <c:v>5.3296043349033602E-3</c:v>
                </c:pt>
                <c:pt idx="192">
                  <c:v>5.3283546862543307E-3</c:v>
                </c:pt>
                <c:pt idx="193">
                  <c:v>5.3270139153410037E-3</c:v>
                </c:pt>
                <c:pt idx="194">
                  <c:v>5.3224448690152512E-3</c:v>
                </c:pt>
                <c:pt idx="195">
                  <c:v>5.3207396090447397E-3</c:v>
                </c:pt>
                <c:pt idx="196">
                  <c:v>5.318943226809935E-3</c:v>
                </c:pt>
                <c:pt idx="197">
                  <c:v>5.317055722310832E-3</c:v>
                </c:pt>
                <c:pt idx="198">
                  <c:v>5.3150770955474342E-3</c:v>
                </c:pt>
                <c:pt idx="199">
                  <c:v>5.3085944816714647E-3</c:v>
                </c:pt>
                <c:pt idx="200">
                  <c:v>5.3062513658508823E-3</c:v>
                </c:pt>
                <c:pt idx="201">
                  <c:v>5.303817127766005E-3</c:v>
                </c:pt>
                <c:pt idx="202">
                  <c:v>5.3012917674168302E-3</c:v>
                </c:pt>
                <c:pt idx="203">
                  <c:v>5.2986752848033615E-3</c:v>
                </c:pt>
                <c:pt idx="204">
                  <c:v>5.2902791033771742E-3</c:v>
                </c:pt>
                <c:pt idx="205">
                  <c:v>5.2872981317065209E-3</c:v>
                </c:pt>
                <c:pt idx="206">
                  <c:v>5.2842260377715701E-3</c:v>
                </c:pt>
                <c:pt idx="207">
                  <c:v>5.2810628215723236E-3</c:v>
                </c:pt>
                <c:pt idx="208">
                  <c:v>5.263879906611652E-3</c:v>
                </c:pt>
                <c:pt idx="209">
                  <c:v>5.2601699568266304E-3</c:v>
                </c:pt>
                <c:pt idx="210">
                  <c:v>5.256368884777313E-3</c:v>
                </c:pt>
                <c:pt idx="211">
                  <c:v>5.2402533739370786E-3</c:v>
                </c:pt>
                <c:pt idx="212">
                  <c:v>5.2359966905662792E-3</c:v>
                </c:pt>
                <c:pt idx="213">
                  <c:v>5.2316488849311867E-3</c:v>
                </c:pt>
                <c:pt idx="214">
                  <c:v>5.2272099570317958E-3</c:v>
                </c:pt>
                <c:pt idx="215">
                  <c:v>5.2226799068681084E-3</c:v>
                </c:pt>
                <c:pt idx="216">
                  <c:v>5.2085430227912736E-3</c:v>
                </c:pt>
                <c:pt idx="217">
                  <c:v>5.2036484835704024E-3</c:v>
                </c:pt>
                <c:pt idx="218">
                  <c:v>5.1986628220852356E-3</c:v>
                </c:pt>
                <c:pt idx="219">
                  <c:v>5.1935860383357721E-3</c:v>
                </c:pt>
                <c:pt idx="220">
                  <c:v>5.1884181323220138E-3</c:v>
                </c:pt>
                <c:pt idx="221">
                  <c:v>5.172367680694962E-3</c:v>
                </c:pt>
                <c:pt idx="222">
                  <c:v>5.1668352856240182E-3</c:v>
                </c:pt>
                <c:pt idx="223">
                  <c:v>5.1612117682887804E-3</c:v>
                </c:pt>
                <c:pt idx="224">
                  <c:v>5.1554971286892461E-3</c:v>
                </c:pt>
                <c:pt idx="225">
                  <c:v>5.1496913668254152E-3</c:v>
                </c:pt>
                <c:pt idx="226">
                  <c:v>5.1317273476481464E-3</c:v>
                </c:pt>
                <c:pt idx="227">
                  <c:v>5.12555709672713E-3</c:v>
                </c:pt>
                <c:pt idx="228">
                  <c:v>5.1192957235418196E-3</c:v>
                </c:pt>
                <c:pt idx="229">
                  <c:v>5.1129432280922127E-3</c:v>
                </c:pt>
                <c:pt idx="230">
                  <c:v>5.1064996103783108E-3</c:v>
                </c:pt>
                <c:pt idx="231">
                  <c:v>5.0866220236508242E-3</c:v>
                </c:pt>
                <c:pt idx="232">
                  <c:v>5.0798139168797369E-3</c:v>
                </c:pt>
                <c:pt idx="233">
                  <c:v>5.0729146878443548E-3</c:v>
                </c:pt>
                <c:pt idx="234">
                  <c:v>5.0659243365446744E-3</c:v>
                </c:pt>
                <c:pt idx="235">
                  <c:v>5.0588428629806999E-3</c:v>
                </c:pt>
                <c:pt idx="236">
                  <c:v>5.0370517087029981E-3</c:v>
                </c:pt>
                <c:pt idx="237">
                  <c:v>5.029605746081839E-3</c:v>
                </c:pt>
                <c:pt idx="238">
                  <c:v>5.0220686611963826E-3</c:v>
                </c:pt>
                <c:pt idx="239">
                  <c:v>5.0144404540466321E-3</c:v>
                </c:pt>
                <c:pt idx="240">
                  <c:v>5.0067211246325859E-3</c:v>
                </c:pt>
                <c:pt idx="241">
                  <c:v>4.9830164028046662E-3</c:v>
                </c:pt>
                <c:pt idx="242">
                  <c:v>4.9749325843334354E-3</c:v>
                </c:pt>
                <c:pt idx="243">
                  <c:v>4.9667576435979081E-3</c:v>
                </c:pt>
                <c:pt idx="244">
                  <c:v>4.958491580598085E-3</c:v>
                </c:pt>
                <c:pt idx="245">
                  <c:v>4.9501343953339645E-3</c:v>
                </c:pt>
                <c:pt idx="246">
                  <c:v>4.9245161059558304E-3</c:v>
                </c:pt>
                <c:pt idx="247">
                  <c:v>4.9157944316345278E-3</c:v>
                </c:pt>
                <c:pt idx="248">
                  <c:v>4.906981635048927E-3</c:v>
                </c:pt>
                <c:pt idx="249">
                  <c:v>4.8980777161990322E-3</c:v>
                </c:pt>
                <c:pt idx="250">
                  <c:v>4.889082675084839E-3</c:v>
                </c:pt>
                <c:pt idx="251">
                  <c:v>4.8615508181564888E-3</c:v>
                </c:pt>
                <c:pt idx="252">
                  <c:v>4.8521912879851128E-3</c:v>
                </c:pt>
                <c:pt idx="253">
                  <c:v>4.8427406355494411E-3</c:v>
                </c:pt>
                <c:pt idx="254">
                  <c:v>4.8331988608494719E-3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8608"/>
        <c:axId val="533110144"/>
      </c:lineChart>
      <c:dateAx>
        <c:axId val="533108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3110144"/>
        <c:crosses val="autoZero"/>
        <c:auto val="1"/>
        <c:lblOffset val="100"/>
        <c:baseTimeUnit val="days"/>
      </c:dateAx>
      <c:valAx>
        <c:axId val="533110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3108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2.6820401642028676E-4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42128</c:v>
                </c:pt>
                <c:pt idx="2">
                  <c:v>42158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3.044396718021644E-4</c:v>
                </c:pt>
                <c:pt idx="1">
                  <c:v>3.1945205469517159E-4</c:v>
                </c:pt>
                <c:pt idx="2">
                  <c:v>3.2543544562781048E-4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2.9777976170250762E-4</c:v>
                </c:pt>
                <c:pt idx="1">
                  <c:v>3.4167818956946591E-4</c:v>
                </c:pt>
                <c:pt idx="2">
                  <c:v>3.7353564119747384E-4</c:v>
                </c:pt>
                <c:pt idx="3">
                  <c:v>4.1751939982052937E-4</c:v>
                </c:pt>
                <c:pt idx="4">
                  <c:v>4.3324202932778193E-4</c:v>
                </c:pt>
                <c:pt idx="5">
                  <c:v>4.6528133198128042E-4</c:v>
                </c:pt>
                <c:pt idx="6">
                  <c:v>4.7874708870297239E-4</c:v>
                </c:pt>
                <c:pt idx="7">
                  <c:v>5.1384289325179429E-4</c:v>
                </c:pt>
                <c:pt idx="8">
                  <c:v>5.7235808198704977E-4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2.8998016439762915E-4</c:v>
                </c:pt>
                <c:pt idx="1">
                  <c:v>2.9049826245269915E-4</c:v>
                </c:pt>
                <c:pt idx="2">
                  <c:v>2.9101674784682739E-4</c:v>
                </c:pt>
                <c:pt idx="3">
                  <c:v>2.9786485951811207E-4</c:v>
                </c:pt>
                <c:pt idx="4">
                  <c:v>2.9309401510487675E-4</c:v>
                </c:pt>
                <c:pt idx="5">
                  <c:v>2.9361402644569284E-4</c:v>
                </c:pt>
                <c:pt idx="6">
                  <c:v>2.9413426068365607E-4</c:v>
                </c:pt>
                <c:pt idx="7">
                  <c:v>2.946546896039758E-4</c:v>
                </c:pt>
                <c:pt idx="8">
                  <c:v>3.0158353602053234E-4</c:v>
                </c:pt>
                <c:pt idx="9">
                  <c:v>2.9673778431045668E-4</c:v>
                </c:pt>
                <c:pt idx="10">
                  <c:v>2.9725876076566835E-4</c:v>
                </c:pt>
                <c:pt idx="11">
                  <c:v>2.9777976170250762E-4</c:v>
                </c:pt>
                <c:pt idx="12">
                  <c:v>2.9830075957763683E-4</c:v>
                </c:pt>
                <c:pt idx="13">
                  <c:v>3.0530913815411453E-4</c:v>
                </c:pt>
                <c:pt idx="14">
                  <c:v>3.0038417317570349E-4</c:v>
                </c:pt>
                <c:pt idx="15">
                  <c:v>3.0090474531256514E-4</c:v>
                </c:pt>
                <c:pt idx="16">
                  <c:v>3.0142515024366508E-4</c:v>
                </c:pt>
                <c:pt idx="17">
                  <c:v>3.0194536062517927E-4</c:v>
                </c:pt>
                <c:pt idx="18">
                  <c:v>3.0903188855506782E-4</c:v>
                </c:pt>
                <c:pt idx="19">
                  <c:v>3.0402370992539142E-4</c:v>
                </c:pt>
                <c:pt idx="20">
                  <c:v>3.0123657208457549E-4</c:v>
                </c:pt>
                <c:pt idx="21">
                  <c:v>3.0174940923261934E-4</c:v>
                </c:pt>
                <c:pt idx="22">
                  <c:v>3.0226186441580837E-4</c:v>
                </c:pt>
                <c:pt idx="23">
                  <c:v>3.048174568772154E-4</c:v>
                </c:pt>
                <c:pt idx="24">
                  <c:v>3.0532704483381156E-4</c:v>
                </c:pt>
                <c:pt idx="25" formatCode="0.00000">
                  <c:v>3.0583605735578622E-4</c:v>
                </c:pt>
                <c:pt idx="26" formatCode="0.00000">
                  <c:v>3.0634446623057098E-4</c:v>
                </c:pt>
                <c:pt idx="27" formatCode="0.00000">
                  <c:v>3.0786578878523618E-4</c:v>
                </c:pt>
                <c:pt idx="28" formatCode="0.00000">
                  <c:v>3.0837150086323803E-4</c:v>
                </c:pt>
                <c:pt idx="29" formatCode="0.00000">
                  <c:v>3.0887646816945197E-4</c:v>
                </c:pt>
                <c:pt idx="30">
                  <c:v>3.093806624661176E-4</c:v>
                </c:pt>
                <c:pt idx="31">
                  <c:v>3.0988405551242204E-4</c:v>
                </c:pt>
                <c:pt idx="32">
                  <c:v>3.1138914466994266E-4</c:v>
                </c:pt>
                <c:pt idx="33">
                  <c:v>3.1188905021698187E-4</c:v>
                </c:pt>
                <c:pt idx="34">
                  <c:v>3.1238801324515484E-4</c:v>
                </c:pt>
                <c:pt idx="35">
                  <c:v>3.1288600548844803E-4</c:v>
                </c:pt>
                <c:pt idx="36">
                  <c:v>3.1338299867779369E-4</c:v>
                </c:pt>
                <c:pt idx="37">
                  <c:v>3.1486770116545071E-4</c:v>
                </c:pt>
                <c:pt idx="38">
                  <c:v>3.1536041536348551E-4</c:v>
                </c:pt>
                <c:pt idx="39">
                  <c:v>3.1585198910065232E-4</c:v>
                </c:pt>
                <c:pt idx="40">
                  <c:v>3.1634239408422538E-4</c:v>
                </c:pt>
                <c:pt idx="41">
                  <c:v>3.2726239880892933E-4</c:v>
                </c:pt>
                <c:pt idx="42">
                  <c:v>3.2227423279790806E-4</c:v>
                </c:pt>
                <c:pt idx="43">
                  <c:v>3.2276231933160872E-4</c:v>
                </c:pt>
                <c:pt idx="44">
                  <c:v>3.2324902641481761E-4</c:v>
                </c:pt>
                <c:pt idx="45">
                  <c:v>3.307622961664732E-4</c:v>
                </c:pt>
                <c:pt idx="46">
                  <c:v>3.2518151236955874E-4</c:v>
                </c:pt>
                <c:pt idx="47">
                  <c:v>3.2566091132796667E-4</c:v>
                </c:pt>
                <c:pt idx="48">
                  <c:v>3.2613876651270976E-4</c:v>
                </c:pt>
                <c:pt idx="49">
                  <c:v>3.2661505054996064E-4</c:v>
                </c:pt>
                <c:pt idx="50">
                  <c:v>3.3419042847483357E-4</c:v>
                </c:pt>
                <c:pt idx="51">
                  <c:v>3.2850392786181777E-4</c:v>
                </c:pt>
                <c:pt idx="52">
                  <c:v>3.2897194567206508E-4</c:v>
                </c:pt>
                <c:pt idx="53">
                  <c:v>3.2943822816470109E-4</c:v>
                </c:pt>
                <c:pt idx="54">
                  <c:v>3.2990274798995386E-4</c:v>
                </c:pt>
                <c:pt idx="55">
                  <c:v>3.375371989337511E-4</c:v>
                </c:pt>
                <c:pt idx="56">
                  <c:v>3.3219795011893568E-4</c:v>
                </c:pt>
                <c:pt idx="57">
                  <c:v>3.3265131979519146E-4</c:v>
                </c:pt>
                <c:pt idx="58">
                  <c:v>3.3310273545424183E-4</c:v>
                </c:pt>
                <c:pt idx="59">
                  <c:v>3.2993157727157353E-4</c:v>
                </c:pt>
                <c:pt idx="60">
                  <c:v>3.3488831150966673E-4</c:v>
                </c:pt>
                <c:pt idx="61">
                  <c:v>3.3532954730577024E-4</c:v>
                </c:pt>
                <c:pt idx="62">
                  <c:v>3.3576866519581902E-4</c:v>
                </c:pt>
                <c:pt idx="63">
                  <c:v>3.362056377111563E-4</c:v>
                </c:pt>
                <c:pt idx="64">
                  <c:v>3.4394831870108447E-4</c:v>
                </c:pt>
                <c:pt idx="65">
                  <c:v>3.3793150975772944E-4</c:v>
                </c:pt>
                <c:pt idx="66">
                  <c:v>3.3835733176827617E-4</c:v>
                </c:pt>
                <c:pt idx="67">
                  <c:v>3.3878083877126073E-4</c:v>
                </c:pt>
                <c:pt idx="68">
                  <c:v>3.3920200246076969E-4</c:v>
                </c:pt>
                <c:pt idx="69">
                  <c:v>3.46993362585328E-4</c:v>
                </c:pt>
                <c:pt idx="70">
                  <c:v>3.4086265787186066E-4</c:v>
                </c:pt>
                <c:pt idx="71">
                  <c:v>3.4127168031912968E-4</c:v>
                </c:pt>
                <c:pt idx="72">
                  <c:v>3.4167818956946591E-4</c:v>
                </c:pt>
                <c:pt idx="73">
                  <c:v>3.4208217474436455E-4</c:v>
                </c:pt>
                <c:pt idx="74">
                  <c:v>3.4991839114801974E-4</c:v>
                </c:pt>
                <c:pt idx="75">
                  <c:v>3.436742267751956E-4</c:v>
                </c:pt>
                <c:pt idx="76">
                  <c:v>3.4406664922231113E-4</c:v>
                </c:pt>
                <c:pt idx="77">
                  <c:v>3.4445698808013863E-4</c:v>
                </c:pt>
                <c:pt idx="78">
                  <c:v>3.4484531966262269E-4</c:v>
                </c:pt>
                <c:pt idx="79">
                  <c:v>3.5272604323160654E-4</c:v>
                </c:pt>
                <c:pt idx="80">
                  <c:v>3.4638009944199151E-4</c:v>
                </c:pt>
                <c:pt idx="81">
                  <c:v>3.4675953928181043E-4</c:v>
                </c:pt>
                <c:pt idx="82">
                  <c:v>3.4713742968596847E-4</c:v>
                </c:pt>
                <c:pt idx="83">
                  <c:v>3.4751384695309542E-4</c:v>
                </c:pt>
                <c:pt idx="84">
                  <c:v>3.5544083569167336E-4</c:v>
                </c:pt>
                <c:pt idx="85">
                  <c:v>3.4900631453404265E-4</c:v>
                </c:pt>
                <c:pt idx="86">
                  <c:v>3.4937651509805762E-4</c:v>
                </c:pt>
                <c:pt idx="87">
                  <c:v>3.497457020847072E-4</c:v>
                </c:pt>
                <c:pt idx="88">
                  <c:v>3.5011395176648462E-4</c:v>
                </c:pt>
                <c:pt idx="89">
                  <c:v>3.5808950672865824E-4</c:v>
                </c:pt>
                <c:pt idx="90">
                  <c:v>3.5157910281502931E-4</c:v>
                </c:pt>
                <c:pt idx="91">
                  <c:v>3.5194380998192156E-4</c:v>
                </c:pt>
                <c:pt idx="92">
                  <c:v>3.5230803743277749E-4</c:v>
                </c:pt>
                <c:pt idx="93">
                  <c:v>3.5267186142464699E-4</c:v>
                </c:pt>
                <c:pt idx="94">
                  <c:v>3.606987851526843E-4</c:v>
                </c:pt>
                <c:pt idx="95">
                  <c:v>3.5412464786677708E-4</c:v>
                </c:pt>
                <c:pt idx="96">
                  <c:v>3.5448759834231874E-4</c:v>
                </c:pt>
                <c:pt idx="97">
                  <c:v>3.5485060285400172E-4</c:v>
                </c:pt>
                <c:pt idx="98">
                  <c:v>3.5521373764300544E-4</c:v>
                </c:pt>
                <c:pt idx="99">
                  <c:v>3.6329539339540812E-4</c:v>
                </c:pt>
                <c:pt idx="100">
                  <c:v>3.5666910430647703E-4</c:v>
                </c:pt>
                <c:pt idx="101">
                  <c:v>3.5703403401110074E-4</c:v>
                </c:pt>
                <c:pt idx="102">
                  <c:v>3.5739955138673634E-4</c:v>
                </c:pt>
                <c:pt idx="103">
                  <c:v>3.5776573265691383E-4</c:v>
                </c:pt>
                <c:pt idx="104">
                  <c:v>3.5424572001233409E-4</c:v>
                </c:pt>
                <c:pt idx="105">
                  <c:v>3.5923862105201229E-4</c:v>
                </c:pt>
                <c:pt idx="106">
                  <c:v>3.5960926524509227E-4</c:v>
                </c:pt>
                <c:pt idx="107">
                  <c:v>3.5998103180374388E-4</c:v>
                </c:pt>
                <c:pt idx="108">
                  <c:v>3.60353998125773E-4</c:v>
                </c:pt>
                <c:pt idx="109">
                  <c:v>3.6855752979304471E-4</c:v>
                </c:pt>
                <c:pt idx="110">
                  <c:v>3.6185940906949341E-4</c:v>
                </c:pt>
                <c:pt idx="111">
                  <c:v>3.6223953524119526E-4</c:v>
                </c:pt>
                <c:pt idx="112">
                  <c:v>3.6262132560229148E-4</c:v>
                </c:pt>
                <c:pt idx="113">
                  <c:v>3.6300485756371199E-4</c:v>
                </c:pt>
                <c:pt idx="114">
                  <c:v>3.712769301155805E-4</c:v>
                </c:pt>
                <c:pt idx="115">
                  <c:v>3.6455794969222281E-4</c:v>
                </c:pt>
                <c:pt idx="116">
                  <c:v>3.6495135088151153E-4</c:v>
                </c:pt>
                <c:pt idx="117">
                  <c:v>3.6534695817459426E-4</c:v>
                </c:pt>
                <c:pt idx="118">
                  <c:v>3.6574484899546062E-4</c:v>
                </c:pt>
                <c:pt idx="119">
                  <c:v>3.7409138310242642E-4</c:v>
                </c:pt>
                <c:pt idx="120">
                  <c:v>3.6736079610402461E-4</c:v>
                </c:pt>
                <c:pt idx="121">
                  <c:v>3.6777126599176423E-4</c:v>
                </c:pt>
                <c:pt idx="122">
                  <c:v>3.6818448399219894E-4</c:v>
                </c:pt>
                <c:pt idx="123">
                  <c:v>3.686005275442899E-4</c:v>
                </c:pt>
                <c:pt idx="124">
                  <c:v>3.7702802318168542E-4</c:v>
                </c:pt>
                <c:pt idx="125">
                  <c:v>3.6670283812163942E-4</c:v>
                </c:pt>
                <c:pt idx="126">
                  <c:v>3.6713274537012093E-4</c:v>
                </c:pt>
                <c:pt idx="127">
                  <c:v>3.6756598260133557E-4</c:v>
                </c:pt>
                <c:pt idx="128">
                  <c:v>3.6800262628561129E-4</c:v>
                </c:pt>
                <c:pt idx="129">
                  <c:v>3.6933375453194339E-4</c:v>
                </c:pt>
                <c:pt idx="130">
                  <c:v>3.6978478221241719E-4</c:v>
                </c:pt>
                <c:pt idx="131">
                  <c:v>3.7023959528856916E-4</c:v>
                </c:pt>
                <c:pt idx="132">
                  <c:v>3.7069826951651933E-4</c:v>
                </c:pt>
                <c:pt idx="133">
                  <c:v>3.7116088065020677E-4</c:v>
                </c:pt>
                <c:pt idx="134">
                  <c:v>3.7257309300584989E-4</c:v>
                </c:pt>
                <c:pt idx="135">
                  <c:v>3.7305220927436093E-4</c:v>
                </c:pt>
                <c:pt idx="136">
                  <c:v>3.7353564119747384E-4</c:v>
                </c:pt>
                <c:pt idx="137">
                  <c:v>3.7402342749478661E-4</c:v>
                </c:pt>
                <c:pt idx="138">
                  <c:v>3.7451545878841716E-4</c:v>
                </c:pt>
                <c:pt idx="139">
                  <c:v>3.7601555863699858E-4</c:v>
                </c:pt>
                <c:pt idx="140">
                  <c:v>3.7652310591222856E-4</c:v>
                </c:pt>
                <c:pt idx="141">
                  <c:v>3.7703416618850544E-4</c:v>
                </c:pt>
                <c:pt idx="142">
                  <c:v>3.7754859307042248E-4</c:v>
                </c:pt>
                <c:pt idx="143">
                  <c:v>3.9465583587723445E-4</c:v>
                </c:pt>
                <c:pt idx="144">
                  <c:v>3.8380188863550434E-4</c:v>
                </c:pt>
                <c:pt idx="145">
                  <c:v>3.8016610281996227E-4</c:v>
                </c:pt>
                <c:pt idx="146">
                  <c:v>3.8069765510623222E-4</c:v>
                </c:pt>
                <c:pt idx="147">
                  <c:v>3.9795991896727638E-4</c:v>
                </c:pt>
                <c:pt idx="148">
                  <c:v>3.943317783119882E-4</c:v>
                </c:pt>
                <c:pt idx="149">
                  <c:v>3.8759357568195213E-4</c:v>
                </c:pt>
                <c:pt idx="150">
                  <c:v>3.8814293767107741E-4</c:v>
                </c:pt>
                <c:pt idx="151">
                  <c:v>3.8869377787600711E-4</c:v>
                </c:pt>
                <c:pt idx="152">
                  <c:v>3.8924594822732043E-4</c:v>
                </c:pt>
                <c:pt idx="153">
                  <c:v>3.9825851211158694E-4</c:v>
                </c:pt>
                <c:pt idx="154">
                  <c:v>3.9146496974990419E-4</c:v>
                </c:pt>
                <c:pt idx="155">
                  <c:v>3.9202156982998462E-4</c:v>
                </c:pt>
                <c:pt idx="156">
                  <c:v>3.9257861166137718E-4</c:v>
                </c:pt>
                <c:pt idx="157">
                  <c:v>3.9313594718093668E-4</c:v>
                </c:pt>
                <c:pt idx="158">
                  <c:v>4.0223688021406325E-4</c:v>
                </c:pt>
                <c:pt idx="159">
                  <c:v>3.9536526492522152E-4</c:v>
                </c:pt>
                <c:pt idx="160">
                  <c:v>3.9592184798172502E-4</c:v>
                </c:pt>
                <c:pt idx="161">
                  <c:v>3.9647783637132084E-4</c:v>
                </c:pt>
                <c:pt idx="162">
                  <c:v>3.9703308203916391E-4</c:v>
                </c:pt>
                <c:pt idx="163">
                  <c:v>4.0621498619080297E-4</c:v>
                </c:pt>
                <c:pt idx="164">
                  <c:v>3.9924367642062977E-4</c:v>
                </c:pt>
                <c:pt idx="165">
                  <c:v>3.9979298768686382E-4</c:v>
                </c:pt>
                <c:pt idx="166">
                  <c:v>4.003406679230817E-4</c:v>
                </c:pt>
                <c:pt idx="167">
                  <c:v>4.008865690824676E-4</c:v>
                </c:pt>
                <c:pt idx="168">
                  <c:v>3.9707502292472211E-4</c:v>
                </c:pt>
                <c:pt idx="169">
                  <c:v>4.0304942206227147E-4</c:v>
                </c:pt>
                <c:pt idx="170">
                  <c:v>4.0358420718278137E-4</c:v>
                </c:pt>
                <c:pt idx="171">
                  <c:v>4.0411632499378789E-4</c:v>
                </c:pt>
                <c:pt idx="172">
                  <c:v>4.0464562755337491E-4</c:v>
                </c:pt>
                <c:pt idx="173">
                  <c:v>4.1396290253030313E-4</c:v>
                </c:pt>
                <c:pt idx="174">
                  <c:v>4.0673172688918612E-4</c:v>
                </c:pt>
                <c:pt idx="175">
                  <c:v>4.0724473442118426E-4</c:v>
                </c:pt>
                <c:pt idx="176">
                  <c:v>4.0775403921024001E-4</c:v>
                </c:pt>
                <c:pt idx="177">
                  <c:v>4.0825949334944253E-4</c:v>
                </c:pt>
                <c:pt idx="178">
                  <c:v>4.1762920010491488E-4</c:v>
                </c:pt>
                <c:pt idx="179">
                  <c:v>4.1023984535889862E-4</c:v>
                </c:pt>
                <c:pt idx="180">
                  <c:v>4.1072382773448289E-4</c:v>
                </c:pt>
                <c:pt idx="181">
                  <c:v>4.1120307207318099E-4</c:v>
                </c:pt>
                <c:pt idx="182">
                  <c:v>4.1167743048616684E-4</c:v>
                </c:pt>
                <c:pt idx="183">
                  <c:v>4.2108802748966697E-4</c:v>
                </c:pt>
                <c:pt idx="184">
                  <c:v>4.1352304720733516E-4</c:v>
                </c:pt>
                <c:pt idx="185">
                  <c:v>4.1397075776235422E-4</c:v>
                </c:pt>
                <c:pt idx="186">
                  <c:v>4.1441269512012229E-4</c:v>
                </c:pt>
                <c:pt idx="187">
                  <c:v>4.148487114126561E-4</c:v>
                </c:pt>
                <c:pt idx="188">
                  <c:v>4.2428756152526988E-4</c:v>
                </c:pt>
                <c:pt idx="189">
                  <c:v>4.1201230197019387E-4</c:v>
                </c:pt>
                <c:pt idx="190">
                  <c:v>4.1241212556442086E-4</c:v>
                </c:pt>
                <c:pt idx="191">
                  <c:v>4.1280521359400877E-4</c:v>
                </c:pt>
                <c:pt idx="192">
                  <c:v>4.1319141981260599E-4</c:v>
                </c:pt>
                <c:pt idx="193">
                  <c:v>4.1357059801278836E-4</c:v>
                </c:pt>
                <c:pt idx="194">
                  <c:v>4.1466450407079506E-4</c:v>
                </c:pt>
                <c:pt idx="195">
                  <c:v>4.1501410985832514E-4</c:v>
                </c:pt>
                <c:pt idx="196">
                  <c:v>4.1535595751478622E-4</c:v>
                </c:pt>
                <c:pt idx="197">
                  <c:v>4.1568990103857493E-4</c:v>
                </c:pt>
                <c:pt idx="198">
                  <c:v>4.1601579443164899E-4</c:v>
                </c:pt>
                <c:pt idx="199">
                  <c:v>4.1694371391420181E-4</c:v>
                </c:pt>
                <c:pt idx="200">
                  <c:v>4.172359468941144E-4</c:v>
                </c:pt>
                <c:pt idx="201">
                  <c:v>4.1751939982052937E-4</c:v>
                </c:pt>
                <c:pt idx="202">
                  <c:v>4.1779398098308184E-4</c:v>
                </c:pt>
                <c:pt idx="203">
                  <c:v>4.180598157190447E-4</c:v>
                </c:pt>
                <c:pt idx="204">
                  <c:v>4.1880663733143115E-4</c:v>
                </c:pt>
                <c:pt idx="205">
                  <c:v>4.1903928231465723E-4</c:v>
                </c:pt>
                <c:pt idx="206">
                  <c:v>4.1926407883818666E-4</c:v>
                </c:pt>
                <c:pt idx="207">
                  <c:v>4.1948120648892137E-4</c:v>
                </c:pt>
                <c:pt idx="208">
                  <c:v>4.2045809704368767E-4</c:v>
                </c:pt>
                <c:pt idx="209">
                  <c:v>4.2063298266022098E-4</c:v>
                </c:pt>
                <c:pt idx="210">
                  <c:v>4.2080145644902782E-4</c:v>
                </c:pt>
                <c:pt idx="211">
                  <c:v>4.2141482464365073E-4</c:v>
                </c:pt>
                <c:pt idx="212">
                  <c:v>4.2155393296059845E-4</c:v>
                </c:pt>
                <c:pt idx="213">
                  <c:v>4.2168770803024692E-4</c:v>
                </c:pt>
                <c:pt idx="214">
                  <c:v>4.2181633061936889E-4</c:v>
                </c:pt>
                <c:pt idx="215">
                  <c:v>4.219399814927867E-4</c:v>
                </c:pt>
                <c:pt idx="216">
                  <c:v>4.2228291143820015E-4</c:v>
                </c:pt>
                <c:pt idx="217">
                  <c:v>4.2238848305833692E-4</c:v>
                </c:pt>
                <c:pt idx="218">
                  <c:v>4.2248998675749479E-4</c:v>
                </c:pt>
                <c:pt idx="219">
                  <c:v>4.2258760328697846E-4</c:v>
                </c:pt>
                <c:pt idx="220">
                  <c:v>4.2268151339642178E-4</c:v>
                </c:pt>
                <c:pt idx="221">
                  <c:v>4.2294281265550451E-4</c:v>
                </c:pt>
                <c:pt idx="222">
                  <c:v>4.2302370452219109E-4</c:v>
                </c:pt>
                <c:pt idx="223">
                  <c:v>4.231017936726383E-4</c:v>
                </c:pt>
                <c:pt idx="224">
                  <c:v>4.2317726083926219E-4</c:v>
                </c:pt>
                <c:pt idx="225">
                  <c:v>4.2325028675107353E-4</c:v>
                </c:pt>
                <c:pt idx="226">
                  <c:v>4.2345652419830467E-4</c:v>
                </c:pt>
                <c:pt idx="227">
                  <c:v>4.2352159231634647E-4</c:v>
                </c:pt>
                <c:pt idx="228">
                  <c:v>4.2358512277746965E-4</c:v>
                </c:pt>
                <c:pt idx="229">
                  <c:v>4.2364729629166869E-4</c:v>
                </c:pt>
                <c:pt idx="230">
                  <c:v>4.2370829356600177E-4</c:v>
                </c:pt>
                <c:pt idx="231">
                  <c:v>4.2853359933693559E-4</c:v>
                </c:pt>
                <c:pt idx="232">
                  <c:v>4.23944134314061E-4</c:v>
                </c:pt>
                <c:pt idx="233">
                  <c:v>4.1935291428766669E-4</c:v>
                </c:pt>
                <c:pt idx="234">
                  <c:v>4.1941003260674272E-4</c:v>
                </c:pt>
                <c:pt idx="235">
                  <c:v>4.1946723601187468E-4</c:v>
                </c:pt>
                <c:pt idx="236">
                  <c:v>4.2429327057020606E-4</c:v>
                </c:pt>
                <c:pt idx="237">
                  <c:v>4.1970042119971205E-4</c:v>
                </c:pt>
                <c:pt idx="238">
                  <c:v>4.1976069053591359E-4</c:v>
                </c:pt>
                <c:pt idx="239">
                  <c:v>4.1982210113528481E-4</c:v>
                </c:pt>
                <c:pt idx="240">
                  <c:v>4.1988482901594441E-4</c:v>
                </c:pt>
                <c:pt idx="241">
                  <c:v>4.2473959772596517E-4</c:v>
                </c:pt>
                <c:pt idx="242">
                  <c:v>4.2015243361153012E-4</c:v>
                </c:pt>
                <c:pt idx="243">
                  <c:v>4.2022438806673073E-4</c:v>
                </c:pt>
                <c:pt idx="244">
                  <c:v>4.202987158488825E-4</c:v>
                </c:pt>
                <c:pt idx="245">
                  <c:v>4.2037559295572316E-4</c:v>
                </c:pt>
                <c:pt idx="246">
                  <c:v>4.2528606238869548E-4</c:v>
                </c:pt>
                <c:pt idx="247">
                  <c:v>4.2071211445912247E-4</c:v>
                </c:pt>
                <c:pt idx="248">
                  <c:v>4.2080437803468043E-4</c:v>
                </c:pt>
                <c:pt idx="249">
                  <c:v>4.2090024685084785E-4</c:v>
                </c:pt>
                <c:pt idx="250">
                  <c:v>4.2099989688210588E-4</c:v>
                </c:pt>
                <c:pt idx="251">
                  <c:v>4.3066384418818357E-4</c:v>
                </c:pt>
                <c:pt idx="252">
                  <c:v>4.307829218747116E-4</c:v>
                </c:pt>
                <c:pt idx="253">
                  <c:v>4.3090676370359309E-4</c:v>
                </c:pt>
                <c:pt idx="254">
                  <c:v>4.3103554952359175E-4</c:v>
                </c:pt>
                <c:pt idx="255">
                  <c:v>4.4051976222576303E-4</c:v>
                </c:pt>
                <c:pt idx="256">
                  <c:v>4.316037451738996E-4</c:v>
                </c:pt>
                <c:pt idx="257">
                  <c:v>4.3175996343801018E-4</c:v>
                </c:pt>
                <c:pt idx="258">
                  <c:v>4.3192221203243751E-4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383680"/>
        <c:axId val="541389952"/>
      </c:scatterChart>
      <c:valAx>
        <c:axId val="541383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1389952"/>
        <c:crosses val="autoZero"/>
        <c:crossBetween val="midCat"/>
      </c:valAx>
      <c:valAx>
        <c:axId val="54138995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413836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1.0654362075299927E-3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42128</c:v>
                </c:pt>
                <c:pt idx="2">
                  <c:v>42158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1.2226838020328572E-3</c:v>
                </c:pt>
                <c:pt idx="1">
                  <c:v>1.2690573861869016E-3</c:v>
                </c:pt>
                <c:pt idx="2">
                  <c:v>1.2928557160638964E-3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1.1829449335476593E-3</c:v>
                </c:pt>
                <c:pt idx="1">
                  <c:v>1.3574063199574141E-3</c:v>
                </c:pt>
                <c:pt idx="2">
                  <c:v>1.5005258038163728E-3</c:v>
                </c:pt>
                <c:pt idx="3">
                  <c:v>1.6777599865594513E-3</c:v>
                </c:pt>
                <c:pt idx="4">
                  <c:v>1.7227348862962032E-3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1.1519541535660646E-3</c:v>
                </c:pt>
                <c:pt idx="1">
                  <c:v>1.1540127017259621E-3</c:v>
                </c:pt>
                <c:pt idx="2">
                  <c:v>1.1560728024042476E-3</c:v>
                </c:pt>
                <c:pt idx="3">
                  <c:v>1.1581343447067505E-3</c:v>
                </c:pt>
                <c:pt idx="4">
                  <c:v>1.1643265124178584E-3</c:v>
                </c:pt>
                <c:pt idx="5">
                  <c:v>1.1663927122755255E-3</c:v>
                </c:pt>
                <c:pt idx="6">
                  <c:v>1.1684597992865572E-3</c:v>
                </c:pt>
                <c:pt idx="7">
                  <c:v>1.1705276625567829E-3</c:v>
                </c:pt>
                <c:pt idx="8">
                  <c:v>1.172596191192032E-3</c:v>
                </c:pt>
                <c:pt idx="9">
                  <c:v>1.1788046603462144E-3</c:v>
                </c:pt>
                <c:pt idx="10">
                  <c:v>1.1808747414998515E-3</c:v>
                </c:pt>
                <c:pt idx="11">
                  <c:v>1.1829449335476593E-3</c:v>
                </c:pt>
                <c:pt idx="12">
                  <c:v>1.1850151255954672E-3</c:v>
                </c:pt>
                <c:pt idx="13">
                  <c:v>1.1870852067491042E-3</c:v>
                </c:pt>
                <c:pt idx="14">
                  <c:v>1.1932936759032867E-3</c:v>
                </c:pt>
                <c:pt idx="15">
                  <c:v>1.1953622045385358E-3</c:v>
                </c:pt>
                <c:pt idx="16">
                  <c:v>1.1974300678087614E-3</c:v>
                </c:pt>
                <c:pt idx="17">
                  <c:v>1.1994971548197932E-3</c:v>
                </c:pt>
                <c:pt idx="18">
                  <c:v>1.2015633546774603E-3</c:v>
                </c:pt>
                <c:pt idx="19">
                  <c:v>1.2077555223885682E-3</c:v>
                </c:pt>
                <c:pt idx="20">
                  <c:v>1.209817064691071E-3</c:v>
                </c:pt>
                <c:pt idx="21">
                  <c:v>1.2118771653693565E-3</c:v>
                </c:pt>
                <c:pt idx="22">
                  <c:v>1.2139357135292541E-3</c:v>
                </c:pt>
                <c:pt idx="23">
                  <c:v>1.2242012852569503E-3</c:v>
                </c:pt>
                <c:pt idx="24">
                  <c:v>1.2262481895289376E-3</c:v>
                </c:pt>
                <c:pt idx="25">
                  <c:v>1.2282927650233426E-3</c:v>
                </c:pt>
                <c:pt idx="26">
                  <c:v>1.2303349008459951E-3</c:v>
                </c:pt>
                <c:pt idx="27">
                  <c:v>1.2364455613417306E-3</c:v>
                </c:pt>
                <c:pt idx="28">
                  <c:v>1.2384768295356666E-3</c:v>
                </c:pt>
                <c:pt idx="29">
                  <c:v>1.2405051035869973E-3</c:v>
                </c:pt>
                <c:pt idx="30">
                  <c:v>1.2425302726015517E-3</c:v>
                </c:pt>
                <c:pt idx="31">
                  <c:v>1.2445522256851595E-3</c:v>
                </c:pt>
                <c:pt idx="32">
                  <c:v>1.2505976804085973E-3</c:v>
                </c:pt>
                <c:pt idx="33">
                  <c:v>1.2526056608267127E-3</c:v>
                </c:pt>
                <c:pt idx="34">
                  <c:v>1.2546098708430286E-3</c:v>
                </c:pt>
                <c:pt idx="35">
                  <c:v>1.2566101995633745E-3</c:v>
                </c:pt>
                <c:pt idx="36">
                  <c:v>1.2586065360935797E-3</c:v>
                </c:pt>
                <c:pt idx="37">
                  <c:v>1.2645704836016451E-3</c:v>
                </c:pt>
                <c:pt idx="38">
                  <c:v>1.2665497424295818E-3</c:v>
                </c:pt>
                <c:pt idx="39">
                  <c:v>1.2685244545965247E-3</c:v>
                </c:pt>
                <c:pt idx="40">
                  <c:v>1.2704945092083038E-3</c:v>
                </c:pt>
                <c:pt idx="41">
                  <c:v>1.2724597953707481E-3</c:v>
                </c:pt>
                <c:pt idx="42">
                  <c:v>1.2802710376437665E-3</c:v>
                </c:pt>
                <c:pt idx="43">
                  <c:v>1.2822108181469785E-3</c:v>
                </c:pt>
                <c:pt idx="44">
                  <c:v>1.2841451648358325E-3</c:v>
                </c:pt>
                <c:pt idx="45">
                  <c:v>1.2860739668161577E-3</c:v>
                </c:pt>
                <c:pt idx="46">
                  <c:v>1.2918259955642553E-3</c:v>
                </c:pt>
                <c:pt idx="47">
                  <c:v>1.2937315097687598E-3</c:v>
                </c:pt>
                <c:pt idx="48">
                  <c:v>1.2956309247938828E-3</c:v>
                </c:pt>
                <c:pt idx="49">
                  <c:v>1.2975241297454535E-3</c:v>
                </c:pt>
                <c:pt idx="50">
                  <c:v>1.2994110137293016E-3</c:v>
                </c:pt>
                <c:pt idx="51">
                  <c:v>1.3050326309328034E-3</c:v>
                </c:pt>
                <c:pt idx="52">
                  <c:v>1.3068931221040547E-3</c:v>
                </c:pt>
                <c:pt idx="53">
                  <c:v>1.3087467378367305E-3</c:v>
                </c:pt>
                <c:pt idx="54">
                  <c:v>1.3105933672366598E-3</c:v>
                </c:pt>
                <c:pt idx="55">
                  <c:v>1.3124328994096727E-3</c:v>
                </c:pt>
                <c:pt idx="56">
                  <c:v>1.3197178379491443E-3</c:v>
                </c:pt>
                <c:pt idx="57">
                  <c:v>1.3215202205750145E-3</c:v>
                </c:pt>
                <c:pt idx="58">
                  <c:v>1.3233148406089443E-3</c:v>
                </c:pt>
                <c:pt idx="59">
                  <c:v>1.3251015871567637E-3</c:v>
                </c:pt>
                <c:pt idx="60">
                  <c:v>1.3304134769418509E-3</c:v>
                </c:pt>
                <c:pt idx="61">
                  <c:v>1.3321676206035213E-3</c:v>
                </c:pt>
                <c:pt idx="62">
                  <c:v>1.3339133363082277E-3</c:v>
                </c:pt>
                <c:pt idx="63">
                  <c:v>1.3356505131618002E-3</c:v>
                </c:pt>
                <c:pt idx="64">
                  <c:v>1.3373790402700677E-3</c:v>
                </c:pt>
                <c:pt idx="65">
                  <c:v>1.3425116141813358E-3</c:v>
                </c:pt>
                <c:pt idx="66">
                  <c:v>1.3442044333666786E-3</c:v>
                </c:pt>
                <c:pt idx="67">
                  <c:v>1.3458880483358635E-3</c:v>
                </c:pt>
                <c:pt idx="68">
                  <c:v>1.3475623481947201E-3</c:v>
                </c:pt>
                <c:pt idx="69">
                  <c:v>1.3492272220490778E-3</c:v>
                </c:pt>
                <c:pt idx="70">
                  <c:v>1.3541641786434524E-3</c:v>
                </c:pt>
                <c:pt idx="71">
                  <c:v>1.3557902395381091E-3</c:v>
                </c:pt>
                <c:pt idx="72">
                  <c:v>1.3574063199574141E-3</c:v>
                </c:pt>
                <c:pt idx="73">
                  <c:v>1.3590123783101934E-3</c:v>
                </c:pt>
                <c:pt idx="74">
                  <c:v>1.3606086502172595E-3</c:v>
                </c:pt>
                <c:pt idx="75">
                  <c:v>1.3653417965022703E-3</c:v>
                </c:pt>
                <c:pt idx="76">
                  <c:v>1.3669019718645752E-3</c:v>
                </c:pt>
                <c:pt idx="77">
                  <c:v>1.3684538854002123E-3</c:v>
                </c:pt>
                <c:pt idx="78">
                  <c:v>1.3699978420329913E-3</c:v>
                </c:pt>
                <c:pt idx="79">
                  <c:v>1.3715341466867207E-3</c:v>
                </c:pt>
                <c:pt idx="80">
                  <c:v>1.3761001980117048E-3</c:v>
                </c:pt>
                <c:pt idx="81">
                  <c:v>1.3776089439873284E-3</c:v>
                </c:pt>
                <c:pt idx="82">
                  <c:v>1.3791115626029483E-3</c:v>
                </c:pt>
                <c:pt idx="83">
                  <c:v>1.3806083587823738E-3</c:v>
                </c:pt>
                <c:pt idx="84">
                  <c:v>1.3820996374494137E-3</c:v>
                </c:pt>
                <c:pt idx="85">
                  <c:v>1.3865434176143121E-3</c:v>
                </c:pt>
                <c:pt idx="86">
                  <c:v>1.3880156754699016E-3</c:v>
                </c:pt>
                <c:pt idx="87">
                  <c:v>1.3894839404321514E-3</c:v>
                </c:pt>
                <c:pt idx="88">
                  <c:v>1.3909485174248705E-3</c:v>
                </c:pt>
                <c:pt idx="89">
                  <c:v>1.3924097113718679E-3</c:v>
                </c:pt>
                <c:pt idx="90">
                  <c:v>1.3967760441766222E-3</c:v>
                </c:pt>
                <c:pt idx="91">
                  <c:v>1.3982267551788247E-3</c:v>
                </c:pt>
                <c:pt idx="92">
                  <c:v>1.3996756077543511E-3</c:v>
                </c:pt>
                <c:pt idx="93">
                  <c:v>1.4011229068270109E-3</c:v>
                </c:pt>
                <c:pt idx="94">
                  <c:v>1.4025689573206128E-3</c:v>
                </c:pt>
                <c:pt idx="95">
                  <c:v>1.4069026665651642E-3</c:v>
                </c:pt>
                <c:pt idx="96">
                  <c:v>1.4083467719806268E-3</c:v>
                </c:pt>
                <c:pt idx="97">
                  <c:v>1.4097911534360771E-3</c:v>
                </c:pt>
                <c:pt idx="98">
                  <c:v>1.4112361158553246E-3</c:v>
                </c:pt>
                <c:pt idx="99">
                  <c:v>1.4126819641621783E-3</c:v>
                </c:pt>
                <c:pt idx="100">
                  <c:v>1.4170278736464678E-3</c:v>
                </c:pt>
                <c:pt idx="101">
                  <c:v>1.4184803147418374E-3</c:v>
                </c:pt>
                <c:pt idx="102">
                  <c:v>1.419935166343859E-3</c:v>
                </c:pt>
                <c:pt idx="103">
                  <c:v>1.4213927333763413E-3</c:v>
                </c:pt>
                <c:pt idx="104">
                  <c:v>1.4228533207630938E-3</c:v>
                </c:pt>
                <c:pt idx="105">
                  <c:v>1.4272562542870626E-3</c:v>
                </c:pt>
                <c:pt idx="106">
                  <c:v>1.4287319723289863E-3</c:v>
                </c:pt>
                <c:pt idx="107">
                  <c:v>1.430212235344226E-3</c:v>
                </c:pt>
                <c:pt idx="108">
                  <c:v>1.4316973482565902E-3</c:v>
                </c:pt>
                <c:pt idx="109">
                  <c:v>1.4331876159898885E-3</c:v>
                </c:pt>
                <c:pt idx="110">
                  <c:v>1.437692397353478E-3</c:v>
                </c:pt>
                <c:pt idx="111">
                  <c:v>1.4392063336086031E-3</c:v>
                </c:pt>
                <c:pt idx="112">
                  <c:v>1.4407269493037077E-3</c:v>
                </c:pt>
                <c:pt idx="113">
                  <c:v>1.4422545493626012E-3</c:v>
                </c:pt>
                <c:pt idx="114">
                  <c:v>1.4437894387090923E-3</c:v>
                </c:pt>
                <c:pt idx="115">
                  <c:v>1.4484408917122436E-3</c:v>
                </c:pt>
                <c:pt idx="116">
                  <c:v>1.450007987447217E-3</c:v>
                </c:pt>
                <c:pt idx="117">
                  <c:v>1.451583897088834E-3</c:v>
                </c:pt>
                <c:pt idx="118">
                  <c:v>1.4531689255609034E-3</c:v>
                </c:pt>
                <c:pt idx="119">
                  <c:v>1.4547633777872344E-3</c:v>
                </c:pt>
                <c:pt idx="120">
                  <c:v>1.4596063262298888E-3</c:v>
                </c:pt>
                <c:pt idx="121">
                  <c:v>1.4612415227113578E-3</c:v>
                </c:pt>
                <c:pt idx="122">
                  <c:v>1.4628876675661341E-3</c:v>
                </c:pt>
                <c:pt idx="123">
                  <c:v>1.4645450657180265E-3</c:v>
                </c:pt>
                <c:pt idx="124">
                  <c:v>1.4662140220908448E-3</c:v>
                </c:pt>
                <c:pt idx="125">
                  <c:v>1.4730115282675549E-3</c:v>
                </c:pt>
                <c:pt idx="126">
                  <c:v>1.4747428496021376E-3</c:v>
                </c:pt>
                <c:pt idx="127">
                  <c:v>1.4764875587005004E-3</c:v>
                </c:pt>
                <c:pt idx="128">
                  <c:v>1.4782459604864525E-3</c:v>
                </c:pt>
                <c:pt idx="129">
                  <c:v>1.4836063712079369E-3</c:v>
                </c:pt>
                <c:pt idx="130">
                  <c:v>1.4854225929823378E-3</c:v>
                </c:pt>
                <c:pt idx="131">
                  <c:v>1.487254032063374E-3</c:v>
                </c:pt>
                <c:pt idx="132">
                  <c:v>1.4891009933748541E-3</c:v>
                </c:pt>
                <c:pt idx="133">
                  <c:v>1.4909637818405876E-3</c:v>
                </c:pt>
                <c:pt idx="134">
                  <c:v>1.4966501594013985E-3</c:v>
                </c:pt>
                <c:pt idx="135">
                  <c:v>1.4985793057222363E-3</c:v>
                </c:pt>
                <c:pt idx="136">
                  <c:v>1.5005258038163728E-3</c:v>
                </c:pt>
                <c:pt idx="137">
                  <c:v>1.5024898098486949E-3</c:v>
                </c:pt>
                <c:pt idx="138">
                  <c:v>1.5044708849484003E-3</c:v>
                </c:pt>
                <c:pt idx="139">
                  <c:v>1.5105106483545654E-3</c:v>
                </c:pt>
                <c:pt idx="140">
                  <c:v>1.5125541234265539E-3</c:v>
                </c:pt>
                <c:pt idx="141">
                  <c:v>1.5146117294173008E-3</c:v>
                </c:pt>
                <c:pt idx="142">
                  <c:v>1.5166828786970811E-3</c:v>
                </c:pt>
                <c:pt idx="143">
                  <c:v>1.5187669836361703E-3</c:v>
                </c:pt>
                <c:pt idx="144">
                  <c:v>1.5250911561120401E-3</c:v>
                </c:pt>
                <c:pt idx="145">
                  <c:v>1.5272212073911145E-3</c:v>
                </c:pt>
                <c:pt idx="146">
                  <c:v>1.529361276180873E-3</c:v>
                </c:pt>
                <c:pt idx="147">
                  <c:v>1.5315107748515907E-3</c:v>
                </c:pt>
                <c:pt idx="148">
                  <c:v>1.5336691157735423E-3</c:v>
                </c:pt>
                <c:pt idx="149">
                  <c:v>1.5401913157495537E-3</c:v>
                </c:pt>
                <c:pt idx="150">
                  <c:v>1.542379149379193E-3</c:v>
                </c:pt>
                <c:pt idx="151">
                  <c:v>1.5445728871114419E-3</c:v>
                </c:pt>
                <c:pt idx="152">
                  <c:v>1.5467719413165756E-3</c:v>
                </c:pt>
                <c:pt idx="153">
                  <c:v>1.5489757243648688E-3</c:v>
                </c:pt>
                <c:pt idx="154">
                  <c:v>1.5556095702714582E-3</c:v>
                </c:pt>
                <c:pt idx="155">
                  <c:v>1.5578263923951413E-3</c:v>
                </c:pt>
                <c:pt idx="156">
                  <c:v>1.5600450052133598E-3</c:v>
                </c:pt>
                <c:pt idx="157">
                  <c:v>1.5622648210963882E-3</c:v>
                </c:pt>
                <c:pt idx="158">
                  <c:v>1.5644852524145021E-3</c:v>
                </c:pt>
                <c:pt idx="159">
                  <c:v>1.5711443626821064E-3</c:v>
                </c:pt>
                <c:pt idx="160">
                  <c:v>1.5733613794433122E-3</c:v>
                </c:pt>
                <c:pt idx="161">
                  <c:v>1.5755760734909787E-3</c:v>
                </c:pt>
                <c:pt idx="162">
                  <c:v>1.5777878571953811E-3</c:v>
                </c:pt>
                <c:pt idx="163">
                  <c:v>1.5799961429267943E-3</c:v>
                </c:pt>
                <c:pt idx="164">
                  <c:v>1.5865941359858499E-3</c:v>
                </c:pt>
                <c:pt idx="165">
                  <c:v>1.5887825535280575E-3</c:v>
                </c:pt>
                <c:pt idx="166">
                  <c:v>1.5909645349486512E-3</c:v>
                </c:pt>
                <c:pt idx="167">
                  <c:v>1.5931394926179065E-3</c:v>
                </c:pt>
                <c:pt idx="168">
                  <c:v>1.5953068389060979E-3</c:v>
                </c:pt>
                <c:pt idx="169">
                  <c:v>1.6017573331870419E-3</c:v>
                </c:pt>
                <c:pt idx="170">
                  <c:v>1.6038883576537299E-3</c:v>
                </c:pt>
                <c:pt idx="171">
                  <c:v>1.6060088325907296E-3</c:v>
                </c:pt>
                <c:pt idx="172">
                  <c:v>1.6081181703683164E-3</c:v>
                </c:pt>
                <c:pt idx="173">
                  <c:v>1.610215783356765E-3</c:v>
                </c:pt>
                <c:pt idx="174">
                  <c:v>1.6164323972900339E-3</c:v>
                </c:pt>
                <c:pt idx="175">
                  <c:v>1.6184772348246813E-3</c:v>
                </c:pt>
                <c:pt idx="176">
                  <c:v>1.6205074094215661E-3</c:v>
                </c:pt>
                <c:pt idx="177">
                  <c:v>1.6225223334509634E-3</c:v>
                </c:pt>
                <c:pt idx="178">
                  <c:v>1.6245214192831482E-3</c:v>
                </c:pt>
                <c:pt idx="179">
                  <c:v>1.6304177712991787E-3</c:v>
                </c:pt>
                <c:pt idx="180">
                  <c:v>1.6323476280452644E-3</c:v>
                </c:pt>
                <c:pt idx="181">
                  <c:v>1.6342587084455132E-3</c:v>
                </c:pt>
                <c:pt idx="182">
                  <c:v>1.6361504248701996E-3</c:v>
                </c:pt>
                <c:pt idx="183">
                  <c:v>1.6380221896895996E-3</c:v>
                </c:pt>
                <c:pt idx="184">
                  <c:v>1.6435118982188284E-3</c:v>
                </c:pt>
                <c:pt idx="185">
                  <c:v>1.6452979803198314E-3</c:v>
                </c:pt>
                <c:pt idx="186">
                  <c:v>1.6470611726669227E-3</c:v>
                </c:pt>
                <c:pt idx="187">
                  <c:v>1.6488008876303778E-3</c:v>
                </c:pt>
                <c:pt idx="188">
                  <c:v>1.6505165375804713E-3</c:v>
                </c:pt>
                <c:pt idx="189">
                  <c:v>1.6555132210533353E-3</c:v>
                </c:pt>
                <c:pt idx="190">
                  <c:v>1.6571267346527343E-3</c:v>
                </c:pt>
                <c:pt idx="191">
                  <c:v>1.6587132450901474E-3</c:v>
                </c:pt>
                <c:pt idx="192">
                  <c:v>1.6602721647358497E-3</c:v>
                </c:pt>
                <c:pt idx="193">
                  <c:v>1.6618029059601162E-3</c:v>
                </c:pt>
                <c:pt idx="194">
                  <c:v>1.6662201828070518E-3</c:v>
                </c:pt>
                <c:pt idx="195">
                  <c:v>1.6676323340483257E-3</c:v>
                </c:pt>
                <c:pt idx="196">
                  <c:v>1.6690133687195395E-3</c:v>
                </c:pt>
                <c:pt idx="197">
                  <c:v>1.670362699190968E-3</c:v>
                </c:pt>
                <c:pt idx="198">
                  <c:v>1.6716797378328861E-3</c:v>
                </c:pt>
                <c:pt idx="199">
                  <c:v>1.67543122648433E-3</c:v>
                </c:pt>
                <c:pt idx="200">
                  <c:v>1.676613221510958E-3</c:v>
                </c:pt>
                <c:pt idx="201">
                  <c:v>1.6777599865594513E-3</c:v>
                </c:pt>
                <c:pt idx="202">
                  <c:v>1.6788711520901224E-3</c:v>
                </c:pt>
                <c:pt idx="203">
                  <c:v>1.6799472209234338E-3</c:v>
                </c:pt>
                <c:pt idx="204">
                  <c:v>1.6829720563442153E-3</c:v>
                </c:pt>
                <c:pt idx="205">
                  <c:v>1.6839149474930926E-3</c:v>
                </c:pt>
                <c:pt idx="206">
                  <c:v>1.6848263464971118E-3</c:v>
                </c:pt>
                <c:pt idx="207">
                  <c:v>1.6857069742667737E-3</c:v>
                </c:pt>
                <c:pt idx="208">
                  <c:v>1.6896737764672332E-3</c:v>
                </c:pt>
                <c:pt idx="209">
                  <c:v>1.6903849159512574E-3</c:v>
                </c:pt>
                <c:pt idx="210">
                  <c:v>1.6910703305744264E-3</c:v>
                </c:pt>
                <c:pt idx="211">
                  <c:v>1.6935691586685577E-3</c:v>
                </c:pt>
                <c:pt idx="212">
                  <c:v>1.6941367626449558E-3</c:v>
                </c:pt>
                <c:pt idx="213">
                  <c:v>1.694682967223501E-3</c:v>
                </c:pt>
                <c:pt idx="214">
                  <c:v>1.6952084933146933E-3</c:v>
                </c:pt>
                <c:pt idx="215">
                  <c:v>1.6957140618290331E-3</c:v>
                </c:pt>
                <c:pt idx="216">
                  <c:v>1.6971182310159406E-3</c:v>
                </c:pt>
                <c:pt idx="217">
                  <c:v>1.6975511783278736E-3</c:v>
                </c:pt>
                <c:pt idx="218">
                  <c:v>1.6979677726154557E-3</c:v>
                </c:pt>
                <c:pt idx="219">
                  <c:v>1.6983687347891874E-3</c:v>
                </c:pt>
                <c:pt idx="220">
                  <c:v>1.6987547857595688E-3</c:v>
                </c:pt>
                <c:pt idx="221">
                  <c:v>1.6998306805556154E-3</c:v>
                </c:pt>
                <c:pt idx="222">
                  <c:v>1.7001642958175993E-3</c:v>
                </c:pt>
                <c:pt idx="223">
                  <c:v>1.7004866044287347E-3</c:v>
                </c:pt>
                <c:pt idx="224">
                  <c:v>1.7007983272995218E-3</c:v>
                </c:pt>
                <c:pt idx="225">
                  <c:v>1.7011001853404612E-3</c:v>
                </c:pt>
                <c:pt idx="226">
                  <c:v>1.701953779589195E-3</c:v>
                </c:pt>
                <c:pt idx="227">
                  <c:v>1.7022233874157461E-3</c:v>
                </c:pt>
                <c:pt idx="228">
                  <c:v>1.7024867349649509E-3</c:v>
                </c:pt>
                <c:pt idx="229">
                  <c:v>1.7027445431473096E-3</c:v>
                </c:pt>
                <c:pt idx="230">
                  <c:v>1.7029975328733231E-3</c:v>
                </c:pt>
                <c:pt idx="231">
                  <c:v>1.7037348004182928E-3</c:v>
                </c:pt>
                <c:pt idx="232">
                  <c:v>1.703975725423927E-3</c:v>
                </c:pt>
                <c:pt idx="233">
                  <c:v>1.7042154365257173E-3</c:v>
                </c:pt>
                <c:pt idx="234">
                  <c:v>1.7044546546341639E-3</c:v>
                </c:pt>
                <c:pt idx="235">
                  <c:v>1.7046941006597675E-3</c:v>
                </c:pt>
                <c:pt idx="236">
                  <c:v>1.7054210153445214E-3</c:v>
                </c:pt>
                <c:pt idx="237">
                  <c:v>1.7056685821437551E-3</c:v>
                </c:pt>
                <c:pt idx="238">
                  <c:v>1.7059199814126471E-3</c:v>
                </c:pt>
                <c:pt idx="239">
                  <c:v>1.7061759340616979E-3</c:v>
                </c:pt>
                <c:pt idx="240">
                  <c:v>1.7064371610014076E-3</c:v>
                </c:pt>
                <c:pt idx="241">
                  <c:v>1.7072596966694943E-3</c:v>
                </c:pt>
                <c:pt idx="242">
                  <c:v>1.7075492298768435E-3</c:v>
                </c:pt>
                <c:pt idx="243">
                  <c:v>1.7078476419273533E-3</c:v>
                </c:pt>
                <c:pt idx="244">
                  <c:v>1.7081556537315243E-3</c:v>
                </c:pt>
                <c:pt idx="245">
                  <c:v>1.7084739861998564E-3</c:v>
                </c:pt>
                <c:pt idx="246">
                  <c:v>1.7094981166948242E-3</c:v>
                </c:pt>
                <c:pt idx="247">
                  <c:v>1.709864940924805E-3</c:v>
                </c:pt>
                <c:pt idx="248">
                  <c:v>1.710245690371449E-3</c:v>
                </c:pt>
                <c:pt idx="249">
                  <c:v>1.7106410859452561E-3</c:v>
                </c:pt>
                <c:pt idx="250">
                  <c:v>1.7110518485567269E-3</c:v>
                </c:pt>
                <c:pt idx="251">
                  <c:v>1.7123835477221244E-3</c:v>
                </c:pt>
                <c:pt idx="252">
                  <c:v>1.7128629875892531E-3</c:v>
                </c:pt>
                <c:pt idx="253">
                  <c:v>1.7133613990465472E-3</c:v>
                </c:pt>
                <c:pt idx="254">
                  <c:v>1.7138795030045067E-3</c:v>
                </c:pt>
                <c:pt idx="255">
                  <c:v>1.7144180203736321E-3</c:v>
                </c:pt>
                <c:pt idx="256">
                  <c:v>1.7161632620530079E-3</c:v>
                </c:pt>
                <c:pt idx="257">
                  <c:v>1.7167906421718005E-3</c:v>
                </c:pt>
                <c:pt idx="258">
                  <c:v>1.7174420402542609E-3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126592"/>
        <c:axId val="540128384"/>
      </c:scatterChart>
      <c:valAx>
        <c:axId val="540126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0128384"/>
        <c:crosses val="autoZero"/>
        <c:crossBetween val="midCat"/>
      </c:valAx>
      <c:valAx>
        <c:axId val="54012838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401265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42066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1.1205617194199769E-3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42128</c:v>
                </c:pt>
                <c:pt idx="2">
                  <c:v>42158</c:v>
                </c:pt>
                <c:pt idx="3">
                  <c:v>42188</c:v>
                </c:pt>
                <c:pt idx="4">
                  <c:v>42219</c:v>
                </c:pt>
                <c:pt idx="5">
                  <c:v>42250</c:v>
                </c:pt>
                <c:pt idx="6">
                  <c:v>42282</c:v>
                </c:pt>
                <c:pt idx="7">
                  <c:v>42311</c:v>
                </c:pt>
                <c:pt idx="8">
                  <c:v>42341</c:v>
                </c:pt>
                <c:pt idx="9">
                  <c:v>42373</c:v>
                </c:pt>
                <c:pt idx="10">
                  <c:v>42403</c:v>
                </c:pt>
                <c:pt idx="11">
                  <c:v>42432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1.1411362408657835E-3</c:v>
                </c:pt>
                <c:pt idx="1">
                  <c:v>1.182862615111828E-3</c:v>
                </c:pt>
                <c:pt idx="2">
                  <c:v>1.183359160095987E-3</c:v>
                </c:pt>
                <c:pt idx="3">
                  <c:v>1.238823556118793E-3</c:v>
                </c:pt>
                <c:pt idx="4">
                  <c:v>1.3003907951428203E-3</c:v>
                </c:pt>
                <c:pt idx="5">
                  <c:v>1.2518964724373505E-3</c:v>
                </c:pt>
                <c:pt idx="6">
                  <c:v>0</c:v>
                </c:pt>
                <c:pt idx="7">
                  <c:v>0</c:v>
                </c:pt>
                <c:pt idx="8">
                  <c:v>1.2701744105869533E-3</c:v>
                </c:pt>
                <c:pt idx="9">
                  <c:v>0</c:v>
                </c:pt>
                <c:pt idx="10">
                  <c:v>0</c:v>
                </c:pt>
                <c:pt idx="11">
                  <c:v>1.344894893350633E-3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  <c:pt idx="259">
                  <c:v>42439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1.109049354258699E-3</c:v>
                </c:pt>
                <c:pt idx="1">
                  <c:v>1.1090955245742114E-3</c:v>
                </c:pt>
                <c:pt idx="2">
                  <c:v>1.121253226762661E-3</c:v>
                </c:pt>
                <c:pt idx="3">
                  <c:v>1.1154701756558216E-3</c:v>
                </c:pt>
                <c:pt idx="4">
                  <c:v>1.110640186373704E-3</c:v>
                </c:pt>
                <c:pt idx="5">
                  <c:v>1.1111931157253019E-3</c:v>
                </c:pt>
                <c:pt idx="6">
                  <c:v>1.1118211217257183E-3</c:v>
                </c:pt>
                <c:pt idx="7">
                  <c:v>1.1245775051458547E-3</c:v>
                </c:pt>
                <c:pt idx="8">
                  <c:v>1.1193238877407377E-3</c:v>
                </c:pt>
                <c:pt idx="9">
                  <c:v>1.1159933505543113E-3</c:v>
                </c:pt>
                <c:pt idx="10">
                  <c:v>1.1170154438861532E-3</c:v>
                </c:pt>
                <c:pt idx="11">
                  <c:v>1.1180938229540104E-3</c:v>
                </c:pt>
                <c:pt idx="12">
                  <c:v>1.1313543718775116E-3</c:v>
                </c:pt>
                <c:pt idx="13">
                  <c:v>1.1264794995172924E-3</c:v>
                </c:pt>
                <c:pt idx="14">
                  <c:v>1.1242361690528041E-3</c:v>
                </c:pt>
                <c:pt idx="15">
                  <c:v>1.125595963492044E-3</c:v>
                </c:pt>
                <c:pt idx="16">
                  <c:v>1.1269932781052445E-3</c:v>
                </c:pt>
                <c:pt idx="17">
                  <c:v>1.14065357648409E-3</c:v>
                </c:pt>
                <c:pt idx="18">
                  <c:v>1.1360118447779103E-3</c:v>
                </c:pt>
                <c:pt idx="19">
                  <c:v>1.1344488324976417E-3</c:v>
                </c:pt>
                <c:pt idx="20">
                  <c:v>1.1298595212833602E-3</c:v>
                </c:pt>
                <c:pt idx="21">
                  <c:v>1.1314358439666349E-3</c:v>
                </c:pt>
                <c:pt idx="22">
                  <c:v>1.1330281557152414E-3</c:v>
                </c:pt>
                <c:pt idx="23">
                  <c:v>1.1411362408657835E-3</c:v>
                </c:pt>
                <c:pt idx="24">
                  <c:v>1.1427684942108224E-3</c:v>
                </c:pt>
                <c:pt idx="25">
                  <c:v>1.1443980652671958E-3</c:v>
                </c:pt>
                <c:pt idx="26">
                  <c:v>1.1585087245480246E-3</c:v>
                </c:pt>
                <c:pt idx="27">
                  <c:v>1.1508361211297492E-3</c:v>
                </c:pt>
                <c:pt idx="28">
                  <c:v>1.1524122266935769E-3</c:v>
                </c:pt>
                <c:pt idx="29">
                  <c:v>1.1539696283984634E-3</c:v>
                </c:pt>
                <c:pt idx="30">
                  <c:v>1.1555056560114325E-3</c:v>
                </c:pt>
                <c:pt idx="31">
                  <c:v>1.1696232539744067E-3</c:v>
                </c:pt>
                <c:pt idx="32">
                  <c:v>1.1613826212423641E-3</c:v>
                </c:pt>
                <c:pt idx="33">
                  <c:v>1.1627717252815255E-3</c:v>
                </c:pt>
                <c:pt idx="34">
                  <c:v>1.1641234340799508E-3</c:v>
                </c:pt>
                <c:pt idx="35">
                  <c:v>1.1654350775003131E-3</c:v>
                </c:pt>
                <c:pt idx="36">
                  <c:v>1.1794141734087563E-3</c:v>
                </c:pt>
                <c:pt idx="37">
                  <c:v>1.1702275953930519E-3</c:v>
                </c:pt>
                <c:pt idx="38">
                  <c:v>1.1712988606253196E-3</c:v>
                </c:pt>
                <c:pt idx="39">
                  <c:v>1.1723140401391425E-3</c:v>
                </c:pt>
                <c:pt idx="40">
                  <c:v>1.1732704639765676E-3</c:v>
                </c:pt>
                <c:pt idx="41">
                  <c:v>1.1869556474842769E-3</c:v>
                </c:pt>
                <c:pt idx="42">
                  <c:v>1.1834896741589639E-3</c:v>
                </c:pt>
                <c:pt idx="43">
                  <c:v>1.1840486132584152E-3</c:v>
                </c:pt>
                <c:pt idx="44">
                  <c:v>1.1973752541758569E-3</c:v>
                </c:pt>
                <c:pt idx="45">
                  <c:v>1.1913977863653245E-3</c:v>
                </c:pt>
                <c:pt idx="46">
                  <c:v>1.1859746229772948E-3</c:v>
                </c:pt>
                <c:pt idx="47">
                  <c:v>1.1862167106241586E-3</c:v>
                </c:pt>
                <c:pt idx="48">
                  <c:v>1.186421300958257E-3</c:v>
                </c:pt>
                <c:pt idx="49">
                  <c:v>1.1994453269824185E-3</c:v>
                </c:pt>
                <c:pt idx="50">
                  <c:v>1.1931626292881047E-3</c:v>
                </c:pt>
                <c:pt idx="51">
                  <c:v>1.1870349002308575E-3</c:v>
                </c:pt>
                <c:pt idx="52">
                  <c:v>1.1871063703802597E-3</c:v>
                </c:pt>
                <c:pt idx="53">
                  <c:v>1.1871709639736056E-3</c:v>
                </c:pt>
                <c:pt idx="54">
                  <c:v>1.2000918457734169E-3</c:v>
                </c:pt>
                <c:pt idx="55">
                  <c:v>1.1937268645527139E-3</c:v>
                </c:pt>
                <c:pt idx="56">
                  <c:v>1.1876590677249459E-3</c:v>
                </c:pt>
                <c:pt idx="57">
                  <c:v>1.1877979990749772E-3</c:v>
                </c:pt>
                <c:pt idx="58">
                  <c:v>1.2008314325288605E-3</c:v>
                </c:pt>
                <c:pt idx="59">
                  <c:v>1.1945989734525096E-3</c:v>
                </c:pt>
                <c:pt idx="60">
                  <c:v>1.1825626920500092E-3</c:v>
                </c:pt>
                <c:pt idx="61">
                  <c:v>1.1829338969155656E-3</c:v>
                </c:pt>
                <c:pt idx="62">
                  <c:v>1.183359160095987E-3</c:v>
                </c:pt>
                <c:pt idx="63">
                  <c:v>1.183842188661241E-3</c:v>
                </c:pt>
                <c:pt idx="64">
                  <c:v>1.1972820536326272E-3</c:v>
                </c:pt>
                <c:pt idx="65">
                  <c:v>1.1863682682006662E-3</c:v>
                </c:pt>
                <c:pt idx="66">
                  <c:v>1.187150750750092E-3</c:v>
                </c:pt>
                <c:pt idx="67">
                  <c:v>1.1879946068357142E-3</c:v>
                </c:pt>
                <c:pt idx="68">
                  <c:v>1.1889003306566046E-3</c:v>
                </c:pt>
                <c:pt idx="69">
                  <c:v>1.2028260540923445E-3</c:v>
                </c:pt>
                <c:pt idx="70">
                  <c:v>1.193151786435016E-3</c:v>
                </c:pt>
                <c:pt idx="71">
                  <c:v>1.1943742610656294E-3</c:v>
                </c:pt>
                <c:pt idx="72">
                  <c:v>1.1956615680987948E-3</c:v>
                </c:pt>
                <c:pt idx="73">
                  <c:v>1.1970142015471847E-3</c:v>
                </c:pt>
                <c:pt idx="74">
                  <c:v>1.2114834551451503E-3</c:v>
                </c:pt>
                <c:pt idx="75">
                  <c:v>1.2030878785954189E-3</c:v>
                </c:pt>
                <c:pt idx="76">
                  <c:v>1.2047745531440081E-3</c:v>
                </c:pt>
                <c:pt idx="77">
                  <c:v>1.2065295174673322E-3</c:v>
                </c:pt>
                <c:pt idx="78">
                  <c:v>1.2346695619488261E-3</c:v>
                </c:pt>
                <c:pt idx="79">
                  <c:v>1.2300147837379176E-3</c:v>
                </c:pt>
                <c:pt idx="80">
                  <c:v>1.2163459658761529E-3</c:v>
                </c:pt>
                <c:pt idx="81">
                  <c:v>1.2185210363377895E-3</c:v>
                </c:pt>
                <c:pt idx="82">
                  <c:v>1.2473540629207248E-3</c:v>
                </c:pt>
                <c:pt idx="83">
                  <c:v>1.2430647888213831E-3</c:v>
                </c:pt>
                <c:pt idx="84">
                  <c:v>1.238823556118793E-3</c:v>
                </c:pt>
                <c:pt idx="85">
                  <c:v>1.2397683066776657E-3</c:v>
                </c:pt>
                <c:pt idx="86">
                  <c:v>1.242414318167405E-3</c:v>
                </c:pt>
                <c:pt idx="87">
                  <c:v>1.2450994512326243E-3</c:v>
                </c:pt>
                <c:pt idx="88">
                  <c:v>1.2613285849455971E-3</c:v>
                </c:pt>
                <c:pt idx="89">
                  <c:v>1.2573242584520393E-3</c:v>
                </c:pt>
                <c:pt idx="90">
                  <c:v>1.2588100441259277E-3</c:v>
                </c:pt>
                <c:pt idx="91">
                  <c:v>1.2615487718568826E-3</c:v>
                </c:pt>
                <c:pt idx="92">
                  <c:v>1.264266244836389E-3</c:v>
                </c:pt>
                <c:pt idx="93">
                  <c:v>1.2806736803857462E-3</c:v>
                </c:pt>
                <c:pt idx="94">
                  <c:v>1.2764772866960959E-3</c:v>
                </c:pt>
                <c:pt idx="95">
                  <c:v>1.2772329443854562E-3</c:v>
                </c:pt>
                <c:pt idx="96">
                  <c:v>1.279641785542259E-3</c:v>
                </c:pt>
                <c:pt idx="97">
                  <c:v>1.2819690062713218E-3</c:v>
                </c:pt>
                <c:pt idx="98">
                  <c:v>1.2981112868647158E-3</c:v>
                </c:pt>
                <c:pt idx="99">
                  <c:v>1.2933084070630486E-3</c:v>
                </c:pt>
                <c:pt idx="100">
                  <c:v>1.2920790144702132E-3</c:v>
                </c:pt>
                <c:pt idx="101">
                  <c:v>1.2937354423216225E-3</c:v>
                </c:pt>
                <c:pt idx="102">
                  <c:v>1.2952498950271772E-3</c:v>
                </c:pt>
                <c:pt idx="103">
                  <c:v>1.2895941678587326E-3</c:v>
                </c:pt>
                <c:pt idx="104">
                  <c:v>1.2837660202685548E-3</c:v>
                </c:pt>
                <c:pt idx="105">
                  <c:v>1.3003907951428203E-3</c:v>
                </c:pt>
                <c:pt idx="106">
                  <c:v>1.3008405322531527E-3</c:v>
                </c:pt>
                <c:pt idx="107">
                  <c:v>1.3010400729414422E-3</c:v>
                </c:pt>
                <c:pt idx="108">
                  <c:v>1.3150878454237401E-3</c:v>
                </c:pt>
                <c:pt idx="109">
                  <c:v>1.3077891303771988E-3</c:v>
                </c:pt>
                <c:pt idx="110">
                  <c:v>1.2988112799406553E-3</c:v>
                </c:pt>
                <c:pt idx="111">
                  <c:v>1.2978255069449232E-3</c:v>
                </c:pt>
                <c:pt idx="112">
                  <c:v>1.296694822548307E-3</c:v>
                </c:pt>
                <c:pt idx="113">
                  <c:v>1.3094557098051304E-3</c:v>
                </c:pt>
                <c:pt idx="114">
                  <c:v>1.3010622660241296E-3</c:v>
                </c:pt>
                <c:pt idx="115">
                  <c:v>1.2893940983380555E-3</c:v>
                </c:pt>
                <c:pt idx="116">
                  <c:v>1.287709762781878E-3</c:v>
                </c:pt>
                <c:pt idx="117">
                  <c:v>1.2859857855831254E-3</c:v>
                </c:pt>
                <c:pt idx="118">
                  <c:v>1.298136238521936E-3</c:v>
                </c:pt>
                <c:pt idx="119">
                  <c:v>1.2894191864620825E-3</c:v>
                </c:pt>
                <c:pt idx="120">
                  <c:v>1.2772975741191137E-3</c:v>
                </c:pt>
                <c:pt idx="121">
                  <c:v>1.2756515224228969E-3</c:v>
                </c:pt>
                <c:pt idx="122">
                  <c:v>1.274071084701584E-3</c:v>
                </c:pt>
                <c:pt idx="123">
                  <c:v>1.2863432449651954E-3</c:v>
                </c:pt>
                <c:pt idx="124">
                  <c:v>1.2780457092689791E-3</c:v>
                </c:pt>
                <c:pt idx="125">
                  <c:v>1.253097659230104E-3</c:v>
                </c:pt>
                <c:pt idx="126">
                  <c:v>1.2524051324641057E-3</c:v>
                </c:pt>
                <c:pt idx="127">
                  <c:v>1.2518964724373505E-3</c:v>
                </c:pt>
                <c:pt idx="128">
                  <c:v>1.2514919731633869E-3</c:v>
                </c:pt>
                <c:pt idx="129">
                  <c:v>1.2503649890646161E-3</c:v>
                </c:pt>
                <c:pt idx="130">
                  <c:v>1.2500178583676729E-3</c:v>
                </c:pt>
                <c:pt idx="131">
                  <c:v>1.2496848393839916E-3</c:v>
                </c:pt>
                <c:pt idx="132">
                  <c:v>1.2493658399398645E-3</c:v>
                </c:pt>
                <c:pt idx="133">
                  <c:v>1.2490607678610963E-3</c:v>
                </c:pt>
                <c:pt idx="134">
                  <c:v>1.2482281940639477E-3</c:v>
                </c:pt>
                <c:pt idx="135">
                  <c:v>1.2479779096913563E-3</c:v>
                </c:pt>
                <c:pt idx="136">
                  <c:v>1.2477410918038335E-3</c:v>
                </c:pt>
                <c:pt idx="137">
                  <c:v>1.2475176482247446E-3</c:v>
                </c:pt>
                <c:pt idx="138">
                  <c:v>1.2473074867757248E-3</c:v>
                </c:pt>
                <c:pt idx="139">
                  <c:v>1.2467557734325528E-3</c:v>
                </c:pt>
                <c:pt idx="140">
                  <c:v>1.2465978187247895E-3</c:v>
                </c:pt>
                <c:pt idx="141">
                  <c:v>1.2464526852563544E-3</c:v>
                </c:pt>
                <c:pt idx="142">
                  <c:v>1.2463202808485133E-3</c:v>
                </c:pt>
                <c:pt idx="143">
                  <c:v>1.2734657639580458E-3</c:v>
                </c:pt>
                <c:pt idx="144">
                  <c:v>1.2527313034239808E-3</c:v>
                </c:pt>
                <c:pt idx="145">
                  <c:v>1.2458459684670372E-3</c:v>
                </c:pt>
                <c:pt idx="146">
                  <c:v>1.2457880026733354E-3</c:v>
                </c:pt>
                <c:pt idx="147">
                  <c:v>1.2525562358834958E-3</c:v>
                </c:pt>
                <c:pt idx="148">
                  <c:v>1.2661487585084715E-3</c:v>
                </c:pt>
                <c:pt idx="149">
                  <c:v>1.2524911770815644E-3</c:v>
                </c:pt>
                <c:pt idx="150">
                  <c:v>1.2525043601632935E-3</c:v>
                </c:pt>
                <c:pt idx="151">
                  <c:v>1.2525291401184508E-3</c:v>
                </c:pt>
                <c:pt idx="152">
                  <c:v>1.2525654276134654E-3</c:v>
                </c:pt>
                <c:pt idx="153">
                  <c:v>1.2662401385374557E-3</c:v>
                </c:pt>
                <c:pt idx="154">
                  <c:v>1.2528238663619263E-3</c:v>
                </c:pt>
                <c:pt idx="155">
                  <c:v>1.2529163516015935E-3</c:v>
                </c:pt>
                <c:pt idx="156">
                  <c:v>1.2530198084154012E-3</c:v>
                </c:pt>
                <c:pt idx="157">
                  <c:v>1.2531341474854713E-3</c:v>
                </c:pt>
                <c:pt idx="158">
                  <c:v>1.2668926587562294E-3</c:v>
                </c:pt>
                <c:pt idx="159">
                  <c:v>1.2536985400903344E-3</c:v>
                </c:pt>
                <c:pt idx="160">
                  <c:v>1.2538659508016304E-3</c:v>
                </c:pt>
                <c:pt idx="161">
                  <c:v>1.254043707944539E-3</c:v>
                </c:pt>
                <c:pt idx="162">
                  <c:v>1.2542317222317674E-3</c:v>
                </c:pt>
                <c:pt idx="163">
                  <c:v>1.2680753333925876E-3</c:v>
                </c:pt>
                <c:pt idx="164">
                  <c:v>1.2550845652839011E-3</c:v>
                </c:pt>
                <c:pt idx="165">
                  <c:v>1.2553225261911147E-3</c:v>
                </c:pt>
                <c:pt idx="166">
                  <c:v>1.2555702086461231E-3</c:v>
                </c:pt>
                <c:pt idx="167">
                  <c:v>1.2558275234061972E-3</c:v>
                </c:pt>
                <c:pt idx="168">
                  <c:v>1.2492623704026813E-3</c:v>
                </c:pt>
                <c:pt idx="169">
                  <c:v>1.2569513209089306E-3</c:v>
                </c:pt>
                <c:pt idx="170">
                  <c:v>1.2504173385094448E-3</c:v>
                </c:pt>
                <c:pt idx="171">
                  <c:v>1.2507289206625078E-3</c:v>
                </c:pt>
                <c:pt idx="172">
                  <c:v>1.2510494543605919E-3</c:v>
                </c:pt>
                <c:pt idx="173">
                  <c:v>1.2513788433061112E-3</c:v>
                </c:pt>
                <c:pt idx="174">
                  <c:v>1.2524191786575894E-3</c:v>
                </c:pt>
                <c:pt idx="175">
                  <c:v>1.2527830256231266E-3</c:v>
                </c:pt>
                <c:pt idx="176">
                  <c:v>1.2531552463500154E-3</c:v>
                </c:pt>
                <c:pt idx="177">
                  <c:v>1.2535357445388048E-3</c:v>
                </c:pt>
                <c:pt idx="178">
                  <c:v>1.2539244238895394E-3</c:v>
                </c:pt>
                <c:pt idx="179">
                  <c:v>1.2551385858809608E-3</c:v>
                </c:pt>
                <c:pt idx="180">
                  <c:v>1.2555590268366285E-3</c:v>
                </c:pt>
                <c:pt idx="181">
                  <c:v>1.2559871674221173E-3</c:v>
                </c:pt>
                <c:pt idx="182">
                  <c:v>1.2564229113226351E-3</c:v>
                </c:pt>
                <c:pt idx="183">
                  <c:v>1.2568661622202779E-3</c:v>
                </c:pt>
                <c:pt idx="184">
                  <c:v>1.2582399936690615E-3</c:v>
                </c:pt>
                <c:pt idx="185">
                  <c:v>1.2587123093079726E-3</c:v>
                </c:pt>
                <c:pt idx="186">
                  <c:v>1.2591916502994152E-3</c:v>
                </c:pt>
                <c:pt idx="187">
                  <c:v>1.2596779203016422E-3</c:v>
                </c:pt>
                <c:pt idx="188">
                  <c:v>1.2601710229682914E-3</c:v>
                </c:pt>
                <c:pt idx="189">
                  <c:v>1.2685886037213491E-3</c:v>
                </c:pt>
                <c:pt idx="190">
                  <c:v>1.2691108530675204E-3</c:v>
                </c:pt>
                <c:pt idx="191">
                  <c:v>1.2696394876585838E-3</c:v>
                </c:pt>
                <c:pt idx="192">
                  <c:v>1.2701744105869533E-3</c:v>
                </c:pt>
                <c:pt idx="193">
                  <c:v>1.2845323775851616E-3</c:v>
                </c:pt>
                <c:pt idx="194">
                  <c:v>1.2723596404418925E-3</c:v>
                </c:pt>
                <c:pt idx="195">
                  <c:v>1.2729158361636467E-3</c:v>
                </c:pt>
                <c:pt idx="196">
                  <c:v>1.2734757699605157E-3</c:v>
                </c:pt>
                <c:pt idx="197">
                  <c:v>1.2740393332256515E-3</c:v>
                </c:pt>
                <c:pt idx="198">
                  <c:v>1.2884656768293449E-3</c:v>
                </c:pt>
                <c:pt idx="199">
                  <c:v>1.276327708951363E-3</c:v>
                </c:pt>
                <c:pt idx="200">
                  <c:v>1.2769077905806095E-3</c:v>
                </c:pt>
                <c:pt idx="201">
                  <c:v>1.2774908501159755E-3</c:v>
                </c:pt>
                <c:pt idx="202">
                  <c:v>1.2780767789780678E-3</c:v>
                </c:pt>
                <c:pt idx="203">
                  <c:v>1.2925679935218114E-3</c:v>
                </c:pt>
                <c:pt idx="204">
                  <c:v>1.2804470162651699E-3</c:v>
                </c:pt>
                <c:pt idx="205">
                  <c:v>1.2810456632278151E-3</c:v>
                </c:pt>
                <c:pt idx="206">
                  <c:v>1.2816465281351142E-3</c:v>
                </c:pt>
                <c:pt idx="207">
                  <c:v>1.2822495024399408E-3</c:v>
                </c:pt>
                <c:pt idx="208">
                  <c:v>1.285292216093989E-3</c:v>
                </c:pt>
                <c:pt idx="209">
                  <c:v>1.2859055675534148E-3</c:v>
                </c:pt>
                <c:pt idx="210">
                  <c:v>1.279526426729471E-3</c:v>
                </c:pt>
                <c:pt idx="211">
                  <c:v>1.2819833742002706E-3</c:v>
                </c:pt>
                <c:pt idx="212">
                  <c:v>1.2825998885408136E-3</c:v>
                </c:pt>
                <c:pt idx="213">
                  <c:v>1.2832171015240373E-3</c:v>
                </c:pt>
                <c:pt idx="214">
                  <c:v>1.2838349089617186E-3</c:v>
                </c:pt>
                <c:pt idx="215">
                  <c:v>1.2844532066780866E-3</c:v>
                </c:pt>
                <c:pt idx="216">
                  <c:v>1.2863099999306333E-3</c:v>
                </c:pt>
                <c:pt idx="217">
                  <c:v>1.2869292172560062E-3</c:v>
                </c:pt>
                <c:pt idx="218">
                  <c:v>1.2875484041700205E-3</c:v>
                </c:pt>
                <c:pt idx="219">
                  <c:v>1.2881674565731842E-3</c:v>
                </c:pt>
                <c:pt idx="220">
                  <c:v>1.2887862703777936E-3</c:v>
                </c:pt>
                <c:pt idx="221">
                  <c:v>1.2906402395162853E-3</c:v>
                </c:pt>
                <c:pt idx="222">
                  <c:v>1.2912570583062644E-3</c:v>
                </c:pt>
                <c:pt idx="223">
                  <c:v>1.2918731182501913E-3</c:v>
                </c:pt>
                <c:pt idx="224">
                  <c:v>1.2924883153370773E-3</c:v>
                </c:pt>
                <c:pt idx="225">
                  <c:v>1.293102545567274E-3</c:v>
                </c:pt>
                <c:pt idx="226">
                  <c:v>1.29493839531154E-3</c:v>
                </c:pt>
                <c:pt idx="227">
                  <c:v>1.2955477183705843E-3</c:v>
                </c:pt>
                <c:pt idx="228">
                  <c:v>1.2961555547614217E-3</c:v>
                </c:pt>
                <c:pt idx="229">
                  <c:v>1.2967618005588618E-3</c:v>
                </c:pt>
                <c:pt idx="230">
                  <c:v>1.2973663518486031E-3</c:v>
                </c:pt>
                <c:pt idx="231">
                  <c:v>1.2991687997098808E-3</c:v>
                </c:pt>
                <c:pt idx="232">
                  <c:v>1.2997655340648193E-3</c:v>
                </c:pt>
                <c:pt idx="233">
                  <c:v>1.3003600545173502E-3</c:v>
                </c:pt>
                <c:pt idx="234">
                  <c:v>1.3009522558451319E-3</c:v>
                </c:pt>
                <c:pt idx="235">
                  <c:v>1.301542027321412E-3</c:v>
                </c:pt>
                <c:pt idx="236">
                  <c:v>1.3032956415531332E-3</c:v>
                </c:pt>
                <c:pt idx="237">
                  <c:v>1.3038745725143324E-3</c:v>
                </c:pt>
                <c:pt idx="238">
                  <c:v>1.3044505130491823E-3</c:v>
                </c:pt>
                <c:pt idx="239">
                  <c:v>1.3050233510302064E-3</c:v>
                </c:pt>
                <c:pt idx="240">
                  <c:v>1.3055929743268301E-3</c:v>
                </c:pt>
                <c:pt idx="241">
                  <c:v>1.3072814347373902E-3</c:v>
                </c:pt>
                <c:pt idx="242">
                  <c:v>1.3078370779055258E-3</c:v>
                </c:pt>
                <c:pt idx="243">
                  <c:v>1.3083889456751605E-3</c:v>
                </c:pt>
                <c:pt idx="244">
                  <c:v>1.3089369258923991E-3</c:v>
                </c:pt>
                <c:pt idx="245">
                  <c:v>1.3094809063995557E-3</c:v>
                </c:pt>
                <c:pt idx="246">
                  <c:v>1.3110877280333823E-3</c:v>
                </c:pt>
                <c:pt idx="247">
                  <c:v>1.311614588056263E-3</c:v>
                </c:pt>
                <c:pt idx="248">
                  <c:v>1.3121368875302737E-3</c:v>
                </c:pt>
                <c:pt idx="249">
                  <c:v>1.3126545142791038E-3</c:v>
                </c:pt>
                <c:pt idx="250">
                  <c:v>1.3131673561219536E-3</c:v>
                </c:pt>
                <c:pt idx="251">
                  <c:v>1.3218583235515256E-3</c:v>
                </c:pt>
                <c:pt idx="252">
                  <c:v>1.3295379311906094E-3</c:v>
                </c:pt>
                <c:pt idx="253">
                  <c:v>1.3300303687969379E-3</c:v>
                </c:pt>
                <c:pt idx="254">
                  <c:v>1.344894893350633E-3</c:v>
                </c:pt>
                <c:pt idx="255">
                  <c:v>1.3381901765885669E-3</c:v>
                </c:pt>
                <c:pt idx="256">
                  <c:v>1.332407568930047E-3</c:v>
                </c:pt>
                <c:pt idx="257">
                  <c:v>1.3328652423980649E-3</c:v>
                </c:pt>
                <c:pt idx="258">
                  <c:v>1.3333167389107212E-3</c:v>
                </c:pt>
                <c:pt idx="259">
                  <c:v>1.3481737690735063E-3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53088"/>
        <c:axId val="541401856"/>
      </c:scatterChart>
      <c:valAx>
        <c:axId val="5397530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1401856"/>
        <c:crosses val="autoZero"/>
        <c:crossBetween val="midCat"/>
      </c:valAx>
      <c:valAx>
        <c:axId val="54140185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397530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42066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2.2292694750187516E-3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42128</c:v>
                </c:pt>
                <c:pt idx="2">
                  <c:v>42158</c:v>
                </c:pt>
                <c:pt idx="3">
                  <c:v>42188</c:v>
                </c:pt>
                <c:pt idx="4">
                  <c:v>42219</c:v>
                </c:pt>
                <c:pt idx="5">
                  <c:v>42250</c:v>
                </c:pt>
                <c:pt idx="6">
                  <c:v>42282</c:v>
                </c:pt>
                <c:pt idx="7">
                  <c:v>42311</c:v>
                </c:pt>
                <c:pt idx="8">
                  <c:v>42341</c:v>
                </c:pt>
                <c:pt idx="9">
                  <c:v>42373</c:v>
                </c:pt>
                <c:pt idx="10">
                  <c:v>42403</c:v>
                </c:pt>
                <c:pt idx="11">
                  <c:v>42432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2.2826649978593136E-3</c:v>
                </c:pt>
                <c:pt idx="1">
                  <c:v>2.3534455754849384E-3</c:v>
                </c:pt>
                <c:pt idx="2">
                  <c:v>2.3674893271982021E-3</c:v>
                </c:pt>
                <c:pt idx="3">
                  <c:v>2.4520613042841337E-3</c:v>
                </c:pt>
                <c:pt idx="4">
                  <c:v>2.5882994276994944E-3</c:v>
                </c:pt>
                <c:pt idx="5">
                  <c:v>2.5194848414954295E-3</c:v>
                </c:pt>
                <c:pt idx="6">
                  <c:v>0</c:v>
                </c:pt>
                <c:pt idx="7">
                  <c:v>0</c:v>
                </c:pt>
                <c:pt idx="8">
                  <c:v>2.5441125937820863E-3</c:v>
                </c:pt>
                <c:pt idx="9">
                  <c:v>0</c:v>
                </c:pt>
                <c:pt idx="10">
                  <c:v>0</c:v>
                </c:pt>
                <c:pt idx="11">
                  <c:v>2.6526558483144745E-3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42125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42138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42174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42191</c:v>
                </c:pt>
                <c:pt idx="86">
                  <c:v>42192</c:v>
                </c:pt>
                <c:pt idx="87">
                  <c:v>42193</c:v>
                </c:pt>
                <c:pt idx="88">
                  <c:v>42194</c:v>
                </c:pt>
                <c:pt idx="89">
                  <c:v>42195</c:v>
                </c:pt>
                <c:pt idx="90">
                  <c:v>42198</c:v>
                </c:pt>
                <c:pt idx="91">
                  <c:v>42199</c:v>
                </c:pt>
                <c:pt idx="92">
                  <c:v>42200</c:v>
                </c:pt>
                <c:pt idx="93">
                  <c:v>42201</c:v>
                </c:pt>
                <c:pt idx="94">
                  <c:v>42202</c:v>
                </c:pt>
                <c:pt idx="95">
                  <c:v>42205</c:v>
                </c:pt>
                <c:pt idx="96">
                  <c:v>42206</c:v>
                </c:pt>
                <c:pt idx="97">
                  <c:v>42207</c:v>
                </c:pt>
                <c:pt idx="98">
                  <c:v>42208</c:v>
                </c:pt>
                <c:pt idx="99">
                  <c:v>42209</c:v>
                </c:pt>
                <c:pt idx="100">
                  <c:v>42212</c:v>
                </c:pt>
                <c:pt idx="101">
                  <c:v>42213</c:v>
                </c:pt>
                <c:pt idx="102">
                  <c:v>42214</c:v>
                </c:pt>
                <c:pt idx="103">
                  <c:v>42215</c:v>
                </c:pt>
                <c:pt idx="104">
                  <c:v>42216</c:v>
                </c:pt>
                <c:pt idx="105">
                  <c:v>42219</c:v>
                </c:pt>
                <c:pt idx="106">
                  <c:v>42220</c:v>
                </c:pt>
                <c:pt idx="107">
                  <c:v>42221</c:v>
                </c:pt>
                <c:pt idx="108">
                  <c:v>42222</c:v>
                </c:pt>
                <c:pt idx="109">
                  <c:v>42223</c:v>
                </c:pt>
                <c:pt idx="110">
                  <c:v>42226</c:v>
                </c:pt>
                <c:pt idx="111">
                  <c:v>42227</c:v>
                </c:pt>
                <c:pt idx="112">
                  <c:v>42228</c:v>
                </c:pt>
                <c:pt idx="113">
                  <c:v>42229</c:v>
                </c:pt>
                <c:pt idx="114">
                  <c:v>42230</c:v>
                </c:pt>
                <c:pt idx="115">
                  <c:v>42233</c:v>
                </c:pt>
                <c:pt idx="116">
                  <c:v>42234</c:v>
                </c:pt>
                <c:pt idx="117">
                  <c:v>42235</c:v>
                </c:pt>
                <c:pt idx="118">
                  <c:v>42236</c:v>
                </c:pt>
                <c:pt idx="119">
                  <c:v>42237</c:v>
                </c:pt>
                <c:pt idx="120">
                  <c:v>42240</c:v>
                </c:pt>
                <c:pt idx="121">
                  <c:v>42241</c:v>
                </c:pt>
                <c:pt idx="122">
                  <c:v>42242</c:v>
                </c:pt>
                <c:pt idx="123">
                  <c:v>42243</c:v>
                </c:pt>
                <c:pt idx="124">
                  <c:v>42244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42373</c:v>
                </c:pt>
                <c:pt idx="212">
                  <c:v>42374</c:v>
                </c:pt>
                <c:pt idx="213">
                  <c:v>42375</c:v>
                </c:pt>
                <c:pt idx="214">
                  <c:v>42376</c:v>
                </c:pt>
                <c:pt idx="215">
                  <c:v>42377</c:v>
                </c:pt>
                <c:pt idx="216">
                  <c:v>42380</c:v>
                </c:pt>
                <c:pt idx="217">
                  <c:v>42381</c:v>
                </c:pt>
                <c:pt idx="218">
                  <c:v>42382</c:v>
                </c:pt>
                <c:pt idx="219">
                  <c:v>42383</c:v>
                </c:pt>
                <c:pt idx="220">
                  <c:v>42384</c:v>
                </c:pt>
                <c:pt idx="221">
                  <c:v>42387</c:v>
                </c:pt>
                <c:pt idx="222">
                  <c:v>42388</c:v>
                </c:pt>
                <c:pt idx="223">
                  <c:v>42389</c:v>
                </c:pt>
                <c:pt idx="224">
                  <c:v>42390</c:v>
                </c:pt>
                <c:pt idx="225">
                  <c:v>42391</c:v>
                </c:pt>
                <c:pt idx="226">
                  <c:v>42394</c:v>
                </c:pt>
                <c:pt idx="227">
                  <c:v>42395</c:v>
                </c:pt>
                <c:pt idx="228">
                  <c:v>42396</c:v>
                </c:pt>
                <c:pt idx="229">
                  <c:v>42397</c:v>
                </c:pt>
                <c:pt idx="230">
                  <c:v>42398</c:v>
                </c:pt>
                <c:pt idx="231">
                  <c:v>42401</c:v>
                </c:pt>
                <c:pt idx="232">
                  <c:v>42402</c:v>
                </c:pt>
                <c:pt idx="233">
                  <c:v>42403</c:v>
                </c:pt>
                <c:pt idx="234">
                  <c:v>42404</c:v>
                </c:pt>
                <c:pt idx="235">
                  <c:v>42405</c:v>
                </c:pt>
                <c:pt idx="236">
                  <c:v>42408</c:v>
                </c:pt>
                <c:pt idx="237">
                  <c:v>42409</c:v>
                </c:pt>
                <c:pt idx="238">
                  <c:v>42410</c:v>
                </c:pt>
                <c:pt idx="239">
                  <c:v>42411</c:v>
                </c:pt>
                <c:pt idx="240">
                  <c:v>42412</c:v>
                </c:pt>
                <c:pt idx="241">
                  <c:v>42415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  <c:pt idx="259">
                  <c:v>42439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2.2063538267241894E-3</c:v>
                </c:pt>
                <c:pt idx="1">
                  <c:v>2.2064474181583988E-3</c:v>
                </c:pt>
                <c:pt idx="2">
                  <c:v>2.2067224641787887E-3</c:v>
                </c:pt>
                <c:pt idx="3">
                  <c:v>2.2071736278857662E-3</c:v>
                </c:pt>
                <c:pt idx="4">
                  <c:v>2.2095304561302871E-3</c:v>
                </c:pt>
                <c:pt idx="5">
                  <c:v>2.2106327215876782E-3</c:v>
                </c:pt>
                <c:pt idx="6">
                  <c:v>2.2118844202336889E-3</c:v>
                </c:pt>
                <c:pt idx="7">
                  <c:v>2.2132802151687255E-3</c:v>
                </c:pt>
                <c:pt idx="8">
                  <c:v>2.2148147694931947E-3</c:v>
                </c:pt>
                <c:pt idx="9">
                  <c:v>2.2201976198072612E-3</c:v>
                </c:pt>
                <c:pt idx="10">
                  <c:v>2.2222338426935244E-3</c:v>
                </c:pt>
                <c:pt idx="11">
                  <c:v>2.2243821404712523E-3</c:v>
                </c:pt>
                <c:pt idx="12">
                  <c:v>2.2266371762408514E-3</c:v>
                </c:pt>
                <c:pt idx="13">
                  <c:v>2.2289936131027277E-3</c:v>
                </c:pt>
                <c:pt idx="14">
                  <c:v>2.2366179612460873E-3</c:v>
                </c:pt>
                <c:pt idx="15">
                  <c:v>2.2393266334811385E-3</c:v>
                </c:pt>
                <c:pt idx="16">
                  <c:v>2.2421100223104997E-3</c:v>
                </c:pt>
                <c:pt idx="17">
                  <c:v>2.2449627908345767E-3</c:v>
                </c:pt>
                <c:pt idx="18">
                  <c:v>2.2478796021537764E-3</c:v>
                </c:pt>
                <c:pt idx="19">
                  <c:v>2.2569609238861765E-3</c:v>
                </c:pt>
                <c:pt idx="20">
                  <c:v>2.2600805373899314E-3</c:v>
                </c:pt>
                <c:pt idx="21">
                  <c:v>2.2632375091908414E-3</c:v>
                </c:pt>
                <c:pt idx="22">
                  <c:v>2.2664265023893122E-3</c:v>
                </c:pt>
                <c:pt idx="23">
                  <c:v>2.2826649978593136E-3</c:v>
                </c:pt>
                <c:pt idx="24">
                  <c:v>2.2859340445516882E-3</c:v>
                </c:pt>
                <c:pt idx="25">
                  <c:v>2.289197754344469E-3</c:v>
                </c:pt>
                <c:pt idx="26">
                  <c:v>2.2924507903380629E-3</c:v>
                </c:pt>
                <c:pt idx="27">
                  <c:v>2.3020924865277859E-3</c:v>
                </c:pt>
                <c:pt idx="28">
                  <c:v>2.3052494583286958E-3</c:v>
                </c:pt>
                <c:pt idx="29">
                  <c:v>2.3083690718324508E-3</c:v>
                </c:pt>
                <c:pt idx="30">
                  <c:v>2.3114459901394575E-3</c:v>
                </c:pt>
                <c:pt idx="31">
                  <c:v>2.3144748763501218E-3</c:v>
                </c:pt>
                <c:pt idx="32">
                  <c:v>2.3232199734081276E-3</c:v>
                </c:pt>
                <c:pt idx="33">
                  <c:v>2.3260033622374888E-3</c:v>
                </c:pt>
                <c:pt idx="34">
                  <c:v>2.32871203447254E-3</c:v>
                </c:pt>
                <c:pt idx="35">
                  <c:v>2.3313406532136879E-3</c:v>
                </c:pt>
                <c:pt idx="36">
                  <c:v>2.3338838815613388E-3</c:v>
                </c:pt>
                <c:pt idx="37">
                  <c:v>2.340947855247375E-3</c:v>
                </c:pt>
                <c:pt idx="38">
                  <c:v>2.3430961530251028E-3</c:v>
                </c:pt>
                <c:pt idx="39">
                  <c:v>2.345132375911366E-3</c:v>
                </c:pt>
                <c:pt idx="40">
                  <c:v>2.3470511870065714E-3</c:v>
                </c:pt>
                <c:pt idx="41">
                  <c:v>2.3488472494111244E-3</c:v>
                </c:pt>
                <c:pt idx="42">
                  <c:v>2.3546996135399021E-3</c:v>
                </c:pt>
                <c:pt idx="43">
                  <c:v>2.3558182548599647E-3</c:v>
                </c:pt>
                <c:pt idx="44">
                  <c:v>2.3568101989992507E-3</c:v>
                </c:pt>
                <c:pt idx="45">
                  <c:v>2.3576841455118847E-3</c:v>
                </c:pt>
                <c:pt idx="46">
                  <c:v>2.3596849948311236E-3</c:v>
                </c:pt>
                <c:pt idx="47">
                  <c:v>2.3601739463783981E-3</c:v>
                </c:pt>
                <c:pt idx="48">
                  <c:v>2.3605883980696439E-3</c:v>
                </c:pt>
                <c:pt idx="49">
                  <c:v>2.3609370494589868E-3</c:v>
                </c:pt>
                <c:pt idx="50">
                  <c:v>2.3612286001005508E-3</c:v>
                </c:pt>
                <c:pt idx="51">
                  <c:v>2.3618476430798179E-3</c:v>
                </c:pt>
                <c:pt idx="52">
                  <c:v>2.3619977862715143E-3</c:v>
                </c:pt>
                <c:pt idx="53">
                  <c:v>2.3621343264860557E-3</c:v>
                </c:pt>
                <c:pt idx="54">
                  <c:v>2.3622659632775668E-3</c:v>
                </c:pt>
                <c:pt idx="55">
                  <c:v>2.3624013962001721E-3</c:v>
                </c:pt>
                <c:pt idx="56">
                  <c:v>2.3631550802840325E-3</c:v>
                </c:pt>
                <c:pt idx="57">
                  <c:v>2.3634399871739812E-3</c:v>
                </c:pt>
                <c:pt idx="58">
                  <c:v>2.3637808875197723E-3</c:v>
                </c:pt>
                <c:pt idx="59">
                  <c:v>2.3641864808755307E-3</c:v>
                </c:pt>
                <c:pt idx="60">
                  <c:v>2.365878414543859E-3</c:v>
                </c:pt>
                <c:pt idx="61">
                  <c:v>2.3666297754807351E-3</c:v>
                </c:pt>
                <c:pt idx="62">
                  <c:v>2.3674893271982021E-3</c:v>
                </c:pt>
                <c:pt idx="63">
                  <c:v>2.3684644850623898E-3</c:v>
                </c:pt>
                <c:pt idx="64">
                  <c:v>2.3695575276874467E-3</c:v>
                </c:pt>
                <c:pt idx="65">
                  <c:v>2.3735539083893642E-3</c:v>
                </c:pt>
                <c:pt idx="66">
                  <c:v>2.3751284343194305E-3</c:v>
                </c:pt>
                <c:pt idx="67">
                  <c:v>2.3768258171411316E-3</c:v>
                </c:pt>
                <c:pt idx="68">
                  <c:v>2.3786470512806215E-3</c:v>
                </c:pt>
                <c:pt idx="69">
                  <c:v>2.3805931311640534E-3</c:v>
                </c:pt>
                <c:pt idx="70">
                  <c:v>2.3871903895395338E-3</c:v>
                </c:pt>
                <c:pt idx="71">
                  <c:v>2.3896457966602661E-3</c:v>
                </c:pt>
                <c:pt idx="72">
                  <c:v>2.3922310216557066E-3</c:v>
                </c:pt>
                <c:pt idx="73">
                  <c:v>2.3949470589520083E-3</c:v>
                </c:pt>
                <c:pt idx="74">
                  <c:v>2.3977949029753251E-3</c:v>
                </c:pt>
                <c:pt idx="75">
                  <c:v>2.4071392196688968E-3</c:v>
                </c:pt>
                <c:pt idx="76">
                  <c:v>2.4105242348618052E-3</c:v>
                </c:pt>
                <c:pt idx="77">
                  <c:v>2.4140460289124943E-3</c:v>
                </c:pt>
                <c:pt idx="78">
                  <c:v>2.4177055962471181E-3</c:v>
                </c:pt>
                <c:pt idx="79">
                  <c:v>2.4215039312918294E-3</c:v>
                </c:pt>
                <c:pt idx="80">
                  <c:v>2.4337414869480211E-3</c:v>
                </c:pt>
                <c:pt idx="81">
                  <c:v>2.4381048370946154E-3</c:v>
                </c:pt>
                <c:pt idx="82">
                  <c:v>2.4426119270820634E-3</c:v>
                </c:pt>
                <c:pt idx="83">
                  <c:v>2.447263751336518E-3</c:v>
                </c:pt>
                <c:pt idx="84">
                  <c:v>2.4520613042841337E-3</c:v>
                </c:pt>
                <c:pt idx="85">
                  <c:v>2.4672565363347853E-3</c:v>
                </c:pt>
                <c:pt idx="86">
                  <c:v>2.4725349298399262E-3</c:v>
                </c:pt>
                <c:pt idx="87">
                  <c:v>2.4778913635354924E-3</c:v>
                </c:pt>
                <c:pt idx="88">
                  <c:v>2.4833086666892607E-3</c:v>
                </c:pt>
                <c:pt idx="89">
                  <c:v>2.4887696685690101E-3</c:v>
                </c:pt>
                <c:pt idx="90">
                  <c:v>2.5052431592419194E-3</c:v>
                </c:pt>
                <c:pt idx="91">
                  <c:v>2.5107072487033687E-3</c:v>
                </c:pt>
                <c:pt idx="92">
                  <c:v>2.5161291832296881E-3</c:v>
                </c:pt>
                <c:pt idx="93">
                  <c:v>2.5214917920886549E-3</c:v>
                </c:pt>
                <c:pt idx="94">
                  <c:v>2.5267779045480472E-3</c:v>
                </c:pt>
                <c:pt idx="95">
                  <c:v>2.5420055562065534E-3</c:v>
                </c:pt>
                <c:pt idx="96">
                  <c:v>2.5468139757454252E-3</c:v>
                </c:pt>
                <c:pt idx="97">
                  <c:v>2.5514600452236111E-3</c:v>
                </c:pt>
                <c:pt idx="98">
                  <c:v>2.5559265939088895E-3</c:v>
                </c:pt>
                <c:pt idx="99">
                  <c:v>2.5601964510690378E-3</c:v>
                </c:pt>
                <c:pt idx="100">
                  <c:v>2.5716541660764812E-3</c:v>
                </c:pt>
                <c:pt idx="101">
                  <c:v>2.5749655498138878E-3</c:v>
                </c:pt>
                <c:pt idx="102">
                  <c:v>2.5779943883650538E-3</c:v>
                </c:pt>
                <c:pt idx="103">
                  <c:v>2.5807235109977567E-3</c:v>
                </c:pt>
                <c:pt idx="104">
                  <c:v>2.5831357469797743E-3</c:v>
                </c:pt>
                <c:pt idx="105">
                  <c:v>2.5882994276994944E-3</c:v>
                </c:pt>
                <c:pt idx="106">
                  <c:v>2.5892090206045392E-3</c:v>
                </c:pt>
                <c:pt idx="107">
                  <c:v>2.5896205061502961E-3</c:v>
                </c:pt>
                <c:pt idx="108">
                  <c:v>2.5895638304893366E-3</c:v>
                </c:pt>
                <c:pt idx="109">
                  <c:v>2.5890689397742319E-3</c:v>
                </c:pt>
                <c:pt idx="110">
                  <c:v>2.585254438829762E-3</c:v>
                </c:pt>
                <c:pt idx="111">
                  <c:v>2.5833061494237911E-3</c:v>
                </c:pt>
                <c:pt idx="112">
                  <c:v>2.581069375726532E-3</c:v>
                </c:pt>
                <c:pt idx="113">
                  <c:v>2.5785740638905562E-3</c:v>
                </c:pt>
                <c:pt idx="114">
                  <c:v>2.5758501600684353E-3</c:v>
                </c:pt>
                <c:pt idx="115">
                  <c:v>2.566606358210914E-3</c:v>
                </c:pt>
                <c:pt idx="116">
                  <c:v>2.5632675479699252E-3</c:v>
                </c:pt>
                <c:pt idx="117">
                  <c:v>2.5598498765056483E-3</c:v>
                </c:pt>
                <c:pt idx="118">
                  <c:v>2.5563832899706544E-3</c:v>
                </c:pt>
                <c:pt idx="119">
                  <c:v>2.5528977345175147E-3</c:v>
                </c:pt>
                <c:pt idx="120">
                  <c:v>2.5426267161749363E-3</c:v>
                </c:pt>
                <c:pt idx="121">
                  <c:v>2.5393647465749279E-3</c:v>
                </c:pt>
                <c:pt idx="122">
                  <c:v>2.536233538819631E-3</c:v>
                </c:pt>
                <c:pt idx="123">
                  <c:v>2.5332630390616168E-3</c:v>
                </c:pt>
                <c:pt idx="124">
                  <c:v>2.5304831934534569E-3</c:v>
                </c:pt>
                <c:pt idx="125">
                  <c:v>2.5218692755707849E-3</c:v>
                </c:pt>
                <c:pt idx="126">
                  <c:v>2.5204918930004658E-3</c:v>
                </c:pt>
                <c:pt idx="127">
                  <c:v>2.5194848414954295E-3</c:v>
                </c:pt>
                <c:pt idx="128">
                  <c:v>2.51868761163566E-3</c:v>
                </c:pt>
                <c:pt idx="129">
                  <c:v>2.5164705291796474E-3</c:v>
                </c:pt>
                <c:pt idx="130">
                  <c:v>2.5157890867279391E-3</c:v>
                </c:pt>
                <c:pt idx="131">
                  <c:v>2.515136128122643E-3</c:v>
                </c:pt>
                <c:pt idx="132">
                  <c:v>2.5145114681615192E-3</c:v>
                </c:pt>
                <c:pt idx="133">
                  <c:v>2.5139149216423262E-3</c:v>
                </c:pt>
                <c:pt idx="134">
                  <c:v>2.5122921107139239E-3</c:v>
                </c:pt>
                <c:pt idx="135">
                  <c:v>2.5118061659400452E-3</c:v>
                </c:pt>
                <c:pt idx="136">
                  <c:v>2.5113474085968926E-3</c:v>
                </c:pt>
                <c:pt idx="137">
                  <c:v>2.5109156534822256E-3</c:v>
                </c:pt>
                <c:pt idx="138">
                  <c:v>2.5105107153938024E-3</c:v>
                </c:pt>
                <c:pt idx="139">
                  <c:v>2.5094549512635904E-3</c:v>
                </c:pt>
                <c:pt idx="140">
                  <c:v>2.5091554292577352E-3</c:v>
                </c:pt>
                <c:pt idx="141">
                  <c:v>2.5088817982669197E-3</c:v>
                </c:pt>
                <c:pt idx="142">
                  <c:v>2.5086338730889025E-3</c:v>
                </c:pt>
                <c:pt idx="143">
                  <c:v>2.5084114685214433E-3</c:v>
                </c:pt>
                <c:pt idx="144">
                  <c:v>2.5078955264600019E-3</c:v>
                </c:pt>
                <c:pt idx="145">
                  <c:v>2.5077733523123638E-3</c:v>
                </c:pt>
                <c:pt idx="146">
                  <c:v>2.5076757727640789E-3</c:v>
                </c:pt>
                <c:pt idx="147">
                  <c:v>2.5076026026129056E-3</c:v>
                </c:pt>
                <c:pt idx="148">
                  <c:v>2.5075536566566033E-3</c:v>
                </c:pt>
                <c:pt idx="149">
                  <c:v>2.5075503119345133E-3</c:v>
                </c:pt>
                <c:pt idx="150">
                  <c:v>2.5075964107352856E-3</c:v>
                </c:pt>
                <c:pt idx="151">
                  <c:v>2.5076658077197245E-3</c:v>
                </c:pt>
                <c:pt idx="152">
                  <c:v>2.5077583176855885E-3</c:v>
                </c:pt>
                <c:pt idx="153">
                  <c:v>2.5078737554306368E-3</c:v>
                </c:pt>
                <c:pt idx="154">
                  <c:v>2.508355783318479E-3</c:v>
                </c:pt>
                <c:pt idx="155">
                  <c:v>2.508561080157855E-3</c:v>
                </c:pt>
                <c:pt idx="156">
                  <c:v>2.5087883787652111E-3</c:v>
                </c:pt>
                <c:pt idx="157">
                  <c:v>2.509037493938306E-3</c:v>
                </c:pt>
                <c:pt idx="158">
                  <c:v>2.5093082404748987E-3</c:v>
                </c:pt>
                <c:pt idx="159">
                  <c:v>2.5102484162432531E-3</c:v>
                </c:pt>
                <c:pt idx="160">
                  <c:v>2.5106038362114271E-3</c:v>
                </c:pt>
                <c:pt idx="161">
                  <c:v>2.510979961531894E-3</c:v>
                </c:pt>
                <c:pt idx="162">
                  <c:v>2.5113766070024128E-3</c:v>
                </c:pt>
                <c:pt idx="163">
                  <c:v>2.5117935874207431E-3</c:v>
                </c:pt>
                <c:pt idx="164">
                  <c:v>2.5131646863401904E-3</c:v>
                </c:pt>
                <c:pt idx="165">
                  <c:v>2.5136611545273557E-3</c:v>
                </c:pt>
                <c:pt idx="166">
                  <c:v>2.5141770316511269E-3</c:v>
                </c:pt>
                <c:pt idx="167">
                  <c:v>2.5147121325092637E-3</c:v>
                </c:pt>
                <c:pt idx="168">
                  <c:v>2.515266271899525E-3</c:v>
                </c:pt>
                <c:pt idx="169">
                  <c:v>2.517041069240646E-3</c:v>
                </c:pt>
                <c:pt idx="170">
                  <c:v>2.5176695107369958E-3</c:v>
                </c:pt>
                <c:pt idx="171">
                  <c:v>2.5183160647542649E-3</c:v>
                </c:pt>
                <c:pt idx="172">
                  <c:v>2.5189805460902131E-3</c:v>
                </c:pt>
                <c:pt idx="173">
                  <c:v>2.5196627695425991E-3</c:v>
                </c:pt>
                <c:pt idx="174">
                  <c:v>2.5218140405759743E-3</c:v>
                </c:pt>
                <c:pt idx="175">
                  <c:v>2.5225653804717019E-3</c:v>
                </c:pt>
                <c:pt idx="176">
                  <c:v>2.5233335364726627E-3</c:v>
                </c:pt>
                <c:pt idx="177">
                  <c:v>2.5241183233766155E-3</c:v>
                </c:pt>
                <c:pt idx="178">
                  <c:v>2.5249195559813196E-3</c:v>
                </c:pt>
                <c:pt idx="179">
                  <c:v>2.5274200759775292E-3</c:v>
                </c:pt>
                <c:pt idx="180">
                  <c:v>2.5282852393628285E-3</c:v>
                </c:pt>
                <c:pt idx="181">
                  <c:v>2.5291659224376743E-3</c:v>
                </c:pt>
                <c:pt idx="182">
                  <c:v>2.5300619399998255E-3</c:v>
                </c:pt>
                <c:pt idx="183">
                  <c:v>2.5309731068470409E-3</c:v>
                </c:pt>
                <c:pt idx="184">
                  <c:v>2.5337956510766658E-3</c:v>
                </c:pt>
                <c:pt idx="185">
                  <c:v>2.5347655630417304E-3</c:v>
                </c:pt>
                <c:pt idx="186">
                  <c:v>2.5357496982806546E-3</c:v>
                </c:pt>
                <c:pt idx="187">
                  <c:v>2.5367478715911974E-3</c:v>
                </c:pt>
                <c:pt idx="188">
                  <c:v>2.5377598977711184E-3</c:v>
                </c:pt>
                <c:pt idx="189">
                  <c:v>2.5408772415047389E-3</c:v>
                </c:pt>
                <c:pt idx="190">
                  <c:v>2.5419428271397618E-3</c:v>
                </c:pt>
                <c:pt idx="191">
                  <c:v>2.543021339632958E-3</c:v>
                </c:pt>
                <c:pt idx="192">
                  <c:v>2.5441125937820863E-3</c:v>
                </c:pt>
                <c:pt idx="193">
                  <c:v>2.545214484492484E-3</c:v>
                </c:pt>
                <c:pt idx="194">
                  <c:v>2.5485703363142828E-3</c:v>
                </c:pt>
                <c:pt idx="195">
                  <c:v>2.5497049510192532E-3</c:v>
                </c:pt>
                <c:pt idx="196">
                  <c:v>2.5508471998734925E-3</c:v>
                </c:pt>
                <c:pt idx="197">
                  <c:v>2.5519968641372517E-3</c:v>
                </c:pt>
                <c:pt idx="198">
                  <c:v>2.5531537250707815E-3</c:v>
                </c:pt>
                <c:pt idx="199">
                  <c:v>2.5566653004924968E-3</c:v>
                </c:pt>
                <c:pt idx="200">
                  <c:v>2.5578487607076129E-3</c:v>
                </c:pt>
                <c:pt idx="201">
                  <c:v>2.5590383238937517E-3</c:v>
                </c:pt>
                <c:pt idx="202">
                  <c:v>2.5602337713111637E-3</c:v>
                </c:pt>
                <c:pt idx="203">
                  <c:v>2.5614348842200995E-3</c:v>
                </c:pt>
                <c:pt idx="204">
                  <c:v>2.5650700284985542E-3</c:v>
                </c:pt>
                <c:pt idx="205">
                  <c:v>2.5662916159760905E-3</c:v>
                </c:pt>
                <c:pt idx="206">
                  <c:v>2.5675177752464023E-3</c:v>
                </c:pt>
                <c:pt idx="207">
                  <c:v>2.5687482875697415E-3</c:v>
                </c:pt>
                <c:pt idx="208">
                  <c:v>2.5749584890906048E-3</c:v>
                </c:pt>
                <c:pt idx="209">
                  <c:v>2.576210526197365E-3</c:v>
                </c:pt>
                <c:pt idx="210">
                  <c:v>2.577465385178905E-3</c:v>
                </c:pt>
                <c:pt idx="211">
                  <c:v>2.582508665057878E-3</c:v>
                </c:pt>
                <c:pt idx="212">
                  <c:v>2.5837743523170766E-3</c:v>
                </c:pt>
                <c:pt idx="213">
                  <c:v>2.5850415490125582E-3</c:v>
                </c:pt>
                <c:pt idx="214">
                  <c:v>2.5863100364045739E-3</c:v>
                </c:pt>
                <c:pt idx="215">
                  <c:v>2.5875795957533737E-3</c:v>
                </c:pt>
                <c:pt idx="216">
                  <c:v>2.591392518142983E-3</c:v>
                </c:pt>
                <c:pt idx="217">
                  <c:v>2.5926641779214247E-3</c:v>
                </c:pt>
                <c:pt idx="218">
                  <c:v>2.5939358159579027E-3</c:v>
                </c:pt>
                <c:pt idx="219">
                  <c:v>2.595207213512668E-3</c:v>
                </c:pt>
                <c:pt idx="220">
                  <c:v>2.5964781518459708E-3</c:v>
                </c:pt>
                <c:pt idx="221">
                  <c:v>2.6002860241196102E-3</c:v>
                </c:pt>
                <c:pt idx="222">
                  <c:v>2.601552938169569E-3</c:v>
                </c:pt>
                <c:pt idx="223">
                  <c:v>2.6028182992993173E-3</c:v>
                </c:pt>
                <c:pt idx="224">
                  <c:v>2.6040818887691063E-3</c:v>
                </c:pt>
                <c:pt idx="225">
                  <c:v>2.605343487839187E-3</c:v>
                </c:pt>
                <c:pt idx="226">
                  <c:v>2.6091141552536793E-3</c:v>
                </c:pt>
                <c:pt idx="227">
                  <c:v>2.6103656053274287E-3</c:v>
                </c:pt>
                <c:pt idx="228">
                  <c:v>2.6116139713027219E-3</c:v>
                </c:pt>
                <c:pt idx="229">
                  <c:v>2.6128590344398094E-3</c:v>
                </c:pt>
                <c:pt idx="230">
                  <c:v>2.6141005759989411E-3</c:v>
                </c:pt>
                <c:pt idx="231">
                  <c:v>2.6178018838111093E-3</c:v>
                </c:pt>
                <c:pt idx="232">
                  <c:v>2.6190271516609242E-3</c:v>
                </c:pt>
                <c:pt idx="233">
                  <c:v>2.6202478042340362E-3</c:v>
                </c:pt>
                <c:pt idx="234">
                  <c:v>2.6214636227906958E-3</c:v>
                </c:pt>
                <c:pt idx="235">
                  <c:v>2.6226743885911538E-3</c:v>
                </c:pt>
                <c:pt idx="236">
                  <c:v>2.6262741820578198E-3</c:v>
                </c:pt>
                <c:pt idx="237">
                  <c:v>2.6274625494359747E-3</c:v>
                </c:pt>
                <c:pt idx="238">
                  <c:v>2.62864477035918E-3</c:v>
                </c:pt>
                <c:pt idx="239">
                  <c:v>2.6298206260876862E-3</c:v>
                </c:pt>
                <c:pt idx="240">
                  <c:v>2.630989897881744E-3</c:v>
                </c:pt>
                <c:pt idx="241">
                  <c:v>2.6344560222597312E-3</c:v>
                </c:pt>
                <c:pt idx="242">
                  <c:v>2.6355967709185001E-3</c:v>
                </c:pt>
                <c:pt idx="243">
                  <c:v>2.6367298419440726E-3</c:v>
                </c:pt>
                <c:pt idx="244">
                  <c:v>2.6378550165966999E-3</c:v>
                </c:pt>
                <c:pt idx="245">
                  <c:v>2.6389720761366316E-3</c:v>
                </c:pt>
                <c:pt idx="246">
                  <c:v>2.6422723766827624E-3</c:v>
                </c:pt>
                <c:pt idx="247">
                  <c:v>2.6433547883744197E-3</c:v>
                </c:pt>
                <c:pt idx="248">
                  <c:v>2.6444279912546339E-3</c:v>
                </c:pt>
                <c:pt idx="249">
                  <c:v>2.6454917665836557E-3</c:v>
                </c:pt>
                <c:pt idx="250">
                  <c:v>2.6465458956217366E-3</c:v>
                </c:pt>
                <c:pt idx="251">
                  <c:v>2.6496482175928336E-3</c:v>
                </c:pt>
                <c:pt idx="252">
                  <c:v>2.6506615740696528E-3</c:v>
                </c:pt>
                <c:pt idx="253">
                  <c:v>2.6516641905567832E-3</c:v>
                </c:pt>
                <c:pt idx="254">
                  <c:v>2.6526558483144745E-3</c:v>
                </c:pt>
                <c:pt idx="255">
                  <c:v>2.6536363286029777E-3</c:v>
                </c:pt>
                <c:pt idx="256">
                  <c:v>2.6565085172558641E-3</c:v>
                </c:pt>
                <c:pt idx="257">
                  <c:v>2.6574421002701202E-3</c:v>
                </c:pt>
                <c:pt idx="258">
                  <c:v>2.6583634121164403E-3</c:v>
                </c:pt>
                <c:pt idx="259">
                  <c:v>2.6592722340550755E-3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23872"/>
        <c:axId val="541437952"/>
      </c:scatterChart>
      <c:valAx>
        <c:axId val="5414238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1437952"/>
        <c:crosses val="autoZero"/>
        <c:crossBetween val="midCat"/>
      </c:valAx>
      <c:valAx>
        <c:axId val="5414379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4238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31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K5</v>
          </cell>
        </row>
        <row r="7">
          <cell r="D7" t="str">
            <v>M5</v>
          </cell>
        </row>
      </sheetData>
      <sheetData sheetId="9">
        <row r="6">
          <cell r="D6" t="str">
            <v>Future Code</v>
          </cell>
        </row>
        <row r="7">
          <cell r="D7" t="str">
            <v>H5</v>
          </cell>
        </row>
      </sheetData>
      <sheetData sheetId="10">
        <row r="6">
          <cell r="D6" t="str">
            <v>J5</v>
          </cell>
        </row>
        <row r="7">
          <cell r="D7" t="str">
            <v>K5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GBPSWD_Mx_Quote#0000</v>
          </cell>
        </row>
        <row r="7">
          <cell r="D7" t="str">
            <v>GBP2WD_Mx_Quote#0000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/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136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156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157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tr">
        <f>IF(UPPER(Currency)&lt;&gt;"EUR","L","")&amp;"ibor"</f>
        <v>Libor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">
        <v>158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115</v>
      </c>
      <c r="D8" s="17" t="str">
        <f>Currency&amp;"ON"</f>
        <v>GBPON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142</v>
      </c>
      <c r="D9" s="17" t="s">
        <v>159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13</v>
      </c>
      <c r="I10" s="19" t="s">
        <v>14</v>
      </c>
      <c r="J10" s="15"/>
    </row>
    <row r="11" spans="1:34" x14ac:dyDescent="0.2">
      <c r="B11" s="2"/>
      <c r="C11" s="80" t="s">
        <v>18</v>
      </c>
      <c r="D11" s="81">
        <v>41864.862141203703</v>
      </c>
      <c r="E11" s="4"/>
      <c r="G11" s="9"/>
      <c r="H11" s="13" t="s">
        <v>16</v>
      </c>
      <c r="I11" s="20">
        <v>1E-4</v>
      </c>
      <c r="J11" s="15"/>
    </row>
    <row r="12" spans="1:34" x14ac:dyDescent="0.2">
      <c r="B12" s="2"/>
      <c r="C12" s="80" t="s">
        <v>19</v>
      </c>
      <c r="D12" s="145" t="b">
        <v>1</v>
      </c>
      <c r="E12" s="4"/>
      <c r="G12" s="9"/>
      <c r="H12" s="13" t="s">
        <v>17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91</v>
      </c>
      <c r="C15" s="147"/>
      <c r="D15" s="147"/>
      <c r="E15" s="148"/>
      <c r="G15" s="147" t="s">
        <v>99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7</v>
      </c>
      <c r="D17" s="16">
        <f>_xll.qlCalendarAdvance(Calendar,EvaluationDate,"0D","f")</f>
        <v>42066</v>
      </c>
      <c r="E17" s="4"/>
      <c r="G17" s="47"/>
      <c r="H17" s="5" t="s">
        <v>20</v>
      </c>
      <c r="I17" s="149">
        <v>42066.703703703701</v>
      </c>
      <c r="J17" s="51"/>
    </row>
    <row r="18" spans="2:10" x14ac:dyDescent="0.2">
      <c r="B18" s="2"/>
      <c r="C18" s="67" t="s">
        <v>10</v>
      </c>
      <c r="D18" s="17" t="str">
        <f>_xll.qlDiscountingSwapEngine(,OisCurve,,,,,EvaluationDate)</f>
        <v>obj_0041a#0000</v>
      </c>
      <c r="E18" s="4"/>
      <c r="G18" s="47"/>
      <c r="H18" s="5" t="s">
        <v>21</v>
      </c>
      <c r="I18" s="149">
        <f>_xll.qlSettingsEvaluationDate(Trigger)</f>
        <v>42066</v>
      </c>
      <c r="J18" s="51"/>
    </row>
    <row r="19" spans="2:10" x14ac:dyDescent="0.2">
      <c r="B19" s="2"/>
      <c r="C19" s="67" t="s">
        <v>12</v>
      </c>
      <c r="D19" s="65">
        <f>_xll.qlCalendarAdjust(Calendar,DATE(YEAR(SettlementDate),12,31),"Preceding")</f>
        <v>42369</v>
      </c>
      <c r="E19" s="4"/>
      <c r="G19" s="47"/>
      <c r="H19" s="5" t="s">
        <v>22</v>
      </c>
      <c r="I19" s="150">
        <f>[1]!TriggerCounter</f>
        <v>31</v>
      </c>
      <c r="J19" s="51"/>
    </row>
    <row r="20" spans="2:10" x14ac:dyDescent="0.2">
      <c r="B20" s="2"/>
      <c r="C20" s="67" t="s">
        <v>15</v>
      </c>
      <c r="D20" s="65">
        <f>_xll.qlCalendarAdjust(Calendar,DATE(YEAR(SettlementDate)+1,12,31),"Preceding")</f>
        <v>42734</v>
      </c>
      <c r="E20" s="4"/>
      <c r="G20" s="47"/>
      <c r="H20" s="5" t="s">
        <v>23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26</v>
      </c>
      <c r="I21" s="6">
        <f>_xll.ohTrigger(Contribution!U16,Contribution!U22,Contribution!U29,Contribution!U39,Contribution!U55)</f>
        <v>0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24</v>
      </c>
      <c r="D26" s="6" t="s">
        <v>25</v>
      </c>
      <c r="E26" s="4"/>
      <c r="G26" s="2"/>
      <c r="H26" s="67" t="s">
        <v>24</v>
      </c>
      <c r="I26" s="6" t="s">
        <v>38</v>
      </c>
      <c r="J26" s="4"/>
    </row>
    <row r="27" spans="2:10" x14ac:dyDescent="0.2">
      <c r="B27" s="2"/>
      <c r="C27" s="67" t="s">
        <v>27</v>
      </c>
      <c r="D27" s="64">
        <v>0</v>
      </c>
      <c r="E27" s="4"/>
      <c r="G27" s="2"/>
      <c r="H27" s="67" t="s">
        <v>27</v>
      </c>
      <c r="I27" s="64">
        <v>0</v>
      </c>
      <c r="J27" s="4"/>
    </row>
    <row r="28" spans="2:10" x14ac:dyDescent="0.2">
      <c r="B28" s="2"/>
      <c r="C28" s="5" t="s">
        <v>93</v>
      </c>
      <c r="D28" s="68" t="str">
        <f>_xll.qlLibor(,Currency,IborTenor,YieldCurve,,Trigger)</f>
        <v>obj_0043e#0000</v>
      </c>
      <c r="E28" s="4"/>
      <c r="G28" s="2"/>
      <c r="H28" s="5" t="s">
        <v>93</v>
      </c>
      <c r="I28" s="272" t="str">
        <f>_xll.qlLibor(,Currency,IborTenor1M,I34,,Trigger)</f>
        <v>obj_0043c#0000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28</v>
      </c>
      <c r="D30" s="7" t="e">
        <v>#N/A</v>
      </c>
      <c r="E30" s="4"/>
      <c r="G30" s="2"/>
      <c r="H30" s="67" t="s">
        <v>28</v>
      </c>
      <c r="I30" s="7" t="e">
        <v>#N/A</v>
      </c>
      <c r="J30" s="4"/>
    </row>
    <row r="31" spans="2:10" x14ac:dyDescent="0.2">
      <c r="B31" s="2"/>
      <c r="C31" s="67" t="s">
        <v>29</v>
      </c>
      <c r="D31" s="12" t="s">
        <v>30</v>
      </c>
      <c r="E31" s="4"/>
      <c r="G31" s="2"/>
      <c r="H31" s="67" t="s">
        <v>29</v>
      </c>
      <c r="I31" s="12" t="s">
        <v>30</v>
      </c>
      <c r="J31" s="4"/>
    </row>
    <row r="32" spans="2:10" x14ac:dyDescent="0.2">
      <c r="B32" s="2"/>
      <c r="C32" s="67" t="s">
        <v>31</v>
      </c>
      <c r="D32" s="17" t="s">
        <v>131</v>
      </c>
      <c r="E32" s="4"/>
      <c r="G32" s="2"/>
      <c r="H32" s="67" t="s">
        <v>31</v>
      </c>
      <c r="I32" s="17" t="s">
        <v>131</v>
      </c>
      <c r="J32" s="4"/>
    </row>
    <row r="33" spans="2:10" x14ac:dyDescent="0.2">
      <c r="B33" s="2"/>
      <c r="C33" s="67" t="s">
        <v>92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97</v>
      </c>
      <c r="D34" s="75" t="str">
        <f>_xll.qlPiecewiseYieldCurve(,NDays,Calendar,_xll.ohPack('Delta 1Y'!L14:L27),DayCounter,,,Accuracy,TraitsID,InterpolatorID)</f>
        <v>obj_0043d#0000</v>
      </c>
      <c r="E34" s="4"/>
      <c r="G34" s="2"/>
      <c r="H34" s="74" t="s">
        <v>97</v>
      </c>
      <c r="I34" s="75" t="str">
        <f>_xll.qlPiecewiseYieldCurve(,NDays,Calendar,_xll.ohPack('Delta 1M'!L13:L21),"actual/365",,,Accuracy,I31,I32,,Trigger)</f>
        <v>obj_0043b#0000</v>
      </c>
      <c r="J34" s="4"/>
    </row>
    <row r="35" spans="2:10" x14ac:dyDescent="0.2">
      <c r="B35" s="2"/>
      <c r="C35" s="76" t="s">
        <v>98</v>
      </c>
      <c r="D35" s="77" t="str">
        <f>_xll.ohRangeRetrieveError(YieldCurve)</f>
        <v/>
      </c>
      <c r="E35" s="4"/>
      <c r="G35" s="2"/>
      <c r="H35" s="76" t="s">
        <v>98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42066</v>
      </c>
      <c r="D37" s="71" t="e">
        <f>_xll.qlYieldTSDiscount(YieldCurve,C37,,Trigger)</f>
        <v>#NUM!</v>
      </c>
      <c r="E37" s="4"/>
      <c r="G37" s="2"/>
      <c r="H37" s="70">
        <f>_xll.qlTermStructureReferenceDate(I34)</f>
        <v>42066</v>
      </c>
      <c r="I37" s="288">
        <f>_xll.qlYieldTSDiscount(I34,H37,,Trigger)</f>
        <v>1</v>
      </c>
      <c r="J37" s="394"/>
    </row>
    <row r="38" spans="2:10" x14ac:dyDescent="0.2">
      <c r="B38" s="2"/>
      <c r="C38" s="72" t="e">
        <f>_xll.qlTermStructureMaxDate(D34)</f>
        <v>#NUM!</v>
      </c>
      <c r="D38" s="73" t="e">
        <f>_xll.qlYieldTSDiscount(YieldCurve,C38,,Trigger)</f>
        <v>#NUM!</v>
      </c>
      <c r="E38" s="4"/>
      <c r="G38" s="2"/>
      <c r="H38" s="72">
        <f>_xll.qlTermStructureMaxDate(I34)</f>
        <v>42219</v>
      </c>
      <c r="I38" s="289">
        <f>_xll.qlYieldTSDiscount(I34,H38,,Trigger)</f>
        <v>0.99781946395570131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94</v>
      </c>
      <c r="D40" s="66" t="s">
        <v>96</v>
      </c>
      <c r="E40" s="4"/>
    </row>
    <row r="41" spans="2:10" x14ac:dyDescent="0.2">
      <c r="B41" s="2"/>
      <c r="C41" s="5" t="s">
        <v>95</v>
      </c>
      <c r="D41" s="69" t="str">
        <f>_xll.qlInterpolation(,BasisInterpolation,'Delta 1Y'!P31:P36,'Delta 1Y'!X31:X36)</f>
        <v>obj_00627#0027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96" t="s">
        <v>106</v>
      </c>
      <c r="X2" s="496"/>
      <c r="Y2" s="496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GbpLibor1MLastFixing_Quote</v>
      </c>
      <c r="D3" s="330">
        <f>_xll.qlCalendarAdvance(Calendar,_xll.qlLastFixingQuoteReferenceDate($C$3),_xll.qlInterestRateIndexFixingDays($D$10)&amp;"D","f",,LastFixingsTrigger)</f>
        <v>42066</v>
      </c>
      <c r="E3" s="330">
        <f>_xll.qlInterestRateIndexMaturity($D$10,D3)</f>
        <v>42101</v>
      </c>
      <c r="F3" s="424">
        <f>'Delta 1M'!W26</f>
        <v>4.288521397802459E-5</v>
      </c>
      <c r="G3" s="350">
        <f>_xll.qlDayCounterYearFraction(DayCounter,SettlementDate,D3,,,Trigger)</f>
        <v>0</v>
      </c>
      <c r="H3" s="350">
        <f>_xll.qlDayCounterYearFraction(DayCounter,SettlementDate,E3,,,Trigger)</f>
        <v>9.5890410958904104E-2</v>
      </c>
      <c r="I3" s="350">
        <f>H3-G3</f>
        <v>9.5890410958904104E-2</v>
      </c>
      <c r="J3" s="350">
        <f>(H3^2-G3^2)/2</f>
        <v>4.5974854569337583E-3</v>
      </c>
      <c r="K3" s="350">
        <f>(H3^3-G3^3)/3</f>
        <v>2.9390317989530875E-4</v>
      </c>
      <c r="L3" s="331" t="b">
        <f>IF(D12="fixing",TRUE,FALSE)</f>
        <v>0</v>
      </c>
      <c r="N3" s="497" t="s">
        <v>103</v>
      </c>
      <c r="O3" s="172">
        <f t="array" ref="O3:O5">_xll.ohFilter(K3:K7,L3:L7)</f>
        <v>2.9390317989530875E-4</v>
      </c>
      <c r="P3" s="173">
        <f t="array" ref="P3:P5">_xll.ohFilter(J3:J7,L3:L7)</f>
        <v>4.5974854569337583E-3</v>
      </c>
      <c r="Q3" s="174">
        <f t="array" ref="Q3:Q5">_xll.ohFilter(I3:I7,L3:L7)</f>
        <v>9.5890410958904104E-2</v>
      </c>
      <c r="R3" s="168"/>
      <c r="S3" s="176">
        <f t="array" ref="S3:S5">MMULT(W3:Y5,U3:U5)</f>
        <v>-6.6036042065362802E-3</v>
      </c>
      <c r="T3" s="177"/>
      <c r="U3" s="160">
        <f t="array" ref="U3:U5">_xll.ohFilter(F3:F7,L3:L7)</f>
        <v>4.288521397802459E-5</v>
      </c>
      <c r="W3" s="172">
        <f t="array" ref="W3:Y5">MINVERSE(O3:Q5)</f>
        <v>689.3719040295797</v>
      </c>
      <c r="X3" s="173">
        <v>-1721.4140527522256</v>
      </c>
      <c r="Y3" s="174">
        <v>887.56144972682193</v>
      </c>
      <c r="AB3" s="185">
        <f>SettlementDate</f>
        <v>42066</v>
      </c>
      <c r="AC3" s="210">
        <f>_xll.qlDayCounterYearFraction(DayCounter,SettlementDate,AB3,,,Trigger)</f>
        <v>0</v>
      </c>
      <c r="AD3" s="186">
        <f t="shared" ref="AD3:AD26" si="0">$S$13</f>
        <v>4.4723151719939933E-4</v>
      </c>
      <c r="AE3" s="186">
        <f t="shared" ref="AE3:AE23" si="1">$S$10+$S$9*AC3</f>
        <v>3.7910922485726164E-4</v>
      </c>
      <c r="AF3" s="187">
        <f t="shared" ref="AF3:AF23" si="2">($S$5+$S$4*AC3+$S$3*AC3^2)</f>
        <v>3.4152068524415091E-4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42066</v>
      </c>
      <c r="E4" s="159">
        <f>_xll.qlInterestRateIndexMaturity($D$10,D4)</f>
        <v>42101</v>
      </c>
      <c r="F4" s="425">
        <f t="array" ref="F4:F7">Delta1M</f>
        <v>4.288521397802459E-5</v>
      </c>
      <c r="G4" s="210">
        <f>_xll.qlDayCounterYearFraction(DayCounter,SettlementDate,D4,,,Trigger)</f>
        <v>0</v>
      </c>
      <c r="H4" s="210">
        <f>_xll.qlDayCounterYearFraction(DayCounter,SettlementDate,E4,,,Trigger)</f>
        <v>9.5890410958904104E-2</v>
      </c>
      <c r="I4" s="210">
        <f>H4-G4</f>
        <v>9.5890410958904104E-2</v>
      </c>
      <c r="J4" s="210">
        <f>(H4^2-G4^2)/2</f>
        <v>4.5974854569337583E-3</v>
      </c>
      <c r="K4" s="210">
        <f>(H4^3-G4^3)/3</f>
        <v>2.9390317989530875E-4</v>
      </c>
      <c r="L4" s="192" t="b">
        <f>IF(D12="fixing",FALSE,TRUE)</f>
        <v>1</v>
      </c>
      <c r="N4" s="497"/>
      <c r="O4" s="172">
        <v>1.5886195204836806E-3</v>
      </c>
      <c r="P4" s="173">
        <v>1.125914805779696E-2</v>
      </c>
      <c r="Q4" s="174">
        <v>8.2191780821917804E-2</v>
      </c>
      <c r="R4" s="169" t="s">
        <v>35</v>
      </c>
      <c r="S4" s="176">
        <v>2.6269741377545116E-3</v>
      </c>
      <c r="T4" s="169" t="s">
        <v>36</v>
      </c>
      <c r="U4" s="160">
        <v>4.7157069520668311E-5</v>
      </c>
      <c r="W4" s="172">
        <v>-243.03355565596215</v>
      </c>
      <c r="X4" s="173">
        <v>451.05455125787046</v>
      </c>
      <c r="Y4" s="174">
        <v>-162.11168031540126</v>
      </c>
      <c r="AB4" s="188">
        <f>_xll.qlCalendarAdvance(Calendar,AB3,"1d","mf",,Trigger)</f>
        <v>42067</v>
      </c>
      <c r="AC4" s="210">
        <f>_xll.qlDayCounterYearFraction(DayCounter,SettlementDate,AB4,,,Trigger)</f>
        <v>2.7397260273972603E-3</v>
      </c>
      <c r="AD4" s="189">
        <f t="shared" si="0"/>
        <v>4.4723151719939933E-4</v>
      </c>
      <c r="AE4" s="189">
        <f t="shared" si="1"/>
        <v>3.8300192727681236E-4</v>
      </c>
      <c r="AF4" s="161">
        <f t="shared" si="2"/>
        <v>3.4866830735767214E-4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42101</v>
      </c>
      <c r="E5" s="159">
        <f>_xll.qlInterestRateIndexMaturity($D$10,D5)</f>
        <v>42131</v>
      </c>
      <c r="F5" s="425">
        <v>4.7157069520668311E-5</v>
      </c>
      <c r="G5" s="210">
        <f>_xll.qlDayCounterYearFraction(DayCounter,SettlementDate,D5,,,Trigger)</f>
        <v>9.5890410958904104E-2</v>
      </c>
      <c r="H5" s="210">
        <f>_xll.qlDayCounterYearFraction(DayCounter,SettlementDate,E5,,,Trigger)</f>
        <v>0.17808219178082191</v>
      </c>
      <c r="I5" s="210">
        <f>H5-G5</f>
        <v>8.2191780821917804E-2</v>
      </c>
      <c r="J5" s="210">
        <f>(H5^2-G5^2)/2</f>
        <v>1.125914805779696E-2</v>
      </c>
      <c r="K5" s="210">
        <f>(H5^3-G5^3)/3</f>
        <v>1.5886195204836806E-3</v>
      </c>
      <c r="L5" s="192" t="b">
        <v>1</v>
      </c>
      <c r="N5" s="497"/>
      <c r="O5" s="172">
        <v>3.9795141771867722E-3</v>
      </c>
      <c r="P5" s="173">
        <v>1.8266091199099263E-2</v>
      </c>
      <c r="Q5" s="174">
        <v>8.4931506849315053E-2</v>
      </c>
      <c r="R5" s="171"/>
      <c r="S5" s="176">
        <v>3.4152068524415091E-4</v>
      </c>
      <c r="T5" s="169"/>
      <c r="U5" s="160">
        <v>5.0711279035454129E-5</v>
      </c>
      <c r="W5" s="172">
        <v>19.967946990768564</v>
      </c>
      <c r="X5" s="173">
        <v>-16.349785760574132</v>
      </c>
      <c r="Y5" s="174">
        <v>5.0521105851717518</v>
      </c>
      <c r="AB5" s="188">
        <f>_xll.qlCalendarAdvance(Calendar,AB4,"1d","mf",,Trigger)</f>
        <v>42068</v>
      </c>
      <c r="AC5" s="210">
        <f>_xll.qlDayCounterYearFraction(DayCounter,SettlementDate,AB5,,,Trigger)</f>
        <v>5.4794520547945206E-3</v>
      </c>
      <c r="AD5" s="189">
        <f t="shared" si="0"/>
        <v>4.4723151719939933E-4</v>
      </c>
      <c r="AE5" s="189">
        <f t="shared" si="1"/>
        <v>3.8689462969636307E-4</v>
      </c>
      <c r="AF5" s="161">
        <f t="shared" si="2"/>
        <v>3.5571679486122464E-4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42129</v>
      </c>
      <c r="E6" s="159">
        <f>_xll.qlInterestRateIndexMaturity($D$10,D6)</f>
        <v>42160</v>
      </c>
      <c r="F6" s="425">
        <v>5.0711279035454129E-5</v>
      </c>
      <c r="G6" s="210">
        <f>_xll.qlDayCounterYearFraction(DayCounter,SettlementDate,D6,,,Trigger)</f>
        <v>0.17260273972602741</v>
      </c>
      <c r="H6" s="210">
        <f>_xll.qlDayCounterYearFraction(DayCounter,SettlementDate,E6,,,Trigger)</f>
        <v>0.25753424657534246</v>
      </c>
      <c r="I6" s="210">
        <f>H6-G6</f>
        <v>8.4931506849315053E-2</v>
      </c>
      <c r="J6" s="210">
        <f>(H6^2-G6^2)/2</f>
        <v>1.8266091199099263E-2</v>
      </c>
      <c r="K6" s="210">
        <f>(H6^3-G6^3)/3</f>
        <v>3.9795141771867722E-3</v>
      </c>
      <c r="L6" s="192" t="b">
        <v>1</v>
      </c>
      <c r="S6" s="178"/>
      <c r="T6" s="207"/>
      <c r="U6" s="179"/>
      <c r="AB6" s="188">
        <f>_xll.qlCalendarAdvance(Calendar,AB5,"1d","mf",,Trigger)</f>
        <v>42069</v>
      </c>
      <c r="AC6" s="210">
        <f>_xll.qlDayCounterYearFraction(DayCounter,SettlementDate,AB6,,,Trigger)</f>
        <v>8.21917808219178E-3</v>
      </c>
      <c r="AD6" s="189">
        <f t="shared" si="0"/>
        <v>4.4723151719939933E-4</v>
      </c>
      <c r="AE6" s="189">
        <f t="shared" si="1"/>
        <v>3.9078733211591379E-4</v>
      </c>
      <c r="AF6" s="161">
        <f t="shared" si="2"/>
        <v>3.6266614775480854E-4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42158</v>
      </c>
      <c r="E7" s="163">
        <f>_xll.qlInterestRateIndexMaturity($D$10,D7)</f>
        <v>42188</v>
      </c>
      <c r="F7" s="426">
        <v>4.8533573487722254E-5</v>
      </c>
      <c r="G7" s="211">
        <f>_xll.qlDayCounterYearFraction(DayCounter,SettlementDate,D7,,,Trigger)</f>
        <v>0.25205479452054796</v>
      </c>
      <c r="H7" s="211">
        <f>_xll.qlDayCounterYearFraction(DayCounter,SettlementDate,E7,,,Trigger)</f>
        <v>0.33424657534246577</v>
      </c>
      <c r="I7" s="211">
        <f>H7-G7</f>
        <v>8.2191780821917804E-2</v>
      </c>
      <c r="J7" s="211">
        <f>(H7^2-G7^2)/2</f>
        <v>2.4094576843685489E-2</v>
      </c>
      <c r="K7" s="211">
        <f>(H7^3-G7^3)/3</f>
        <v>7.109612176331625E-3</v>
      </c>
      <c r="L7" s="193" t="b">
        <v>0</v>
      </c>
      <c r="S7" s="178"/>
      <c r="T7" s="207"/>
      <c r="U7" s="179"/>
      <c r="AB7" s="188">
        <f>_xll.qlCalendarAdvance(Calendar,AB6,"1d","mf",,Trigger)</f>
        <v>42072</v>
      </c>
      <c r="AC7" s="210">
        <f>_xll.qlDayCounterYearFraction(DayCounter,SettlementDate,AB7,,,Trigger)</f>
        <v>1.643835616438356E-2</v>
      </c>
      <c r="AD7" s="189">
        <f t="shared" si="0"/>
        <v>4.4723151719939933E-4</v>
      </c>
      <c r="AE7" s="189">
        <f t="shared" si="1"/>
        <v>4.0246543937456599E-4</v>
      </c>
      <c r="AF7" s="161">
        <f t="shared" si="2"/>
        <v>3.8291939877574838E-4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42073</v>
      </c>
      <c r="AC8" s="210">
        <f>_xll.qlDayCounterYearFraction(DayCounter,SettlementDate,AB8,,,Trigger)</f>
        <v>1.9178082191780823E-2</v>
      </c>
      <c r="AD8" s="189">
        <f t="shared" si="0"/>
        <v>4.4723151719939933E-4</v>
      </c>
      <c r="AE8" s="189">
        <f t="shared" si="1"/>
        <v>4.0635814179411671E-4</v>
      </c>
      <c r="AF8" s="161">
        <f t="shared" si="2"/>
        <v>3.8947221322945777E-4</v>
      </c>
    </row>
    <row r="9" spans="1:32" ht="12" customHeight="1" x14ac:dyDescent="0.2">
      <c r="C9" s="165" t="s">
        <v>153</v>
      </c>
      <c r="D9" s="203" t="s">
        <v>38</v>
      </c>
      <c r="N9" s="496" t="s">
        <v>104</v>
      </c>
      <c r="O9" s="209"/>
      <c r="P9" s="172">
        <f t="array" ref="P9:P10">_xll.ohFilter(J3:J7,L3:L7)</f>
        <v>4.5974854569337583E-3</v>
      </c>
      <c r="Q9" s="174">
        <f t="array" ref="Q9:Q10">_xll.ohFilter(I3:I7,L3:L7)</f>
        <v>9.5890410958904104E-2</v>
      </c>
      <c r="R9" s="498" t="s">
        <v>35</v>
      </c>
      <c r="S9" s="176">
        <f t="array" ref="S9:S10">MMULT(W9:X10,U9:U10)</f>
        <v>1.4208363831360133E-3</v>
      </c>
      <c r="T9" s="498" t="s">
        <v>36</v>
      </c>
      <c r="U9" s="160">
        <f t="array" ref="U9:U10">_xll.ohFilter(F3:F7,L3:L7)</f>
        <v>4.288521397802459E-5</v>
      </c>
      <c r="W9" s="172">
        <f t="array" ref="W9:X10">MINVERSE(P9:Q10)</f>
        <v>-117.12087912087912</v>
      </c>
      <c r="X9" s="174">
        <v>136.64102564102564</v>
      </c>
      <c r="AB9" s="188">
        <f>_xll.qlCalendarAdvance(Calendar,AB8,"1d","mf",,Trigger)</f>
        <v>42074</v>
      </c>
      <c r="AC9" s="210">
        <f>_xll.qlDayCounterYearFraction(DayCounter,SettlementDate,AB9,,,Trigger)</f>
        <v>2.1917808219178082E-2</v>
      </c>
      <c r="AD9" s="189">
        <f t="shared" si="0"/>
        <v>4.4723151719939933E-4</v>
      </c>
      <c r="AE9" s="189">
        <f t="shared" si="1"/>
        <v>4.1025084421366742E-4</v>
      </c>
      <c r="AF9" s="161">
        <f t="shared" si="2"/>
        <v>3.9592589307319839E-4</v>
      </c>
    </row>
    <row r="10" spans="1:32" ht="12" customHeight="1" x14ac:dyDescent="0.2">
      <c r="C10" s="183" t="s">
        <v>116</v>
      </c>
      <c r="D10" s="204" t="str">
        <f>PROPER(Currency)&amp;IborType&amp;D9</f>
        <v>GbpLibor1M</v>
      </c>
      <c r="N10" s="496"/>
      <c r="O10" s="209"/>
      <c r="P10" s="172">
        <v>1.125914805779696E-2</v>
      </c>
      <c r="Q10" s="174">
        <v>8.2191780821917804E-2</v>
      </c>
      <c r="R10" s="498"/>
      <c r="S10" s="176">
        <v>3.7910922485726164E-4</v>
      </c>
      <c r="T10" s="498"/>
      <c r="U10" s="160">
        <v>4.7157069520668311E-5</v>
      </c>
      <c r="W10" s="172">
        <v>16.043956043956044</v>
      </c>
      <c r="X10" s="174">
        <v>-6.551282051282052</v>
      </c>
      <c r="AB10" s="188">
        <f>_xll.qlCalendarAdvance(Calendar,AB9,"1d","mf",,Trigger)</f>
        <v>42075</v>
      </c>
      <c r="AC10" s="210">
        <f>_xll.qlDayCounterYearFraction(DayCounter,SettlementDate,AB10,,,Trigger)</f>
        <v>2.4657534246575342E-2</v>
      </c>
      <c r="AD10" s="189">
        <f t="shared" si="0"/>
        <v>4.4723151719939933E-4</v>
      </c>
      <c r="AE10" s="189">
        <f t="shared" si="1"/>
        <v>4.1414354663321814E-4</v>
      </c>
      <c r="AF10" s="161">
        <f t="shared" si="2"/>
        <v>4.0228043830697045E-4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42076</v>
      </c>
      <c r="AC11" s="210">
        <f>_xll.qlDayCounterYearFraction(DayCounter,SettlementDate,AB11,,,Trigger)</f>
        <v>2.7397260273972601E-2</v>
      </c>
      <c r="AD11" s="189">
        <f t="shared" si="0"/>
        <v>4.4723151719939933E-4</v>
      </c>
      <c r="AE11" s="189">
        <f t="shared" si="1"/>
        <v>4.1803624905276885E-4</v>
      </c>
      <c r="AF11" s="161">
        <f t="shared" si="2"/>
        <v>4.0853584893077384E-4</v>
      </c>
    </row>
    <row r="12" spans="1:32" ht="12" customHeight="1" thickBot="1" x14ac:dyDescent="0.25">
      <c r="C12" s="183" t="s">
        <v>143</v>
      </c>
      <c r="D12" s="204" t="s">
        <v>149</v>
      </c>
      <c r="S12" s="206" t="s">
        <v>33</v>
      </c>
      <c r="T12" s="207"/>
      <c r="U12" s="179"/>
      <c r="AB12" s="188">
        <f>_xll.qlCalendarAdvance(Calendar,AB11,"1d","mf",,Trigger)</f>
        <v>42079</v>
      </c>
      <c r="AC12" s="210">
        <f>_xll.qlDayCounterYearFraction(DayCounter,SettlementDate,AB12,,,Trigger)</f>
        <v>3.5616438356164383E-2</v>
      </c>
      <c r="AD12" s="189">
        <f t="shared" si="0"/>
        <v>4.4723151719939933E-4</v>
      </c>
      <c r="AE12" s="189">
        <f t="shared" si="1"/>
        <v>4.29714356311421E-4</v>
      </c>
      <c r="AF12" s="161">
        <f t="shared" si="2"/>
        <v>4.2670727314237213E-4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105</v>
      </c>
      <c r="Q13" s="175">
        <f t="array" ref="Q13">_xll.ohFilter(I3:I7,L3:L7)</f>
        <v>9.5890410958904104E-2</v>
      </c>
      <c r="R13" s="355" t="s">
        <v>35</v>
      </c>
      <c r="S13" s="176">
        <f>MMULT(W13,U13)</f>
        <v>4.4723151719939933E-4</v>
      </c>
      <c r="T13" s="355" t="s">
        <v>36</v>
      </c>
      <c r="U13" s="160">
        <f t="array" ref="U13">_xll.ohFilter(F3:F7,L3:L7)</f>
        <v>4.288521397802459E-5</v>
      </c>
      <c r="W13" s="175">
        <f>MINVERSE(Q13)</f>
        <v>10.428571428571429</v>
      </c>
      <c r="AB13" s="188">
        <f>_xll.qlCalendarAdvance(Calendar,AB12,"1d","mf",,Trigger)</f>
        <v>42080</v>
      </c>
      <c r="AC13" s="210">
        <f>_xll.qlDayCounterYearFraction(DayCounter,SettlementDate,AB13,,,Trigger)</f>
        <v>3.8356164383561646E-2</v>
      </c>
      <c r="AD13" s="189">
        <f t="shared" si="0"/>
        <v>4.4723151719939933E-4</v>
      </c>
      <c r="AE13" s="189">
        <f t="shared" si="1"/>
        <v>4.3360705873097172E-4</v>
      </c>
      <c r="AF13" s="161">
        <f t="shared" si="2"/>
        <v>4.3256614532630102E-4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42081</v>
      </c>
      <c r="AC14" s="210">
        <f>_xll.qlDayCounterYearFraction(DayCounter,SettlementDate,AB14,,,Trigger)</f>
        <v>4.1095890410958902E-2</v>
      </c>
      <c r="AD14" s="189">
        <f t="shared" si="0"/>
        <v>4.4723151719939933E-4</v>
      </c>
      <c r="AE14" s="189">
        <f t="shared" si="1"/>
        <v>4.3749976115052243E-4</v>
      </c>
      <c r="AF14" s="161">
        <f t="shared" si="2"/>
        <v>4.3832588290026114E-4</v>
      </c>
    </row>
    <row r="15" spans="1:32" ht="12" customHeight="1" x14ac:dyDescent="0.2">
      <c r="C15" s="200" t="s">
        <v>41</v>
      </c>
      <c r="D15" s="194">
        <f t="shared" ref="D15:D19" si="4">SettlementDate</f>
        <v>42066</v>
      </c>
      <c r="E15" s="195">
        <f>_xll.qlCalendarAdvance(Calendar,SettlementDate,C15,"Following",,Trigger)</f>
        <v>42067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347">
        <f>_xll.qlYieldTSDiscount(Discounting,E15,,AllTriggers)</f>
        <v>0.99998748888755595</v>
      </c>
      <c r="I15" s="361">
        <f>(G15/H15-1)/F15</f>
        <v>4.5666131754906747E-3</v>
      </c>
      <c r="J15" s="357">
        <f>((1+I15*F15)*EXP($S$13*F15)-1)/F15</f>
        <v>5.013850562082256E-3</v>
      </c>
      <c r="K15" s="357">
        <f>((1+F15*I15)*EXP($S$10*F15+0.5*$S$9*F15^2)-1)/F15</f>
        <v>4.9476737179354746E-3</v>
      </c>
      <c r="L15" s="357">
        <f>((1+F15*I15)*EXP($S$5*F15+0.5*$S$4*F15^2+1/3*$S$3*F15^3)-1)/F15</f>
        <v>4.9117204138182657E-3</v>
      </c>
      <c r="AB15" s="188">
        <f>_xll.qlCalendarAdvance(Calendar,AB14,"1d","mf",,Trigger)</f>
        <v>42082</v>
      </c>
      <c r="AC15" s="210">
        <f>_xll.qlDayCounterYearFraction(DayCounter,SettlementDate,AB15,,,Trigger)</f>
        <v>4.3835616438356165E-2</v>
      </c>
      <c r="AD15" s="189">
        <f t="shared" si="0"/>
        <v>4.4723151719939933E-4</v>
      </c>
      <c r="AE15" s="189">
        <f t="shared" si="1"/>
        <v>4.413924635700732E-4</v>
      </c>
      <c r="AF15" s="161">
        <f t="shared" si="2"/>
        <v>4.4398648586425269E-4</v>
      </c>
    </row>
    <row r="16" spans="1:32" ht="12" customHeight="1" x14ac:dyDescent="0.2">
      <c r="C16" s="198" t="s">
        <v>42</v>
      </c>
      <c r="D16" s="159">
        <f>SettlementDate</f>
        <v>42066</v>
      </c>
      <c r="E16" s="196">
        <f>_xll.qlCalendarAdvance(Calendar,SettlementDate,C16,"Following",,Trigger)</f>
        <v>42073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352">
        <f>_xll.qlYieldTSDiscount(Discounting,E16,,AllTriggers)</f>
        <v>0.99991237672823008</v>
      </c>
      <c r="I16" s="361">
        <f t="shared" ref="I16:I19" si="5">(G16/H16-1)/F16</f>
        <v>4.5693281217645022E-3</v>
      </c>
      <c r="J16" s="358">
        <f t="shared" ref="J16:J19" si="6">((1+I16*F16)*EXP($S$13*F16)-1)/F16</f>
        <v>5.0166007484252007E-3</v>
      </c>
      <c r="K16" s="358">
        <f t="shared" ref="K16:K19" si="7">((1+F16*I16)*EXP($S$10*F16+0.5*$S$9*F16^2)-1)/F16</f>
        <v>4.9620976998668688E-3</v>
      </c>
      <c r="L16" s="358">
        <f t="shared" ref="L16:L19" si="8">((1+F16*I16)*EXP($S$5*F16+0.5*$S$4*F16^2+1/3*$S$3*F16^3)-1)/F16</f>
        <v>4.9352627188700305E-3</v>
      </c>
      <c r="AB16" s="188">
        <f>_xll.qlCalendarAdvance(Calendar,AB15,"1d","mf",,Trigger)</f>
        <v>42083</v>
      </c>
      <c r="AC16" s="210">
        <f>_xll.qlDayCounterYearFraction(DayCounter,SettlementDate,AB16,,,Trigger)</f>
        <v>4.6575342465753428E-2</v>
      </c>
      <c r="AD16" s="189">
        <f t="shared" si="0"/>
        <v>4.4723151719939933E-4</v>
      </c>
      <c r="AE16" s="189">
        <f t="shared" si="1"/>
        <v>4.4528516598962392E-4</v>
      </c>
      <c r="AF16" s="161">
        <f t="shared" si="2"/>
        <v>4.4954795421827559E-4</v>
      </c>
    </row>
    <row r="17" spans="3:32" ht="12" customHeight="1" x14ac:dyDescent="0.2">
      <c r="C17" s="198" t="s">
        <v>43</v>
      </c>
      <c r="D17" s="159">
        <f t="shared" si="4"/>
        <v>42066</v>
      </c>
      <c r="E17" s="196">
        <f>_xll.qlCalendarAdvance(Calendar,SettlementDate,C17,"Following",,Trigger)</f>
        <v>42080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352">
        <f>_xll.qlYieldTSDiscount(Discounting,E17,,AllTriggers)</f>
        <v>0.99982466012451821</v>
      </c>
      <c r="I17" s="361">
        <f t="shared" si="5"/>
        <v>4.5721627217917438E-3</v>
      </c>
      <c r="J17" s="358">
        <f t="shared" si="6"/>
        <v>5.0194765068799019E-3</v>
      </c>
      <c r="K17" s="358">
        <f t="shared" si="7"/>
        <v>4.9785952942580204E-3</v>
      </c>
      <c r="L17" s="358">
        <f t="shared" si="8"/>
        <v>4.9608963932453887E-3</v>
      </c>
      <c r="AB17" s="188">
        <f>_xll.qlCalendarAdvance(Calendar,AB16,"1d","mf",,Trigger)</f>
        <v>42086</v>
      </c>
      <c r="AC17" s="210">
        <f>_xll.qlDayCounterYearFraction(DayCounter,SettlementDate,AB17,,,Trigger)</f>
        <v>5.4794520547945202E-2</v>
      </c>
      <c r="AD17" s="189">
        <f t="shared" si="0"/>
        <v>4.4723151719939933E-4</v>
      </c>
      <c r="AE17" s="189">
        <f t="shared" si="1"/>
        <v>4.5696327324827607E-4</v>
      </c>
      <c r="AF17" s="161">
        <f t="shared" si="2"/>
        <v>4.6563755162053237E-4</v>
      </c>
    </row>
    <row r="18" spans="3:32" ht="12" customHeight="1" x14ac:dyDescent="0.2">
      <c r="C18" s="198" t="s">
        <v>44</v>
      </c>
      <c r="D18" s="159">
        <f t="shared" si="4"/>
        <v>42066</v>
      </c>
      <c r="E18" s="196">
        <f>_xll.qlCalendarAdvance(Calendar,SettlementDate,C18,"Following",,Trigger)</f>
        <v>42087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352">
        <f>_xll.qlYieldTSDiscount(Discounting,E18,,AllTriggers)</f>
        <v>0.99973734144216364</v>
      </c>
      <c r="I18" s="361">
        <f t="shared" si="5"/>
        <v>4.5664553047687828E-3</v>
      </c>
      <c r="J18" s="358">
        <f t="shared" si="6"/>
        <v>5.0138100774619965E-3</v>
      </c>
      <c r="K18" s="358">
        <f t="shared" si="7"/>
        <v>4.9865533215122581E-3</v>
      </c>
      <c r="L18" s="358">
        <f t="shared" si="8"/>
        <v>4.9763725845446737E-3</v>
      </c>
      <c r="AB18" s="188">
        <f>_xll.qlCalendarAdvance(Calendar,AB17,"1d","mf",,Trigger)</f>
        <v>42087</v>
      </c>
      <c r="AC18" s="210">
        <f>_xll.qlDayCounterYearFraction(DayCounter,SettlementDate,AB18,,,Trigger)</f>
        <v>5.7534246575342465E-2</v>
      </c>
      <c r="AD18" s="189">
        <f t="shared" si="0"/>
        <v>4.4723151719939933E-4</v>
      </c>
      <c r="AE18" s="189">
        <f t="shared" si="1"/>
        <v>4.6085597566782678E-4</v>
      </c>
      <c r="AF18" s="161">
        <f t="shared" si="2"/>
        <v>4.7080248153468071E-4</v>
      </c>
    </row>
    <row r="19" spans="3:32" ht="12" customHeight="1" thickBot="1" x14ac:dyDescent="0.25">
      <c r="C19" s="199" t="s">
        <v>38</v>
      </c>
      <c r="D19" s="163">
        <f t="shared" si="4"/>
        <v>42066</v>
      </c>
      <c r="E19" s="197">
        <f>_xll.qlCalendarAdvance(Calendar,SettlementDate,C19,"mf",TRUE,Trigger)</f>
        <v>42101</v>
      </c>
      <c r="F19" s="211">
        <f>_xll.qlDayCounterYearFraction(DayCounter,D19,E19,,,Trigger)</f>
        <v>9.5890410958904104E-2</v>
      </c>
      <c r="G19" s="349">
        <f>_xll.qlYieldTSDiscount(Discounting,D19,,AllTriggers)</f>
        <v>1</v>
      </c>
      <c r="H19" s="353">
        <f>_xll.qlYieldTSDiscount(Discounting,E19,,AllTriggers)</f>
        <v>0.9995632792414465</v>
      </c>
      <c r="I19" s="362">
        <f t="shared" si="5"/>
        <v>4.5563634834327226E-3</v>
      </c>
      <c r="J19" s="370">
        <f t="shared" si="6"/>
        <v>5.0037999953918E-3</v>
      </c>
      <c r="K19" s="370">
        <f t="shared" si="7"/>
        <v>5.0037999953918E-3</v>
      </c>
      <c r="L19" s="370">
        <f t="shared" si="8"/>
        <v>5.0037999953918E-3</v>
      </c>
      <c r="AB19" s="188">
        <f>_xll.qlCalendarAdvance(Calendar,AB18,"1d","mf",,Trigger)</f>
        <v>42088</v>
      </c>
      <c r="AC19" s="210">
        <f>_xll.qlDayCounterYearFraction(DayCounter,SettlementDate,AB19,,,Trigger)</f>
        <v>6.0273972602739728E-2</v>
      </c>
      <c r="AD19" s="189">
        <f t="shared" si="0"/>
        <v>4.4723151719939933E-4</v>
      </c>
      <c r="AE19" s="189">
        <f t="shared" si="1"/>
        <v>4.647486780873775E-4</v>
      </c>
      <c r="AF19" s="161">
        <f t="shared" si="2"/>
        <v>4.7586827683886038E-4</v>
      </c>
    </row>
    <row r="20" spans="3:32" ht="12" customHeight="1" thickBot="1" x14ac:dyDescent="0.25">
      <c r="AB20" s="188">
        <f>_xll.qlCalendarAdvance(Calendar,AB19,"1d","mf",,Trigger)</f>
        <v>42089</v>
      </c>
      <c r="AC20" s="210">
        <f>_xll.qlDayCounterYearFraction(DayCounter,SettlementDate,AB20,,,Trigger)</f>
        <v>6.3013698630136991E-2</v>
      </c>
      <c r="AD20" s="189">
        <f t="shared" si="0"/>
        <v>4.4723151719939933E-4</v>
      </c>
      <c r="AE20" s="189">
        <f t="shared" si="1"/>
        <v>4.6864138050692827E-4</v>
      </c>
      <c r="AF20" s="161">
        <f t="shared" si="2"/>
        <v>4.8083493753307144E-4</v>
      </c>
    </row>
    <row r="21" spans="3:32" ht="12" customHeight="1" x14ac:dyDescent="0.2">
      <c r="C21" s="212" t="s">
        <v>118</v>
      </c>
      <c r="AB21" s="188">
        <f>_xll.qlCalendarAdvance(Calendar,AB20,"1d","mf",,Trigger)</f>
        <v>42090</v>
      </c>
      <c r="AC21" s="210">
        <f>_xll.qlDayCounterYearFraction(DayCounter,SettlementDate,AB21,,,Trigger)</f>
        <v>6.575342465753424E-2</v>
      </c>
      <c r="AD21" s="189">
        <f t="shared" si="0"/>
        <v>4.4723151719939933E-4</v>
      </c>
      <c r="AE21" s="189">
        <f t="shared" si="1"/>
        <v>4.7253408292647893E-4</v>
      </c>
      <c r="AF21" s="161">
        <f t="shared" si="2"/>
        <v>4.8570246361731372E-4</v>
      </c>
    </row>
    <row r="22" spans="3:32" ht="12" customHeight="1" x14ac:dyDescent="0.2">
      <c r="C22" s="215" t="s">
        <v>103</v>
      </c>
      <c r="AB22" s="188">
        <f>_xll.qlCalendarAdvance(Calendar,AB21,"1d","mf",,Trigger)</f>
        <v>42093</v>
      </c>
      <c r="AC22" s="210">
        <f>_xll.qlDayCounterYearFraction(DayCounter,SettlementDate,AB22,,,Trigger)</f>
        <v>7.3972602739726029E-2</v>
      </c>
      <c r="AD22" s="189">
        <f t="shared" si="0"/>
        <v>4.4723151719939933E-4</v>
      </c>
      <c r="AE22" s="189">
        <f t="shared" si="1"/>
        <v>4.8421219018513113E-4</v>
      </c>
      <c r="AF22" s="161">
        <f t="shared" si="2"/>
        <v>4.9971023421022912E-4</v>
      </c>
    </row>
    <row r="23" spans="3:32" ht="12" customHeight="1" x14ac:dyDescent="0.2">
      <c r="C23" s="189">
        <f>IF($C$22="FLAT",J15,IF($C$22="linear",K15,L15))</f>
        <v>4.9117204138182657E-3</v>
      </c>
      <c r="AB23" s="188">
        <f>_xll.qlCalendarAdvance(Calendar,AB22,"1d","mf",,Trigger)</f>
        <v>42094</v>
      </c>
      <c r="AC23" s="210">
        <f>_xll.qlDayCounterYearFraction(DayCounter,SettlementDate,AB23,,,Trigger)</f>
        <v>7.6712328767123292E-2</v>
      </c>
      <c r="AD23" s="189">
        <f t="shared" si="0"/>
        <v>4.4723151719939933E-4</v>
      </c>
      <c r="AE23" s="189">
        <f t="shared" si="1"/>
        <v>4.8810489260468185E-4</v>
      </c>
      <c r="AF23" s="161">
        <f t="shared" si="2"/>
        <v>5.041812218545969E-4</v>
      </c>
    </row>
    <row r="24" spans="3:32" ht="12" customHeight="1" x14ac:dyDescent="0.2">
      <c r="C24" s="189">
        <f>IF($C$22="FLAT",J16,IF($C$22="linear",K16,L16))</f>
        <v>4.9352627188700305E-3</v>
      </c>
      <c r="AB24" s="188">
        <f>_xll.qlCalendarAdvance(Calendar,AB23,"1d","mf",,Trigger)</f>
        <v>42095</v>
      </c>
      <c r="AC24" s="210">
        <f>_xll.qlDayCounterYearFraction(DayCounter,SettlementDate,AB24,,,Trigger)</f>
        <v>7.9452054794520555E-2</v>
      </c>
      <c r="AD24" s="189">
        <f t="shared" si="0"/>
        <v>4.4723151719939933E-4</v>
      </c>
      <c r="AE24" s="189">
        <f t="shared" ref="AE24:AE26" si="9">$S$10+$S$9*AC24</f>
        <v>4.9199759502423256E-4</v>
      </c>
      <c r="AF24" s="161">
        <f t="shared" ref="AF24:AF26" si="10">($S$5+$S$4*AC24+$S$3*AC24^2)</f>
        <v>5.0855307488899607E-4</v>
      </c>
    </row>
    <row r="25" spans="3:32" ht="12" customHeight="1" x14ac:dyDescent="0.2">
      <c r="C25" s="189">
        <f>IF($C$22="FLAT",J17,IF($C$22="linear",K17,L17))</f>
        <v>4.9608963932453887E-3</v>
      </c>
      <c r="AB25" s="188">
        <f>_xll.qlCalendarAdvance(Calendar,AB24,"1d","mf",,Trigger)</f>
        <v>42096</v>
      </c>
      <c r="AC25" s="210">
        <f>_xll.qlDayCounterYearFraction(DayCounter,SettlementDate,AB25,,,Trigger)</f>
        <v>8.2191780821917804E-2</v>
      </c>
      <c r="AD25" s="189">
        <f t="shared" si="0"/>
        <v>4.4723151719939933E-4</v>
      </c>
      <c r="AE25" s="189">
        <f t="shared" si="9"/>
        <v>4.9589029744378328E-4</v>
      </c>
      <c r="AF25" s="161">
        <f t="shared" si="10"/>
        <v>5.1282579331342663E-4</v>
      </c>
    </row>
    <row r="26" spans="3:32" ht="12" customHeight="1" thickBot="1" x14ac:dyDescent="0.25">
      <c r="C26" s="189">
        <f>IF($C$22="FLAT",J18,IF($C$22="linear",K18,L18))</f>
        <v>4.9763725845446737E-3</v>
      </c>
      <c r="AB26" s="190">
        <f>_xll.qlCalendarAdvance(Calendar,AB25,"1d","mf",,Trigger)</f>
        <v>42101</v>
      </c>
      <c r="AC26" s="211">
        <f>_xll.qlDayCounterYearFraction(DayCounter,SettlementDate,AB26,,,Trigger)</f>
        <v>9.5890410958904104E-2</v>
      </c>
      <c r="AD26" s="191">
        <f t="shared" si="0"/>
        <v>4.4723151719939933E-4</v>
      </c>
      <c r="AE26" s="191">
        <f t="shared" si="9"/>
        <v>5.1535380954153686E-4</v>
      </c>
      <c r="AF26" s="164">
        <f t="shared" si="10"/>
        <v>5.3270236628604958E-4</v>
      </c>
    </row>
    <row r="27" spans="3:32" ht="12" customHeight="1" x14ac:dyDescent="0.2">
      <c r="C27" s="216">
        <f>IF($C$22="FLAT",J19,IF($C$22="linear",K19,L19))</f>
        <v>5.0037999953918E-3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7" t="s">
        <v>117</v>
      </c>
      <c r="W2" s="206" t="s">
        <v>107</v>
      </c>
      <c r="AA2" s="496" t="s">
        <v>106</v>
      </c>
      <c r="AB2" s="496"/>
      <c r="AC2" s="496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GbpLibor3MLastFixing_Quote</v>
      </c>
      <c r="D3" s="330">
        <f>_xll.qlCalendarAdvance(Calendar,_xll.qlLastFixingQuoteReferenceDate($C$3),_xll.qlInterestRateIndexFixingDays($D$10)&amp;"D","f",,LastFixingsTrigger)</f>
        <v>42066</v>
      </c>
      <c r="E3" s="330">
        <f>_xll.qlInterestRateIndexMaturity($D$10,D3)</f>
        <v>42158</v>
      </c>
      <c r="F3" s="458">
        <f>_xll.qlYieldTSDiscount(Discounting,D3,,AllTriggers)</f>
        <v>1</v>
      </c>
      <c r="G3" s="458">
        <f>_xll.qlYieldTSDiscount(Discounting,E3,,AllTriggers)</f>
        <v>0.99885190848149896</v>
      </c>
      <c r="H3" s="461">
        <f>_xll.qlDayCounterYearFraction(DayCounter,D3,E3,,,Trigger)</f>
        <v>0.25205479452054796</v>
      </c>
      <c r="I3" s="464">
        <f>(F3/G3-1)/H3</f>
        <v>4.5601637924700079E-3</v>
      </c>
      <c r="J3" s="424">
        <f>'Delta 3M'!P3</f>
        <v>2.6820401642028676E-4</v>
      </c>
      <c r="K3" s="350">
        <f>_xll.qlDayCounterYearFraction(DayCounter,SettlementDate,D3,,,Trigger)</f>
        <v>0</v>
      </c>
      <c r="L3" s="350">
        <f>_xll.qlDayCounterYearFraction(DayCounter,SettlementDate,E3,,,Trigger)</f>
        <v>0.25205479452054796</v>
      </c>
      <c r="M3" s="350">
        <f>L3-K3</f>
        <v>0.25205479452054796</v>
      </c>
      <c r="N3" s="350">
        <f>(L3^2-K3^2)/2</f>
        <v>3.1765809720397831E-2</v>
      </c>
      <c r="O3" s="350">
        <f>(L3^3-K3^3)/3</f>
        <v>5.3378164279024665E-3</v>
      </c>
      <c r="P3" s="331" t="b">
        <f>IF(D12="fixing",TRUE,FALSE)</f>
        <v>0</v>
      </c>
      <c r="R3" s="497" t="s">
        <v>103</v>
      </c>
      <c r="S3" s="172">
        <f t="array" ref="S3:S5">_xll.ohFilter(O3:O7,P3:P7)</f>
        <v>5.3378164279024665E-3</v>
      </c>
      <c r="T3" s="173">
        <f t="array" ref="T3:T5">_xll.ohFilter(N3:N7,P3:P7)</f>
        <v>3.1765809720397831E-2</v>
      </c>
      <c r="U3" s="174">
        <f t="array" ref="U3:U5">_xll.ohFilter(M3:M7,P3:P7)</f>
        <v>0.25205479452054796</v>
      </c>
      <c r="V3" s="168"/>
      <c r="W3" s="176">
        <f t="array" ref="W3:W5">MMULT(AA3:AC5,Y3:Y5)</f>
        <v>-2.657800852007286E-4</v>
      </c>
      <c r="X3" s="177"/>
      <c r="Y3" s="160">
        <f t="array" ref="Y3:Y5">_xll.ohFilter(J3:J7,P3:P7)</f>
        <v>2.8998016439762915E-4</v>
      </c>
      <c r="AA3" s="172">
        <f t="array" ref="AA3:AC5">MINVERSE(S3:U5)</f>
        <v>239.46773550595034</v>
      </c>
      <c r="AB3" s="173">
        <v>-535.16676113070719</v>
      </c>
      <c r="AC3" s="174">
        <v>289.88199561246648</v>
      </c>
      <c r="AF3" s="185">
        <f>SettlementDate</f>
        <v>42066</v>
      </c>
      <c r="AG3" s="210">
        <f>_xll.qlDayCounterYearFraction(DayCounter,SettlementDate,AF3,,,Trigger)</f>
        <v>0</v>
      </c>
      <c r="AH3" s="186">
        <f t="shared" ref="AH3:AH65" si="0">$W$13</f>
        <v>1.1504647826645069E-3</v>
      </c>
      <c r="AI3" s="186">
        <f t="shared" ref="AI3:AI65" si="1">$W$10+$W$9*AG3</f>
        <v>1.0542585330276795E-3</v>
      </c>
      <c r="AJ3" s="187">
        <f t="shared" ref="AJ3:AJ34" si="2">($W$5+$W$4*AG3+$W$3*AG3^2)</f>
        <v>1.0483188377227132E-3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42066</v>
      </c>
      <c r="E4" s="159">
        <f>_xll.qlInterestRateIndexMaturity($D$10,D4)</f>
        <v>42158</v>
      </c>
      <c r="F4" s="459">
        <f>_xll.qlYieldTSDiscount(Discounting,D4,,AllTriggers)</f>
        <v>1</v>
      </c>
      <c r="G4" s="459">
        <f>_xll.qlYieldTSDiscount(Discounting,E4,,AllTriggers)</f>
        <v>0.99885190848149896</v>
      </c>
      <c r="H4" s="462">
        <f>_xll.qlDayCounterYearFraction(DayCounter,D4,E4,,,Trigger)</f>
        <v>0.25205479452054796</v>
      </c>
      <c r="I4" s="160">
        <f t="shared" ref="I4:I7" si="3">(F4/G4-1)/H4</f>
        <v>4.5601637924700079E-3</v>
      </c>
      <c r="J4" s="425">
        <f>LN((1+(_xll.qlInterpolationInterpolate(B3Minterpolation,D4,TRUE,AllTriggers)+I4)*H4)/(1+I4*H4))</f>
        <v>2.8998016439762915E-4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0.25205479452054796</v>
      </c>
      <c r="M4" s="210">
        <f>L4-K4</f>
        <v>0.25205479452054796</v>
      </c>
      <c r="N4" s="210">
        <f>(L4^2-K4^2)/2</f>
        <v>3.1765809720397831E-2</v>
      </c>
      <c r="O4" s="210">
        <f>(L4^3-K4^3)/3</f>
        <v>5.3378164279024665E-3</v>
      </c>
      <c r="P4" s="192" t="b">
        <f>IF(D12="fixing",FALSE,TRUE)</f>
        <v>1</v>
      </c>
      <c r="R4" s="497"/>
      <c r="S4" s="172">
        <v>1.341844358130022E-2</v>
      </c>
      <c r="T4" s="173">
        <v>5.4985926064927762E-2</v>
      </c>
      <c r="U4" s="174">
        <v>0.24931506849315072</v>
      </c>
      <c r="V4" s="169" t="s">
        <v>35</v>
      </c>
      <c r="W4" s="176">
        <v>8.5516663064821863E-4</v>
      </c>
      <c r="X4" s="169" t="s">
        <v>36</v>
      </c>
      <c r="Y4" s="160">
        <v>3.048174568772154E-4</v>
      </c>
      <c r="AA4" s="172">
        <v>-124.67745787072602</v>
      </c>
      <c r="AB4" s="173">
        <v>227.26259719249208</v>
      </c>
      <c r="AC4" s="174">
        <v>-100.11489370010855</v>
      </c>
      <c r="AF4" s="188">
        <f>_xll.qlCalendarAdvance(Calendar,AF3,"1d","mf",,Trigger)</f>
        <v>42067</v>
      </c>
      <c r="AG4" s="210">
        <f>_xll.qlDayCounterYearFraction(DayCounter,SettlementDate,AF4,,,Trigger)</f>
        <v>2.7397260273972603E-3</v>
      </c>
      <c r="AH4" s="189">
        <f t="shared" si="0"/>
        <v>1.1504647826645069E-3</v>
      </c>
      <c r="AI4" s="189">
        <f t="shared" si="1"/>
        <v>1.0563499732371758E-3</v>
      </c>
      <c r="AJ4" s="161">
        <f t="shared" si="2"/>
        <v>1.0506597650269084E-3</v>
      </c>
    </row>
    <row r="5" spans="1:36" ht="12" customHeight="1" x14ac:dyDescent="0.2">
      <c r="A5" s="171">
        <v>1</v>
      </c>
      <c r="B5" s="405">
        <f t="shared" ref="B5:B7" si="4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42101</v>
      </c>
      <c r="E5" s="159">
        <f>_xll.qlInterestRateIndexMaturity($D$10,D5)</f>
        <v>42192</v>
      </c>
      <c r="F5" s="459">
        <f>_xll.qlYieldTSDiscount(Discounting,D5,,AllTriggers)</f>
        <v>0.9995632792414465</v>
      </c>
      <c r="G5" s="459">
        <f>_xll.qlYieldTSDiscount(Discounting,E5,,AllTriggers)</f>
        <v>0.9984238839940095</v>
      </c>
      <c r="H5" s="462">
        <f>_xll.qlDayCounterYearFraction(DayCounter,D5,E5,,,Trigger)</f>
        <v>0.24931506849315069</v>
      </c>
      <c r="I5" s="160">
        <f t="shared" si="3"/>
        <v>4.5773161979671424E-3</v>
      </c>
      <c r="J5" s="425">
        <f>LN((1+(_xll.qlInterpolationInterpolate(B3Minterpolation,D5,TRUE,AllTriggers)+I5)*H5)/(1+I5*H5))</f>
        <v>3.048174568772154E-4</v>
      </c>
      <c r="K5" s="210">
        <f>_xll.qlDayCounterYearFraction(DayCounter,SettlementDate,D5,,,Trigger)</f>
        <v>9.5890410958904104E-2</v>
      </c>
      <c r="L5" s="210">
        <f>_xll.qlDayCounterYearFraction(DayCounter,SettlementDate,E5,,,Trigger)</f>
        <v>0.34520547945205482</v>
      </c>
      <c r="M5" s="210">
        <f>L5-K5</f>
        <v>0.24931506849315072</v>
      </c>
      <c r="N5" s="210">
        <f>(L5^2-K5^2)/2</f>
        <v>5.4985926064927762E-2</v>
      </c>
      <c r="O5" s="210">
        <f>(L5^3-K5^3)/3</f>
        <v>1.341844358130022E-2</v>
      </c>
      <c r="P5" s="192" t="b">
        <v>1</v>
      </c>
      <c r="R5" s="497"/>
      <c r="S5" s="172">
        <v>2.3812690276603158E-2</v>
      </c>
      <c r="T5" s="173">
        <v>7.5271157815725256E-2</v>
      </c>
      <c r="U5" s="174">
        <v>0.25205479452054791</v>
      </c>
      <c r="V5" s="171"/>
      <c r="W5" s="176">
        <v>1.0483188377227132E-3</v>
      </c>
      <c r="X5" s="169"/>
      <c r="Y5" s="160">
        <v>3.2227423279790806E-4</v>
      </c>
      <c r="AA5" s="172">
        <v>14.608909136651839</v>
      </c>
      <c r="AB5" s="173">
        <v>-17.307976616940067</v>
      </c>
      <c r="AC5" s="174">
        <v>6.4783286040171433</v>
      </c>
      <c r="AF5" s="188">
        <f>_xll.qlCalendarAdvance(Calendar,AF4,"1d","mf",,Trigger)</f>
        <v>42068</v>
      </c>
      <c r="AG5" s="210">
        <f>_xll.qlDayCounterYearFraction(DayCounter,SettlementDate,AF5,,,Trigger)</f>
        <v>5.4794520547945206E-3</v>
      </c>
      <c r="AH5" s="189">
        <f t="shared" si="0"/>
        <v>1.1504647826645069E-3</v>
      </c>
      <c r="AI5" s="189">
        <f t="shared" si="1"/>
        <v>1.0584414134466719E-3</v>
      </c>
      <c r="AJ5" s="161">
        <f t="shared" si="2"/>
        <v>1.0529967023879966E-3</v>
      </c>
    </row>
    <row r="6" spans="1:36" ht="12" customHeight="1" x14ac:dyDescent="0.2">
      <c r="A6" s="171">
        <v>2</v>
      </c>
      <c r="B6" s="405">
        <f t="shared" si="4"/>
        <v>5</v>
      </c>
      <c r="C6" s="158" t="str">
        <f>"Delta("&amp;A6&amp;"M,"&amp;B6&amp;"M)"</f>
        <v>Delta(2M,5M)</v>
      </c>
      <c r="D6" s="159">
        <f>_xll.qlCalendarAdvance(Calendar,SettlementDate,A6&amp;"M","f")</f>
        <v>42129</v>
      </c>
      <c r="E6" s="159">
        <f>_xll.qlInterestRateIndexMaturity($D$10,D6)</f>
        <v>42221</v>
      </c>
      <c r="F6" s="459">
        <f>_xll.qlYieldTSDiscount(Discounting,D6,,AllTriggers)</f>
        <v>0.99921370738166537</v>
      </c>
      <c r="G6" s="459">
        <f>_xll.qlYieldTSDiscount(Discounting,E6,,AllTriggers)</f>
        <v>0.99806095353968527</v>
      </c>
      <c r="H6" s="462">
        <f>_xll.qlDayCounterYearFraction(DayCounter,D6,E6,,,Trigger)</f>
        <v>0.25205479452054796</v>
      </c>
      <c r="I6" s="160">
        <f t="shared" si="3"/>
        <v>4.5823108824224659E-3</v>
      </c>
      <c r="J6" s="425">
        <f>LN((1+(_xll.qlInterpolationInterpolate(B3Minterpolation,D6,TRUE,AllTriggers)+I6)*H6)/(1+I6*H6))</f>
        <v>3.2227423279790806E-4</v>
      </c>
      <c r="K6" s="210">
        <f>_xll.qlDayCounterYearFraction(DayCounter,SettlementDate,D6,,,Trigger)</f>
        <v>0.17260273972602741</v>
      </c>
      <c r="L6" s="210">
        <f>_xll.qlDayCounterYearFraction(DayCounter,SettlementDate,E6,,,Trigger)</f>
        <v>0.42465753424657532</v>
      </c>
      <c r="M6" s="210">
        <f>L6-K6</f>
        <v>0.25205479452054791</v>
      </c>
      <c r="N6" s="210">
        <f>(L6^2-K6^2)/2</f>
        <v>7.5271157815725256E-2</v>
      </c>
      <c r="O6" s="210">
        <f>(L6^3-K6^3)/3</f>
        <v>2.3812690276603158E-2</v>
      </c>
      <c r="P6" s="192" t="b">
        <v>1</v>
      </c>
      <c r="W6" s="178"/>
      <c r="X6" s="207"/>
      <c r="Y6" s="179"/>
      <c r="AF6" s="188">
        <f>_xll.qlCalendarAdvance(Calendar,AF5,"1d","mf",,Trigger)</f>
        <v>42069</v>
      </c>
      <c r="AG6" s="210">
        <f>_xll.qlDayCounterYearFraction(DayCounter,SettlementDate,AF6,,,Trigger)</f>
        <v>8.21917808219178E-3</v>
      </c>
      <c r="AH6" s="189">
        <f t="shared" si="0"/>
        <v>1.1504647826645069E-3</v>
      </c>
      <c r="AI6" s="189">
        <f t="shared" si="1"/>
        <v>1.0605328536561682E-3</v>
      </c>
      <c r="AJ6" s="161">
        <f t="shared" si="2"/>
        <v>1.0553296498059784E-3</v>
      </c>
    </row>
    <row r="7" spans="1:36" ht="12" customHeight="1" thickBot="1" x14ac:dyDescent="0.25">
      <c r="A7" s="171">
        <v>3</v>
      </c>
      <c r="B7" s="405">
        <f t="shared" si="4"/>
        <v>6</v>
      </c>
      <c r="C7" s="162" t="str">
        <f>"Delta("&amp;A7&amp;"M,"&amp;B7&amp;"M)"</f>
        <v>Delta(3M,6M)</v>
      </c>
      <c r="D7" s="163">
        <f>_xll.qlCalendarAdvance(Calendar,SettlementDate,A7&amp;"M","f")</f>
        <v>42158</v>
      </c>
      <c r="E7" s="163">
        <f>_xll.qlInterestRateIndexMaturity($D$10,D7)</f>
        <v>42250</v>
      </c>
      <c r="F7" s="460">
        <f>_xll.qlYieldTSDiscount(Discounting,D7,,AllTriggers)</f>
        <v>0.99885190848149896</v>
      </c>
      <c r="G7" s="460">
        <f>_xll.qlYieldTSDiscount(Discounting,E7,,AllTriggers)</f>
        <v>0.99768077537065136</v>
      </c>
      <c r="H7" s="463">
        <f>_xll.qlDayCounterYearFraction(DayCounter,D7,E7,,,Trigger)</f>
        <v>0.25205479452054796</v>
      </c>
      <c r="I7" s="465">
        <f t="shared" si="3"/>
        <v>4.6571442839361031E-3</v>
      </c>
      <c r="J7" s="426">
        <f>LN((1+(_xll.qlInterpolationInterpolate(B3Minterpolation,D7,TRUE,AllTriggers)+I7)*H7)/(1+I7*H7))</f>
        <v>3.3576866519581902E-4</v>
      </c>
      <c r="K7" s="211">
        <f>_xll.qlDayCounterYearFraction(DayCounter,SettlementDate,D7,,,Trigger)</f>
        <v>0.25205479452054796</v>
      </c>
      <c r="L7" s="211">
        <f>_xll.qlDayCounterYearFraction(DayCounter,SettlementDate,E7,,,Trigger)</f>
        <v>0.50410958904109593</v>
      </c>
      <c r="M7" s="211">
        <f>L7-K7</f>
        <v>0.25205479452054796</v>
      </c>
      <c r="N7" s="211">
        <f>(L7^2-K7^2)/2</f>
        <v>9.5297429161193492E-2</v>
      </c>
      <c r="O7" s="211">
        <f>(L7^3-K7^3)/3</f>
        <v>3.7364714995317266E-2</v>
      </c>
      <c r="P7" s="193" t="b">
        <v>0</v>
      </c>
      <c r="W7" s="178"/>
      <c r="X7" s="207"/>
      <c r="Y7" s="179"/>
      <c r="AF7" s="188">
        <f>_xll.qlCalendarAdvance(Calendar,AF6,"1d","mf",,Trigger)</f>
        <v>42072</v>
      </c>
      <c r="AG7" s="210">
        <f>_xll.qlDayCounterYearFraction(DayCounter,SettlementDate,AF7,,,Trigger)</f>
        <v>1.643835616438356E-2</v>
      </c>
      <c r="AH7" s="189">
        <f t="shared" si="0"/>
        <v>1.1504647826645069E-3</v>
      </c>
      <c r="AI7" s="189">
        <f t="shared" si="1"/>
        <v>1.0668071742846569E-3</v>
      </c>
      <c r="AJ7" s="161">
        <f t="shared" si="2"/>
        <v>1.0623045524012823E-3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42073</v>
      </c>
      <c r="AG8" s="210">
        <f>_xll.qlDayCounterYearFraction(DayCounter,SettlementDate,AF8,,,Trigger)</f>
        <v>1.9178082191780823E-2</v>
      </c>
      <c r="AH8" s="189">
        <f t="shared" si="0"/>
        <v>1.1504647826645069E-3</v>
      </c>
      <c r="AI8" s="189">
        <f t="shared" si="1"/>
        <v>1.0688986144941532E-3</v>
      </c>
      <c r="AJ8" s="161">
        <f t="shared" si="2"/>
        <v>1.0646215400468366E-3</v>
      </c>
    </row>
    <row r="9" spans="1:36" ht="12" customHeight="1" x14ac:dyDescent="0.2">
      <c r="C9" s="165" t="s">
        <v>153</v>
      </c>
      <c r="D9" s="203" t="s">
        <v>39</v>
      </c>
      <c r="R9" s="496" t="s">
        <v>104</v>
      </c>
      <c r="S9" s="209"/>
      <c r="T9" s="172">
        <f t="array" ref="T9:T10">_xll.ohFilter(N3:N7,P3:P7)</f>
        <v>3.1765809720397831E-2</v>
      </c>
      <c r="U9" s="174">
        <f t="array" ref="U9:U10">_xll.ohFilter(M3:M7,P3:P7)</f>
        <v>0.25205479452054796</v>
      </c>
      <c r="V9" s="498" t="s">
        <v>35</v>
      </c>
      <c r="W9" s="176">
        <f t="array" ref="W9:W10">MMULT(AA9:AB10,Y9:Y10)</f>
        <v>7.6337567646613327E-4</v>
      </c>
      <c r="X9" s="498" t="s">
        <v>36</v>
      </c>
      <c r="Y9" s="160">
        <f t="array" ref="Y9:Y10">_xll.ohFilter(J3:J7,P3:P7)</f>
        <v>2.8998016439762915E-4</v>
      </c>
      <c r="AA9" s="172">
        <f t="array" ref="AA9:AB10">MINVERSE(T9:U10)</f>
        <v>-41.973850031505989</v>
      </c>
      <c r="AB9" s="174">
        <v>42.43510113075331</v>
      </c>
      <c r="AF9" s="188">
        <f>_xll.qlCalendarAdvance(Calendar,AF8,"1d","mf",,Trigger)</f>
        <v>42074</v>
      </c>
      <c r="AG9" s="210">
        <f>_xll.qlDayCounterYearFraction(DayCounter,SettlementDate,AF9,,,Trigger)</f>
        <v>2.1917808219178082E-2</v>
      </c>
      <c r="AH9" s="189">
        <f t="shared" si="0"/>
        <v>1.1504647826645069E-3</v>
      </c>
      <c r="AI9" s="189">
        <f t="shared" si="1"/>
        <v>1.0709900547036496E-3</v>
      </c>
      <c r="AJ9" s="161">
        <f t="shared" si="2"/>
        <v>1.0669345377492844E-3</v>
      </c>
    </row>
    <row r="10" spans="1:36" ht="12" customHeight="1" x14ac:dyDescent="0.2">
      <c r="C10" s="183" t="s">
        <v>116</v>
      </c>
      <c r="D10" s="204" t="str">
        <f>PROPER(Currency)&amp;IborType&amp;D9</f>
        <v>GbpLibor3M</v>
      </c>
      <c r="R10" s="496"/>
      <c r="S10" s="209"/>
      <c r="T10" s="172">
        <v>5.4985926064927762E-2</v>
      </c>
      <c r="U10" s="174">
        <v>0.24931506849315072</v>
      </c>
      <c r="V10" s="498"/>
      <c r="W10" s="176">
        <v>1.0542585330276795E-3</v>
      </c>
      <c r="X10" s="498"/>
      <c r="Y10" s="160">
        <v>3.048174568772154E-4</v>
      </c>
      <c r="AA10" s="172">
        <v>9.2572463768115956</v>
      </c>
      <c r="AB10" s="174">
        <v>-5.3479853479853485</v>
      </c>
      <c r="AF10" s="188">
        <f>_xll.qlCalendarAdvance(Calendar,AF9,"1d","mf",,Trigger)</f>
        <v>42075</v>
      </c>
      <c r="AG10" s="210">
        <f>_xll.qlDayCounterYearFraction(DayCounter,SettlementDate,AF10,,,Trigger)</f>
        <v>2.4657534246575342E-2</v>
      </c>
      <c r="AH10" s="189">
        <f t="shared" si="0"/>
        <v>1.1504647826645069E-3</v>
      </c>
      <c r="AI10" s="189">
        <f t="shared" si="1"/>
        <v>1.0730814949131459E-3</v>
      </c>
      <c r="AJ10" s="161">
        <f t="shared" si="2"/>
        <v>1.0692435455086254E-3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42076</v>
      </c>
      <c r="AG11" s="210">
        <f>_xll.qlDayCounterYearFraction(DayCounter,SettlementDate,AF11,,,Trigger)</f>
        <v>2.7397260273972601E-2</v>
      </c>
      <c r="AH11" s="189">
        <f t="shared" si="0"/>
        <v>1.1504647826645069E-3</v>
      </c>
      <c r="AI11" s="189">
        <f t="shared" si="1"/>
        <v>1.075172935122642E-3</v>
      </c>
      <c r="AJ11" s="161">
        <f t="shared" si="2"/>
        <v>1.0715485633248593E-3</v>
      </c>
    </row>
    <row r="12" spans="1:36" ht="12" customHeight="1" thickBot="1" x14ac:dyDescent="0.25">
      <c r="C12" s="184" t="s">
        <v>143</v>
      </c>
      <c r="D12" s="359" t="s">
        <v>147</v>
      </c>
      <c r="W12" s="206" t="s">
        <v>33</v>
      </c>
      <c r="X12" s="207"/>
      <c r="Y12" s="179"/>
      <c r="AF12" s="188">
        <f>_xll.qlCalendarAdvance(Calendar,AF11,"1d","mf",,Trigger)</f>
        <v>42079</v>
      </c>
      <c r="AG12" s="210">
        <f>_xll.qlDayCounterYearFraction(DayCounter,SettlementDate,AF12,,,Trigger)</f>
        <v>3.5616438356164383E-2</v>
      </c>
      <c r="AH12" s="189">
        <f t="shared" si="0"/>
        <v>1.1504647826645069E-3</v>
      </c>
      <c r="AI12" s="189">
        <f t="shared" si="1"/>
        <v>1.0814472557511307E-3</v>
      </c>
      <c r="AJ12" s="161">
        <f t="shared" si="2"/>
        <v>1.0784396771149208E-3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105</v>
      </c>
      <c r="U13" s="175">
        <f t="array" ref="U13">_xll.ohFilter(M3:M7,P3:P7)</f>
        <v>0.25205479452054796</v>
      </c>
      <c r="V13" s="202" t="s">
        <v>35</v>
      </c>
      <c r="W13" s="176">
        <f>MMULT(AA13,Y13)</f>
        <v>1.1504647826645069E-3</v>
      </c>
      <c r="X13" s="202" t="s">
        <v>36</v>
      </c>
      <c r="Y13" s="160">
        <f t="array" ref="Y13">_xll.ohFilter(J3:J7,P3:P7)</f>
        <v>2.8998016439762915E-4</v>
      </c>
      <c r="AA13" s="175">
        <f>MINVERSE(U13)</f>
        <v>3.9673913043478257</v>
      </c>
      <c r="AF13" s="188">
        <f>_xll.qlCalendarAdvance(Calendar,AF12,"1d","mf",,Trigger)</f>
        <v>42080</v>
      </c>
      <c r="AG13" s="210">
        <f>_xll.qlDayCounterYearFraction(DayCounter,SettlementDate,AF13,,,Trigger)</f>
        <v>3.8356164383561646E-2</v>
      </c>
      <c r="AH13" s="189">
        <f t="shared" si="0"/>
        <v>1.1504647826645069E-3</v>
      </c>
      <c r="AI13" s="189">
        <f t="shared" si="1"/>
        <v>1.083538695960627E-3</v>
      </c>
      <c r="AJ13" s="161">
        <f t="shared" si="2"/>
        <v>1.0807287351587279E-3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66" t="s">
        <v>139</v>
      </c>
      <c r="M14" s="180" t="s">
        <v>140</v>
      </c>
      <c r="N14" s="369" t="s">
        <v>105</v>
      </c>
      <c r="O14" s="369" t="s">
        <v>104</v>
      </c>
      <c r="P14" s="369" t="s">
        <v>130</v>
      </c>
      <c r="AF14" s="188">
        <f>_xll.qlCalendarAdvance(Calendar,AF13,"1d","mf",,Trigger)</f>
        <v>42081</v>
      </c>
      <c r="AG14" s="210">
        <f>_xll.qlDayCounterYearFraction(DayCounter,SettlementDate,AF14,,,Trigger)</f>
        <v>4.1095890410958902E-2</v>
      </c>
      <c r="AH14" s="189">
        <f t="shared" si="0"/>
        <v>1.1504647826645069E-3</v>
      </c>
      <c r="AI14" s="189">
        <f t="shared" si="1"/>
        <v>1.0856301361701233E-3</v>
      </c>
      <c r="AJ14" s="161">
        <f t="shared" si="2"/>
        <v>1.083013803259428E-3</v>
      </c>
    </row>
    <row r="15" spans="1:36" ht="12" customHeight="1" x14ac:dyDescent="0.2">
      <c r="C15" s="200" t="s">
        <v>41</v>
      </c>
      <c r="D15" s="194">
        <f t="shared" ref="D15:D21" si="5">SettlementDate</f>
        <v>42066</v>
      </c>
      <c r="E15" s="195">
        <f>_xll.qlCalendarAdvance(Calendar,SettlementDate,C15,"Following",,Trigger)</f>
        <v>42067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419">
        <f>_xll.qlYieldTSDiscount(Discounting,E15,,AllTriggers)</f>
        <v>0.99998748888755595</v>
      </c>
      <c r="M15" s="361">
        <f>(K15/L15-1)/J15</f>
        <v>4.5666131754906747E-3</v>
      </c>
      <c r="N15" s="357">
        <f>((1+M15*J15)*EXP($W$13*J15)-1)/J15</f>
        <v>5.7170941651085716E-3</v>
      </c>
      <c r="O15" s="357">
        <f>((1+J15*M15)*EXP($W$10*J15+0.5*$W$9*J15^2)-1)/J15</f>
        <v>5.6219321574857428E-3</v>
      </c>
      <c r="P15" s="357">
        <f t="shared" ref="P15:P21" si="6">((1+J15*M15)*EXP($W$5*J15+0.5*$W$4*J15^2+1/3*$W$3*J15^3)-1)/J15</f>
        <v>5.6161174486291099E-3</v>
      </c>
      <c r="AF15" s="188">
        <f>_xll.qlCalendarAdvance(Calendar,AF14,"1d","mf",,Trigger)</f>
        <v>42082</v>
      </c>
      <c r="AG15" s="210">
        <f>_xll.qlDayCounterYearFraction(DayCounter,SettlementDate,AF15,,,Trigger)</f>
        <v>4.3835616438356165E-2</v>
      </c>
      <c r="AH15" s="189">
        <f t="shared" si="0"/>
        <v>1.1504647826645069E-3</v>
      </c>
      <c r="AI15" s="189">
        <f t="shared" si="1"/>
        <v>1.0877215763796196E-3</v>
      </c>
      <c r="AJ15" s="161">
        <f t="shared" si="2"/>
        <v>1.0852948814170213E-3</v>
      </c>
    </row>
    <row r="16" spans="1:36" ht="12" customHeight="1" x14ac:dyDescent="0.2">
      <c r="C16" s="198" t="s">
        <v>42</v>
      </c>
      <c r="D16" s="159">
        <f>SettlementDate</f>
        <v>42066</v>
      </c>
      <c r="E16" s="196">
        <f>_xll.qlCalendarAdvance(Calendar,SettlementDate,C16,"Following",,Trigger)</f>
        <v>42073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420">
        <f>_xll.qlYieldTSDiscount(Discounting,E16,,AllTriggers)</f>
        <v>0.99991237672823008</v>
      </c>
      <c r="M16" s="361">
        <f t="shared" ref="M16:M21" si="7">(K16/L16-1)/J16</f>
        <v>4.5693281217645022E-3</v>
      </c>
      <c r="N16" s="358">
        <f t="shared" ref="N16:N20" si="8">((1+M16*J16)*EXP($W$13*J16)-1)/J16</f>
        <v>5.7199064137177947E-3</v>
      </c>
      <c r="O16" s="358">
        <f t="shared" ref="O16:O20" si="9">((1+J16*M16)*EXP($W$10*J16+0.5*$W$9*J16^2)-1)/J16</f>
        <v>5.63101053004611E-3</v>
      </c>
      <c r="P16" s="358">
        <f t="shared" si="6"/>
        <v>5.6259178877799644E-3</v>
      </c>
      <c r="AF16" s="188">
        <f>_xll.qlCalendarAdvance(Calendar,AF15,"1d","mf",,Trigger)</f>
        <v>42083</v>
      </c>
      <c r="AG16" s="210">
        <f>_xll.qlDayCounterYearFraction(DayCounter,SettlementDate,AF16,,,Trigger)</f>
        <v>4.6575342465753428E-2</v>
      </c>
      <c r="AH16" s="189">
        <f t="shared" si="0"/>
        <v>1.1504647826645069E-3</v>
      </c>
      <c r="AI16" s="189">
        <f t="shared" si="1"/>
        <v>1.0898130165891157E-3</v>
      </c>
      <c r="AJ16" s="161">
        <f t="shared" si="2"/>
        <v>1.087571969631508E-3</v>
      </c>
    </row>
    <row r="17" spans="3:36" ht="12" customHeight="1" x14ac:dyDescent="0.2">
      <c r="C17" s="198" t="s">
        <v>43</v>
      </c>
      <c r="D17" s="159">
        <f t="shared" si="5"/>
        <v>42066</v>
      </c>
      <c r="E17" s="196">
        <f>_xll.qlCalendarAdvance(Calendar,SettlementDate,C17,"Following",,Trigger)</f>
        <v>42080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420">
        <f>_xll.qlYieldTSDiscount(Discounting,E17,,AllTriggers)</f>
        <v>0.99982466012451821</v>
      </c>
      <c r="M17" s="361">
        <f t="shared" si="7"/>
        <v>4.5721627217917438E-3</v>
      </c>
      <c r="N17" s="358">
        <f t="shared" si="8"/>
        <v>5.7228546505299384E-3</v>
      </c>
      <c r="O17" s="358">
        <f t="shared" si="9"/>
        <v>5.6412707056546774E-3</v>
      </c>
      <c r="P17" s="358">
        <f t="shared" si="6"/>
        <v>5.6369601145138983E-3</v>
      </c>
      <c r="AF17" s="188">
        <f>_xll.qlCalendarAdvance(Calendar,AF16,"1d","mf",,Trigger)</f>
        <v>42086</v>
      </c>
      <c r="AG17" s="210">
        <f>_xll.qlDayCounterYearFraction(DayCounter,SettlementDate,AF17,,,Trigger)</f>
        <v>5.4794520547945202E-2</v>
      </c>
      <c r="AH17" s="189">
        <f t="shared" si="0"/>
        <v>1.1504647826645069E-3</v>
      </c>
      <c r="AI17" s="189">
        <f t="shared" si="1"/>
        <v>1.0960873372176047E-3</v>
      </c>
      <c r="AJ17" s="161">
        <f t="shared" si="2"/>
        <v>1.0943792946163271E-3</v>
      </c>
    </row>
    <row r="18" spans="3:36" ht="12" customHeight="1" x14ac:dyDescent="0.2">
      <c r="C18" s="198" t="s">
        <v>44</v>
      </c>
      <c r="D18" s="159">
        <f t="shared" si="5"/>
        <v>42066</v>
      </c>
      <c r="E18" s="196">
        <f>_xll.qlCalendarAdvance(Calendar,SettlementDate,C18,"Following",,Trigger)</f>
        <v>42087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420">
        <f>_xll.qlYieldTSDiscount(Discounting,E18,,AllTriggers)</f>
        <v>0.99973734144216364</v>
      </c>
      <c r="M18" s="361">
        <f t="shared" si="7"/>
        <v>4.5664553047687828E-3</v>
      </c>
      <c r="N18" s="358">
        <f t="shared" si="8"/>
        <v>5.7172604323679505E-3</v>
      </c>
      <c r="O18" s="358">
        <f t="shared" si="9"/>
        <v>5.6429900411671318E-3</v>
      </c>
      <c r="P18" s="358">
        <f t="shared" si="6"/>
        <v>5.6393964807849575E-3</v>
      </c>
      <c r="AF18" s="188">
        <f>_xll.qlCalendarAdvance(Calendar,AF17,"1d","mf",,Trigger)</f>
        <v>42087</v>
      </c>
      <c r="AG18" s="210">
        <f>_xll.qlDayCounterYearFraction(DayCounter,SettlementDate,AF18,,,Trigger)</f>
        <v>5.7534246575342465E-2</v>
      </c>
      <c r="AH18" s="189">
        <f t="shared" si="0"/>
        <v>1.1504647826645069E-3</v>
      </c>
      <c r="AI18" s="189">
        <f t="shared" si="1"/>
        <v>1.0981787774271008E-3</v>
      </c>
      <c r="AJ18" s="161">
        <f t="shared" si="2"/>
        <v>1.0966404230583864E-3</v>
      </c>
    </row>
    <row r="19" spans="3:36" ht="12" customHeight="1" x14ac:dyDescent="0.2">
      <c r="C19" s="198" t="s">
        <v>38</v>
      </c>
      <c r="D19" s="159">
        <f t="shared" si="5"/>
        <v>42066</v>
      </c>
      <c r="E19" s="196">
        <f>_xll.qlCalendarAdvance(Calendar,SettlementDate,C19,"mf",TRUE,Trigger)</f>
        <v>42101</v>
      </c>
      <c r="J19" s="210">
        <f>_xll.qlDayCounterYearFraction(DayCounter,D19,E19,,,Trigger)</f>
        <v>9.5890410958904104E-2</v>
      </c>
      <c r="K19" s="348">
        <f>_xll.qlYieldTSDiscount(Discounting,D19,,AllTriggers)</f>
        <v>1</v>
      </c>
      <c r="L19" s="420">
        <f>_xll.qlYieldTSDiscount(Discounting,E19,,AllTriggers)</f>
        <v>0.9995632792414465</v>
      </c>
      <c r="M19" s="361">
        <f t="shared" si="7"/>
        <v>4.5563634834327226E-3</v>
      </c>
      <c r="N19" s="358">
        <f t="shared" si="8"/>
        <v>5.7073944063252523E-3</v>
      </c>
      <c r="O19" s="358">
        <f t="shared" si="9"/>
        <v>5.6477559093329587E-3</v>
      </c>
      <c r="P19" s="358">
        <f t="shared" si="6"/>
        <v>5.645401262562506E-3</v>
      </c>
      <c r="AF19" s="188">
        <f>_xll.qlCalendarAdvance(Calendar,AF18,"1d","mf",,Trigger)</f>
        <v>42088</v>
      </c>
      <c r="AG19" s="210">
        <f>_xll.qlDayCounterYearFraction(DayCounter,SettlementDate,AF19,,,Trigger)</f>
        <v>6.0273972602739728E-2</v>
      </c>
      <c r="AH19" s="189">
        <f t="shared" si="0"/>
        <v>1.1504647826645069E-3</v>
      </c>
      <c r="AI19" s="189">
        <f t="shared" si="1"/>
        <v>1.1002702176365971E-3</v>
      </c>
      <c r="AJ19" s="161">
        <f t="shared" si="2"/>
        <v>1.0988975615573392E-3</v>
      </c>
    </row>
    <row r="20" spans="3:36" ht="12" customHeight="1" x14ac:dyDescent="0.2">
      <c r="C20" s="198" t="s">
        <v>45</v>
      </c>
      <c r="D20" s="159">
        <f t="shared" si="5"/>
        <v>42066</v>
      </c>
      <c r="E20" s="196">
        <f>_xll.qlCalendarAdvance(Calendar,SettlementDate,C20,"mf",TRUE,Trigger)</f>
        <v>42129</v>
      </c>
      <c r="J20" s="210">
        <f>_xll.qlDayCounterYearFraction(DayCounter,D20,E20,,,Trigger)</f>
        <v>0.17260273972602741</v>
      </c>
      <c r="K20" s="348">
        <f>_xll.qlYieldTSDiscount(Discounting,D20,,AllTriggers)</f>
        <v>1</v>
      </c>
      <c r="L20" s="420">
        <f>_xll.qlYieldTSDiscount(Discounting,E20,,AllTriggers)</f>
        <v>0.99921370738166537</v>
      </c>
      <c r="M20" s="361">
        <f t="shared" si="7"/>
        <v>4.5590896307785419E-3</v>
      </c>
      <c r="N20" s="358">
        <f t="shared" si="8"/>
        <v>5.7105740505396475E-3</v>
      </c>
      <c r="O20" s="358">
        <f t="shared" si="9"/>
        <v>5.6802183559158765E-3</v>
      </c>
      <c r="P20" s="358">
        <f t="shared" si="6"/>
        <v>5.6795603538837731E-3</v>
      </c>
      <c r="AF20" s="188">
        <f>_xll.qlCalendarAdvance(Calendar,AF19,"1d","mf",,Trigger)</f>
        <v>42089</v>
      </c>
      <c r="AG20" s="210">
        <f>_xll.qlDayCounterYearFraction(DayCounter,SettlementDate,AF20,,,Trigger)</f>
        <v>6.3013698630136991E-2</v>
      </c>
      <c r="AH20" s="189">
        <f t="shared" si="0"/>
        <v>1.1504647826645069E-3</v>
      </c>
      <c r="AI20" s="189">
        <f t="shared" si="1"/>
        <v>1.1023616578460934E-3</v>
      </c>
      <c r="AJ20" s="161">
        <f t="shared" si="2"/>
        <v>1.101150710113185E-3</v>
      </c>
    </row>
    <row r="21" spans="3:36" ht="12" customHeight="1" thickBot="1" x14ac:dyDescent="0.25">
      <c r="C21" s="199" t="s">
        <v>39</v>
      </c>
      <c r="D21" s="163">
        <f t="shared" si="5"/>
        <v>42066</v>
      </c>
      <c r="E21" s="197">
        <f>_xll.qlCalendarAdvance(Calendar,SettlementDate,C21,"mf",TRUE,Trigger)</f>
        <v>42158</v>
      </c>
      <c r="J21" s="211">
        <f>_xll.qlDayCounterYearFraction(DayCounter,D21,E21,,,Trigger)</f>
        <v>0.25205479452054796</v>
      </c>
      <c r="K21" s="349">
        <f>_xll.qlYieldTSDiscount(Discounting,D21,,AllTriggers)</f>
        <v>1</v>
      </c>
      <c r="L21" s="421">
        <f>_xll.qlYieldTSDiscount(Discounting,E21,,AllTriggers)</f>
        <v>0.99885190848149896</v>
      </c>
      <c r="M21" s="362">
        <f t="shared" si="7"/>
        <v>4.5601637924700079E-3</v>
      </c>
      <c r="N21" s="370">
        <f>((1+M21*J21)*EXP($W$13*J21)-1)/J21</f>
        <v>5.7121179460363431E-3</v>
      </c>
      <c r="O21" s="370">
        <f>((1+J21*M21)*EXP($W$10*J21+0.5*$W$9*J21^2)-1)/J21</f>
        <v>5.7121179460363431E-3</v>
      </c>
      <c r="P21" s="370">
        <f t="shared" si="6"/>
        <v>5.7121179460363431E-3</v>
      </c>
      <c r="AF21" s="188">
        <f>_xll.qlCalendarAdvance(Calendar,AF20,"1d","mf",,Trigger)</f>
        <v>42090</v>
      </c>
      <c r="AG21" s="210">
        <f>_xll.qlDayCounterYearFraction(DayCounter,SettlementDate,AF21,,,Trigger)</f>
        <v>6.575342465753424E-2</v>
      </c>
      <c r="AH21" s="189">
        <f t="shared" si="0"/>
        <v>1.1504647826645069E-3</v>
      </c>
      <c r="AI21" s="189">
        <f t="shared" si="1"/>
        <v>1.1044530980555895E-3</v>
      </c>
      <c r="AJ21" s="161">
        <f t="shared" si="2"/>
        <v>1.103399868725924E-3</v>
      </c>
    </row>
    <row r="22" spans="3:36" ht="12" customHeight="1" thickBot="1" x14ac:dyDescent="0.25">
      <c r="AF22" s="188">
        <f>_xll.qlCalendarAdvance(Calendar,AF21,"1d","mf",,Trigger)</f>
        <v>42093</v>
      </c>
      <c r="AG22" s="210">
        <f>_xll.qlDayCounterYearFraction(DayCounter,SettlementDate,AF22,,,Trigger)</f>
        <v>7.3972602739726029E-2</v>
      </c>
      <c r="AH22" s="189">
        <f t="shared" si="0"/>
        <v>1.1504647826645069E-3</v>
      </c>
      <c r="AI22" s="189">
        <f t="shared" si="1"/>
        <v>1.1107274186840784E-3</v>
      </c>
      <c r="AJ22" s="161">
        <f t="shared" si="2"/>
        <v>1.1101234049055006E-3</v>
      </c>
    </row>
    <row r="23" spans="3:36" ht="12" customHeight="1" x14ac:dyDescent="0.2">
      <c r="C23" s="212" t="s">
        <v>118</v>
      </c>
      <c r="AF23" s="188">
        <f>_xll.qlCalendarAdvance(Calendar,AF22,"1d","mf",,Trigger)</f>
        <v>42094</v>
      </c>
      <c r="AG23" s="210">
        <f>_xll.qlDayCounterYearFraction(DayCounter,SettlementDate,AF23,,,Trigger)</f>
        <v>7.6712328767123292E-2</v>
      </c>
      <c r="AH23" s="189">
        <f t="shared" si="0"/>
        <v>1.1504647826645069E-3</v>
      </c>
      <c r="AI23" s="189">
        <f t="shared" si="1"/>
        <v>1.1128188588935745E-3</v>
      </c>
      <c r="AJ23" s="161">
        <f t="shared" si="2"/>
        <v>1.1123566037458126E-3</v>
      </c>
    </row>
    <row r="24" spans="3:36" ht="12" customHeight="1" x14ac:dyDescent="0.2">
      <c r="C24" s="215" t="s">
        <v>103</v>
      </c>
      <c r="AF24" s="188">
        <f>_xll.qlCalendarAdvance(Calendar,AF23,"1d","mf",,Trigger)</f>
        <v>42095</v>
      </c>
      <c r="AG24" s="210">
        <f>_xll.qlDayCounterYearFraction(DayCounter,SettlementDate,AF24,,,Trigger)</f>
        <v>7.9452054794520555E-2</v>
      </c>
      <c r="AH24" s="189">
        <f t="shared" si="0"/>
        <v>1.1504647826645069E-3</v>
      </c>
      <c r="AI24" s="189">
        <f t="shared" si="1"/>
        <v>1.1149102991030709E-3</v>
      </c>
      <c r="AJ24" s="161">
        <f t="shared" si="2"/>
        <v>1.114585812643018E-3</v>
      </c>
    </row>
    <row r="25" spans="3:36" ht="12" customHeight="1" x14ac:dyDescent="0.2">
      <c r="C25" s="189">
        <f t="shared" ref="C25:C31" si="10">IF($C$24="FLAT",N15,IF($C$24="linear",O15,P15))</f>
        <v>5.6161174486291099E-3</v>
      </c>
      <c r="AF25" s="188">
        <f>_xll.qlCalendarAdvance(Calendar,AF24,"1d","mf",,Trigger)</f>
        <v>42096</v>
      </c>
      <c r="AG25" s="210">
        <f>_xll.qlDayCounterYearFraction(DayCounter,SettlementDate,AF25,,,Trigger)</f>
        <v>8.2191780821917804E-2</v>
      </c>
      <c r="AH25" s="189">
        <f t="shared" si="0"/>
        <v>1.1504647826645069E-3</v>
      </c>
      <c r="AI25" s="189">
        <f t="shared" si="1"/>
        <v>1.1170017393125672E-3</v>
      </c>
      <c r="AJ25" s="161">
        <f t="shared" si="2"/>
        <v>1.1168110315971161E-3</v>
      </c>
    </row>
    <row r="26" spans="3:36" ht="12" customHeight="1" x14ac:dyDescent="0.2">
      <c r="C26" s="189">
        <f t="shared" si="10"/>
        <v>5.6259178877799644E-3</v>
      </c>
      <c r="AF26" s="188">
        <f>_xll.qlCalendarAdvance(Calendar,AF25,"1d","mf",,Trigger)</f>
        <v>42101</v>
      </c>
      <c r="AG26" s="210">
        <f>_xll.qlDayCounterYearFraction(DayCounter,SettlementDate,AF26,,,Trigger)</f>
        <v>9.5890410958904104E-2</v>
      </c>
      <c r="AH26" s="189">
        <f t="shared" si="0"/>
        <v>1.1504647826645069E-3</v>
      </c>
      <c r="AI26" s="189">
        <f t="shared" si="1"/>
        <v>1.1274589403600485E-3</v>
      </c>
      <c r="AJ26" s="161">
        <f t="shared" si="2"/>
        <v>1.1278772772210061E-3</v>
      </c>
    </row>
    <row r="27" spans="3:36" ht="12" customHeight="1" x14ac:dyDescent="0.2">
      <c r="C27" s="189">
        <f t="shared" si="10"/>
        <v>5.6369601145138983E-3</v>
      </c>
      <c r="AF27" s="188">
        <f>_xll.qlCalendarAdvance(Calendar,AF26,"1d","mf",,Trigger)</f>
        <v>42102</v>
      </c>
      <c r="AG27" s="210">
        <f>_xll.qlDayCounterYearFraction(DayCounter,SettlementDate,AF27,,,Trigger)</f>
        <v>9.8630136986301367E-2</v>
      </c>
      <c r="AH27" s="189">
        <f t="shared" si="0"/>
        <v>1.1504647826645069E-3</v>
      </c>
      <c r="AI27" s="189">
        <f t="shared" si="1"/>
        <v>1.1295503805695446E-3</v>
      </c>
      <c r="AJ27" s="161">
        <f t="shared" si="2"/>
        <v>1.1300785565164638E-3</v>
      </c>
    </row>
    <row r="28" spans="3:36" ht="12" customHeight="1" x14ac:dyDescent="0.2">
      <c r="C28" s="189">
        <f t="shared" si="10"/>
        <v>5.6393964807849575E-3</v>
      </c>
      <c r="AF28" s="188">
        <f>_xll.qlCalendarAdvance(Calendar,AF27,"1d","mf",,Trigger)</f>
        <v>42103</v>
      </c>
      <c r="AG28" s="210">
        <f>_xll.qlDayCounterYearFraction(DayCounter,SettlementDate,AF28,,,Trigger)</f>
        <v>0.10136986301369863</v>
      </c>
      <c r="AH28" s="189">
        <f t="shared" si="0"/>
        <v>1.1504647826645069E-3</v>
      </c>
      <c r="AI28" s="189">
        <f t="shared" si="1"/>
        <v>1.1316418207790409E-3</v>
      </c>
      <c r="AJ28" s="161">
        <f t="shared" si="2"/>
        <v>1.132275845868815E-3</v>
      </c>
    </row>
    <row r="29" spans="3:36" ht="12" customHeight="1" x14ac:dyDescent="0.2">
      <c r="C29" s="189">
        <f t="shared" si="10"/>
        <v>5.645401262562506E-3</v>
      </c>
      <c r="AF29" s="188">
        <f>_xll.qlCalendarAdvance(Calendar,AF28,"1d","mf",,Trigger)</f>
        <v>42104</v>
      </c>
      <c r="AG29" s="210">
        <f>_xll.qlDayCounterYearFraction(DayCounter,SettlementDate,AF29,,,Trigger)</f>
        <v>0.10410958904109589</v>
      </c>
      <c r="AH29" s="189">
        <f t="shared" si="0"/>
        <v>1.1504647826645069E-3</v>
      </c>
      <c r="AI29" s="189">
        <f t="shared" si="1"/>
        <v>1.1337332609885373E-3</v>
      </c>
      <c r="AJ29" s="161">
        <f t="shared" si="2"/>
        <v>1.1344691452780588E-3</v>
      </c>
    </row>
    <row r="30" spans="3:36" ht="12" customHeight="1" x14ac:dyDescent="0.2">
      <c r="C30" s="189">
        <f t="shared" si="10"/>
        <v>5.6795603538837731E-3</v>
      </c>
      <c r="AF30" s="188">
        <f>_xll.qlCalendarAdvance(Calendar,AF29,"1d","mf",,Trigger)</f>
        <v>42107</v>
      </c>
      <c r="AG30" s="210">
        <f>_xll.qlDayCounterYearFraction(DayCounter,SettlementDate,AF30,,,Trigger)</f>
        <v>0.11232876712328767</v>
      </c>
      <c r="AH30" s="189">
        <f t="shared" si="0"/>
        <v>1.1504647826645069E-3</v>
      </c>
      <c r="AI30" s="189">
        <f t="shared" si="1"/>
        <v>1.140007581617026E-3</v>
      </c>
      <c r="AJ30" s="161">
        <f t="shared" si="2"/>
        <v>1.1410251038471504E-3</v>
      </c>
    </row>
    <row r="31" spans="3:36" ht="12" customHeight="1" x14ac:dyDescent="0.2">
      <c r="C31" s="216">
        <f t="shared" si="10"/>
        <v>5.7121179460363431E-3</v>
      </c>
      <c r="AF31" s="188">
        <f>_xll.qlCalendarAdvance(Calendar,AF30,"1d","mf",,Trigger)</f>
        <v>42108</v>
      </c>
      <c r="AG31" s="210">
        <f>_xll.qlDayCounterYearFraction(DayCounter,SettlementDate,AF31,,,Trigger)</f>
        <v>0.11506849315068493</v>
      </c>
      <c r="AH31" s="189">
        <f t="shared" si="0"/>
        <v>1.1504647826645069E-3</v>
      </c>
      <c r="AI31" s="189">
        <f t="shared" si="1"/>
        <v>1.1420990218265223E-3</v>
      </c>
      <c r="AJ31" s="161">
        <f t="shared" si="2"/>
        <v>1.1432024434839675E-3</v>
      </c>
    </row>
    <row r="32" spans="3:36" ht="12" customHeight="1" x14ac:dyDescent="0.2">
      <c r="AF32" s="188">
        <f>_xll.qlCalendarAdvance(Calendar,AF31,"1d","mf",,Trigger)</f>
        <v>42109</v>
      </c>
      <c r="AG32" s="210">
        <f>_xll.qlDayCounterYearFraction(DayCounter,SettlementDate,AF32,,,Trigger)</f>
        <v>0.11780821917808219</v>
      </c>
      <c r="AH32" s="189">
        <f t="shared" si="0"/>
        <v>1.1504647826645069E-3</v>
      </c>
      <c r="AI32" s="189">
        <f t="shared" si="1"/>
        <v>1.1441904620360184E-3</v>
      </c>
      <c r="AJ32" s="161">
        <f t="shared" si="2"/>
        <v>1.1453757931776775E-3</v>
      </c>
    </row>
    <row r="33" spans="13:36" x14ac:dyDescent="0.2">
      <c r="AF33" s="188">
        <f>_xll.qlCalendarAdvance(Calendar,AF32,"1d","mf",,Trigger)</f>
        <v>42110</v>
      </c>
      <c r="AG33" s="210">
        <f>_xll.qlDayCounterYearFraction(DayCounter,SettlementDate,AF33,,,Trigger)</f>
        <v>0.12054794520547946</v>
      </c>
      <c r="AH33" s="189">
        <f t="shared" si="0"/>
        <v>1.1504647826645069E-3</v>
      </c>
      <c r="AI33" s="189">
        <f t="shared" si="1"/>
        <v>1.1462819022455147E-3</v>
      </c>
      <c r="AJ33" s="161">
        <f t="shared" si="2"/>
        <v>1.147545152928281E-3</v>
      </c>
    </row>
    <row r="34" spans="13:36" x14ac:dyDescent="0.2">
      <c r="AF34" s="188">
        <f>_xll.qlCalendarAdvance(Calendar,AF33,"1d","mf",,Trigger)</f>
        <v>42111</v>
      </c>
      <c r="AG34" s="210">
        <f>_xll.qlDayCounterYearFraction(DayCounter,SettlementDate,AF34,,,Trigger)</f>
        <v>0.12328767123287671</v>
      </c>
      <c r="AH34" s="189">
        <f t="shared" si="0"/>
        <v>1.1504647826645069E-3</v>
      </c>
      <c r="AI34" s="189">
        <f t="shared" si="1"/>
        <v>1.148373342455011E-3</v>
      </c>
      <c r="AJ34" s="161">
        <f t="shared" si="2"/>
        <v>1.1497105227357776E-3</v>
      </c>
    </row>
    <row r="35" spans="13:36" x14ac:dyDescent="0.2">
      <c r="AF35" s="188">
        <f>_xll.qlCalendarAdvance(Calendar,AF34,"1d","mf",,Trigger)</f>
        <v>42114</v>
      </c>
      <c r="AG35" s="210">
        <f>_xll.qlDayCounterYearFraction(DayCounter,SettlementDate,AF35,,,Trigger)</f>
        <v>0.13150684931506848</v>
      </c>
      <c r="AH35" s="189">
        <f t="shared" si="0"/>
        <v>1.1504647826645069E-3</v>
      </c>
      <c r="AI35" s="189">
        <f t="shared" si="1"/>
        <v>1.1546476630834997E-3</v>
      </c>
      <c r="AJ35" s="161">
        <f t="shared" ref="AJ35:AJ65" si="11">($W$5+$W$4*AG35+$W$3*AG35^2)</f>
        <v>1.1561826924996268E-3</v>
      </c>
    </row>
    <row r="36" spans="13:36" x14ac:dyDescent="0.2">
      <c r="AF36" s="188">
        <f>_xll.qlCalendarAdvance(Calendar,AF35,"1d","mf",,Trigger)</f>
        <v>42115</v>
      </c>
      <c r="AG36" s="210">
        <f>_xll.qlDayCounterYearFraction(DayCounter,SettlementDate,AF36,,,Trigger)</f>
        <v>0.13424657534246576</v>
      </c>
      <c r="AH36" s="189">
        <f t="shared" si="0"/>
        <v>1.1504647826645069E-3</v>
      </c>
      <c r="AI36" s="189">
        <f t="shared" si="1"/>
        <v>1.1567391032929961E-3</v>
      </c>
      <c r="AJ36" s="161">
        <f t="shared" si="11"/>
        <v>1.1583321025346962E-3</v>
      </c>
    </row>
    <row r="37" spans="13:36" x14ac:dyDescent="0.2">
      <c r="AF37" s="188">
        <f>_xll.qlCalendarAdvance(Calendar,AF36,"1d","mf",,Trigger)</f>
        <v>42116</v>
      </c>
      <c r="AG37" s="210">
        <f>_xll.qlDayCounterYearFraction(DayCounter,SettlementDate,AF37,,,Trigger)</f>
        <v>0.13698630136986301</v>
      </c>
      <c r="AH37" s="189">
        <f t="shared" si="0"/>
        <v>1.1504647826645069E-3</v>
      </c>
      <c r="AI37" s="189">
        <f t="shared" si="1"/>
        <v>1.1588305435024922E-3</v>
      </c>
      <c r="AJ37" s="161">
        <f t="shared" si="11"/>
        <v>1.160477522626659E-3</v>
      </c>
    </row>
    <row r="38" spans="13:36" x14ac:dyDescent="0.2">
      <c r="AF38" s="188">
        <f>_xll.qlCalendarAdvance(Calendar,AF37,"1d","mf",,Trigger)</f>
        <v>42117</v>
      </c>
      <c r="AG38" s="210">
        <f>_xll.qlDayCounterYearFraction(DayCounter,SettlementDate,AF38,,,Trigger)</f>
        <v>0.13972602739726028</v>
      </c>
      <c r="AH38" s="189">
        <f t="shared" si="0"/>
        <v>1.1504647826645069E-3</v>
      </c>
      <c r="AI38" s="189">
        <f t="shared" si="1"/>
        <v>1.1609219837119885E-3</v>
      </c>
      <c r="AJ38" s="161">
        <f t="shared" si="11"/>
        <v>1.1626189527755148E-3</v>
      </c>
    </row>
    <row r="39" spans="13:36" x14ac:dyDescent="0.2">
      <c r="AF39" s="188">
        <f>_xll.qlCalendarAdvance(Calendar,AF38,"1d","mf",,Trigger)</f>
        <v>42118</v>
      </c>
      <c r="AG39" s="210">
        <f>_xll.qlDayCounterYearFraction(DayCounter,SettlementDate,AF39,,,Trigger)</f>
        <v>0.14246575342465753</v>
      </c>
      <c r="AH39" s="189">
        <f t="shared" si="0"/>
        <v>1.1504647826645069E-3</v>
      </c>
      <c r="AI39" s="189">
        <f t="shared" si="1"/>
        <v>1.1630134239214848E-3</v>
      </c>
      <c r="AJ39" s="161">
        <f t="shared" si="11"/>
        <v>1.1647563929812639E-3</v>
      </c>
    </row>
    <row r="40" spans="13:36" x14ac:dyDescent="0.2">
      <c r="AF40" s="188">
        <f>_xll.qlCalendarAdvance(Calendar,AF39,"1d","mf",,Trigger)</f>
        <v>42121</v>
      </c>
      <c r="AG40" s="210">
        <f>_xll.qlDayCounterYearFraction(DayCounter,SettlementDate,AF40,,,Trigger)</f>
        <v>0.15068493150684931</v>
      </c>
      <c r="AH40" s="189">
        <f t="shared" si="0"/>
        <v>1.1504647826645069E-3</v>
      </c>
      <c r="AI40" s="189">
        <f t="shared" si="1"/>
        <v>1.1692877445499735E-3</v>
      </c>
      <c r="AJ40" s="161">
        <f t="shared" si="11"/>
        <v>1.1711447739398704E-3</v>
      </c>
    </row>
    <row r="41" spans="13:36" x14ac:dyDescent="0.2">
      <c r="M41" s="170"/>
      <c r="N41" s="170"/>
      <c r="AF41" s="188">
        <f>_xll.qlCalendarAdvance(Calendar,AF40,"1d","mf",,Trigger)</f>
        <v>42122</v>
      </c>
      <c r="AG41" s="210">
        <f>_xll.qlDayCounterYearFraction(DayCounter,SettlementDate,AF41,,,Trigger)</f>
        <v>0.15342465753424658</v>
      </c>
      <c r="AH41" s="189">
        <f t="shared" si="0"/>
        <v>1.1504647826645069E-3</v>
      </c>
      <c r="AI41" s="189">
        <f t="shared" si="1"/>
        <v>1.1713791847594698E-3</v>
      </c>
      <c r="AJ41" s="161">
        <f t="shared" si="11"/>
        <v>1.1732662543731925E-3</v>
      </c>
    </row>
    <row r="42" spans="13:36" x14ac:dyDescent="0.2">
      <c r="AF42" s="188">
        <f>_xll.qlCalendarAdvance(Calendar,AF41,"1d","mf",,Trigger)</f>
        <v>42123</v>
      </c>
      <c r="AG42" s="210">
        <f>_xll.qlDayCounterYearFraction(DayCounter,SettlementDate,AF42,,,Trigger)</f>
        <v>0.15616438356164383</v>
      </c>
      <c r="AH42" s="189">
        <f t="shared" si="0"/>
        <v>1.1504647826645069E-3</v>
      </c>
      <c r="AI42" s="189">
        <f t="shared" si="1"/>
        <v>1.1734706249689661E-3</v>
      </c>
      <c r="AJ42" s="161">
        <f t="shared" si="11"/>
        <v>1.1753837448634076E-3</v>
      </c>
    </row>
    <row r="43" spans="13:36" ht="11.25" customHeight="1" x14ac:dyDescent="0.2">
      <c r="AF43" s="188">
        <f>_xll.qlCalendarAdvance(Calendar,AF42,"1d","mf",,Trigger)</f>
        <v>42124</v>
      </c>
      <c r="AG43" s="210">
        <f>_xll.qlDayCounterYearFraction(DayCounter,SettlementDate,AF43,,,Trigger)</f>
        <v>0.15890410958904111</v>
      </c>
      <c r="AH43" s="189">
        <f t="shared" si="0"/>
        <v>1.1504647826645069E-3</v>
      </c>
      <c r="AI43" s="189">
        <f t="shared" si="1"/>
        <v>1.1755620651784622E-3</v>
      </c>
      <c r="AJ43" s="161">
        <f t="shared" si="11"/>
        <v>1.1774972454105159E-3</v>
      </c>
    </row>
    <row r="44" spans="13:36" x14ac:dyDescent="0.2">
      <c r="Q44" s="214"/>
      <c r="AF44" s="188">
        <f>_xll.qlCalendarAdvance(Calendar,AF43,"1d","mf",,Trigger)</f>
        <v>42125</v>
      </c>
      <c r="AG44" s="210">
        <f>_xll.qlDayCounterYearFraction(DayCounter,SettlementDate,AF44,,,Trigger)</f>
        <v>0.16164383561643836</v>
      </c>
      <c r="AH44" s="189">
        <f t="shared" si="0"/>
        <v>1.1504647826645069E-3</v>
      </c>
      <c r="AI44" s="189">
        <f t="shared" si="1"/>
        <v>1.1776535053879586E-3</v>
      </c>
      <c r="AJ44" s="161">
        <f t="shared" si="11"/>
        <v>1.1796067560145176E-3</v>
      </c>
    </row>
    <row r="45" spans="13:36" x14ac:dyDescent="0.2">
      <c r="Q45" s="214"/>
      <c r="AF45" s="188">
        <f>_xll.qlCalendarAdvance(Calendar,AF44,"1d","mf",,Trigger)</f>
        <v>42129</v>
      </c>
      <c r="AG45" s="210">
        <f>_xll.qlDayCounterYearFraction(DayCounter,SettlementDate,AF45,,,Trigger)</f>
        <v>0.17260273972602741</v>
      </c>
      <c r="AH45" s="189">
        <f t="shared" si="0"/>
        <v>1.1504647826645069E-3</v>
      </c>
      <c r="AI45" s="189">
        <f t="shared" si="1"/>
        <v>1.1860192662259436E-3</v>
      </c>
      <c r="AJ45" s="161">
        <f t="shared" si="11"/>
        <v>1.1880048989994561E-3</v>
      </c>
    </row>
    <row r="46" spans="13:36" x14ac:dyDescent="0.2">
      <c r="Q46" s="214"/>
      <c r="AF46" s="188">
        <f>_xll.qlCalendarAdvance(Calendar,AF45,"1d","mf",,Trigger)</f>
        <v>42130</v>
      </c>
      <c r="AG46" s="210">
        <f>_xll.qlDayCounterYearFraction(DayCounter,SettlementDate,AF46,,,Trigger)</f>
        <v>0.17534246575342466</v>
      </c>
      <c r="AH46" s="189">
        <f t="shared" si="0"/>
        <v>1.1504647826645069E-3</v>
      </c>
      <c r="AI46" s="189">
        <f t="shared" si="1"/>
        <v>1.1881107064354399E-3</v>
      </c>
      <c r="AJ46" s="161">
        <f t="shared" si="11"/>
        <v>1.190094459887924E-3</v>
      </c>
    </row>
    <row r="47" spans="13:36" x14ac:dyDescent="0.2">
      <c r="Q47" s="214"/>
      <c r="AF47" s="188">
        <f>_xll.qlCalendarAdvance(Calendar,AF46,"1d","mf",,Trigger)</f>
        <v>42131</v>
      </c>
      <c r="AG47" s="210">
        <f>_xll.qlDayCounterYearFraction(DayCounter,SettlementDate,AF47,,,Trigger)</f>
        <v>0.17808219178082191</v>
      </c>
      <c r="AH47" s="189">
        <f t="shared" si="0"/>
        <v>1.1504647826645069E-3</v>
      </c>
      <c r="AI47" s="189">
        <f t="shared" si="1"/>
        <v>1.190202146644936E-3</v>
      </c>
      <c r="AJ47" s="161">
        <f t="shared" si="11"/>
        <v>1.1921800308332846E-3</v>
      </c>
    </row>
    <row r="48" spans="13:36" x14ac:dyDescent="0.2">
      <c r="Q48" s="214"/>
      <c r="AF48" s="188">
        <f>_xll.qlCalendarAdvance(Calendar,AF47,"1d","mf",,Trigger)</f>
        <v>42132</v>
      </c>
      <c r="AG48" s="210">
        <f>_xll.qlDayCounterYearFraction(DayCounter,SettlementDate,AF48,,,Trigger)</f>
        <v>0.18082191780821918</v>
      </c>
      <c r="AH48" s="189">
        <f t="shared" si="0"/>
        <v>1.1504647826645069E-3</v>
      </c>
      <c r="AI48" s="189">
        <f t="shared" si="1"/>
        <v>1.1922935868544323E-3</v>
      </c>
      <c r="AJ48" s="161">
        <f t="shared" si="11"/>
        <v>1.1942616118355389E-3</v>
      </c>
    </row>
    <row r="49" spans="13:36" x14ac:dyDescent="0.2">
      <c r="AF49" s="188">
        <f>_xll.qlCalendarAdvance(Calendar,AF48,"1d","mf",,Trigger)</f>
        <v>42135</v>
      </c>
      <c r="AG49" s="210">
        <f>_xll.qlDayCounterYearFraction(DayCounter,SettlementDate,AF49,,,Trigger)</f>
        <v>0.18904109589041096</v>
      </c>
      <c r="AH49" s="189">
        <f t="shared" si="0"/>
        <v>1.1504647826645069E-3</v>
      </c>
      <c r="AI49" s="189">
        <f t="shared" si="1"/>
        <v>1.198567907482921E-3</v>
      </c>
      <c r="AJ49" s="161">
        <f t="shared" si="11"/>
        <v>1.2004824151836606E-3</v>
      </c>
    </row>
    <row r="50" spans="13:36" x14ac:dyDescent="0.2">
      <c r="AF50" s="188">
        <f>_xll.qlCalendarAdvance(Calendar,AF49,"1d","mf",,Trigger)</f>
        <v>42136</v>
      </c>
      <c r="AG50" s="210">
        <f>_xll.qlDayCounterYearFraction(DayCounter,SettlementDate,AF50,,,Trigger)</f>
        <v>0.19178082191780821</v>
      </c>
      <c r="AH50" s="189">
        <f t="shared" si="0"/>
        <v>1.1504647826645069E-3</v>
      </c>
      <c r="AI50" s="189">
        <f t="shared" si="1"/>
        <v>1.2006593476924174E-3</v>
      </c>
      <c r="AJ50" s="161">
        <f t="shared" si="11"/>
        <v>1.2025480364134876E-3</v>
      </c>
    </row>
    <row r="51" spans="13:36" x14ac:dyDescent="0.2">
      <c r="AF51" s="188">
        <f>_xll.qlCalendarAdvance(Calendar,AF50,"1d","mf",,Trigger)</f>
        <v>42137</v>
      </c>
      <c r="AG51" s="210">
        <f>_xll.qlDayCounterYearFraction(DayCounter,SettlementDate,AF51,,,Trigger)</f>
        <v>0.19452054794520549</v>
      </c>
      <c r="AH51" s="189">
        <f t="shared" si="0"/>
        <v>1.1504647826645069E-3</v>
      </c>
      <c r="AI51" s="189">
        <f t="shared" si="1"/>
        <v>1.2027507879019137E-3</v>
      </c>
      <c r="AJ51" s="161">
        <f t="shared" si="11"/>
        <v>1.2046096677002076E-3</v>
      </c>
    </row>
    <row r="52" spans="13:36" x14ac:dyDescent="0.2">
      <c r="AF52" s="188">
        <f>_xll.qlCalendarAdvance(Calendar,AF51,"1d","mf",,Trigger)</f>
        <v>42138</v>
      </c>
      <c r="AG52" s="210">
        <f>_xll.qlDayCounterYearFraction(DayCounter,SettlementDate,AF52,,,Trigger)</f>
        <v>0.19726027397260273</v>
      </c>
      <c r="AH52" s="189">
        <f t="shared" si="0"/>
        <v>1.1504647826645069E-3</v>
      </c>
      <c r="AI52" s="189">
        <f t="shared" si="1"/>
        <v>1.2048422281114098E-3</v>
      </c>
      <c r="AJ52" s="161">
        <f t="shared" si="11"/>
        <v>1.2066673090438212E-3</v>
      </c>
    </row>
    <row r="53" spans="13:36" x14ac:dyDescent="0.2">
      <c r="AF53" s="188">
        <f>_xll.qlCalendarAdvance(Calendar,AF52,"1d","mf",,Trigger)</f>
        <v>42139</v>
      </c>
      <c r="AG53" s="210">
        <f>_xll.qlDayCounterYearFraction(DayCounter,SettlementDate,AF53,,,Trigger)</f>
        <v>0.2</v>
      </c>
      <c r="AH53" s="189">
        <f t="shared" si="0"/>
        <v>1.1504647826645069E-3</v>
      </c>
      <c r="AI53" s="189">
        <f t="shared" si="1"/>
        <v>1.2069336683209061E-3</v>
      </c>
      <c r="AJ53" s="161">
        <f t="shared" si="11"/>
        <v>1.2087209604443277E-3</v>
      </c>
    </row>
    <row r="54" spans="13:36" x14ac:dyDescent="0.2">
      <c r="AF54" s="188">
        <f>_xll.qlCalendarAdvance(Calendar,AF53,"1d","mf",,Trigger)</f>
        <v>42142</v>
      </c>
      <c r="AG54" s="210">
        <f>_xll.qlDayCounterYearFraction(DayCounter,SettlementDate,AF54,,,Trigger)</f>
        <v>0.20821917808219179</v>
      </c>
      <c r="AH54" s="189">
        <f t="shared" si="0"/>
        <v>1.1504647826645069E-3</v>
      </c>
      <c r="AI54" s="189">
        <f t="shared" si="1"/>
        <v>1.2132079889493948E-3</v>
      </c>
      <c r="AJ54" s="161">
        <f t="shared" si="11"/>
        <v>1.2148579749872068E-3</v>
      </c>
    </row>
    <row r="55" spans="13:36" x14ac:dyDescent="0.2">
      <c r="AF55" s="188">
        <f>_xll.qlCalendarAdvance(Calendar,AF54,"1d","mf",,Trigger)</f>
        <v>42143</v>
      </c>
      <c r="AG55" s="210">
        <f>_xll.qlDayCounterYearFraction(DayCounter,SettlementDate,AF55,,,Trigger)</f>
        <v>0.21095890410958903</v>
      </c>
      <c r="AH55" s="189">
        <f t="shared" si="0"/>
        <v>1.1504647826645069E-3</v>
      </c>
      <c r="AI55" s="189">
        <f t="shared" si="1"/>
        <v>1.2152994291588911E-3</v>
      </c>
      <c r="AJ55" s="161">
        <f t="shared" si="11"/>
        <v>1.2168956666152864E-3</v>
      </c>
    </row>
    <row r="56" spans="13:36" x14ac:dyDescent="0.2">
      <c r="AF56" s="188">
        <f>_xll.qlCalendarAdvance(Calendar,AF55,"1d","mf",,Trigger)</f>
        <v>42144</v>
      </c>
      <c r="AG56" s="210">
        <f>_xll.qlDayCounterYearFraction(DayCounter,SettlementDate,AF56,,,Trigger)</f>
        <v>0.21369863013698631</v>
      </c>
      <c r="AH56" s="189">
        <f t="shared" si="0"/>
        <v>1.1504647826645069E-3</v>
      </c>
      <c r="AI56" s="189">
        <f t="shared" si="1"/>
        <v>1.2173908693683874E-3</v>
      </c>
      <c r="AJ56" s="161">
        <f t="shared" si="11"/>
        <v>1.2189293683002591E-3</v>
      </c>
    </row>
    <row r="57" spans="13:36" x14ac:dyDescent="0.2">
      <c r="AF57" s="188">
        <f>_xll.qlCalendarAdvance(Calendar,AF56,"1d","mf",,Trigger)</f>
        <v>42145</v>
      </c>
      <c r="AG57" s="210">
        <f>_xll.qlDayCounterYearFraction(DayCounter,SettlementDate,AF57,,,Trigger)</f>
        <v>0.21643835616438356</v>
      </c>
      <c r="AH57" s="189">
        <f t="shared" si="0"/>
        <v>1.1504647826645069E-3</v>
      </c>
      <c r="AI57" s="189">
        <f t="shared" si="1"/>
        <v>1.2194823095778838E-3</v>
      </c>
      <c r="AJ57" s="161">
        <f t="shared" si="11"/>
        <v>1.2209590800421248E-3</v>
      </c>
    </row>
    <row r="58" spans="13:36" x14ac:dyDescent="0.2">
      <c r="AF58" s="188">
        <f>_xll.qlCalendarAdvance(Calendar,AF57,"1d","mf",,Trigger)</f>
        <v>42146</v>
      </c>
      <c r="AG58" s="210">
        <f>_xll.qlDayCounterYearFraction(DayCounter,SettlementDate,AF58,,,Trigger)</f>
        <v>0.21917808219178081</v>
      </c>
      <c r="AH58" s="189">
        <f t="shared" si="0"/>
        <v>1.1504647826645069E-3</v>
      </c>
      <c r="AI58" s="189">
        <f t="shared" si="1"/>
        <v>1.2215737497873799E-3</v>
      </c>
      <c r="AJ58" s="161">
        <f t="shared" si="11"/>
        <v>1.2229848018408841E-3</v>
      </c>
    </row>
    <row r="59" spans="13:36" x14ac:dyDescent="0.2">
      <c r="AF59" s="188">
        <f>_xll.qlCalendarAdvance(Calendar,AF58,"1d","mf",,Trigger)</f>
        <v>42150</v>
      </c>
      <c r="AG59" s="210">
        <f>_xll.qlDayCounterYearFraction(DayCounter,SettlementDate,AF59,,,Trigger)</f>
        <v>0.23013698630136986</v>
      </c>
      <c r="AH59" s="189">
        <f t="shared" si="0"/>
        <v>1.1504647826645069E-3</v>
      </c>
      <c r="AI59" s="189">
        <f t="shared" si="1"/>
        <v>1.2299395106253649E-3</v>
      </c>
      <c r="AJ59" s="161">
        <f t="shared" si="11"/>
        <v>1.2310477896048527E-3</v>
      </c>
    </row>
    <row r="60" spans="13:36" x14ac:dyDescent="0.2">
      <c r="M60" s="170"/>
      <c r="AF60" s="188">
        <f>_xll.qlCalendarAdvance(Calendar,AF59,"1d","mf",,Trigger)</f>
        <v>42151</v>
      </c>
      <c r="AG60" s="210">
        <f>_xll.qlDayCounterYearFraction(DayCounter,SettlementDate,AF60,,,Trigger)</f>
        <v>0.23287671232876711</v>
      </c>
      <c r="AH60" s="189">
        <f t="shared" si="0"/>
        <v>1.1504647826645069E-3</v>
      </c>
      <c r="AI60" s="189">
        <f t="shared" si="1"/>
        <v>1.2320309508348612E-3</v>
      </c>
      <c r="AJ60" s="161">
        <f t="shared" si="11"/>
        <v>1.2330535616880778E-3</v>
      </c>
    </row>
    <row r="61" spans="13:36" x14ac:dyDescent="0.2">
      <c r="M61" s="170"/>
      <c r="AF61" s="188">
        <f>_xll.qlCalendarAdvance(Calendar,AF60,"1d","mf",,Trigger)</f>
        <v>42152</v>
      </c>
      <c r="AG61" s="210">
        <f>_xll.qlDayCounterYearFraction(DayCounter,SettlementDate,AF61,,,Trigger)</f>
        <v>0.23561643835616439</v>
      </c>
      <c r="AH61" s="189">
        <f t="shared" si="0"/>
        <v>1.1504647826645069E-3</v>
      </c>
      <c r="AI61" s="189">
        <f t="shared" si="1"/>
        <v>1.2341223910443575E-3</v>
      </c>
      <c r="AJ61" s="161">
        <f t="shared" si="11"/>
        <v>1.2350553438281963E-3</v>
      </c>
    </row>
    <row r="62" spans="13:36" x14ac:dyDescent="0.2">
      <c r="M62" s="170"/>
      <c r="AF62" s="188">
        <f>_xll.qlCalendarAdvance(Calendar,AF61,"1d","mf",,Trigger)</f>
        <v>42153</v>
      </c>
      <c r="AG62" s="210">
        <f>_xll.qlDayCounterYearFraction(DayCounter,SettlementDate,AF62,,,Trigger)</f>
        <v>0.23835616438356164</v>
      </c>
      <c r="AH62" s="189">
        <f t="shared" si="0"/>
        <v>1.1504647826645069E-3</v>
      </c>
      <c r="AI62" s="189">
        <f t="shared" si="1"/>
        <v>1.2362138312538536E-3</v>
      </c>
      <c r="AJ62" s="161">
        <f t="shared" si="11"/>
        <v>1.2370531360252079E-3</v>
      </c>
    </row>
    <row r="63" spans="13:36" x14ac:dyDescent="0.2">
      <c r="M63" s="170"/>
      <c r="AF63" s="188">
        <f>_xll.qlCalendarAdvance(Calendar,AF62,"1d","mf",,Trigger)</f>
        <v>42156</v>
      </c>
      <c r="AG63" s="210">
        <f>_xll.qlDayCounterYearFraction(DayCounter,SettlementDate,AF63,,,Trigger)</f>
        <v>0.24657534246575341</v>
      </c>
      <c r="AH63" s="189">
        <f t="shared" si="0"/>
        <v>1.1504647826645069E-3</v>
      </c>
      <c r="AI63" s="189">
        <f t="shared" si="1"/>
        <v>1.2424881518823426E-3</v>
      </c>
      <c r="AJ63" s="161">
        <f t="shared" si="11"/>
        <v>1.243022572957602E-3</v>
      </c>
    </row>
    <row r="64" spans="13:36" x14ac:dyDescent="0.2">
      <c r="M64" s="170"/>
      <c r="AF64" s="188">
        <f>_xll.qlCalendarAdvance(Calendar,AF63,"1d","mf",,Trigger)</f>
        <v>42157</v>
      </c>
      <c r="AG64" s="210">
        <f>_xll.qlDayCounterYearFraction(DayCounter,SettlementDate,AF64,,,Trigger)</f>
        <v>0.24931506849315069</v>
      </c>
      <c r="AH64" s="189">
        <f t="shared" si="0"/>
        <v>1.1504647826645069E-3</v>
      </c>
      <c r="AI64" s="189">
        <f t="shared" si="1"/>
        <v>1.2445795920918387E-3</v>
      </c>
      <c r="AJ64" s="161">
        <f t="shared" si="11"/>
        <v>1.2450044053821867E-3</v>
      </c>
    </row>
    <row r="65" spans="13:36" ht="12" thickBot="1" x14ac:dyDescent="0.25">
      <c r="M65" s="170"/>
      <c r="AF65" s="190">
        <f>_xll.qlCalendarAdvance(Calendar,AF64,"1d","mf",,Trigger)</f>
        <v>42158</v>
      </c>
      <c r="AG65" s="211">
        <f>_xll.qlDayCounterYearFraction(DayCounter,SettlementDate,AF65,,,Trigger)</f>
        <v>0.25205479452054796</v>
      </c>
      <c r="AH65" s="191">
        <f t="shared" si="0"/>
        <v>1.1504647826645069E-3</v>
      </c>
      <c r="AI65" s="191">
        <f t="shared" si="1"/>
        <v>1.246671032301335E-3</v>
      </c>
      <c r="AJ65" s="164">
        <f t="shared" si="11"/>
        <v>1.2469822478636643E-3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6" t="s">
        <v>117</v>
      </c>
      <c r="W2" s="206" t="s">
        <v>107</v>
      </c>
      <c r="AA2" s="496" t="s">
        <v>106</v>
      </c>
      <c r="AB2" s="496"/>
      <c r="AC2" s="496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GbpLibor6MLastFixing_Quote</v>
      </c>
      <c r="D3" s="330">
        <f>_xll.qlCalendarAdvance(Calendar,_xll.qlLastFixingQuoteReferenceDate($C$3),_xll.qlInterestRateIndexFixingDays($D$10)&amp;"D","f",,LastFixingsTrigger)</f>
        <v>42066</v>
      </c>
      <c r="E3" s="330">
        <f>_xll.qlInterestRateIndexMaturity($D$10,D3)</f>
        <v>42250</v>
      </c>
      <c r="F3" s="458">
        <f>_xll.qlYieldTSDiscount(Discounting,D3,,AllTriggers)</f>
        <v>1</v>
      </c>
      <c r="G3" s="458">
        <f>_xll.qlYieldTSDiscount(Discounting,E3,,AllTriggers)</f>
        <v>0.99768077537065136</v>
      </c>
      <c r="H3" s="461">
        <f>_xll.qlDayCounterYearFraction(DayCounter,D3,E3,,,Trigger)</f>
        <v>0.50410958904109593</v>
      </c>
      <c r="I3" s="464">
        <f>(F3/G3-1)/H3</f>
        <v>4.611330524981248E-3</v>
      </c>
      <c r="J3" s="424">
        <f>'Delta 6M '!P3</f>
        <v>1.1205617194199769E-3</v>
      </c>
      <c r="K3" s="350">
        <f>_xll.qlDayCounterYearFraction(DayCounter,SettlementDate,D3,,,Trigger)</f>
        <v>0</v>
      </c>
      <c r="L3" s="350">
        <f>_xll.qlDayCounterYearFraction(DayCounter,SettlementDate,E3,,,Trigger)</f>
        <v>0.50410958904109593</v>
      </c>
      <c r="M3" s="350">
        <f>L3-K3</f>
        <v>0.50410958904109593</v>
      </c>
      <c r="N3" s="350">
        <f>(L3^2-K3^2)/2</f>
        <v>0.12706323888159132</v>
      </c>
      <c r="O3" s="350">
        <f>(L3^3-K3^3)/3</f>
        <v>4.2702531423219732E-2</v>
      </c>
      <c r="P3" s="331" t="b">
        <f>IF(D12="fixing",TRUE,FALSE)</f>
        <v>0</v>
      </c>
      <c r="R3" s="497" t="s">
        <v>103</v>
      </c>
      <c r="S3" s="172">
        <f t="array" ref="S3:S5">_xll.ohFilter(O3:O7,P3:P7)</f>
        <v>4.2702531423219732E-2</v>
      </c>
      <c r="T3" s="173">
        <f t="array" ref="T3:T5">_xll.ohFilter(N3:N7,P3:P7)</f>
        <v>0.12706323888159132</v>
      </c>
      <c r="U3" s="174">
        <f t="array" ref="U3:U5">_xll.ohFilter(M3:M7,P3:P7)</f>
        <v>0.50410958904109593</v>
      </c>
      <c r="V3" s="168"/>
      <c r="W3" s="176">
        <f t="array" ref="W3:W5">MMULT(AA3:AC5,Y3:Y5)</f>
        <v>6.366476470984761E-4</v>
      </c>
      <c r="X3" s="177"/>
      <c r="Y3" s="466">
        <f t="array" ref="Y3:Y5">_xll.ohFilter(J3:J7,P3:P7)</f>
        <v>1.109049354258699E-3</v>
      </c>
      <c r="AA3" s="172">
        <f t="array" ref="AA3:AC5">MINVERSE(S3:U5)</f>
        <v>117.92299880126251</v>
      </c>
      <c r="AB3" s="173">
        <v>-262.09632865578243</v>
      </c>
      <c r="AC3" s="174">
        <v>142.74889328573857</v>
      </c>
      <c r="AF3" s="185">
        <f>SettlementDate</f>
        <v>42066</v>
      </c>
      <c r="AG3" s="210">
        <f>_xll.qlDayCounterYearFraction(DayCounter,SettlementDate,AF3,,,Trigger)</f>
        <v>0</v>
      </c>
      <c r="AH3" s="186">
        <f t="shared" ref="AH3:AH34" si="0">$W$13</f>
        <v>2.2000163820892669E-3</v>
      </c>
      <c r="AI3" s="186">
        <f t="shared" ref="AI3:AI34" si="1">$W$10+$W$9*AG3</f>
        <v>1.9972953621450028E-3</v>
      </c>
      <c r="AJ3" s="187">
        <f t="shared" ref="AJ3:AJ34" si="2">($W$5+$W$4*AG3+$W$3*AG3^2)</f>
        <v>2.0390381877110151E-3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42066</v>
      </c>
      <c r="E4" s="159">
        <f>_xll.qlInterestRateIndexMaturity($D$10,D4)</f>
        <v>42250</v>
      </c>
      <c r="F4" s="459">
        <f>_xll.qlYieldTSDiscount(Discounting,D4,,AllTriggers)</f>
        <v>1</v>
      </c>
      <c r="G4" s="459">
        <f>_xll.qlYieldTSDiscount(Discounting,E4,,AllTriggers)</f>
        <v>0.99768077537065136</v>
      </c>
      <c r="H4" s="462">
        <f>_xll.qlDayCounterYearFraction(DayCounter,D4,E4,,,Trigger)</f>
        <v>0.50410958904109593</v>
      </c>
      <c r="I4" s="160">
        <f t="shared" ref="I4:I7" si="3">(F4/G4-1)/H4</f>
        <v>4.611330524981248E-3</v>
      </c>
      <c r="J4" s="425">
        <f>LN((1+(_xll.qlInterpolationInterpolate(B6Minterpolation,D4,TRUE,AllTriggers)+I4)*H4)/(1+I4*H4))</f>
        <v>1.109049354258699E-3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0.50410958904109593</v>
      </c>
      <c r="M4" s="210">
        <f>L4-K4</f>
        <v>0.50410958904109593</v>
      </c>
      <c r="N4" s="210">
        <f>(L4^2-K4^2)/2</f>
        <v>0.12706323888159132</v>
      </c>
      <c r="O4" s="210">
        <f>(L4^3-K4^3)/3</f>
        <v>4.2702531423219732E-2</v>
      </c>
      <c r="P4" s="192" t="b">
        <f>IF(D12="fixing",FALSE,TRUE)</f>
        <v>1</v>
      </c>
      <c r="R4" s="497"/>
      <c r="S4" s="172">
        <v>7.0724292254580143E-2</v>
      </c>
      <c r="T4" s="173">
        <v>0.17376243197598049</v>
      </c>
      <c r="U4" s="174">
        <v>0.50136986301369868</v>
      </c>
      <c r="V4" s="169" t="s">
        <v>35</v>
      </c>
      <c r="W4" s="176">
        <v>4.2470336607071391E-4</v>
      </c>
      <c r="X4" s="169" t="s">
        <v>36</v>
      </c>
      <c r="Y4" s="466">
        <v>1.1411362408657835E-3</v>
      </c>
      <c r="AA4" s="172">
        <v>-91.29278702358404</v>
      </c>
      <c r="AB4" s="173">
        <v>177.36381692596783</v>
      </c>
      <c r="AC4" s="174">
        <v>-85.107096114742674</v>
      </c>
      <c r="AF4" s="188">
        <f>_xll.qlCalendarAdvance(Calendar,AF3,"1d","mf",,Trigger)</f>
        <v>42067</v>
      </c>
      <c r="AG4" s="210">
        <f>_xll.qlDayCounterYearFraction(DayCounter,SettlementDate,AF4,,,Trigger)</f>
        <v>2.7397260273972603E-3</v>
      </c>
      <c r="AH4" s="189">
        <f t="shared" si="0"/>
        <v>2.2000163820892669E-3</v>
      </c>
      <c r="AI4" s="189">
        <f t="shared" si="1"/>
        <v>1.9994988514922232E-3</v>
      </c>
      <c r="AJ4" s="161">
        <f t="shared" si="2"/>
        <v>2.0402065373170417E-3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42101</v>
      </c>
      <c r="E5" s="159">
        <f>_xll.qlInterestRateIndexMaturity($D$10,D5)</f>
        <v>42284</v>
      </c>
      <c r="F5" s="459">
        <f>_xll.qlYieldTSDiscount(Discounting,D5,,AllTriggers)</f>
        <v>0.9995632792414465</v>
      </c>
      <c r="G5" s="459">
        <f>_xll.qlYieldTSDiscount(Discounting,E5,,AllTriggers)</f>
        <v>0.99722970080020645</v>
      </c>
      <c r="H5" s="462">
        <f>_xll.qlDayCounterYearFraction(DayCounter,D5,E5,,,Trigger)</f>
        <v>0.50136986301369868</v>
      </c>
      <c r="I5" s="160">
        <f t="shared" si="3"/>
        <v>4.6673350021406868E-3</v>
      </c>
      <c r="J5" s="425">
        <f>LN((1+(_xll.qlInterpolationInterpolate(B6Minterpolation,D5,TRUE,AllTriggers)+I5)*H5)/(1+I5*H5))</f>
        <v>1.1411362408657835E-3</v>
      </c>
      <c r="K5" s="210">
        <f>_xll.qlDayCounterYearFraction(DayCounter,SettlementDate,D5,,,Trigger)</f>
        <v>9.5890410958904104E-2</v>
      </c>
      <c r="L5" s="210">
        <f>_xll.qlDayCounterYearFraction(DayCounter,SettlementDate,E5,,,Trigger)</f>
        <v>0.59726027397260273</v>
      </c>
      <c r="M5" s="210">
        <f>L5-K5</f>
        <v>0.50136986301369868</v>
      </c>
      <c r="N5" s="210">
        <f>(L5^2-K5^2)/2</f>
        <v>0.17376243197598049</v>
      </c>
      <c r="O5" s="210">
        <f>(L5^3-K5^3)/3</f>
        <v>7.0724292254580143E-2</v>
      </c>
      <c r="P5" s="192" t="b">
        <v>1</v>
      </c>
      <c r="R5" s="497"/>
      <c r="S5" s="172">
        <v>0.10158374227004646</v>
      </c>
      <c r="T5" s="173">
        <v>0.2140739350722462</v>
      </c>
      <c r="U5" s="174">
        <v>0.50410958904109582</v>
      </c>
      <c r="V5" s="171"/>
      <c r="W5" s="176">
        <v>2.0390381877110151E-3</v>
      </c>
      <c r="X5" s="169"/>
      <c r="Y5" s="466">
        <v>1.1834896741589639E-3</v>
      </c>
      <c r="AA5" s="172">
        <v>15.005361549065922</v>
      </c>
      <c r="AB5" s="173">
        <v>-22.503528152003074</v>
      </c>
      <c r="AC5" s="174">
        <v>9.3595604716762679</v>
      </c>
      <c r="AF5" s="188">
        <f>_xll.qlCalendarAdvance(Calendar,AF4,"1d","mf",,Trigger)</f>
        <v>42068</v>
      </c>
      <c r="AG5" s="210">
        <f>_xll.qlDayCounterYearFraction(DayCounter,SettlementDate,AF5,,,Trigger)</f>
        <v>5.4794520547945206E-3</v>
      </c>
      <c r="AH5" s="189">
        <f t="shared" si="0"/>
        <v>2.2000163820892669E-3</v>
      </c>
      <c r="AI5" s="189">
        <f t="shared" si="1"/>
        <v>2.0017023408394432E-3</v>
      </c>
      <c r="AJ5" s="161">
        <f t="shared" si="2"/>
        <v>2.0413844444032276E-3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42129</v>
      </c>
      <c r="E6" s="159">
        <f>_xll.qlInterestRateIndexMaturity($D$10,D6)</f>
        <v>42313</v>
      </c>
      <c r="F6" s="459">
        <f>_xll.qlYieldTSDiscount(Discounting,D6,,AllTriggers)</f>
        <v>0.99921370738166537</v>
      </c>
      <c r="G6" s="459">
        <f>_xll.qlYieldTSDiscount(Discounting,E6,,AllTriggers)</f>
        <v>0.99682610315979614</v>
      </c>
      <c r="H6" s="462">
        <f>_xll.qlDayCounterYearFraction(DayCounter,D6,E6,,,Trigger)</f>
        <v>0.50410958904109593</v>
      </c>
      <c r="I6" s="160">
        <f t="shared" si="3"/>
        <v>4.7513604419272956E-3</v>
      </c>
      <c r="J6" s="425">
        <f>LN((1+(_xll.qlInterpolationInterpolate(B6Minterpolation,D6,TRUE,AllTriggers)+I6)*H6)/(1+I6*H6))</f>
        <v>1.1834896741589639E-3</v>
      </c>
      <c r="K6" s="210">
        <f>_xll.qlDayCounterYearFraction(DayCounter,SettlementDate,D6,,,Trigger)</f>
        <v>0.17260273972602741</v>
      </c>
      <c r="L6" s="210">
        <f>_xll.qlDayCounterYearFraction(DayCounter,SettlementDate,E6,,,Trigger)</f>
        <v>0.67671232876712328</v>
      </c>
      <c r="M6" s="210">
        <f>L6-K6</f>
        <v>0.50410958904109582</v>
      </c>
      <c r="N6" s="210">
        <f>(L6^2-K6^2)/2</f>
        <v>0.2140739350722462</v>
      </c>
      <c r="O6" s="210">
        <f>(L6^3-K6^3)/3</f>
        <v>0.10158374227004646</v>
      </c>
      <c r="P6" s="192" t="b">
        <v>1</v>
      </c>
      <c r="W6" s="178"/>
      <c r="X6" s="207"/>
      <c r="Y6" s="179"/>
      <c r="AF6" s="188">
        <f>_xll.qlCalendarAdvance(Calendar,AF5,"1d","mf",,Trigger)</f>
        <v>42069</v>
      </c>
      <c r="AG6" s="210">
        <f>_xll.qlDayCounterYearFraction(DayCounter,SettlementDate,AF6,,,Trigger)</f>
        <v>8.21917808219178E-3</v>
      </c>
      <c r="AH6" s="189">
        <f t="shared" si="0"/>
        <v>2.2000163820892669E-3</v>
      </c>
      <c r="AI6" s="189">
        <f t="shared" si="1"/>
        <v>2.0039058301866636E-3</v>
      </c>
      <c r="AJ6" s="161">
        <f t="shared" si="2"/>
        <v>2.0425719089695728E-3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42158</v>
      </c>
      <c r="E7" s="163">
        <f>_xll.qlInterestRateIndexMaturity($D$10,D7)</f>
        <v>42341</v>
      </c>
      <c r="F7" s="460">
        <f>_xll.qlYieldTSDiscount(Discounting,D7,,AllTriggers)</f>
        <v>0.99885190848149896</v>
      </c>
      <c r="G7" s="460">
        <f>_xll.qlYieldTSDiscount(Discounting,E7,,AllTriggers)</f>
        <v>0.99638782922356262</v>
      </c>
      <c r="H7" s="463">
        <f>_xll.qlDayCounterYearFraction(DayCounter,D7,E7,,,Trigger)</f>
        <v>0.50136986301369868</v>
      </c>
      <c r="I7" s="465">
        <f t="shared" si="3"/>
        <v>4.932510672801798E-3</v>
      </c>
      <c r="J7" s="426">
        <f>LN((1+(_xll.qlInterpolationInterpolate(B6Minterpolation,D7,TRUE,AllTriggers)+I7)*H7)/(1+I7*H7))</f>
        <v>1.183359160095987E-3</v>
      </c>
      <c r="K7" s="211">
        <f>_xll.qlDayCounterYearFraction(DayCounter,SettlementDate,D7,,,Trigger)</f>
        <v>0.25205479452054796</v>
      </c>
      <c r="L7" s="211">
        <f>_xll.qlDayCounterYearFraction(DayCounter,SettlementDate,E7,,,Trigger)</f>
        <v>0.75342465753424659</v>
      </c>
      <c r="M7" s="211">
        <f>L7-K7</f>
        <v>0.50136986301369868</v>
      </c>
      <c r="N7" s="211">
        <f>(L7^2-K7^2)/2</f>
        <v>0.25205854756990054</v>
      </c>
      <c r="O7" s="211">
        <f>(L7^3-K7^3)/3</f>
        <v>0.137222363032978</v>
      </c>
      <c r="P7" s="193" t="b">
        <v>0</v>
      </c>
      <c r="W7" s="178"/>
      <c r="X7" s="207"/>
      <c r="Y7" s="179"/>
      <c r="AF7" s="188">
        <f>_xll.qlCalendarAdvance(Calendar,AF6,"1d","mf",,Trigger)</f>
        <v>42072</v>
      </c>
      <c r="AG7" s="210">
        <f>_xll.qlDayCounterYearFraction(DayCounter,SettlementDate,AF7,,,Trigger)</f>
        <v>1.643835616438356E-2</v>
      </c>
      <c r="AH7" s="189">
        <f t="shared" si="0"/>
        <v>2.2000163820892669E-3</v>
      </c>
      <c r="AI7" s="189">
        <f t="shared" si="1"/>
        <v>2.0105162982283244E-3</v>
      </c>
      <c r="AJ7" s="161">
        <f t="shared" si="2"/>
        <v>2.0461916475495619E-3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42073</v>
      </c>
      <c r="AG8" s="210">
        <f>_xll.qlDayCounterYearFraction(DayCounter,SettlementDate,AF8,,,Trigger)</f>
        <v>1.9178082191780823E-2</v>
      </c>
      <c r="AH8" s="189">
        <f t="shared" si="0"/>
        <v>2.2000163820892669E-3</v>
      </c>
      <c r="AI8" s="189">
        <f t="shared" si="1"/>
        <v>2.0127197875755448E-3</v>
      </c>
      <c r="AJ8" s="161">
        <f t="shared" si="2"/>
        <v>2.0474173420365433E-3</v>
      </c>
    </row>
    <row r="9" spans="1:36" ht="12" customHeight="1" x14ac:dyDescent="0.2">
      <c r="C9" s="165" t="s">
        <v>153</v>
      </c>
      <c r="D9" s="203" t="s">
        <v>40</v>
      </c>
      <c r="R9" s="496" t="s">
        <v>104</v>
      </c>
      <c r="S9" s="209"/>
      <c r="T9" s="172">
        <f t="array" ref="T9:T10">_xll.ohFilter(N3:N7,P3:P7)</f>
        <v>0.12706323888159132</v>
      </c>
      <c r="U9" s="174">
        <f t="array" ref="U9:U10">_xll.ohFilter(M3:M7,P3:P7)</f>
        <v>0.50410958904109593</v>
      </c>
      <c r="V9" s="498" t="s">
        <v>35</v>
      </c>
      <c r="W9" s="176">
        <f t="array" ref="W9:W10">MMULT(AA9:AB10,Y9:Y10)</f>
        <v>8.0427361173539616E-4</v>
      </c>
      <c r="X9" s="498" t="s">
        <v>36</v>
      </c>
      <c r="Y9" s="466">
        <f t="array" ref="Y9:Y10">_xll.ohFilter(J3:J7,P3:P7)</f>
        <v>1.109049354258699E-3</v>
      </c>
      <c r="AA9" s="172">
        <f t="array" ref="AA9:AB10">MINVERSE(T9:U10)</f>
        <v>-20.986925015753013</v>
      </c>
      <c r="AB9" s="174">
        <v>21.101607666112315</v>
      </c>
      <c r="AF9" s="188">
        <f>_xll.qlCalendarAdvance(Calendar,AF8,"1d","mf",,Trigger)</f>
        <v>42074</v>
      </c>
      <c r="AG9" s="210">
        <f>_xll.qlDayCounterYearFraction(DayCounter,SettlementDate,AF9,,,Trigger)</f>
        <v>2.1917808219178082E-2</v>
      </c>
      <c r="AH9" s="189">
        <f t="shared" si="0"/>
        <v>2.2000163820892669E-3</v>
      </c>
      <c r="AI9" s="189">
        <f t="shared" si="1"/>
        <v>2.0149232769227652E-3</v>
      </c>
      <c r="AJ9" s="161">
        <f t="shared" si="2"/>
        <v>2.0486525940036837E-3</v>
      </c>
    </row>
    <row r="10" spans="1:36" ht="12" customHeight="1" x14ac:dyDescent="0.2">
      <c r="C10" s="183" t="s">
        <v>116</v>
      </c>
      <c r="D10" s="204" t="str">
        <f>PROPER(Currency)&amp;IborType&amp;$D$9</f>
        <v>GbpLibor6M</v>
      </c>
      <c r="R10" s="496"/>
      <c r="S10" s="209"/>
      <c r="T10" s="172">
        <v>0.17376243197598049</v>
      </c>
      <c r="U10" s="174">
        <v>0.50136986301369868</v>
      </c>
      <c r="V10" s="498"/>
      <c r="W10" s="176">
        <v>1.9972953621450028E-3</v>
      </c>
      <c r="X10" s="498"/>
      <c r="Y10" s="466">
        <v>1.1411362408657835E-3</v>
      </c>
      <c r="AA10" s="172">
        <v>7.2735507246376869</v>
      </c>
      <c r="AB10" s="174">
        <v>-5.3187613843351604</v>
      </c>
      <c r="AF10" s="188">
        <f>_xll.qlCalendarAdvance(Calendar,AF9,"1d","mf",,Trigger)</f>
        <v>42075</v>
      </c>
      <c r="AG10" s="210">
        <f>_xll.qlDayCounterYearFraction(DayCounter,SettlementDate,AF10,,,Trigger)</f>
        <v>2.4657534246575342E-2</v>
      </c>
      <c r="AH10" s="189">
        <f t="shared" si="0"/>
        <v>2.2000163820892669E-3</v>
      </c>
      <c r="AI10" s="189">
        <f t="shared" si="1"/>
        <v>2.0171267662699851E-3</v>
      </c>
      <c r="AJ10" s="161">
        <f t="shared" si="2"/>
        <v>2.0498974034509833E-3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42076</v>
      </c>
      <c r="AG11" s="210">
        <f>_xll.qlDayCounterYearFraction(DayCounter,SettlementDate,AF11,,,Trigger)</f>
        <v>2.7397260273972601E-2</v>
      </c>
      <c r="AH11" s="189">
        <f t="shared" si="0"/>
        <v>2.2000163820892669E-3</v>
      </c>
      <c r="AI11" s="189">
        <f t="shared" si="1"/>
        <v>2.0193302556172055E-3</v>
      </c>
      <c r="AJ11" s="161">
        <f t="shared" si="2"/>
        <v>2.0511517703784422E-3</v>
      </c>
    </row>
    <row r="12" spans="1:36" ht="12" customHeight="1" thickBot="1" x14ac:dyDescent="0.25">
      <c r="C12" s="184" t="s">
        <v>143</v>
      </c>
      <c r="D12" s="359" t="s">
        <v>148</v>
      </c>
      <c r="Q12" s="170"/>
      <c r="W12" s="206" t="s">
        <v>33</v>
      </c>
      <c r="X12" s="207"/>
      <c r="Y12" s="179"/>
      <c r="AF12" s="188">
        <f>_xll.qlCalendarAdvance(Calendar,AF11,"1d","mf",,Trigger)</f>
        <v>42079</v>
      </c>
      <c r="AG12" s="210">
        <f>_xll.qlDayCounterYearFraction(DayCounter,SettlementDate,AF12,,,Trigger)</f>
        <v>3.5616438356164383E-2</v>
      </c>
      <c r="AH12" s="189">
        <f t="shared" si="0"/>
        <v>2.2000163820892669E-3</v>
      </c>
      <c r="AI12" s="189">
        <f t="shared" si="1"/>
        <v>2.0259407236588663E-3</v>
      </c>
      <c r="AJ12" s="161">
        <f t="shared" si="2"/>
        <v>2.054972216041773E-3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105</v>
      </c>
      <c r="U13" s="175">
        <f t="array" ref="U13">_xll.ohFilter(M3:M7,P3:P7)</f>
        <v>0.50410958904109593</v>
      </c>
      <c r="V13" s="201" t="s">
        <v>35</v>
      </c>
      <c r="W13" s="176">
        <f>MMULT(AA13,Y13)</f>
        <v>2.2000163820892669E-3</v>
      </c>
      <c r="X13" s="201" t="s">
        <v>36</v>
      </c>
      <c r="Y13" s="466">
        <f t="array" ref="Y13">_xll.ohFilter(J3:J7,P3:P7)</f>
        <v>1.109049354258699E-3</v>
      </c>
      <c r="AA13" s="175">
        <f>MINVERSE(U13)</f>
        <v>1.9836956521739129</v>
      </c>
      <c r="AF13" s="188">
        <f>_xll.qlCalendarAdvance(Calendar,AF12,"1d","mf",,Trigger)</f>
        <v>42080</v>
      </c>
      <c r="AG13" s="210">
        <f>_xll.qlDayCounterYearFraction(DayCounter,SettlementDate,AF13,,,Trigger)</f>
        <v>3.8356164383561646E-2</v>
      </c>
      <c r="AH13" s="189">
        <f t="shared" si="0"/>
        <v>2.2000163820892669E-3</v>
      </c>
      <c r="AI13" s="189">
        <f t="shared" si="1"/>
        <v>2.0281442130060867E-3</v>
      </c>
      <c r="AJ13" s="161">
        <f t="shared" si="2"/>
        <v>2.0562648128898678E-3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80" t="s">
        <v>139</v>
      </c>
      <c r="M14" s="180" t="s">
        <v>140</v>
      </c>
      <c r="N14" s="369" t="s">
        <v>105</v>
      </c>
      <c r="O14" s="360" t="s">
        <v>104</v>
      </c>
      <c r="P14" s="360" t="s">
        <v>130</v>
      </c>
      <c r="Q14" s="170"/>
      <c r="AF14" s="188">
        <f>_xll.qlCalendarAdvance(Calendar,AF13,"1d","mf",,Trigger)</f>
        <v>42081</v>
      </c>
      <c r="AG14" s="210">
        <f>_xll.qlDayCounterYearFraction(DayCounter,SettlementDate,AF14,,,Trigger)</f>
        <v>4.1095890410958902E-2</v>
      </c>
      <c r="AH14" s="189">
        <f t="shared" si="0"/>
        <v>2.2000163820892669E-3</v>
      </c>
      <c r="AI14" s="189">
        <f t="shared" si="1"/>
        <v>2.0303477023533066E-3</v>
      </c>
      <c r="AJ14" s="161">
        <f t="shared" si="2"/>
        <v>2.0575669672181223E-3</v>
      </c>
    </row>
    <row r="15" spans="1:36" ht="12" customHeight="1" x14ac:dyDescent="0.2">
      <c r="C15" s="200" t="s">
        <v>41</v>
      </c>
      <c r="D15" s="194">
        <f t="shared" ref="D15:D24" si="5">SettlementDate</f>
        <v>42066</v>
      </c>
      <c r="E15" s="195">
        <f>_xll.qlCalendarAdvance(Calendar,SettlementDate,C15,"Following",,Trigger)</f>
        <v>42067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347">
        <f>_xll.qlYieldTSDiscount(Discounting,E15,,AllTriggers)</f>
        <v>0.99998748888755595</v>
      </c>
      <c r="M15" s="356">
        <f>(K15/L15-1)/J15</f>
        <v>4.5666131754906747E-3</v>
      </c>
      <c r="N15" s="357">
        <f t="shared" ref="N15:N24" si="6">((1+M15*J15)*EXP($W$13*J15)-1)/J15</f>
        <v>6.7666637129215612E-3</v>
      </c>
      <c r="O15" s="357">
        <f>((1+J15*M15)*EXP($W$10*J15+0.5*$W$9*J15^2)-1)/J15</f>
        <v>6.5650407554929124E-3</v>
      </c>
      <c r="P15" s="357">
        <f>((1+J15*M15)*EXP($W$5*J15+0.5*$W$4*J15^2+1/3*$W$3*J15^3)-1)/J15</f>
        <v>6.6062659585697237E-3</v>
      </c>
      <c r="Q15" s="170"/>
      <c r="AF15" s="188">
        <f>_xll.qlCalendarAdvance(Calendar,AF14,"1d","mf",,Trigger)</f>
        <v>42082</v>
      </c>
      <c r="AG15" s="210">
        <f>_xll.qlDayCounterYearFraction(DayCounter,SettlementDate,AF15,,,Trigger)</f>
        <v>4.3835616438356165E-2</v>
      </c>
      <c r="AH15" s="189">
        <f t="shared" si="0"/>
        <v>2.2000163820892669E-3</v>
      </c>
      <c r="AI15" s="189">
        <f t="shared" si="1"/>
        <v>2.032551191700527E-3</v>
      </c>
      <c r="AJ15" s="161">
        <f t="shared" si="2"/>
        <v>2.0588786790265352E-3</v>
      </c>
    </row>
    <row r="16" spans="1:36" ht="12" customHeight="1" x14ac:dyDescent="0.2">
      <c r="C16" s="198" t="s">
        <v>42</v>
      </c>
      <c r="D16" s="159">
        <f>SettlementDate</f>
        <v>42066</v>
      </c>
      <c r="E16" s="196">
        <f>_xll.qlCalendarAdvance(Calendar,SettlementDate,C16,"Following",,Trigger)</f>
        <v>42073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348">
        <f>_xll.qlYieldTSDiscount(Discounting,E16,,AllTriggers)</f>
        <v>0.99991237672823008</v>
      </c>
      <c r="M16" s="181">
        <f t="shared" ref="M16:M24" si="7">(K16/L16-1)/J16</f>
        <v>4.5693281217645022E-3</v>
      </c>
      <c r="N16" s="358">
        <f t="shared" si="6"/>
        <v>6.7695837097592193E-3</v>
      </c>
      <c r="O16" s="358">
        <f t="shared" ref="O16:O24" si="8">((1+J16*M16)*EXP($W$10*J16+0.5*$W$9*J16^2)-1)/J16</f>
        <v>6.5745499496930706E-3</v>
      </c>
      <c r="P16" s="358">
        <f t="shared" ref="P16:P24" si="9">((1+J16*M16)*EXP($W$5*J16+0.5*$W$4*J16^2+1/3*$W$3*J16^3)-1)/J16</f>
        <v>6.6127359414728084E-3</v>
      </c>
      <c r="Q16" s="170"/>
      <c r="AF16" s="188">
        <f>_xll.qlCalendarAdvance(Calendar,AF15,"1d","mf",,Trigger)</f>
        <v>42083</v>
      </c>
      <c r="AG16" s="210">
        <f>_xll.qlDayCounterYearFraction(DayCounter,SettlementDate,AF16,,,Trigger)</f>
        <v>4.6575342465753428E-2</v>
      </c>
      <c r="AH16" s="189">
        <f t="shared" si="0"/>
        <v>2.2000163820892669E-3</v>
      </c>
      <c r="AI16" s="189">
        <f t="shared" si="1"/>
        <v>2.0347546810477474E-3</v>
      </c>
      <c r="AJ16" s="161">
        <f t="shared" si="2"/>
        <v>2.0601999483151078E-3</v>
      </c>
    </row>
    <row r="17" spans="3:36" ht="12" customHeight="1" x14ac:dyDescent="0.2">
      <c r="C17" s="198" t="s">
        <v>43</v>
      </c>
      <c r="D17" s="159">
        <f t="shared" si="5"/>
        <v>42066</v>
      </c>
      <c r="E17" s="196">
        <f>_xll.qlCalendarAdvance(Calendar,SettlementDate,C17,"Following",,Trigger)</f>
        <v>42080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348">
        <f>_xll.qlYieldTSDiscount(Discounting,E17,,AllTriggers)</f>
        <v>0.99982466012451821</v>
      </c>
      <c r="M17" s="181">
        <f t="shared" si="7"/>
        <v>4.5721627217917438E-3</v>
      </c>
      <c r="N17" s="358">
        <f t="shared" si="6"/>
        <v>6.7726577643228182E-3</v>
      </c>
      <c r="O17" s="358">
        <f t="shared" si="8"/>
        <v>6.5853131881111427E-3</v>
      </c>
      <c r="P17" s="358">
        <f t="shared" si="9"/>
        <v>6.6200976024056403E-3</v>
      </c>
      <c r="Q17" s="170"/>
      <c r="AF17" s="188">
        <f>_xll.qlCalendarAdvance(Calendar,AF16,"1d","mf",,Trigger)</f>
        <v>42086</v>
      </c>
      <c r="AG17" s="210">
        <f>_xll.qlDayCounterYearFraction(DayCounter,SettlementDate,AF17,,,Trigger)</f>
        <v>5.4794520547945202E-2</v>
      </c>
      <c r="AH17" s="189">
        <f t="shared" si="0"/>
        <v>2.2000163820892669E-3</v>
      </c>
      <c r="AI17" s="189">
        <f t="shared" si="1"/>
        <v>2.0413651490894082E-3</v>
      </c>
      <c r="AJ17" s="161">
        <f t="shared" si="2"/>
        <v>2.0642211010617798E-3</v>
      </c>
    </row>
    <row r="18" spans="3:36" ht="12" customHeight="1" x14ac:dyDescent="0.2">
      <c r="C18" s="198" t="s">
        <v>44</v>
      </c>
      <c r="D18" s="159">
        <f t="shared" si="5"/>
        <v>42066</v>
      </c>
      <c r="E18" s="196">
        <f>_xll.qlCalendarAdvance(Calendar,SettlementDate,C18,"Following",,Trigger)</f>
        <v>42087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348">
        <f>_xll.qlYieldTSDiscount(Discounting,E18,,AllTriggers)</f>
        <v>0.99973734144216364</v>
      </c>
      <c r="M18" s="181">
        <f t="shared" si="7"/>
        <v>4.5664553047687828E-3</v>
      </c>
      <c r="N18" s="358">
        <f t="shared" si="6"/>
        <v>6.7671889692130383E-3</v>
      </c>
      <c r="O18" s="358">
        <f t="shared" si="8"/>
        <v>6.5875355952246936E-3</v>
      </c>
      <c r="P18" s="358">
        <f t="shared" si="9"/>
        <v>6.619073728826308E-3</v>
      </c>
      <c r="Q18" s="170"/>
      <c r="AF18" s="188">
        <f>_xll.qlCalendarAdvance(Calendar,AF17,"1d","mf",,Trigger)</f>
        <v>42087</v>
      </c>
      <c r="AG18" s="210">
        <f>_xll.qlDayCounterYearFraction(DayCounter,SettlementDate,AF18,,,Trigger)</f>
        <v>5.7534246575342465E-2</v>
      </c>
      <c r="AH18" s="189">
        <f t="shared" si="0"/>
        <v>2.2000163820892669E-3</v>
      </c>
      <c r="AI18" s="189">
        <f t="shared" si="1"/>
        <v>2.0435686384366282E-3</v>
      </c>
      <c r="AJ18" s="161">
        <f t="shared" si="2"/>
        <v>2.0655806002709888E-3</v>
      </c>
    </row>
    <row r="19" spans="3:36" ht="12" customHeight="1" x14ac:dyDescent="0.2">
      <c r="C19" s="198" t="s">
        <v>38</v>
      </c>
      <c r="D19" s="159">
        <f t="shared" si="5"/>
        <v>42066</v>
      </c>
      <c r="E19" s="196">
        <f>_xll.qlCalendarAdvance(Calendar,SettlementDate,C19,"mf",TRUE,Trigger)</f>
        <v>42101</v>
      </c>
      <c r="J19" s="210">
        <f>_xll.qlDayCounterYearFraction(DayCounter,D19,E19,,,Trigger)</f>
        <v>9.5890410958904104E-2</v>
      </c>
      <c r="K19" s="348">
        <f>_xll.qlYieldTSDiscount(Discounting,D19,,AllTriggers)</f>
        <v>1</v>
      </c>
      <c r="L19" s="348">
        <f>_xll.qlYieldTSDiscount(Discounting,E19,,AllTriggers)</f>
        <v>0.9995632792414465</v>
      </c>
      <c r="M19" s="181">
        <f t="shared" si="7"/>
        <v>4.5563634834327226E-3</v>
      </c>
      <c r="N19" s="358">
        <f t="shared" si="6"/>
        <v>6.7575732540914313E-3</v>
      </c>
      <c r="O19" s="358">
        <f t="shared" si="8"/>
        <v>6.5933082171745526E-3</v>
      </c>
      <c r="P19" s="358">
        <f t="shared" si="9"/>
        <v>6.6188199385644551E-3</v>
      </c>
      <c r="Q19" s="170"/>
      <c r="AF19" s="188">
        <f>_xll.qlCalendarAdvance(Calendar,AF18,"1d","mf",,Trigger)</f>
        <v>42088</v>
      </c>
      <c r="AG19" s="210">
        <f>_xll.qlDayCounterYearFraction(DayCounter,SettlementDate,AF19,,,Trigger)</f>
        <v>6.0273972602739728E-2</v>
      </c>
      <c r="AH19" s="189">
        <f t="shared" si="0"/>
        <v>2.2000163820892669E-3</v>
      </c>
      <c r="AI19" s="189">
        <f t="shared" si="1"/>
        <v>2.0457721277838486E-3</v>
      </c>
      <c r="AJ19" s="161">
        <f t="shared" si="2"/>
        <v>2.0669496569603566E-3</v>
      </c>
    </row>
    <row r="20" spans="3:36" ht="12" customHeight="1" x14ac:dyDescent="0.2">
      <c r="C20" s="198" t="s">
        <v>45</v>
      </c>
      <c r="D20" s="159">
        <f t="shared" si="5"/>
        <v>42066</v>
      </c>
      <c r="E20" s="196">
        <f>_xll.qlCalendarAdvance(Calendar,SettlementDate,C20,"mf",TRUE,Trigger)</f>
        <v>42129</v>
      </c>
      <c r="J20" s="210">
        <f>_xll.qlDayCounterYearFraction(DayCounter,D20,E20,,,Trigger)</f>
        <v>0.17260273972602741</v>
      </c>
      <c r="K20" s="348">
        <f>_xll.qlYieldTSDiscount(Discounting,D20,,AllTriggers)</f>
        <v>1</v>
      </c>
      <c r="L20" s="348">
        <f>_xll.qlYieldTSDiscount(Discounting,E20,,AllTriggers)</f>
        <v>0.99921370738166537</v>
      </c>
      <c r="M20" s="181">
        <f t="shared" si="7"/>
        <v>4.5590896307785419E-3</v>
      </c>
      <c r="N20" s="358">
        <f t="shared" si="6"/>
        <v>6.7612553172193548E-3</v>
      </c>
      <c r="O20" s="358">
        <f t="shared" si="8"/>
        <v>6.6277901716738962E-3</v>
      </c>
      <c r="P20" s="358">
        <f t="shared" si="9"/>
        <v>6.6431153700342175E-3</v>
      </c>
      <c r="Q20" s="170"/>
      <c r="AF20" s="188">
        <f>_xll.qlCalendarAdvance(Calendar,AF19,"1d","mf",,Trigger)</f>
        <v>42089</v>
      </c>
      <c r="AG20" s="210">
        <f>_xll.qlDayCounterYearFraction(DayCounter,SettlementDate,AF20,,,Trigger)</f>
        <v>6.3013698630136991E-2</v>
      </c>
      <c r="AH20" s="189">
        <f t="shared" si="0"/>
        <v>2.2000163820892669E-3</v>
      </c>
      <c r="AI20" s="189">
        <f t="shared" si="1"/>
        <v>2.047975617131069E-3</v>
      </c>
      <c r="AJ20" s="161">
        <f t="shared" si="2"/>
        <v>2.0683282711298837E-3</v>
      </c>
    </row>
    <row r="21" spans="3:36" ht="12" customHeight="1" x14ac:dyDescent="0.2">
      <c r="C21" s="198" t="s">
        <v>39</v>
      </c>
      <c r="D21" s="159">
        <f t="shared" si="5"/>
        <v>42066</v>
      </c>
      <c r="E21" s="196">
        <f>_xll.qlCalendarAdvance(Calendar,SettlementDate,C21,"mf",TRUE,Trigger)</f>
        <v>42158</v>
      </c>
      <c r="J21" s="210">
        <f>_xll.qlDayCounterYearFraction(DayCounter,D21,E21,,,Trigger)</f>
        <v>0.25205479452054796</v>
      </c>
      <c r="K21" s="348">
        <f>_xll.qlYieldTSDiscount(Discounting,D21,,AllTriggers)</f>
        <v>1</v>
      </c>
      <c r="L21" s="348">
        <f>_xll.qlYieldTSDiscount(Discounting,E21,,AllTriggers)</f>
        <v>0.99885190848149896</v>
      </c>
      <c r="M21" s="181">
        <f t="shared" si="7"/>
        <v>4.5601637924700079E-3</v>
      </c>
      <c r="N21" s="358">
        <f t="shared" si="6"/>
        <v>6.7633196936160763E-3</v>
      </c>
      <c r="O21" s="358">
        <f t="shared" si="8"/>
        <v>6.6617876886256571E-3</v>
      </c>
      <c r="P21" s="358">
        <f t="shared" si="9"/>
        <v>6.6691890967464414E-3</v>
      </c>
      <c r="Q21" s="170"/>
      <c r="AF21" s="188">
        <f>_xll.qlCalendarAdvance(Calendar,AF20,"1d","mf",,Trigger)</f>
        <v>42090</v>
      </c>
      <c r="AG21" s="210">
        <f>_xll.qlDayCounterYearFraction(DayCounter,SettlementDate,AF21,,,Trigger)</f>
        <v>6.575342465753424E-2</v>
      </c>
      <c r="AH21" s="189">
        <f t="shared" si="0"/>
        <v>2.2000163820892669E-3</v>
      </c>
      <c r="AI21" s="189">
        <f t="shared" si="1"/>
        <v>2.0501791064782894E-3</v>
      </c>
      <c r="AJ21" s="161">
        <f t="shared" si="2"/>
        <v>2.0697164427795696E-3</v>
      </c>
    </row>
    <row r="22" spans="3:36" ht="12" customHeight="1" x14ac:dyDescent="0.2">
      <c r="C22" s="198" t="s">
        <v>46</v>
      </c>
      <c r="D22" s="159">
        <f t="shared" si="5"/>
        <v>42066</v>
      </c>
      <c r="E22" s="196">
        <f>_xll.qlCalendarAdvance(Calendar,SettlementDate,C22,"mf",TRUE,Trigger)</f>
        <v>42188</v>
      </c>
      <c r="J22" s="210">
        <f>_xll.qlDayCounterYearFraction(DayCounter,D22,E22,,,Trigger)</f>
        <v>0.33424657534246577</v>
      </c>
      <c r="K22" s="348">
        <f>_xll.qlYieldTSDiscount(Discounting,D22,,AllTriggers)</f>
        <v>1</v>
      </c>
      <c r="L22" s="348">
        <f>_xll.qlYieldTSDiscount(Discounting,E22,,AllTriggers)</f>
        <v>0.99847374401128286</v>
      </c>
      <c r="M22" s="181">
        <f t="shared" si="7"/>
        <v>4.5732376024402747E-3</v>
      </c>
      <c r="N22" s="358">
        <f t="shared" si="6"/>
        <v>6.7774272292145882E-3</v>
      </c>
      <c r="O22" s="358">
        <f t="shared" si="8"/>
        <v>6.7089651003374023E-3</v>
      </c>
      <c r="P22" s="358">
        <f t="shared" si="9"/>
        <v>6.7109863440680687E-3</v>
      </c>
      <c r="Q22" s="170"/>
      <c r="AF22" s="188">
        <f>_xll.qlCalendarAdvance(Calendar,AF21,"1d","mf",,Trigger)</f>
        <v>42093</v>
      </c>
      <c r="AG22" s="210">
        <f>_xll.qlDayCounterYearFraction(DayCounter,SettlementDate,AF22,,,Trigger)</f>
        <v>7.3972602739726029E-2</v>
      </c>
      <c r="AH22" s="189">
        <f t="shared" si="0"/>
        <v>2.2000163820892669E-3</v>
      </c>
      <c r="AI22" s="189">
        <f t="shared" si="1"/>
        <v>2.0567895745199501E-3</v>
      </c>
      <c r="AJ22" s="161">
        <f t="shared" si="2"/>
        <v>2.0739383026095828E-3</v>
      </c>
    </row>
    <row r="23" spans="3:36" ht="12" customHeight="1" x14ac:dyDescent="0.2">
      <c r="C23" s="198" t="s">
        <v>47</v>
      </c>
      <c r="D23" s="159">
        <f t="shared" si="5"/>
        <v>42066</v>
      </c>
      <c r="E23" s="196">
        <f>_xll.qlCalendarAdvance(Calendar,SettlementDate,C23,"mf",TRUE,Trigger)</f>
        <v>42219</v>
      </c>
      <c r="J23" s="210">
        <f>_xll.qlDayCounterYearFraction(DayCounter,D23,E23,,,Trigger)</f>
        <v>0.41917808219178082</v>
      </c>
      <c r="K23" s="348">
        <f>_xll.qlYieldTSDiscount(Discounting,D23,,AllTriggers)</f>
        <v>1</v>
      </c>
      <c r="L23" s="348">
        <f>_xll.qlYieldTSDiscount(Discounting,E23,,AllTriggers)</f>
        <v>0.99808651801068549</v>
      </c>
      <c r="M23" s="181">
        <f t="shared" si="7"/>
        <v>4.5735941442685297E-3</v>
      </c>
      <c r="N23" s="358">
        <f t="shared" si="6"/>
        <v>6.7788449720708891E-3</v>
      </c>
      <c r="O23" s="358">
        <f t="shared" si="8"/>
        <v>6.7445940820595974E-3</v>
      </c>
      <c r="P23" s="358">
        <f t="shared" si="9"/>
        <v>6.7440701757011563E-3</v>
      </c>
      <c r="Q23" s="170"/>
      <c r="AF23" s="188">
        <f>_xll.qlCalendarAdvance(Calendar,AF22,"1d","mf",,Trigger)</f>
        <v>42094</v>
      </c>
      <c r="AG23" s="210">
        <f>_xll.qlDayCounterYearFraction(DayCounter,SettlementDate,AF23,,,Trigger)</f>
        <v>7.6712328767123292E-2</v>
      </c>
      <c r="AH23" s="189">
        <f t="shared" si="0"/>
        <v>2.2000163820892669E-3</v>
      </c>
      <c r="AI23" s="189">
        <f t="shared" si="1"/>
        <v>2.0589930638671701E-3</v>
      </c>
      <c r="AJ23" s="161">
        <f t="shared" si="2"/>
        <v>2.0753647041799055E-3</v>
      </c>
    </row>
    <row r="24" spans="3:36" ht="12" customHeight="1" thickBot="1" x14ac:dyDescent="0.25">
      <c r="C24" s="199" t="s">
        <v>40</v>
      </c>
      <c r="D24" s="163">
        <f t="shared" si="5"/>
        <v>42066</v>
      </c>
      <c r="E24" s="197">
        <f>_xll.qlCalendarAdvance(Calendar,SettlementDate,C24,"mf",TRUE,Trigger)</f>
        <v>42250</v>
      </c>
      <c r="J24" s="211">
        <f>_xll.qlDayCounterYearFraction(DayCounter,D24,E24,,,Trigger)</f>
        <v>0.50410958904109593</v>
      </c>
      <c r="K24" s="349">
        <f>_xll.qlYieldTSDiscount(Discounting,D24,,AllTriggers)</f>
        <v>1</v>
      </c>
      <c r="L24" s="349">
        <f>_xll.qlYieldTSDiscount(Discounting,E24,,AllTriggers)</f>
        <v>0.99768077537065136</v>
      </c>
      <c r="M24" s="182">
        <f t="shared" si="7"/>
        <v>4.611330524981248E-3</v>
      </c>
      <c r="N24" s="370">
        <f t="shared" si="6"/>
        <v>6.8176843517052318E-3</v>
      </c>
      <c r="O24" s="370">
        <f t="shared" si="8"/>
        <v>6.8176843517052318E-3</v>
      </c>
      <c r="P24" s="370">
        <f t="shared" si="9"/>
        <v>6.8176843517052318E-3</v>
      </c>
      <c r="AF24" s="188">
        <f>_xll.qlCalendarAdvance(Calendar,AF23,"1d","mf",,Trigger)</f>
        <v>42095</v>
      </c>
      <c r="AG24" s="210">
        <f>_xll.qlDayCounterYearFraction(DayCounter,SettlementDate,AF24,,,Trigger)</f>
        <v>7.9452054794520555E-2</v>
      </c>
      <c r="AH24" s="189">
        <f t="shared" si="0"/>
        <v>2.2000163820892669E-3</v>
      </c>
      <c r="AI24" s="189">
        <f t="shared" si="1"/>
        <v>2.0611965532143905E-3</v>
      </c>
      <c r="AJ24" s="161">
        <f t="shared" si="2"/>
        <v>2.076800663230387E-3</v>
      </c>
    </row>
    <row r="25" spans="3:36" ht="12" customHeight="1" thickBot="1" x14ac:dyDescent="0.25">
      <c r="AF25" s="188">
        <f>_xll.qlCalendarAdvance(Calendar,AF24,"1d","mf",,Trigger)</f>
        <v>42096</v>
      </c>
      <c r="AG25" s="210">
        <f>_xll.qlDayCounterYearFraction(DayCounter,SettlementDate,AF25,,,Trigger)</f>
        <v>8.2191780821917804E-2</v>
      </c>
      <c r="AH25" s="189">
        <f t="shared" si="0"/>
        <v>2.2000163820892669E-3</v>
      </c>
      <c r="AI25" s="189">
        <f t="shared" si="1"/>
        <v>2.0634000425616109E-3</v>
      </c>
      <c r="AJ25" s="161">
        <f t="shared" si="2"/>
        <v>2.0782461797610279E-3</v>
      </c>
    </row>
    <row r="26" spans="3:36" ht="12" customHeight="1" x14ac:dyDescent="0.2">
      <c r="C26" s="212" t="s">
        <v>118</v>
      </c>
      <c r="AF26" s="188">
        <f>_xll.qlCalendarAdvance(Calendar,AF25,"1d","mf",,Trigger)</f>
        <v>42101</v>
      </c>
      <c r="AG26" s="210">
        <f>_xll.qlDayCounterYearFraction(DayCounter,SettlementDate,AF26,,,Trigger)</f>
        <v>9.5890410958904104E-2</v>
      </c>
      <c r="AH26" s="189">
        <f t="shared" si="0"/>
        <v>2.2000163820892669E-3</v>
      </c>
      <c r="AI26" s="189">
        <f t="shared" si="1"/>
        <v>2.074417489297712E-3</v>
      </c>
      <c r="AJ26" s="161">
        <f t="shared" si="2"/>
        <v>2.0856171246166188E-3</v>
      </c>
    </row>
    <row r="27" spans="3:36" ht="12" customHeight="1" x14ac:dyDescent="0.2">
      <c r="C27" s="215" t="s">
        <v>103</v>
      </c>
      <c r="AF27" s="188">
        <f>_xll.qlCalendarAdvance(Calendar,AF26,"1d","mf",,Trigger)</f>
        <v>42102</v>
      </c>
      <c r="AG27" s="210">
        <f>_xll.qlDayCounterYearFraction(DayCounter,SettlementDate,AF27,,,Trigger)</f>
        <v>9.8630136986301367E-2</v>
      </c>
      <c r="AH27" s="189">
        <f t="shared" si="0"/>
        <v>2.2000163820892669E-3</v>
      </c>
      <c r="AI27" s="189">
        <f t="shared" si="1"/>
        <v>2.0766209786449324E-3</v>
      </c>
      <c r="AJ27" s="161">
        <f t="shared" si="2"/>
        <v>2.0871199860282141E-3</v>
      </c>
    </row>
    <row r="28" spans="3:36" ht="12" customHeight="1" x14ac:dyDescent="0.2">
      <c r="C28" s="189">
        <f t="shared" ref="C28:C37" si="10">IF($C$27="FLAT",N15,IF($C$27="linear",O15,P15))</f>
        <v>6.6062659585697237E-3</v>
      </c>
      <c r="AF28" s="188">
        <f>_xll.qlCalendarAdvance(Calendar,AF27,"1d","mf",,Trigger)</f>
        <v>42103</v>
      </c>
      <c r="AG28" s="210">
        <f>_xll.qlDayCounterYearFraction(DayCounter,SettlementDate,AF28,,,Trigger)</f>
        <v>0.10136986301369863</v>
      </c>
      <c r="AH28" s="189">
        <f t="shared" si="0"/>
        <v>2.2000163820892669E-3</v>
      </c>
      <c r="AI28" s="189">
        <f t="shared" si="1"/>
        <v>2.0788244679921528E-3</v>
      </c>
      <c r="AJ28" s="161">
        <f t="shared" si="2"/>
        <v>2.0886324049199682E-3</v>
      </c>
    </row>
    <row r="29" spans="3:36" ht="12" customHeight="1" x14ac:dyDescent="0.2">
      <c r="C29" s="189">
        <f t="shared" si="10"/>
        <v>6.6127359414728084E-3</v>
      </c>
      <c r="AF29" s="188">
        <f>_xll.qlCalendarAdvance(Calendar,AF28,"1d","mf",,Trigger)</f>
        <v>42104</v>
      </c>
      <c r="AG29" s="210">
        <f>_xll.qlDayCounterYearFraction(DayCounter,SettlementDate,AF29,,,Trigger)</f>
        <v>0.10410958904109589</v>
      </c>
      <c r="AH29" s="189">
        <f t="shared" si="0"/>
        <v>2.2000163820892669E-3</v>
      </c>
      <c r="AI29" s="189">
        <f t="shared" si="1"/>
        <v>2.0810279573393728E-3</v>
      </c>
      <c r="AJ29" s="161">
        <f t="shared" si="2"/>
        <v>2.0901543812918821E-3</v>
      </c>
    </row>
    <row r="30" spans="3:36" ht="12" customHeight="1" x14ac:dyDescent="0.2">
      <c r="C30" s="189">
        <f t="shared" si="10"/>
        <v>6.6200976024056403E-3</v>
      </c>
      <c r="AF30" s="188">
        <f>_xll.qlCalendarAdvance(Calendar,AF29,"1d","mf",,Trigger)</f>
        <v>42107</v>
      </c>
      <c r="AG30" s="210">
        <f>_xll.qlDayCounterYearFraction(DayCounter,SettlementDate,AF30,,,Trigger)</f>
        <v>0.11232876712328767</v>
      </c>
      <c r="AH30" s="189">
        <f t="shared" si="0"/>
        <v>2.2000163820892669E-3</v>
      </c>
      <c r="AI30" s="189">
        <f t="shared" si="1"/>
        <v>2.0876384253810335E-3</v>
      </c>
      <c r="AJ30" s="161">
        <f t="shared" si="2"/>
        <v>2.0947776552885777E-3</v>
      </c>
    </row>
    <row r="31" spans="3:36" ht="12" customHeight="1" x14ac:dyDescent="0.2">
      <c r="C31" s="189">
        <f t="shared" si="10"/>
        <v>6.619073728826308E-3</v>
      </c>
      <c r="AF31" s="188">
        <f>_xll.qlCalendarAdvance(Calendar,AF30,"1d","mf",,Trigger)</f>
        <v>42108</v>
      </c>
      <c r="AG31" s="210">
        <f>_xll.qlDayCounterYearFraction(DayCounter,SettlementDate,AF31,,,Trigger)</f>
        <v>0.11506849315068493</v>
      </c>
      <c r="AH31" s="189">
        <f t="shared" si="0"/>
        <v>2.2000163820892669E-3</v>
      </c>
      <c r="AI31" s="189">
        <f t="shared" si="1"/>
        <v>2.0898419147282539E-3</v>
      </c>
      <c r="AJ31" s="161">
        <f t="shared" si="2"/>
        <v>2.0963378615811274E-3</v>
      </c>
    </row>
    <row r="32" spans="3:36" ht="12" customHeight="1" x14ac:dyDescent="0.2">
      <c r="C32" s="189">
        <f t="shared" si="10"/>
        <v>6.6188199385644551E-3</v>
      </c>
      <c r="AF32" s="188">
        <f>_xll.qlCalendarAdvance(Calendar,AF31,"1d","mf",,Trigger)</f>
        <v>42109</v>
      </c>
      <c r="AG32" s="210">
        <f>_xll.qlDayCounterYearFraction(DayCounter,SettlementDate,AF32,,,Trigger)</f>
        <v>0.11780821917808219</v>
      </c>
      <c r="AH32" s="189">
        <f t="shared" si="0"/>
        <v>2.2000163820892669E-3</v>
      </c>
      <c r="AI32" s="189">
        <f t="shared" si="1"/>
        <v>2.0920454040754743E-3</v>
      </c>
      <c r="AJ32" s="161">
        <f t="shared" si="2"/>
        <v>2.0979076253538368E-3</v>
      </c>
    </row>
    <row r="33" spans="3:36" ht="12" customHeight="1" x14ac:dyDescent="0.2">
      <c r="C33" s="189">
        <f t="shared" si="10"/>
        <v>6.6431153700342175E-3</v>
      </c>
      <c r="AF33" s="188">
        <f>_xll.qlCalendarAdvance(Calendar,AF32,"1d","mf",,Trigger)</f>
        <v>42110</v>
      </c>
      <c r="AG33" s="210">
        <f>_xll.qlDayCounterYearFraction(DayCounter,SettlementDate,AF33,,,Trigger)</f>
        <v>0.12054794520547946</v>
      </c>
      <c r="AH33" s="189">
        <f t="shared" si="0"/>
        <v>2.2000163820892669E-3</v>
      </c>
      <c r="AI33" s="189">
        <f t="shared" si="1"/>
        <v>2.0942488934226943E-3</v>
      </c>
      <c r="AJ33" s="161">
        <f t="shared" si="2"/>
        <v>2.0994869466067051E-3</v>
      </c>
    </row>
    <row r="34" spans="3:36" ht="12" customHeight="1" x14ac:dyDescent="0.2">
      <c r="C34" s="189">
        <f t="shared" si="10"/>
        <v>6.6691890967464414E-3</v>
      </c>
      <c r="AF34" s="188">
        <f>_xll.qlCalendarAdvance(Calendar,AF33,"1d","mf",,Trigger)</f>
        <v>42111</v>
      </c>
      <c r="AG34" s="210">
        <f>_xll.qlDayCounterYearFraction(DayCounter,SettlementDate,AF34,,,Trigger)</f>
        <v>0.12328767123287671</v>
      </c>
      <c r="AH34" s="189">
        <f t="shared" si="0"/>
        <v>2.2000163820892669E-3</v>
      </c>
      <c r="AI34" s="189">
        <f t="shared" si="1"/>
        <v>2.0964523827699147E-3</v>
      </c>
      <c r="AJ34" s="161">
        <f t="shared" si="2"/>
        <v>2.1010758253397323E-3</v>
      </c>
    </row>
    <row r="35" spans="3:36" ht="12" customHeight="1" x14ac:dyDescent="0.2">
      <c r="C35" s="189">
        <f t="shared" si="10"/>
        <v>6.7109863440680687E-3</v>
      </c>
      <c r="AF35" s="188">
        <f>_xll.qlCalendarAdvance(Calendar,AF34,"1d","mf",,Trigger)</f>
        <v>42114</v>
      </c>
      <c r="AG35" s="210">
        <f>_xll.qlDayCounterYearFraction(DayCounter,SettlementDate,AF35,,,Trigger)</f>
        <v>0.13150684931506848</v>
      </c>
      <c r="AH35" s="189">
        <f t="shared" ref="AH35:AH66" si="11">$W$13</f>
        <v>2.2000163820892669E-3</v>
      </c>
      <c r="AI35" s="189">
        <f t="shared" ref="AI35:AI66" si="12">$W$10+$W$9*AG35</f>
        <v>2.1030628508115754E-3</v>
      </c>
      <c r="AJ35" s="161">
        <f t="shared" ref="AJ35:AJ66" si="13">($W$5+$W$4*AG35+$W$3*AG35^2)</f>
        <v>2.1058998064197691E-3</v>
      </c>
    </row>
    <row r="36" spans="3:36" ht="12" customHeight="1" x14ac:dyDescent="0.2">
      <c r="C36" s="189">
        <f t="shared" si="10"/>
        <v>6.7440701757011563E-3</v>
      </c>
      <c r="AF36" s="188">
        <f>_xll.qlCalendarAdvance(Calendar,AF35,"1d","mf",,Trigger)</f>
        <v>42115</v>
      </c>
      <c r="AG36" s="210">
        <f>_xll.qlDayCounterYearFraction(DayCounter,SettlementDate,AF36,,,Trigger)</f>
        <v>0.13424657534246576</v>
      </c>
      <c r="AH36" s="189">
        <f t="shared" si="11"/>
        <v>2.2000163820892669E-3</v>
      </c>
      <c r="AI36" s="189">
        <f t="shared" si="12"/>
        <v>2.1052663401587958E-3</v>
      </c>
      <c r="AJ36" s="161">
        <f t="shared" si="13"/>
        <v>2.107526915073433E-3</v>
      </c>
    </row>
    <row r="37" spans="3:36" ht="12" customHeight="1" thickBot="1" x14ac:dyDescent="0.25">
      <c r="C37" s="191">
        <f t="shared" si="10"/>
        <v>6.8176843517052318E-3</v>
      </c>
      <c r="AF37" s="188">
        <f>_xll.qlCalendarAdvance(Calendar,AF36,"1d","mf",,Trigger)</f>
        <v>42116</v>
      </c>
      <c r="AG37" s="210">
        <f>_xll.qlDayCounterYearFraction(DayCounter,SettlementDate,AF37,,,Trigger)</f>
        <v>0.13698630136986301</v>
      </c>
      <c r="AH37" s="189">
        <f t="shared" si="11"/>
        <v>2.2000163820892669E-3</v>
      </c>
      <c r="AI37" s="189">
        <f t="shared" si="12"/>
        <v>2.1074698295060158E-3</v>
      </c>
      <c r="AJ37" s="161">
        <f t="shared" si="13"/>
        <v>2.1091635812072562E-3</v>
      </c>
    </row>
    <row r="38" spans="3:36" x14ac:dyDescent="0.2">
      <c r="AF38" s="188">
        <f>_xll.qlCalendarAdvance(Calendar,AF37,"1d","mf",,Trigger)</f>
        <v>42117</v>
      </c>
      <c r="AG38" s="210">
        <f>_xll.qlDayCounterYearFraction(DayCounter,SettlementDate,AF38,,,Trigger)</f>
        <v>0.13972602739726028</v>
      </c>
      <c r="AH38" s="189">
        <f t="shared" si="11"/>
        <v>2.2000163820892669E-3</v>
      </c>
      <c r="AI38" s="189">
        <f t="shared" si="12"/>
        <v>2.1096733188532362E-3</v>
      </c>
      <c r="AJ38" s="161">
        <f t="shared" si="13"/>
        <v>2.1108098048212382E-3</v>
      </c>
    </row>
    <row r="39" spans="3:36" x14ac:dyDescent="0.2">
      <c r="AF39" s="188">
        <f>_xll.qlCalendarAdvance(Calendar,AF38,"1d","mf",,Trigger)</f>
        <v>42118</v>
      </c>
      <c r="AG39" s="210">
        <f>_xll.qlDayCounterYearFraction(DayCounter,SettlementDate,AF39,,,Trigger)</f>
        <v>0.14246575342465753</v>
      </c>
      <c r="AH39" s="189">
        <f t="shared" si="11"/>
        <v>2.2000163820892669E-3</v>
      </c>
      <c r="AI39" s="189">
        <f t="shared" si="12"/>
        <v>2.1118768082004566E-3</v>
      </c>
      <c r="AJ39" s="161">
        <f t="shared" si="13"/>
        <v>2.1124655859153792E-3</v>
      </c>
    </row>
    <row r="40" spans="3:36" x14ac:dyDescent="0.2">
      <c r="AF40" s="188">
        <f>_xll.qlCalendarAdvance(Calendar,AF39,"1d","mf",,Trigger)</f>
        <v>42121</v>
      </c>
      <c r="AG40" s="210">
        <f>_xll.qlDayCounterYearFraction(DayCounter,SettlementDate,AF40,,,Trigger)</f>
        <v>0.15068493150684931</v>
      </c>
      <c r="AH40" s="189">
        <f t="shared" si="11"/>
        <v>2.2000163820892669E-3</v>
      </c>
      <c r="AI40" s="189">
        <f t="shared" si="12"/>
        <v>2.1184872762421173E-3</v>
      </c>
      <c r="AJ40" s="161">
        <f t="shared" si="13"/>
        <v>2.1174902740787572E-3</v>
      </c>
    </row>
    <row r="41" spans="3:36" x14ac:dyDescent="0.2">
      <c r="N41" s="170"/>
      <c r="O41" s="170"/>
      <c r="AF41" s="188">
        <f>_xll.qlCalendarAdvance(Calendar,AF40,"1d","mf",,Trigger)</f>
        <v>42122</v>
      </c>
      <c r="AG41" s="210">
        <f>_xll.qlDayCounterYearFraction(DayCounter,SettlementDate,AF41,,,Trigger)</f>
        <v>0.15342465753424658</v>
      </c>
      <c r="AH41" s="189">
        <f t="shared" si="11"/>
        <v>2.2000163820892669E-3</v>
      </c>
      <c r="AI41" s="189">
        <f t="shared" si="12"/>
        <v>2.1206907655893377E-3</v>
      </c>
      <c r="AJ41" s="161">
        <f t="shared" si="13"/>
        <v>2.1191842850935348E-3</v>
      </c>
    </row>
    <row r="42" spans="3:36" x14ac:dyDescent="0.2">
      <c r="AF42" s="188">
        <f>_xll.qlCalendarAdvance(Calendar,AF41,"1d","mf",,Trigger)</f>
        <v>42123</v>
      </c>
      <c r="AG42" s="210">
        <f>_xll.qlDayCounterYearFraction(DayCounter,SettlementDate,AF42,,,Trigger)</f>
        <v>0.15616438356164383</v>
      </c>
      <c r="AH42" s="189">
        <f t="shared" si="11"/>
        <v>2.2000163820892669E-3</v>
      </c>
      <c r="AI42" s="189">
        <f t="shared" si="12"/>
        <v>2.1228942549365577E-3</v>
      </c>
      <c r="AJ42" s="161">
        <f t="shared" si="13"/>
        <v>2.1208878535884717E-3</v>
      </c>
    </row>
    <row r="43" spans="3:36" ht="11.25" customHeight="1" x14ac:dyDescent="0.2">
      <c r="AF43" s="188">
        <f>_xll.qlCalendarAdvance(Calendar,AF42,"1d","mf",,Trigger)</f>
        <v>42124</v>
      </c>
      <c r="AG43" s="210">
        <f>_xll.qlDayCounterYearFraction(DayCounter,SettlementDate,AF43,,,Trigger)</f>
        <v>0.15890410958904111</v>
      </c>
      <c r="AH43" s="189">
        <f t="shared" si="11"/>
        <v>2.2000163820892669E-3</v>
      </c>
      <c r="AI43" s="189">
        <f t="shared" si="12"/>
        <v>2.1250977442837781E-3</v>
      </c>
      <c r="AJ43" s="161">
        <f t="shared" si="13"/>
        <v>2.1226009795635675E-3</v>
      </c>
    </row>
    <row r="44" spans="3:36" x14ac:dyDescent="0.2">
      <c r="AF44" s="188">
        <f>_xll.qlCalendarAdvance(Calendar,AF43,"1d","mf",,Trigger)</f>
        <v>42125</v>
      </c>
      <c r="AG44" s="210">
        <f>_xll.qlDayCounterYearFraction(DayCounter,SettlementDate,AF44,,,Trigger)</f>
        <v>0.16164383561643836</v>
      </c>
      <c r="AH44" s="189">
        <f t="shared" si="11"/>
        <v>2.2000163820892669E-3</v>
      </c>
      <c r="AI44" s="189">
        <f t="shared" si="12"/>
        <v>2.1273012336309985E-3</v>
      </c>
      <c r="AJ44" s="161">
        <f t="shared" si="13"/>
        <v>2.1243236630188221E-3</v>
      </c>
    </row>
    <row r="45" spans="3:36" x14ac:dyDescent="0.2">
      <c r="AF45" s="188">
        <f>_xll.qlCalendarAdvance(Calendar,AF44,"1d","mf",,Trigger)</f>
        <v>42129</v>
      </c>
      <c r="AG45" s="210">
        <f>_xll.qlDayCounterYearFraction(DayCounter,SettlementDate,AF45,,,Trigger)</f>
        <v>0.17260273972602741</v>
      </c>
      <c r="AH45" s="189">
        <f t="shared" si="11"/>
        <v>2.2000163820892669E-3</v>
      </c>
      <c r="AI45" s="189">
        <f t="shared" si="12"/>
        <v>2.1361151910198797E-3</v>
      </c>
      <c r="AJ45" s="161">
        <f t="shared" si="13"/>
        <v>2.1313099716414327E-3</v>
      </c>
    </row>
    <row r="46" spans="3:36" x14ac:dyDescent="0.2">
      <c r="AF46" s="188">
        <f>_xll.qlCalendarAdvance(Calendar,AF45,"1d","mf",,Trigger)</f>
        <v>42130</v>
      </c>
      <c r="AG46" s="210">
        <f>_xll.qlDayCounterYearFraction(DayCounter,SettlementDate,AF46,,,Trigger)</f>
        <v>0.17534246575342466</v>
      </c>
      <c r="AH46" s="189">
        <f t="shared" si="11"/>
        <v>2.2000163820892669E-3</v>
      </c>
      <c r="AI46" s="189">
        <f t="shared" si="12"/>
        <v>2.1383186803670996E-3</v>
      </c>
      <c r="AJ46" s="161">
        <f t="shared" si="13"/>
        <v>2.1330804424974834E-3</v>
      </c>
    </row>
    <row r="47" spans="3:36" x14ac:dyDescent="0.2">
      <c r="AF47" s="188">
        <f>_xll.qlCalendarAdvance(Calendar,AF46,"1d","mf",,Trigger)</f>
        <v>42131</v>
      </c>
      <c r="AG47" s="210">
        <f>_xll.qlDayCounterYearFraction(DayCounter,SettlementDate,AF47,,,Trigger)</f>
        <v>0.17808219178082191</v>
      </c>
      <c r="AH47" s="189">
        <f t="shared" si="11"/>
        <v>2.2000163820892669E-3</v>
      </c>
      <c r="AI47" s="189">
        <f t="shared" si="12"/>
        <v>2.14052216971432E-3</v>
      </c>
      <c r="AJ47" s="161">
        <f t="shared" si="13"/>
        <v>2.1348604708336929E-3</v>
      </c>
    </row>
    <row r="48" spans="3:36" x14ac:dyDescent="0.2">
      <c r="AF48" s="188">
        <f>_xll.qlCalendarAdvance(Calendar,AF47,"1d","mf",,Trigger)</f>
        <v>42132</v>
      </c>
      <c r="AG48" s="210">
        <f>_xll.qlDayCounterYearFraction(DayCounter,SettlementDate,AF48,,,Trigger)</f>
        <v>0.18082191780821918</v>
      </c>
      <c r="AH48" s="189">
        <f t="shared" si="11"/>
        <v>2.2000163820892669E-3</v>
      </c>
      <c r="AI48" s="189">
        <f t="shared" si="12"/>
        <v>2.1427256590615404E-3</v>
      </c>
      <c r="AJ48" s="161">
        <f t="shared" si="13"/>
        <v>2.1366500566500613E-3</v>
      </c>
    </row>
    <row r="49" spans="14:36" x14ac:dyDescent="0.2">
      <c r="AF49" s="188">
        <f>_xll.qlCalendarAdvance(Calendar,AF48,"1d","mf",,Trigger)</f>
        <v>42135</v>
      </c>
      <c r="AG49" s="210">
        <f>_xll.qlDayCounterYearFraction(DayCounter,SettlementDate,AF49,,,Trigger)</f>
        <v>0.18904109589041096</v>
      </c>
      <c r="AH49" s="189">
        <f t="shared" si="11"/>
        <v>2.2000163820892669E-3</v>
      </c>
      <c r="AI49" s="189">
        <f t="shared" si="12"/>
        <v>2.1493361271032012E-3</v>
      </c>
      <c r="AJ49" s="161">
        <f t="shared" si="13"/>
        <v>2.1420761589801222E-3</v>
      </c>
    </row>
    <row r="50" spans="14:36" x14ac:dyDescent="0.2">
      <c r="AF50" s="188">
        <f>_xll.qlCalendarAdvance(Calendar,AF49,"1d","mf",,Trigger)</f>
        <v>42136</v>
      </c>
      <c r="AG50" s="210">
        <f>_xll.qlDayCounterYearFraction(DayCounter,SettlementDate,AF50,,,Trigger)</f>
        <v>0.19178082191780821</v>
      </c>
      <c r="AH50" s="189">
        <f t="shared" si="11"/>
        <v>2.2000163820892669E-3</v>
      </c>
      <c r="AI50" s="189">
        <f t="shared" si="12"/>
        <v>2.1515396164504211E-3</v>
      </c>
      <c r="AJ50" s="161">
        <f t="shared" si="13"/>
        <v>2.1439039747171273E-3</v>
      </c>
    </row>
    <row r="51" spans="14:36" x14ac:dyDescent="0.2">
      <c r="AF51" s="188">
        <f>_xll.qlCalendarAdvance(Calendar,AF50,"1d","mf",,Trigger)</f>
        <v>42137</v>
      </c>
      <c r="AG51" s="210">
        <f>_xll.qlDayCounterYearFraction(DayCounter,SettlementDate,AF51,,,Trigger)</f>
        <v>0.19452054794520549</v>
      </c>
      <c r="AH51" s="189">
        <f t="shared" si="11"/>
        <v>2.2000163820892669E-3</v>
      </c>
      <c r="AI51" s="189">
        <f t="shared" si="12"/>
        <v>2.1537431057976415E-3</v>
      </c>
      <c r="AJ51" s="161">
        <f t="shared" si="13"/>
        <v>2.1457413479342912E-3</v>
      </c>
    </row>
    <row r="52" spans="14:36" x14ac:dyDescent="0.2">
      <c r="AF52" s="188">
        <f>_xll.qlCalendarAdvance(Calendar,AF51,"1d","mf",,Trigger)</f>
        <v>42138</v>
      </c>
      <c r="AG52" s="210">
        <f>_xll.qlDayCounterYearFraction(DayCounter,SettlementDate,AF52,,,Trigger)</f>
        <v>0.19726027397260273</v>
      </c>
      <c r="AH52" s="189">
        <f t="shared" si="11"/>
        <v>2.2000163820892669E-3</v>
      </c>
      <c r="AI52" s="189">
        <f t="shared" si="12"/>
        <v>2.1559465951448619E-3</v>
      </c>
      <c r="AJ52" s="161">
        <f t="shared" si="13"/>
        <v>2.1475882786316145E-3</v>
      </c>
    </row>
    <row r="53" spans="14:36" x14ac:dyDescent="0.2">
      <c r="AF53" s="188">
        <f>_xll.qlCalendarAdvance(Calendar,AF52,"1d","mf",,Trigger)</f>
        <v>42139</v>
      </c>
      <c r="AG53" s="210">
        <f>_xll.qlDayCounterYearFraction(DayCounter,SettlementDate,AF53,,,Trigger)</f>
        <v>0.2</v>
      </c>
      <c r="AH53" s="189">
        <f t="shared" si="11"/>
        <v>2.2000163820892669E-3</v>
      </c>
      <c r="AI53" s="189">
        <f t="shared" si="12"/>
        <v>2.1581500844920819E-3</v>
      </c>
      <c r="AJ53" s="161">
        <f t="shared" si="13"/>
        <v>2.149444766809097E-3</v>
      </c>
    </row>
    <row r="54" spans="14:36" x14ac:dyDescent="0.2">
      <c r="AF54" s="188">
        <f>_xll.qlCalendarAdvance(Calendar,AF53,"1d","mf",,Trigger)</f>
        <v>42142</v>
      </c>
      <c r="AG54" s="210">
        <f>_xll.qlDayCounterYearFraction(DayCounter,SettlementDate,AF54,,,Trigger)</f>
        <v>0.20821917808219179</v>
      </c>
      <c r="AH54" s="189">
        <f t="shared" si="11"/>
        <v>2.2000163820892669E-3</v>
      </c>
      <c r="AI54" s="189">
        <f t="shared" si="12"/>
        <v>2.1647605525337427E-3</v>
      </c>
      <c r="AJ54" s="161">
        <f t="shared" si="13"/>
        <v>2.1550715762224987E-3</v>
      </c>
    </row>
    <row r="55" spans="14:36" x14ac:dyDescent="0.2">
      <c r="AF55" s="188">
        <f>_xll.qlCalendarAdvance(Calendar,AF54,"1d","mf",,Trigger)</f>
        <v>42143</v>
      </c>
      <c r="AG55" s="210">
        <f>_xll.qlDayCounterYearFraction(DayCounter,SettlementDate,AF55,,,Trigger)</f>
        <v>0.21095890410958903</v>
      </c>
      <c r="AH55" s="189">
        <f t="shared" si="11"/>
        <v>2.2000163820892669E-3</v>
      </c>
      <c r="AI55" s="189">
        <f t="shared" si="12"/>
        <v>2.1669640418809631E-3</v>
      </c>
      <c r="AJ55" s="161">
        <f t="shared" si="13"/>
        <v>2.1569662943206175E-3</v>
      </c>
    </row>
    <row r="56" spans="14:36" x14ac:dyDescent="0.2">
      <c r="AF56" s="188">
        <f>_xll.qlCalendarAdvance(Calendar,AF55,"1d","mf",,Trigger)</f>
        <v>42144</v>
      </c>
      <c r="AG56" s="210">
        <f>_xll.qlDayCounterYearFraction(DayCounter,SettlementDate,AF56,,,Trigger)</f>
        <v>0.21369863013698631</v>
      </c>
      <c r="AH56" s="189">
        <f t="shared" si="11"/>
        <v>2.2000163820892669E-3</v>
      </c>
      <c r="AI56" s="189">
        <f t="shared" si="12"/>
        <v>2.1691675312281835E-3</v>
      </c>
      <c r="AJ56" s="161">
        <f t="shared" si="13"/>
        <v>2.1588705698988952E-3</v>
      </c>
    </row>
    <row r="57" spans="14:36" x14ac:dyDescent="0.2">
      <c r="AF57" s="188">
        <f>_xll.qlCalendarAdvance(Calendar,AF56,"1d","mf",,Trigger)</f>
        <v>42145</v>
      </c>
      <c r="AG57" s="210">
        <f>_xll.qlDayCounterYearFraction(DayCounter,SettlementDate,AF57,,,Trigger)</f>
        <v>0.21643835616438356</v>
      </c>
      <c r="AH57" s="189">
        <f t="shared" si="11"/>
        <v>2.2000163820892669E-3</v>
      </c>
      <c r="AI57" s="189">
        <f t="shared" si="12"/>
        <v>2.1713710205754039E-3</v>
      </c>
      <c r="AJ57" s="161">
        <f t="shared" si="13"/>
        <v>2.1607844029573327E-3</v>
      </c>
    </row>
    <row r="58" spans="14:36" x14ac:dyDescent="0.2">
      <c r="AF58" s="188">
        <f>_xll.qlCalendarAdvance(Calendar,AF57,"1d","mf",,Trigger)</f>
        <v>42146</v>
      </c>
      <c r="AG58" s="210">
        <f>_xll.qlDayCounterYearFraction(DayCounter,SettlementDate,AF58,,,Trigger)</f>
        <v>0.21917808219178081</v>
      </c>
      <c r="AH58" s="189">
        <f t="shared" si="11"/>
        <v>2.2000163820892669E-3</v>
      </c>
      <c r="AI58" s="189">
        <f t="shared" si="12"/>
        <v>2.1735745099226238E-3</v>
      </c>
      <c r="AJ58" s="161">
        <f t="shared" si="13"/>
        <v>2.1627077934959285E-3</v>
      </c>
    </row>
    <row r="59" spans="14:36" x14ac:dyDescent="0.2">
      <c r="AF59" s="188">
        <f>_xll.qlCalendarAdvance(Calendar,AF58,"1d","mf",,Trigger)</f>
        <v>42150</v>
      </c>
      <c r="AG59" s="210">
        <f>_xll.qlDayCounterYearFraction(DayCounter,SettlementDate,AF59,,,Trigger)</f>
        <v>0.23013698630136986</v>
      </c>
      <c r="AH59" s="189">
        <f t="shared" si="11"/>
        <v>2.2000163820892669E-3</v>
      </c>
      <c r="AI59" s="189">
        <f t="shared" si="12"/>
        <v>2.182388467311505E-3</v>
      </c>
      <c r="AJ59" s="161">
        <f t="shared" si="13"/>
        <v>2.1704969304519039E-3</v>
      </c>
    </row>
    <row r="60" spans="14:36" x14ac:dyDescent="0.2">
      <c r="N60" s="170"/>
      <c r="AF60" s="188">
        <f>_xll.qlCalendarAdvance(Calendar,AF59,"1d","mf",,Trigger)</f>
        <v>42151</v>
      </c>
      <c r="AG60" s="210">
        <f>_xll.qlDayCounterYearFraction(DayCounter,SettlementDate,AF60,,,Trigger)</f>
        <v>0.23287671232876711</v>
      </c>
      <c r="AH60" s="189">
        <f t="shared" si="11"/>
        <v>2.2000163820892669E-3</v>
      </c>
      <c r="AI60" s="189">
        <f t="shared" si="12"/>
        <v>2.1845919566587254E-3</v>
      </c>
      <c r="AJ60" s="161">
        <f t="shared" si="13"/>
        <v>2.1724681083912958E-3</v>
      </c>
    </row>
    <row r="61" spans="14:36" x14ac:dyDescent="0.2">
      <c r="N61" s="170"/>
      <c r="AF61" s="188">
        <f>_xll.qlCalendarAdvance(Calendar,AF60,"1d","mf",,Trigger)</f>
        <v>42152</v>
      </c>
      <c r="AG61" s="210">
        <f>_xll.qlDayCounterYearFraction(DayCounter,SettlementDate,AF61,,,Trigger)</f>
        <v>0.23561643835616439</v>
      </c>
      <c r="AH61" s="189">
        <f t="shared" si="11"/>
        <v>2.2000163820892669E-3</v>
      </c>
      <c r="AI61" s="189">
        <f t="shared" si="12"/>
        <v>2.1867954460059453E-3</v>
      </c>
      <c r="AJ61" s="161">
        <f t="shared" si="13"/>
        <v>2.1744488438108465E-3</v>
      </c>
    </row>
    <row r="62" spans="14:36" x14ac:dyDescent="0.2">
      <c r="N62" s="170"/>
      <c r="AF62" s="188">
        <f>_xll.qlCalendarAdvance(Calendar,AF61,"1d","mf",,Trigger)</f>
        <v>42153</v>
      </c>
      <c r="AG62" s="210">
        <f>_xll.qlDayCounterYearFraction(DayCounter,SettlementDate,AF62,,,Trigger)</f>
        <v>0.23835616438356164</v>
      </c>
      <c r="AH62" s="189">
        <f t="shared" si="11"/>
        <v>2.2000163820892669E-3</v>
      </c>
      <c r="AI62" s="189">
        <f t="shared" si="12"/>
        <v>2.1889989353531657E-3</v>
      </c>
      <c r="AJ62" s="161">
        <f t="shared" si="13"/>
        <v>2.1764391367105566E-3</v>
      </c>
    </row>
    <row r="63" spans="14:36" x14ac:dyDescent="0.2">
      <c r="N63" s="170"/>
      <c r="AF63" s="188">
        <f>_xll.qlCalendarAdvance(Calendar,AF62,"1d","mf",,Trigger)</f>
        <v>42156</v>
      </c>
      <c r="AG63" s="210">
        <f>_xll.qlDayCounterYearFraction(DayCounter,SettlementDate,AF63,,,Trigger)</f>
        <v>0.24657534246575341</v>
      </c>
      <c r="AH63" s="189">
        <f t="shared" si="11"/>
        <v>2.2000163820892669E-3</v>
      </c>
      <c r="AI63" s="189">
        <f t="shared" si="12"/>
        <v>2.1956094033948265E-3</v>
      </c>
      <c r="AJ63" s="161">
        <f t="shared" si="13"/>
        <v>2.1824673602906406E-3</v>
      </c>
    </row>
    <row r="64" spans="14:36" x14ac:dyDescent="0.2">
      <c r="N64" s="170"/>
      <c r="AF64" s="188">
        <f>_xll.qlCalendarAdvance(Calendar,AF63,"1d","mf",,Trigger)</f>
        <v>42157</v>
      </c>
      <c r="AG64" s="210">
        <f>_xll.qlDayCounterYearFraction(DayCounter,SettlementDate,AF64,,,Trigger)</f>
        <v>0.24931506849315069</v>
      </c>
      <c r="AH64" s="189">
        <f t="shared" si="11"/>
        <v>2.2000163820892669E-3</v>
      </c>
      <c r="AI64" s="189">
        <f t="shared" si="12"/>
        <v>2.1978128927420469E-3</v>
      </c>
      <c r="AJ64" s="161">
        <f t="shared" si="13"/>
        <v>2.184495883110987E-3</v>
      </c>
    </row>
    <row r="65" spans="14:36" x14ac:dyDescent="0.2">
      <c r="N65" s="170"/>
      <c r="AF65" s="188">
        <f>_xll.qlCalendarAdvance(Calendar,AF64,"1d","mf",,Trigger)</f>
        <v>42158</v>
      </c>
      <c r="AG65" s="210">
        <f>_xll.qlDayCounterYearFraction(DayCounter,SettlementDate,AF65,,,Trigger)</f>
        <v>0.25205479452054796</v>
      </c>
      <c r="AH65" s="189">
        <f t="shared" si="11"/>
        <v>2.2000163820892669E-3</v>
      </c>
      <c r="AI65" s="189">
        <f t="shared" si="12"/>
        <v>2.2000163820892673E-3</v>
      </c>
      <c r="AJ65" s="161">
        <f t="shared" si="13"/>
        <v>2.1865339634114926E-3</v>
      </c>
    </row>
    <row r="66" spans="14:36" x14ac:dyDescent="0.2">
      <c r="N66" s="170"/>
      <c r="O66" s="170"/>
      <c r="AF66" s="188">
        <f>_xll.qlCalendarAdvance(Calendar,AF65,"1d","mf",,Trigger)</f>
        <v>42159</v>
      </c>
      <c r="AG66" s="210">
        <f>_xll.qlDayCounterYearFraction(DayCounter,SettlementDate,AF66,,,Trigger)</f>
        <v>0.25479452054794521</v>
      </c>
      <c r="AH66" s="189">
        <f t="shared" si="11"/>
        <v>2.2000163820892669E-3</v>
      </c>
      <c r="AI66" s="189">
        <f t="shared" si="12"/>
        <v>2.2022198714364873E-3</v>
      </c>
      <c r="AJ66" s="161">
        <f t="shared" si="13"/>
        <v>2.188581601192157E-3</v>
      </c>
    </row>
    <row r="67" spans="14:36" x14ac:dyDescent="0.2">
      <c r="N67" s="170"/>
      <c r="O67" s="170"/>
      <c r="AF67" s="188">
        <f>_xll.qlCalendarAdvance(Calendar,AF66,"1d","mf",,Trigger)</f>
        <v>42160</v>
      </c>
      <c r="AG67" s="210">
        <f>_xll.qlDayCounterYearFraction(DayCounter,SettlementDate,AF67,,,Trigger)</f>
        <v>0.25753424657534246</v>
      </c>
      <c r="AH67" s="189">
        <f t="shared" ref="AH67:AH98" si="14">$W$13</f>
        <v>2.2000163820892669E-3</v>
      </c>
      <c r="AI67" s="189">
        <f t="shared" ref="AI67:AI98" si="15">$W$10+$W$9*AG67</f>
        <v>2.2044233607837077E-3</v>
      </c>
      <c r="AJ67" s="161">
        <f t="shared" ref="AJ67:AJ98" si="16">($W$5+$W$4*AG67+$W$3*AG67^2)</f>
        <v>2.1906387964529804E-3</v>
      </c>
    </row>
    <row r="68" spans="14:36" x14ac:dyDescent="0.2">
      <c r="N68" s="170"/>
      <c r="O68" s="170"/>
      <c r="AF68" s="188">
        <f>_xll.qlCalendarAdvance(Calendar,AF67,"1d","mf",,Trigger)</f>
        <v>42163</v>
      </c>
      <c r="AG68" s="210">
        <f>_xll.qlDayCounterYearFraction(DayCounter,SettlementDate,AF68,,,Trigger)</f>
        <v>0.26575342465753427</v>
      </c>
      <c r="AH68" s="189">
        <f t="shared" si="14"/>
        <v>2.2000163820892669E-3</v>
      </c>
      <c r="AI68" s="189">
        <f t="shared" si="15"/>
        <v>2.2110338288253684E-3</v>
      </c>
      <c r="AJ68" s="161">
        <f t="shared" si="16"/>
        <v>2.1968677271164061E-3</v>
      </c>
    </row>
    <row r="69" spans="14:36" x14ac:dyDescent="0.2">
      <c r="N69" s="170"/>
      <c r="O69" s="170"/>
      <c r="AF69" s="188">
        <f>_xll.qlCalendarAdvance(Calendar,AF68,"1d","mf",,Trigger)</f>
        <v>42164</v>
      </c>
      <c r="AG69" s="210">
        <f>_xll.qlDayCounterYearFraction(DayCounter,SettlementDate,AF69,,,Trigger)</f>
        <v>0.26849315068493151</v>
      </c>
      <c r="AH69" s="189">
        <f t="shared" si="14"/>
        <v>2.2000163820892669E-3</v>
      </c>
      <c r="AI69" s="189">
        <f t="shared" si="15"/>
        <v>2.2132373181725888E-3</v>
      </c>
      <c r="AJ69" s="161">
        <f t="shared" si="16"/>
        <v>2.1989631522978661E-3</v>
      </c>
    </row>
    <row r="70" spans="14:36" x14ac:dyDescent="0.2">
      <c r="N70" s="170"/>
      <c r="O70" s="170"/>
      <c r="AF70" s="188">
        <f>_xll.qlCalendarAdvance(Calendar,AF69,"1d","mf",,Trigger)</f>
        <v>42165</v>
      </c>
      <c r="AG70" s="210">
        <f>_xll.qlDayCounterYearFraction(DayCounter,SettlementDate,AF70,,,Trigger)</f>
        <v>0.27123287671232876</v>
      </c>
      <c r="AH70" s="189">
        <f t="shared" si="14"/>
        <v>2.2000163820892669E-3</v>
      </c>
      <c r="AI70" s="189">
        <f t="shared" si="15"/>
        <v>2.2154408075198088E-3</v>
      </c>
      <c r="AJ70" s="161">
        <f t="shared" si="16"/>
        <v>2.201068134959485E-3</v>
      </c>
    </row>
    <row r="71" spans="14:36" x14ac:dyDescent="0.2">
      <c r="N71" s="170"/>
      <c r="O71" s="170"/>
      <c r="AF71" s="188">
        <f>_xll.qlCalendarAdvance(Calendar,AF70,"1d","mf",,Trigger)</f>
        <v>42166</v>
      </c>
      <c r="AG71" s="210">
        <f>_xll.qlDayCounterYearFraction(DayCounter,SettlementDate,AF71,,,Trigger)</f>
        <v>0.27397260273972601</v>
      </c>
      <c r="AH71" s="189">
        <f t="shared" si="14"/>
        <v>2.2000163820892669E-3</v>
      </c>
      <c r="AI71" s="189">
        <f t="shared" si="15"/>
        <v>2.2176442968670292E-3</v>
      </c>
      <c r="AJ71" s="161">
        <f t="shared" si="16"/>
        <v>2.2031826751012637E-3</v>
      </c>
    </row>
    <row r="72" spans="14:36" x14ac:dyDescent="0.2">
      <c r="N72" s="170"/>
      <c r="O72" s="170"/>
      <c r="AF72" s="188">
        <f>_xll.qlCalendarAdvance(Calendar,AF71,"1d","mf",,Trigger)</f>
        <v>42167</v>
      </c>
      <c r="AG72" s="210">
        <f>_xll.qlDayCounterYearFraction(DayCounter,SettlementDate,AF72,,,Trigger)</f>
        <v>0.27671232876712326</v>
      </c>
      <c r="AH72" s="189">
        <f t="shared" si="14"/>
        <v>2.2000163820892669E-3</v>
      </c>
      <c r="AI72" s="189">
        <f t="shared" si="15"/>
        <v>2.2198477862142496E-3</v>
      </c>
      <c r="AJ72" s="161">
        <f t="shared" si="16"/>
        <v>2.2053067727232007E-3</v>
      </c>
    </row>
    <row r="73" spans="14:36" x14ac:dyDescent="0.2">
      <c r="N73" s="170"/>
      <c r="O73" s="170"/>
      <c r="AF73" s="188">
        <f>_xll.qlCalendarAdvance(Calendar,AF72,"1d","mf",,Trigger)</f>
        <v>42170</v>
      </c>
      <c r="AG73" s="210">
        <f>_xll.qlDayCounterYearFraction(DayCounter,SettlementDate,AF73,,,Trigger)</f>
        <v>0.28493150684931506</v>
      </c>
      <c r="AH73" s="189">
        <f t="shared" si="14"/>
        <v>2.2000163820892669E-3</v>
      </c>
      <c r="AI73" s="189">
        <f t="shared" si="15"/>
        <v>2.2264582542559103E-3</v>
      </c>
      <c r="AJ73" s="161">
        <f t="shared" si="16"/>
        <v>2.2117364104699676E-3</v>
      </c>
    </row>
    <row r="74" spans="14:36" x14ac:dyDescent="0.2">
      <c r="N74" s="170"/>
      <c r="O74" s="170"/>
      <c r="AF74" s="188">
        <f>_xll.qlCalendarAdvance(Calendar,AF73,"1d","mf",,Trigger)</f>
        <v>42171</v>
      </c>
      <c r="AG74" s="210">
        <f>_xll.qlDayCounterYearFraction(DayCounter,SettlementDate,AF74,,,Trigger)</f>
        <v>0.28767123287671231</v>
      </c>
      <c r="AH74" s="189">
        <f t="shared" si="14"/>
        <v>2.2000163820892669E-3</v>
      </c>
      <c r="AI74" s="189">
        <f t="shared" si="15"/>
        <v>2.2286617436031303E-3</v>
      </c>
      <c r="AJ74" s="161">
        <f t="shared" si="16"/>
        <v>2.2138987380125414E-3</v>
      </c>
    </row>
    <row r="75" spans="14:36" x14ac:dyDescent="0.2">
      <c r="N75" s="170"/>
      <c r="O75" s="170"/>
      <c r="AF75" s="188">
        <f>_xll.qlCalendarAdvance(Calendar,AF74,"1d","mf",,Trigger)</f>
        <v>42172</v>
      </c>
      <c r="AG75" s="210">
        <f>_xll.qlDayCounterYearFraction(DayCounter,SettlementDate,AF75,,,Trigger)</f>
        <v>0.29041095890410956</v>
      </c>
      <c r="AH75" s="189">
        <f t="shared" si="14"/>
        <v>2.2000163820892669E-3</v>
      </c>
      <c r="AI75" s="189">
        <f t="shared" si="15"/>
        <v>2.2308652329503507E-3</v>
      </c>
      <c r="AJ75" s="161">
        <f t="shared" si="16"/>
        <v>2.2160706230352737E-3</v>
      </c>
    </row>
    <row r="76" spans="14:36" x14ac:dyDescent="0.2">
      <c r="N76" s="170"/>
      <c r="O76" s="170"/>
      <c r="AF76" s="188">
        <f>_xll.qlCalendarAdvance(Calendar,AF75,"1d","mf",,Trigger)</f>
        <v>42173</v>
      </c>
      <c r="AG76" s="210">
        <f>_xll.qlDayCounterYearFraction(DayCounter,SettlementDate,AF76,,,Trigger)</f>
        <v>0.29315068493150687</v>
      </c>
      <c r="AH76" s="189">
        <f t="shared" si="14"/>
        <v>2.2000163820892669E-3</v>
      </c>
      <c r="AI76" s="189">
        <f t="shared" si="15"/>
        <v>2.2330687222975711E-3</v>
      </c>
      <c r="AJ76" s="161">
        <f t="shared" si="16"/>
        <v>2.2182520655381665E-3</v>
      </c>
    </row>
    <row r="77" spans="14:36" x14ac:dyDescent="0.2">
      <c r="N77" s="170"/>
      <c r="O77" s="170"/>
      <c r="AF77" s="188">
        <f>_xll.qlCalendarAdvance(Calendar,AF76,"1d","mf",,Trigger)</f>
        <v>42174</v>
      </c>
      <c r="AG77" s="210">
        <f>_xll.qlDayCounterYearFraction(DayCounter,SettlementDate,AF77,,,Trigger)</f>
        <v>0.29589041095890412</v>
      </c>
      <c r="AH77" s="189">
        <f t="shared" si="14"/>
        <v>2.2000163820892669E-3</v>
      </c>
      <c r="AI77" s="189">
        <f t="shared" si="15"/>
        <v>2.2352722116447915E-3</v>
      </c>
      <c r="AJ77" s="161">
        <f t="shared" si="16"/>
        <v>2.2204430655212168E-3</v>
      </c>
    </row>
    <row r="78" spans="14:36" x14ac:dyDescent="0.2">
      <c r="N78" s="170"/>
      <c r="O78" s="170"/>
      <c r="AF78" s="188">
        <f>_xll.qlCalendarAdvance(Calendar,AF77,"1d","mf",,Trigger)</f>
        <v>42177</v>
      </c>
      <c r="AG78" s="210">
        <f>_xll.qlDayCounterYearFraction(DayCounter,SettlementDate,AF78,,,Trigger)</f>
        <v>0.30410958904109592</v>
      </c>
      <c r="AH78" s="189">
        <f t="shared" si="14"/>
        <v>2.2000163820892669E-3</v>
      </c>
      <c r="AI78" s="189">
        <f t="shared" si="15"/>
        <v>2.2418826796864522E-3</v>
      </c>
      <c r="AJ78" s="161">
        <f t="shared" si="16"/>
        <v>2.2270734103513254E-3</v>
      </c>
    </row>
    <row r="79" spans="14:36" x14ac:dyDescent="0.2">
      <c r="N79" s="170"/>
      <c r="O79" s="170"/>
      <c r="AF79" s="188">
        <f>_xll.qlCalendarAdvance(Calendar,AF78,"1d","mf",,Trigger)</f>
        <v>42178</v>
      </c>
      <c r="AG79" s="210">
        <f>_xll.qlDayCounterYearFraction(DayCounter,SettlementDate,AF79,,,Trigger)</f>
        <v>0.30684931506849317</v>
      </c>
      <c r="AH79" s="189">
        <f t="shared" si="14"/>
        <v>2.2000163820892669E-3</v>
      </c>
      <c r="AI79" s="189">
        <f t="shared" si="15"/>
        <v>2.2440861690336722E-3</v>
      </c>
      <c r="AJ79" s="161">
        <f t="shared" si="16"/>
        <v>2.2293026402550125E-3</v>
      </c>
    </row>
    <row r="80" spans="14:36" x14ac:dyDescent="0.2">
      <c r="N80" s="170"/>
      <c r="O80" s="170"/>
      <c r="AF80" s="188">
        <f>_xll.qlCalendarAdvance(Calendar,AF79,"1d","mf",,Trigger)</f>
        <v>42179</v>
      </c>
      <c r="AG80" s="210">
        <f>_xll.qlDayCounterYearFraction(DayCounter,SettlementDate,AF80,,,Trigger)</f>
        <v>0.30958904109589042</v>
      </c>
      <c r="AH80" s="189">
        <f t="shared" si="14"/>
        <v>2.2000163820892669E-3</v>
      </c>
      <c r="AI80" s="189">
        <f t="shared" si="15"/>
        <v>2.2462896583808926E-3</v>
      </c>
      <c r="AJ80" s="161">
        <f t="shared" si="16"/>
        <v>2.2315414276388589E-3</v>
      </c>
    </row>
    <row r="81" spans="14:36" x14ac:dyDescent="0.2">
      <c r="N81" s="170"/>
      <c r="O81" s="170"/>
      <c r="AF81" s="188">
        <f>_xll.qlCalendarAdvance(Calendar,AF80,"1d","mf",,Trigger)</f>
        <v>42180</v>
      </c>
      <c r="AG81" s="210">
        <f>_xll.qlDayCounterYearFraction(DayCounter,SettlementDate,AF81,,,Trigger)</f>
        <v>0.31232876712328766</v>
      </c>
      <c r="AH81" s="189">
        <f t="shared" si="14"/>
        <v>2.2000163820892669E-3</v>
      </c>
      <c r="AI81" s="189">
        <f t="shared" si="15"/>
        <v>2.248493147728113E-3</v>
      </c>
      <c r="AJ81" s="161">
        <f t="shared" si="16"/>
        <v>2.233789772502865E-3</v>
      </c>
    </row>
    <row r="82" spans="14:36" x14ac:dyDescent="0.2">
      <c r="N82" s="170"/>
      <c r="O82" s="170"/>
      <c r="AF82" s="188">
        <f>_xll.qlCalendarAdvance(Calendar,AF81,"1d","mf",,Trigger)</f>
        <v>42181</v>
      </c>
      <c r="AG82" s="210">
        <f>_xll.qlDayCounterYearFraction(DayCounter,SettlementDate,AF82,,,Trigger)</f>
        <v>0.31506849315068491</v>
      </c>
      <c r="AH82" s="189">
        <f t="shared" si="14"/>
        <v>2.2000163820892669E-3</v>
      </c>
      <c r="AI82" s="189">
        <f t="shared" si="15"/>
        <v>2.250696637075333E-3</v>
      </c>
      <c r="AJ82" s="161">
        <f t="shared" si="16"/>
        <v>2.2360476748470295E-3</v>
      </c>
    </row>
    <row r="83" spans="14:36" x14ac:dyDescent="0.2">
      <c r="N83" s="170"/>
      <c r="O83" s="170"/>
      <c r="AF83" s="188">
        <f>_xll.qlCalendarAdvance(Calendar,AF82,"1d","mf",,Trigger)</f>
        <v>42184</v>
      </c>
      <c r="AG83" s="210">
        <f>_xll.qlDayCounterYearFraction(DayCounter,SettlementDate,AF83,,,Trigger)</f>
        <v>0.32328767123287672</v>
      </c>
      <c r="AH83" s="189">
        <f t="shared" si="14"/>
        <v>2.2000163820892669E-3</v>
      </c>
      <c r="AI83" s="189">
        <f t="shared" si="15"/>
        <v>2.2573071051169942E-3</v>
      </c>
      <c r="AJ83" s="161">
        <f t="shared" si="16"/>
        <v>2.2428787267604789E-3</v>
      </c>
    </row>
    <row r="84" spans="14:36" x14ac:dyDescent="0.2">
      <c r="N84" s="170"/>
      <c r="O84" s="170"/>
      <c r="AF84" s="188">
        <f>_xll.qlCalendarAdvance(Calendar,AF83,"1d","mf",,Trigger)</f>
        <v>42185</v>
      </c>
      <c r="AG84" s="210">
        <f>_xll.qlDayCounterYearFraction(DayCounter,SettlementDate,AF84,,,Trigger)</f>
        <v>0.32602739726027397</v>
      </c>
      <c r="AH84" s="189">
        <f t="shared" si="14"/>
        <v>2.2000163820892669E-3</v>
      </c>
      <c r="AI84" s="189">
        <f t="shared" si="15"/>
        <v>2.2595105944642141E-3</v>
      </c>
      <c r="AJ84" s="161">
        <f t="shared" si="16"/>
        <v>2.2451748590252801E-3</v>
      </c>
    </row>
    <row r="85" spans="14:36" x14ac:dyDescent="0.2">
      <c r="N85" s="170"/>
      <c r="O85" s="170"/>
      <c r="AF85" s="188">
        <f>_xll.qlCalendarAdvance(Calendar,AF84,"1d","mf",,Trigger)</f>
        <v>42186</v>
      </c>
      <c r="AG85" s="210">
        <f>_xll.qlDayCounterYearFraction(DayCounter,SettlementDate,AF85,,,Trigger)</f>
        <v>0.32876712328767121</v>
      </c>
      <c r="AH85" s="189">
        <f t="shared" si="14"/>
        <v>2.2000163820892669E-3</v>
      </c>
      <c r="AI85" s="189">
        <f t="shared" si="15"/>
        <v>2.2617140838114345E-3</v>
      </c>
      <c r="AJ85" s="161">
        <f t="shared" si="16"/>
        <v>2.2474805487702407E-3</v>
      </c>
    </row>
    <row r="86" spans="14:36" x14ac:dyDescent="0.2">
      <c r="N86" s="170"/>
      <c r="O86" s="170"/>
      <c r="AF86" s="188">
        <f>_xll.qlCalendarAdvance(Calendar,AF85,"1d","mf",,Trigger)</f>
        <v>42187</v>
      </c>
      <c r="AG86" s="210">
        <f>_xll.qlDayCounterYearFraction(DayCounter,SettlementDate,AF86,,,Trigger)</f>
        <v>0.33150684931506852</v>
      </c>
      <c r="AH86" s="189">
        <f t="shared" si="14"/>
        <v>2.2000163820892669E-3</v>
      </c>
      <c r="AI86" s="189">
        <f t="shared" si="15"/>
        <v>2.2639175731586549E-3</v>
      </c>
      <c r="AJ86" s="161">
        <f t="shared" si="16"/>
        <v>2.2497957959953601E-3</v>
      </c>
    </row>
    <row r="87" spans="14:36" x14ac:dyDescent="0.2">
      <c r="N87" s="170"/>
      <c r="O87" s="170"/>
      <c r="AF87" s="188">
        <f>_xll.qlCalendarAdvance(Calendar,AF86,"1d","mf",,Trigger)</f>
        <v>42188</v>
      </c>
      <c r="AG87" s="210">
        <f>_xll.qlDayCounterYearFraction(DayCounter,SettlementDate,AF87,,,Trigger)</f>
        <v>0.33424657534246577</v>
      </c>
      <c r="AH87" s="189">
        <f t="shared" si="14"/>
        <v>2.2000163820892669E-3</v>
      </c>
      <c r="AI87" s="189">
        <f t="shared" si="15"/>
        <v>2.2661210625058749E-3</v>
      </c>
      <c r="AJ87" s="161">
        <f t="shared" si="16"/>
        <v>2.2521206007006388E-3</v>
      </c>
    </row>
    <row r="88" spans="14:36" x14ac:dyDescent="0.2">
      <c r="N88" s="170"/>
      <c r="O88" s="170"/>
      <c r="AF88" s="188">
        <f>_xll.qlCalendarAdvance(Calendar,AF87,"1d","mf",,Trigger)</f>
        <v>42191</v>
      </c>
      <c r="AG88" s="210">
        <f>_xll.qlDayCounterYearFraction(DayCounter,SettlementDate,AF88,,,Trigger)</f>
        <v>0.34246575342465752</v>
      </c>
      <c r="AH88" s="189">
        <f t="shared" si="14"/>
        <v>2.2000163820892669E-3</v>
      </c>
      <c r="AI88" s="189">
        <f t="shared" si="15"/>
        <v>2.2727315305475356E-3</v>
      </c>
      <c r="AJ88" s="161">
        <f t="shared" si="16"/>
        <v>2.2591523596974289E-3</v>
      </c>
    </row>
    <row r="89" spans="14:36" x14ac:dyDescent="0.2">
      <c r="N89" s="170"/>
      <c r="O89" s="170"/>
      <c r="AF89" s="188">
        <f>_xll.qlCalendarAdvance(Calendar,AF88,"1d","mf",,Trigger)</f>
        <v>42192</v>
      </c>
      <c r="AG89" s="210">
        <f>_xll.qlDayCounterYearFraction(DayCounter,SettlementDate,AF89,,,Trigger)</f>
        <v>0.34520547945205482</v>
      </c>
      <c r="AH89" s="189">
        <f t="shared" si="14"/>
        <v>2.2000163820892669E-3</v>
      </c>
      <c r="AI89" s="189">
        <f t="shared" si="15"/>
        <v>2.274935019894756E-3</v>
      </c>
      <c r="AJ89" s="161">
        <f t="shared" si="16"/>
        <v>2.2615153943233439E-3</v>
      </c>
    </row>
    <row r="90" spans="14:36" x14ac:dyDescent="0.2">
      <c r="N90" s="170"/>
      <c r="O90" s="170"/>
      <c r="AF90" s="188">
        <f>_xll.qlCalendarAdvance(Calendar,AF89,"1d","mf",,Trigger)</f>
        <v>42193</v>
      </c>
      <c r="AG90" s="210">
        <f>_xll.qlDayCounterYearFraction(DayCounter,SettlementDate,AF90,,,Trigger)</f>
        <v>0.34794520547945207</v>
      </c>
      <c r="AH90" s="189">
        <f t="shared" si="14"/>
        <v>2.2000163820892669E-3</v>
      </c>
      <c r="AI90" s="189">
        <f t="shared" si="15"/>
        <v>2.2771385092419764E-3</v>
      </c>
      <c r="AJ90" s="161">
        <f t="shared" si="16"/>
        <v>2.2638879864294182E-3</v>
      </c>
    </row>
    <row r="91" spans="14:36" x14ac:dyDescent="0.2">
      <c r="N91" s="170"/>
      <c r="O91" s="170"/>
      <c r="AF91" s="188">
        <f>_xll.qlCalendarAdvance(Calendar,AF90,"1d","mf",,Trigger)</f>
        <v>42194</v>
      </c>
      <c r="AG91" s="210">
        <f>_xll.qlDayCounterYearFraction(DayCounter,SettlementDate,AF91,,,Trigger)</f>
        <v>0.35068493150684932</v>
      </c>
      <c r="AH91" s="189">
        <f t="shared" si="14"/>
        <v>2.2000163820892669E-3</v>
      </c>
      <c r="AI91" s="189">
        <f t="shared" si="15"/>
        <v>2.2793419985891964E-3</v>
      </c>
      <c r="AJ91" s="161">
        <f t="shared" si="16"/>
        <v>2.2662701360156513E-3</v>
      </c>
    </row>
    <row r="92" spans="14:36" x14ac:dyDescent="0.2">
      <c r="N92" s="170"/>
      <c r="O92" s="170"/>
      <c r="AF92" s="188">
        <f>_xll.qlCalendarAdvance(Calendar,AF91,"1d","mf",,Trigger)</f>
        <v>42195</v>
      </c>
      <c r="AG92" s="210">
        <f>_xll.qlDayCounterYearFraction(DayCounter,SettlementDate,AF92,,,Trigger)</f>
        <v>0.35342465753424657</v>
      </c>
      <c r="AH92" s="189">
        <f t="shared" si="14"/>
        <v>2.2000163820892669E-3</v>
      </c>
      <c r="AI92" s="189">
        <f t="shared" si="15"/>
        <v>2.2815454879364168E-3</v>
      </c>
      <c r="AJ92" s="161">
        <f t="shared" si="16"/>
        <v>2.2686618430820438E-3</v>
      </c>
    </row>
    <row r="93" spans="14:36" x14ac:dyDescent="0.2">
      <c r="N93" s="170"/>
      <c r="O93" s="170"/>
      <c r="AF93" s="188">
        <f>_xll.qlCalendarAdvance(Calendar,AF92,"1d","mf",,Trigger)</f>
        <v>42198</v>
      </c>
      <c r="AG93" s="210">
        <f>_xll.qlDayCounterYearFraction(DayCounter,SettlementDate,AF93,,,Trigger)</f>
        <v>0.36164383561643837</v>
      </c>
      <c r="AH93" s="189">
        <f t="shared" si="14"/>
        <v>2.2000163820892669E-3</v>
      </c>
      <c r="AI93" s="189">
        <f t="shared" si="15"/>
        <v>2.2881559559780776E-3</v>
      </c>
      <c r="AJ93" s="161">
        <f t="shared" si="16"/>
        <v>2.2758943091621756E-3</v>
      </c>
    </row>
    <row r="94" spans="14:36" x14ac:dyDescent="0.2">
      <c r="N94" s="170"/>
      <c r="O94" s="170"/>
      <c r="AF94" s="188">
        <f>_xll.qlCalendarAdvance(Calendar,AF93,"1d","mf",,Trigger)</f>
        <v>42199</v>
      </c>
      <c r="AG94" s="210">
        <f>_xll.qlDayCounterYearFraction(DayCounter,SettlementDate,AF94,,,Trigger)</f>
        <v>0.36438356164383562</v>
      </c>
      <c r="AH94" s="189">
        <f t="shared" si="14"/>
        <v>2.2000163820892669E-3</v>
      </c>
      <c r="AI94" s="189">
        <f t="shared" si="15"/>
        <v>2.290359445325298E-3</v>
      </c>
      <c r="AJ94" s="161">
        <f t="shared" si="16"/>
        <v>2.2783242461492043E-3</v>
      </c>
    </row>
    <row r="95" spans="14:36" x14ac:dyDescent="0.2">
      <c r="N95" s="170"/>
      <c r="O95" s="170"/>
      <c r="AF95" s="188">
        <f>_xll.qlCalendarAdvance(Calendar,AF94,"1d","mf",,Trigger)</f>
        <v>42200</v>
      </c>
      <c r="AG95" s="210">
        <f>_xll.qlDayCounterYearFraction(DayCounter,SettlementDate,AF95,,,Trigger)</f>
        <v>0.36712328767123287</v>
      </c>
      <c r="AH95" s="189">
        <f t="shared" si="14"/>
        <v>2.2000163820892669E-3</v>
      </c>
      <c r="AI95" s="189">
        <f t="shared" si="15"/>
        <v>2.2925629346725179E-3</v>
      </c>
      <c r="AJ95" s="161">
        <f t="shared" si="16"/>
        <v>2.2807637406163919E-3</v>
      </c>
    </row>
    <row r="96" spans="14:36" x14ac:dyDescent="0.2">
      <c r="N96" s="170"/>
      <c r="O96" s="170"/>
      <c r="AF96" s="188">
        <f>_xll.qlCalendarAdvance(Calendar,AF95,"1d","mf",,Trigger)</f>
        <v>42201</v>
      </c>
      <c r="AG96" s="210">
        <f>_xll.qlDayCounterYearFraction(DayCounter,SettlementDate,AF96,,,Trigger)</f>
        <v>0.36986301369863012</v>
      </c>
      <c r="AH96" s="189">
        <f t="shared" si="14"/>
        <v>2.2000163820892669E-3</v>
      </c>
      <c r="AI96" s="189">
        <f t="shared" si="15"/>
        <v>2.2947664240197383E-3</v>
      </c>
      <c r="AJ96" s="161">
        <f t="shared" si="16"/>
        <v>2.2832127925637392E-3</v>
      </c>
    </row>
    <row r="97" spans="14:36" x14ac:dyDescent="0.2">
      <c r="N97" s="170"/>
      <c r="O97" s="170"/>
      <c r="AF97" s="188">
        <f>_xll.qlCalendarAdvance(Calendar,AF96,"1d","mf",,Trigger)</f>
        <v>42202</v>
      </c>
      <c r="AG97" s="210">
        <f>_xll.qlDayCounterYearFraction(DayCounter,SettlementDate,AF97,,,Trigger)</f>
        <v>0.37260273972602742</v>
      </c>
      <c r="AH97" s="189">
        <f t="shared" si="14"/>
        <v>2.2000163820892669E-3</v>
      </c>
      <c r="AI97" s="189">
        <f t="shared" si="15"/>
        <v>2.2969699133669587E-3</v>
      </c>
      <c r="AJ97" s="161">
        <f t="shared" si="16"/>
        <v>2.2856714019912449E-3</v>
      </c>
    </row>
    <row r="98" spans="14:36" x14ac:dyDescent="0.2">
      <c r="N98" s="170"/>
      <c r="O98" s="170"/>
      <c r="AF98" s="188">
        <f>_xll.qlCalendarAdvance(Calendar,AF97,"1d","mf",,Trigger)</f>
        <v>42205</v>
      </c>
      <c r="AG98" s="210">
        <f>_xll.qlDayCounterYearFraction(DayCounter,SettlementDate,AF98,,,Trigger)</f>
        <v>0.38082191780821917</v>
      </c>
      <c r="AH98" s="189">
        <f t="shared" si="14"/>
        <v>2.2000163820892669E-3</v>
      </c>
      <c r="AI98" s="189">
        <f t="shared" si="15"/>
        <v>2.3035803814086195E-3</v>
      </c>
      <c r="AJ98" s="161">
        <f t="shared" si="16"/>
        <v>2.2931045751547179E-3</v>
      </c>
    </row>
    <row r="99" spans="14:36" x14ac:dyDescent="0.2">
      <c r="N99" s="170"/>
      <c r="O99" s="170"/>
      <c r="AF99" s="188">
        <f>_xll.qlCalendarAdvance(Calendar,AF98,"1d","mf",,Trigger)</f>
        <v>42206</v>
      </c>
      <c r="AG99" s="210">
        <f>_xll.qlDayCounterYearFraction(DayCounter,SettlementDate,AF99,,,Trigger)</f>
        <v>0.38356164383561642</v>
      </c>
      <c r="AH99" s="189">
        <f t="shared" ref="AH99:AH132" si="17">$W$13</f>
        <v>2.2000163820892669E-3</v>
      </c>
      <c r="AI99" s="189">
        <f t="shared" ref="AI99:AI132" si="18">$W$10+$W$9*AG99</f>
        <v>2.3057838707558399E-3</v>
      </c>
      <c r="AJ99" s="161">
        <f t="shared" ref="AJ99:AJ132" si="19">($W$5+$W$4*AG99+$W$3*AG99^2)</f>
        <v>2.2956014145028604E-3</v>
      </c>
    </row>
    <row r="100" spans="14:36" x14ac:dyDescent="0.2">
      <c r="N100" s="170"/>
      <c r="O100" s="170"/>
      <c r="AF100" s="188">
        <f>_xll.qlCalendarAdvance(Calendar,AF99,"1d","mf",,Trigger)</f>
        <v>42207</v>
      </c>
      <c r="AG100" s="210">
        <f>_xll.qlDayCounterYearFraction(DayCounter,SettlementDate,AF100,,,Trigger)</f>
        <v>0.38630136986301372</v>
      </c>
      <c r="AH100" s="189">
        <f t="shared" si="17"/>
        <v>2.2000163820892669E-3</v>
      </c>
      <c r="AI100" s="189">
        <f t="shared" si="18"/>
        <v>2.3079873601030598E-3</v>
      </c>
      <c r="AJ100" s="161">
        <f t="shared" si="19"/>
        <v>2.2981078113311622E-3</v>
      </c>
    </row>
    <row r="101" spans="14:36" x14ac:dyDescent="0.2">
      <c r="N101" s="170"/>
      <c r="O101" s="170"/>
      <c r="AF101" s="188">
        <f>_xll.qlCalendarAdvance(Calendar,AF100,"1d","mf",,Trigger)</f>
        <v>42208</v>
      </c>
      <c r="AG101" s="210">
        <f>_xll.qlDayCounterYearFraction(DayCounter,SettlementDate,AF101,,,Trigger)</f>
        <v>0.38904109589041097</v>
      </c>
      <c r="AH101" s="189">
        <f t="shared" si="17"/>
        <v>2.2000163820892669E-3</v>
      </c>
      <c r="AI101" s="189">
        <f t="shared" si="18"/>
        <v>2.3101908494502802E-3</v>
      </c>
      <c r="AJ101" s="161">
        <f t="shared" si="19"/>
        <v>2.3006237656396228E-3</v>
      </c>
    </row>
    <row r="102" spans="14:36" x14ac:dyDescent="0.2">
      <c r="N102" s="170"/>
      <c r="O102" s="170"/>
      <c r="AF102" s="188">
        <f>_xll.qlCalendarAdvance(Calendar,AF101,"1d","mf",,Trigger)</f>
        <v>42209</v>
      </c>
      <c r="AG102" s="210">
        <f>_xll.qlDayCounterYearFraction(DayCounter,SettlementDate,AF102,,,Trigger)</f>
        <v>0.39178082191780822</v>
      </c>
      <c r="AH102" s="189">
        <f t="shared" si="17"/>
        <v>2.2000163820892669E-3</v>
      </c>
      <c r="AI102" s="189">
        <f t="shared" si="18"/>
        <v>2.3123943387975006E-3</v>
      </c>
      <c r="AJ102" s="161">
        <f t="shared" si="19"/>
        <v>2.3031492774282427E-3</v>
      </c>
    </row>
    <row r="103" spans="14:36" x14ac:dyDescent="0.2">
      <c r="N103" s="170"/>
      <c r="O103" s="170"/>
      <c r="AF103" s="188">
        <f>_xll.qlCalendarAdvance(Calendar,AF102,"1d","mf",,Trigger)</f>
        <v>42212</v>
      </c>
      <c r="AG103" s="210">
        <f>_xll.qlDayCounterYearFraction(DayCounter,SettlementDate,AF103,,,Trigger)</f>
        <v>0.4</v>
      </c>
      <c r="AH103" s="189">
        <f t="shared" si="17"/>
        <v>2.2000163820892669E-3</v>
      </c>
      <c r="AI103" s="189">
        <f t="shared" si="18"/>
        <v>2.3190048068391614E-3</v>
      </c>
      <c r="AJ103" s="161">
        <f t="shared" si="19"/>
        <v>2.3107831576750569E-3</v>
      </c>
    </row>
    <row r="104" spans="14:36" x14ac:dyDescent="0.2">
      <c r="N104" s="170"/>
      <c r="O104" s="170"/>
      <c r="AF104" s="188">
        <f>_xll.qlCalendarAdvance(Calendar,AF103,"1d","mf",,Trigger)</f>
        <v>42213</v>
      </c>
      <c r="AG104" s="210">
        <f>_xll.qlDayCounterYearFraction(DayCounter,SettlementDate,AF104,,,Trigger)</f>
        <v>0.40273972602739727</v>
      </c>
      <c r="AH104" s="189">
        <f t="shared" si="17"/>
        <v>2.2000163820892669E-3</v>
      </c>
      <c r="AI104" s="189">
        <f t="shared" si="18"/>
        <v>2.3212082961863818E-3</v>
      </c>
      <c r="AJ104" s="161">
        <f t="shared" si="19"/>
        <v>2.3133468993843131E-3</v>
      </c>
    </row>
    <row r="105" spans="14:36" x14ac:dyDescent="0.2">
      <c r="N105" s="170"/>
      <c r="O105" s="170"/>
      <c r="AF105" s="188">
        <f>_xll.qlCalendarAdvance(Calendar,AF104,"1d","mf",,Trigger)</f>
        <v>42214</v>
      </c>
      <c r="AG105" s="210">
        <f>_xll.qlDayCounterYearFraction(DayCounter,SettlementDate,AF105,,,Trigger)</f>
        <v>0.40547945205479452</v>
      </c>
      <c r="AH105" s="189">
        <f t="shared" si="17"/>
        <v>2.2000163820892669E-3</v>
      </c>
      <c r="AI105" s="189">
        <f t="shared" si="18"/>
        <v>2.3234117855336018E-3</v>
      </c>
      <c r="AJ105" s="161">
        <f t="shared" si="19"/>
        <v>2.3159201985737286E-3</v>
      </c>
    </row>
    <row r="106" spans="14:36" x14ac:dyDescent="0.2">
      <c r="N106" s="170"/>
      <c r="O106" s="170"/>
      <c r="AF106" s="188">
        <f>_xll.qlCalendarAdvance(Calendar,AF105,"1d","mf",,Trigger)</f>
        <v>42215</v>
      </c>
      <c r="AG106" s="210">
        <f>_xll.qlDayCounterYearFraction(DayCounter,SettlementDate,AF106,,,Trigger)</f>
        <v>0.40821917808219177</v>
      </c>
      <c r="AH106" s="189">
        <f t="shared" si="17"/>
        <v>2.2000163820892669E-3</v>
      </c>
      <c r="AI106" s="189">
        <f t="shared" si="18"/>
        <v>2.3256152748808222E-3</v>
      </c>
      <c r="AJ106" s="161">
        <f t="shared" si="19"/>
        <v>2.318503055243303E-3</v>
      </c>
    </row>
    <row r="107" spans="14:36" x14ac:dyDescent="0.2">
      <c r="N107" s="170"/>
      <c r="O107" s="170"/>
      <c r="AF107" s="188">
        <f>_xll.qlCalendarAdvance(Calendar,AF106,"1d","mf",,Trigger)</f>
        <v>42216</v>
      </c>
      <c r="AG107" s="210">
        <f>_xll.qlDayCounterYearFraction(DayCounter,SettlementDate,AF107,,,Trigger)</f>
        <v>0.41095890410958902</v>
      </c>
      <c r="AH107" s="189">
        <f t="shared" si="17"/>
        <v>2.2000163820892669E-3</v>
      </c>
      <c r="AI107" s="189">
        <f t="shared" si="18"/>
        <v>2.3278187642280426E-3</v>
      </c>
      <c r="AJ107" s="161">
        <f t="shared" si="19"/>
        <v>2.3210954693930366E-3</v>
      </c>
    </row>
    <row r="108" spans="14:36" x14ac:dyDescent="0.2">
      <c r="N108" s="170"/>
      <c r="O108" s="170"/>
      <c r="AF108" s="188">
        <f>_xll.qlCalendarAdvance(Calendar,AF107,"1d","mf",,Trigger)</f>
        <v>42219</v>
      </c>
      <c r="AG108" s="210">
        <f>_xll.qlDayCounterYearFraction(DayCounter,SettlementDate,AF108,,,Trigger)</f>
        <v>0.41917808219178082</v>
      </c>
      <c r="AH108" s="189">
        <f t="shared" si="17"/>
        <v>2.2000163820892669E-3</v>
      </c>
      <c r="AI108" s="189">
        <f t="shared" si="18"/>
        <v>2.3344292322697033E-3</v>
      </c>
      <c r="AJ108" s="161">
        <f t="shared" si="19"/>
        <v>2.328930056723192E-3</v>
      </c>
    </row>
    <row r="109" spans="14:36" x14ac:dyDescent="0.2">
      <c r="N109" s="170"/>
      <c r="O109" s="170"/>
      <c r="AF109" s="188">
        <f>_xll.qlCalendarAdvance(Calendar,AF108,"1d","mf",,Trigger)</f>
        <v>42220</v>
      </c>
      <c r="AG109" s="210">
        <f>_xll.qlDayCounterYearFraction(DayCounter,SettlementDate,AF109,,,Trigger)</f>
        <v>0.42191780821917807</v>
      </c>
      <c r="AH109" s="189">
        <f t="shared" si="17"/>
        <v>2.2000163820892669E-3</v>
      </c>
      <c r="AI109" s="189">
        <f t="shared" si="18"/>
        <v>2.3366327216169233E-3</v>
      </c>
      <c r="AJ109" s="161">
        <f t="shared" si="19"/>
        <v>2.331560700793562E-3</v>
      </c>
    </row>
    <row r="110" spans="14:36" x14ac:dyDescent="0.2">
      <c r="N110" s="170"/>
      <c r="O110" s="170"/>
      <c r="AF110" s="188">
        <f>_xll.qlCalendarAdvance(Calendar,AF109,"1d","mf",,Trigger)</f>
        <v>42221</v>
      </c>
      <c r="AG110" s="210">
        <f>_xll.qlDayCounterYearFraction(DayCounter,SettlementDate,AF110,,,Trigger)</f>
        <v>0.42465753424657532</v>
      </c>
      <c r="AH110" s="189">
        <f t="shared" si="17"/>
        <v>2.2000163820892669E-3</v>
      </c>
      <c r="AI110" s="189">
        <f t="shared" si="18"/>
        <v>2.3388362109641437E-3</v>
      </c>
      <c r="AJ110" s="161">
        <f t="shared" si="19"/>
        <v>2.3342009023440908E-3</v>
      </c>
    </row>
    <row r="111" spans="14:36" x14ac:dyDescent="0.2">
      <c r="N111" s="170"/>
      <c r="O111" s="170"/>
      <c r="AF111" s="188">
        <f>_xll.qlCalendarAdvance(Calendar,AF110,"1d","mf",,Trigger)</f>
        <v>42222</v>
      </c>
      <c r="AG111" s="210">
        <f>_xll.qlDayCounterYearFraction(DayCounter,SettlementDate,AF111,,,Trigger)</f>
        <v>0.42739726027397262</v>
      </c>
      <c r="AH111" s="189">
        <f t="shared" si="17"/>
        <v>2.2000163820892669E-3</v>
      </c>
      <c r="AI111" s="189">
        <f t="shared" si="18"/>
        <v>2.3410397003113641E-3</v>
      </c>
      <c r="AJ111" s="161">
        <f t="shared" si="19"/>
        <v>2.3368506613747793E-3</v>
      </c>
    </row>
    <row r="112" spans="14:36" x14ac:dyDescent="0.2">
      <c r="N112" s="170"/>
      <c r="O112" s="170"/>
      <c r="AF112" s="188">
        <f>_xll.qlCalendarAdvance(Calendar,AF111,"1d","mf",,Trigger)</f>
        <v>42223</v>
      </c>
      <c r="AG112" s="210">
        <f>_xll.qlDayCounterYearFraction(DayCounter,SettlementDate,AF112,,,Trigger)</f>
        <v>0.43013698630136987</v>
      </c>
      <c r="AH112" s="189">
        <f t="shared" si="17"/>
        <v>2.2000163820892669E-3</v>
      </c>
      <c r="AI112" s="189">
        <f t="shared" si="18"/>
        <v>2.343243189658584E-3</v>
      </c>
      <c r="AJ112" s="161">
        <f t="shared" si="19"/>
        <v>2.3395099778856267E-3</v>
      </c>
    </row>
    <row r="113" spans="14:36" x14ac:dyDescent="0.2">
      <c r="N113" s="157"/>
      <c r="O113" s="170"/>
      <c r="AF113" s="188">
        <f>_xll.qlCalendarAdvance(Calendar,AF112,"1d","mf",,Trigger)</f>
        <v>42226</v>
      </c>
      <c r="AG113" s="210">
        <f>_xll.qlDayCounterYearFraction(DayCounter,SettlementDate,AF113,,,Trigger)</f>
        <v>0.43835616438356162</v>
      </c>
      <c r="AH113" s="189">
        <f t="shared" si="17"/>
        <v>2.2000163820892669E-3</v>
      </c>
      <c r="AI113" s="189">
        <f t="shared" si="18"/>
        <v>2.3498536577002448E-3</v>
      </c>
      <c r="AJ113" s="161">
        <f t="shared" si="19"/>
        <v>2.3475452722991233E-3</v>
      </c>
    </row>
    <row r="114" spans="14:36" x14ac:dyDescent="0.2">
      <c r="N114" s="157"/>
      <c r="O114" s="170"/>
      <c r="AF114" s="188">
        <f>_xll.qlCalendarAdvance(Calendar,AF113,"1d","mf",,Trigger)</f>
        <v>42227</v>
      </c>
      <c r="AG114" s="210">
        <f>_xll.qlDayCounterYearFraction(DayCounter,SettlementDate,AF114,,,Trigger)</f>
        <v>0.44109589041095892</v>
      </c>
      <c r="AH114" s="189">
        <f t="shared" si="17"/>
        <v>2.2000163820892669E-3</v>
      </c>
      <c r="AI114" s="189">
        <f t="shared" si="18"/>
        <v>2.3520571470474652E-3</v>
      </c>
      <c r="AJ114" s="161">
        <f t="shared" si="19"/>
        <v>2.350242818730607E-3</v>
      </c>
    </row>
    <row r="115" spans="14:36" x14ac:dyDescent="0.2">
      <c r="N115" s="157"/>
      <c r="O115" s="170"/>
      <c r="AF115" s="188">
        <f>_xll.qlCalendarAdvance(Calendar,AF114,"1d","mf",,Trigger)</f>
        <v>42228</v>
      </c>
      <c r="AG115" s="210">
        <f>_xll.qlDayCounterYearFraction(DayCounter,SettlementDate,AF115,,,Trigger)</f>
        <v>0.44383561643835617</v>
      </c>
      <c r="AH115" s="189">
        <f t="shared" si="17"/>
        <v>2.2000163820892669E-3</v>
      </c>
      <c r="AI115" s="189">
        <f t="shared" si="18"/>
        <v>2.3542606363946856E-3</v>
      </c>
      <c r="AJ115" s="161">
        <f t="shared" si="19"/>
        <v>2.3529499226422499E-3</v>
      </c>
    </row>
    <row r="116" spans="14:36" x14ac:dyDescent="0.2">
      <c r="N116" s="157"/>
      <c r="O116" s="170"/>
      <c r="AF116" s="188">
        <f>_xll.qlCalendarAdvance(Calendar,AF115,"1d","mf",,Trigger)</f>
        <v>42229</v>
      </c>
      <c r="AG116" s="210">
        <f>_xll.qlDayCounterYearFraction(DayCounter,SettlementDate,AF116,,,Trigger)</f>
        <v>0.44657534246575342</v>
      </c>
      <c r="AH116" s="189">
        <f t="shared" si="17"/>
        <v>2.2000163820892669E-3</v>
      </c>
      <c r="AI116" s="189">
        <f t="shared" si="18"/>
        <v>2.3564641257419056E-3</v>
      </c>
      <c r="AJ116" s="161">
        <f t="shared" si="19"/>
        <v>2.3556665840340518E-3</v>
      </c>
    </row>
    <row r="117" spans="14:36" x14ac:dyDescent="0.2">
      <c r="N117" s="157"/>
      <c r="O117" s="170"/>
      <c r="AF117" s="188">
        <f>_xll.qlCalendarAdvance(Calendar,AF116,"1d","mf",,Trigger)</f>
        <v>42230</v>
      </c>
      <c r="AG117" s="210">
        <f>_xll.qlDayCounterYearFraction(DayCounter,SettlementDate,AF117,,,Trigger)</f>
        <v>0.44931506849315067</v>
      </c>
      <c r="AH117" s="189">
        <f t="shared" si="17"/>
        <v>2.2000163820892669E-3</v>
      </c>
      <c r="AI117" s="189">
        <f t="shared" si="18"/>
        <v>2.358667615089126E-3</v>
      </c>
      <c r="AJ117" s="161">
        <f t="shared" si="19"/>
        <v>2.3583928029060129E-3</v>
      </c>
    </row>
    <row r="118" spans="14:36" x14ac:dyDescent="0.2">
      <c r="N118" s="157"/>
      <c r="O118" s="170"/>
      <c r="AF118" s="188">
        <f>_xll.qlCalendarAdvance(Calendar,AF117,"1d","mf",,Trigger)</f>
        <v>42233</v>
      </c>
      <c r="AG118" s="210">
        <f>_xll.qlDayCounterYearFraction(DayCounter,SettlementDate,AF118,,,Trigger)</f>
        <v>0.45753424657534247</v>
      </c>
      <c r="AH118" s="189">
        <f t="shared" si="17"/>
        <v>2.2000163820892669E-3</v>
      </c>
      <c r="AI118" s="189">
        <f t="shared" si="18"/>
        <v>2.3652780831307867E-3</v>
      </c>
      <c r="AJ118" s="161">
        <f t="shared" si="19"/>
        <v>2.3666288044028507E-3</v>
      </c>
    </row>
    <row r="119" spans="14:36" x14ac:dyDescent="0.2">
      <c r="N119" s="157"/>
      <c r="O119" s="157"/>
      <c r="AF119" s="188">
        <f>_xll.qlCalendarAdvance(Calendar,AF118,"1d","mf",,Trigger)</f>
        <v>42234</v>
      </c>
      <c r="AG119" s="210">
        <f>_xll.qlDayCounterYearFraction(DayCounter,SettlementDate,AF119,,,Trigger)</f>
        <v>0.46027397260273972</v>
      </c>
      <c r="AH119" s="189">
        <f t="shared" si="17"/>
        <v>2.2000163820892669E-3</v>
      </c>
      <c r="AI119" s="189">
        <f t="shared" si="18"/>
        <v>2.3674815724780071E-3</v>
      </c>
      <c r="AJ119" s="161">
        <f t="shared" si="19"/>
        <v>2.3693932531954481E-3</v>
      </c>
    </row>
    <row r="120" spans="14:36" x14ac:dyDescent="0.2">
      <c r="N120" s="157"/>
      <c r="O120" s="157"/>
      <c r="AF120" s="188">
        <f>_xll.qlCalendarAdvance(Calendar,AF119,"1d","mf",,Trigger)</f>
        <v>42235</v>
      </c>
      <c r="AG120" s="210">
        <f>_xll.qlDayCounterYearFraction(DayCounter,SettlementDate,AF120,,,Trigger)</f>
        <v>0.46301369863013697</v>
      </c>
      <c r="AH120" s="189">
        <f t="shared" si="17"/>
        <v>2.2000163820892669E-3</v>
      </c>
      <c r="AI120" s="189">
        <f t="shared" si="18"/>
        <v>2.3696850618252275E-3</v>
      </c>
      <c r="AJ120" s="161">
        <f t="shared" si="19"/>
        <v>2.3721672594682048E-3</v>
      </c>
    </row>
    <row r="121" spans="14:36" x14ac:dyDescent="0.2">
      <c r="N121" s="157"/>
      <c r="O121" s="157"/>
      <c r="AF121" s="188">
        <f>_xll.qlCalendarAdvance(Calendar,AF120,"1d","mf",,Trigger)</f>
        <v>42236</v>
      </c>
      <c r="AG121" s="210">
        <f>_xll.qlDayCounterYearFraction(DayCounter,SettlementDate,AF121,,,Trigger)</f>
        <v>0.46575342465753422</v>
      </c>
      <c r="AH121" s="189">
        <f t="shared" si="17"/>
        <v>2.2000163820892669E-3</v>
      </c>
      <c r="AI121" s="189">
        <f t="shared" si="18"/>
        <v>2.3718885511724475E-3</v>
      </c>
      <c r="AJ121" s="161">
        <f t="shared" si="19"/>
        <v>2.3749508232211204E-3</v>
      </c>
    </row>
    <row r="122" spans="14:36" x14ac:dyDescent="0.2">
      <c r="N122" s="157"/>
      <c r="O122" s="157"/>
      <c r="AF122" s="188">
        <f>_xll.qlCalendarAdvance(Calendar,AF121,"1d","mf",,Trigger)</f>
        <v>42237</v>
      </c>
      <c r="AG122" s="210">
        <f>_xll.qlDayCounterYearFraction(DayCounter,SettlementDate,AF122,,,Trigger)</f>
        <v>0.46849315068493153</v>
      </c>
      <c r="AH122" s="189">
        <f t="shared" si="17"/>
        <v>2.2000163820892669E-3</v>
      </c>
      <c r="AI122" s="189">
        <f t="shared" si="18"/>
        <v>2.3740920405196679E-3</v>
      </c>
      <c r="AJ122" s="161">
        <f t="shared" si="19"/>
        <v>2.3777439444541953E-3</v>
      </c>
    </row>
    <row r="123" spans="14:36" x14ac:dyDescent="0.2">
      <c r="N123" s="157"/>
      <c r="O123" s="157"/>
      <c r="AF123" s="188">
        <f>_xll.qlCalendarAdvance(Calendar,AF122,"1d","mf",,Trigger)</f>
        <v>42240</v>
      </c>
      <c r="AG123" s="210">
        <f>_xll.qlDayCounterYearFraction(DayCounter,SettlementDate,AF123,,,Trigger)</f>
        <v>0.47671232876712327</v>
      </c>
      <c r="AH123" s="189">
        <f t="shared" si="17"/>
        <v>2.2000163820892669E-3</v>
      </c>
      <c r="AI123" s="189">
        <f t="shared" si="18"/>
        <v>2.3807025085613286E-3</v>
      </c>
      <c r="AJ123" s="161">
        <f t="shared" si="19"/>
        <v>2.3861806530343743E-3</v>
      </c>
    </row>
    <row r="124" spans="14:36" x14ac:dyDescent="0.2">
      <c r="N124" s="157"/>
      <c r="O124" s="157"/>
      <c r="AF124" s="188">
        <f>_xll.qlCalendarAdvance(Calendar,AF123,"1d","mf",,Trigger)</f>
        <v>42241</v>
      </c>
      <c r="AG124" s="210">
        <f>_xll.qlDayCounterYearFraction(DayCounter,SettlementDate,AF124,,,Trigger)</f>
        <v>0.47945205479452052</v>
      </c>
      <c r="AH124" s="189">
        <f t="shared" si="17"/>
        <v>2.2000163820892669E-3</v>
      </c>
      <c r="AI124" s="189">
        <f t="shared" si="18"/>
        <v>2.382905997908549E-3</v>
      </c>
      <c r="AJ124" s="161">
        <f t="shared" si="19"/>
        <v>2.3890120041880855E-3</v>
      </c>
    </row>
    <row r="125" spans="14:36" x14ac:dyDescent="0.2">
      <c r="N125" s="157"/>
      <c r="O125" s="157"/>
      <c r="AF125" s="188">
        <f>_xll.qlCalendarAdvance(Calendar,AF124,"1d","mf",,Trigger)</f>
        <v>42242</v>
      </c>
      <c r="AG125" s="210">
        <f>_xll.qlDayCounterYearFraction(DayCounter,SettlementDate,AF125,,,Trigger)</f>
        <v>0.48219178082191783</v>
      </c>
      <c r="AH125" s="189">
        <f t="shared" si="17"/>
        <v>2.2000163820892669E-3</v>
      </c>
      <c r="AI125" s="189">
        <f t="shared" si="18"/>
        <v>2.3851094872557694E-3</v>
      </c>
      <c r="AJ125" s="161">
        <f t="shared" si="19"/>
        <v>2.3918529128219559E-3</v>
      </c>
    </row>
    <row r="126" spans="14:36" x14ac:dyDescent="0.2">
      <c r="N126" s="157"/>
      <c r="O126" s="157"/>
      <c r="AF126" s="188">
        <f>_xll.qlCalendarAdvance(Calendar,AF125,"1d","mf",,Trigger)</f>
        <v>42243</v>
      </c>
      <c r="AG126" s="210">
        <f>_xll.qlDayCounterYearFraction(DayCounter,SettlementDate,AF126,,,Trigger)</f>
        <v>0.48493150684931507</v>
      </c>
      <c r="AH126" s="189">
        <f t="shared" si="17"/>
        <v>2.2000163820892669E-3</v>
      </c>
      <c r="AI126" s="189">
        <f t="shared" si="18"/>
        <v>2.3873129766029894E-3</v>
      </c>
      <c r="AJ126" s="161">
        <f t="shared" si="19"/>
        <v>2.3947033789359852E-3</v>
      </c>
    </row>
    <row r="127" spans="14:36" x14ac:dyDescent="0.2">
      <c r="N127" s="157"/>
      <c r="O127" s="157"/>
      <c r="AF127" s="188">
        <f>_xll.qlCalendarAdvance(Calendar,AF126,"1d","mf",,Trigger)</f>
        <v>42244</v>
      </c>
      <c r="AG127" s="210">
        <f>_xll.qlDayCounterYearFraction(DayCounter,SettlementDate,AF127,,,Trigger)</f>
        <v>0.48767123287671232</v>
      </c>
      <c r="AH127" s="189">
        <f t="shared" si="17"/>
        <v>2.2000163820892669E-3</v>
      </c>
      <c r="AI127" s="189">
        <f t="shared" si="18"/>
        <v>2.3895164659502098E-3</v>
      </c>
      <c r="AJ127" s="161">
        <f t="shared" si="19"/>
        <v>2.3975634025301738E-3</v>
      </c>
    </row>
    <row r="128" spans="14:36" x14ac:dyDescent="0.2">
      <c r="N128" s="157"/>
      <c r="O128" s="157"/>
      <c r="AF128" s="188">
        <f>_xll.qlCalendarAdvance(Calendar,AF127,"1d","mf",,Trigger)</f>
        <v>42248</v>
      </c>
      <c r="AG128" s="210">
        <f>_xll.qlDayCounterYearFraction(DayCounter,SettlementDate,AF128,,,Trigger)</f>
        <v>0.49863013698630138</v>
      </c>
      <c r="AH128" s="189">
        <f t="shared" si="17"/>
        <v>2.2000163820892669E-3</v>
      </c>
      <c r="AI128" s="189">
        <f t="shared" si="18"/>
        <v>2.3983304233390909E-3</v>
      </c>
      <c r="AJ128" s="161">
        <f t="shared" si="19"/>
        <v>2.4090990717085189E-3</v>
      </c>
    </row>
    <row r="129" spans="15:36" x14ac:dyDescent="0.2">
      <c r="O129" s="157"/>
      <c r="AF129" s="188">
        <f>_xll.qlCalendarAdvance(Calendar,AF128,"1d","mf",,Trigger)</f>
        <v>42249</v>
      </c>
      <c r="AG129" s="210">
        <f>_xll.qlDayCounterYearFraction(DayCounter,SettlementDate,AF129,,,Trigger)</f>
        <v>0.50136986301369868</v>
      </c>
      <c r="AH129" s="189">
        <f t="shared" si="17"/>
        <v>2.2000163820892669E-3</v>
      </c>
      <c r="AI129" s="189">
        <f t="shared" si="18"/>
        <v>2.4005339126863109E-3</v>
      </c>
      <c r="AJ129" s="161">
        <f t="shared" si="19"/>
        <v>2.4120068827035031E-3</v>
      </c>
    </row>
    <row r="130" spans="15:36" x14ac:dyDescent="0.2">
      <c r="O130" s="157"/>
      <c r="AF130" s="188">
        <f>_xll.qlCalendarAdvance(Calendar,AF129,"1d","mf",,Trigger)</f>
        <v>42250</v>
      </c>
      <c r="AG130" s="210">
        <f>_xll.qlDayCounterYearFraction(DayCounter,SettlementDate,AF130,,,Trigger)</f>
        <v>0.50410958904109593</v>
      </c>
      <c r="AH130" s="189">
        <f t="shared" si="17"/>
        <v>2.2000163820892669E-3</v>
      </c>
      <c r="AI130" s="189">
        <f t="shared" si="18"/>
        <v>2.4027374020335313E-3</v>
      </c>
      <c r="AJ130" s="161">
        <f t="shared" si="19"/>
        <v>2.4149242511786466E-3</v>
      </c>
    </row>
    <row r="131" spans="15:36" x14ac:dyDescent="0.2">
      <c r="O131" s="157"/>
      <c r="AF131" s="188">
        <f>_xll.qlCalendarAdvance(Calendar,AF130,"1d","mf",,Trigger)</f>
        <v>42251</v>
      </c>
      <c r="AG131" s="210">
        <f>_xll.qlDayCounterYearFraction(DayCounter,SettlementDate,AF131,,,Trigger)</f>
        <v>0.50684931506849318</v>
      </c>
      <c r="AH131" s="189">
        <f t="shared" si="17"/>
        <v>2.2000163820892669E-3</v>
      </c>
      <c r="AI131" s="189">
        <f t="shared" si="18"/>
        <v>2.4049408913807517E-3</v>
      </c>
      <c r="AJ131" s="161">
        <f t="shared" si="19"/>
        <v>2.4178511771339485E-3</v>
      </c>
    </row>
    <row r="132" spans="15:36" ht="12" thickBot="1" x14ac:dyDescent="0.25">
      <c r="O132" s="157"/>
      <c r="AF132" s="190">
        <f>_xll.qlCalendarAdvance(Calendar,AF131,"1d","mf",,Trigger)</f>
        <v>42254</v>
      </c>
      <c r="AG132" s="211">
        <f>_xll.qlDayCounterYearFraction(DayCounter,SettlementDate,AF132,,,Trigger)</f>
        <v>0.51506849315068493</v>
      </c>
      <c r="AH132" s="191">
        <f t="shared" si="17"/>
        <v>2.2000163820892669E-3</v>
      </c>
      <c r="AI132" s="191">
        <f t="shared" si="18"/>
        <v>2.4115513594224125E-3</v>
      </c>
      <c r="AJ132" s="164">
        <f t="shared" si="19"/>
        <v>2.42668929988081E-3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>
      <selection activeCell="C33" sqref="C33"/>
    </sheetView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96" t="s">
        <v>106</v>
      </c>
      <c r="X2" s="496"/>
      <c r="Y2" s="496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GbpLibor1YLastFixing_Quote</v>
      </c>
      <c r="D3" s="330">
        <f>_xll.qlCalendarAdvance(Calendar,_xll.qlLastFixingQuoteReferenceDate($C$3),_xll.qlInterestRateIndexFixingDays($D$10)&amp;"D","f",,LastFixingsTrigger)</f>
        <v>42066</v>
      </c>
      <c r="E3" s="330">
        <f>_xll.qlInterestRateIndexMaturity($D$10,D3)</f>
        <v>42432</v>
      </c>
      <c r="F3" s="424">
        <f>'Delta 1Y'!W31</f>
        <v>4.5657604006466837E-3</v>
      </c>
      <c r="G3" s="350">
        <f>_xll.qlDayCounterYearFraction(DayCounter,SettlementDate,D3,,,Trigger)</f>
        <v>0</v>
      </c>
      <c r="H3" s="350">
        <f>_xll.qlDayCounterYearFraction(DayCounter,SettlementDate,E3,,,Trigger)</f>
        <v>1.0027397260273974</v>
      </c>
      <c r="I3" s="350">
        <f>H3-G3</f>
        <v>1.0027397260273974</v>
      </c>
      <c r="J3" s="350">
        <f>(H3^2-G3^2)/2</f>
        <v>0.50274347907674999</v>
      </c>
      <c r="K3" s="350">
        <f>(H3^3-G3^3)/3</f>
        <v>0.33608057231432059</v>
      </c>
      <c r="L3" s="331" t="b">
        <f>IF(D12="fixing",TRUE,FALSE)</f>
        <v>0</v>
      </c>
      <c r="N3" s="497" t="s">
        <v>103</v>
      </c>
      <c r="O3" s="172">
        <f t="array" ref="O3:O5">_xll.ohFilter(K3:K7,L3:L7)</f>
        <v>0.33608057231432059</v>
      </c>
      <c r="P3" s="173">
        <f t="array" ref="P3:P5">_xll.ohFilter(J3:J7,L3:L7)</f>
        <v>0.50274347907674999</v>
      </c>
      <c r="Q3" s="174">
        <f t="array" ref="Q3:Q5">_xll.ohFilter(I3:I7,L3:L7)</f>
        <v>1.0027397260273974</v>
      </c>
      <c r="R3" s="168"/>
      <c r="S3" s="176">
        <f t="array" ref="S3:S5">MMULT(W3:Y5,U3:U5)</f>
        <v>-6.0698818304188301E-3</v>
      </c>
      <c r="T3" s="177"/>
      <c r="U3" s="160">
        <f t="array" ref="U3:U5">_xll.ohFilter(F3:F7,L3:L7)</f>
        <v>4.5657604006466837E-3</v>
      </c>
      <c r="W3" s="172">
        <f t="array" ref="W3:Y5">MINVERSE(O3:Q5)</f>
        <v>7.7510564354435987</v>
      </c>
      <c r="X3" s="173">
        <v>-15.418768178032954</v>
      </c>
      <c r="Y3" s="174">
        <v>7.6260393961622386</v>
      </c>
      <c r="AB3" s="185">
        <f>SettlementDate</f>
        <v>42066</v>
      </c>
      <c r="AC3" s="210">
        <f>_xll.qlDayCounterYearFraction(DayCounter,SettlementDate,AB3,,,Trigger)</f>
        <v>0</v>
      </c>
      <c r="AD3" s="186">
        <f t="shared" ref="AD3:AD66" si="0">$S$13</f>
        <v>4.5532856454536591E-3</v>
      </c>
      <c r="AE3" s="186">
        <f t="shared" ref="AE3:AE21" si="1">$S$10+$S$9*AC3</f>
        <v>4.0232418145652663E-3</v>
      </c>
      <c r="AF3" s="187">
        <f t="shared" ref="AF3:AF21" si="2">($S$5+$S$4*AC3+$S$3*AC3^2)</f>
        <v>2.2389767573848356E-3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42066</v>
      </c>
      <c r="E4" s="159">
        <f>_xll.qlInterestRateIndexMaturity($D$10,D4)</f>
        <v>42432</v>
      </c>
      <c r="F4" s="425">
        <f t="array" ref="F4:F7">Delta1Y</f>
        <v>4.5657604006466837E-3</v>
      </c>
      <c r="G4" s="210">
        <f>_xll.qlDayCounterYearFraction(DayCounter,SettlementDate,D4,,,Trigger)</f>
        <v>0</v>
      </c>
      <c r="H4" s="210">
        <f>_xll.qlDayCounterYearFraction(DayCounter,SettlementDate,E4,,,Trigger)</f>
        <v>1.0027397260273974</v>
      </c>
      <c r="I4" s="210">
        <f>H4-G4</f>
        <v>1.0027397260273974</v>
      </c>
      <c r="J4" s="210">
        <f>(H4^2-G4^2)/2</f>
        <v>0.50274347907674999</v>
      </c>
      <c r="K4" s="210">
        <f>(H4^3-G4^3)/3</f>
        <v>0.33608057231432059</v>
      </c>
      <c r="L4" s="192" t="b">
        <f>IF(D12="fixing",FALSE,TRUE)</f>
        <v>1</v>
      </c>
      <c r="N4" s="497"/>
      <c r="O4" s="172">
        <v>0.65322405961693175</v>
      </c>
      <c r="P4" s="173">
        <v>0.75548883467817585</v>
      </c>
      <c r="Q4" s="174">
        <v>1.0027397260273971</v>
      </c>
      <c r="R4" s="169" t="s">
        <v>35</v>
      </c>
      <c r="S4" s="176">
        <v>8.6736457085834356E-3</v>
      </c>
      <c r="T4" s="169" t="s">
        <v>36</v>
      </c>
      <c r="U4" s="160">
        <v>4.8329605784095987E-3</v>
      </c>
      <c r="W4" s="172">
        <v>-13.682534581048579</v>
      </c>
      <c r="X4" s="173">
        <v>23.303937260790843</v>
      </c>
      <c r="Y4" s="174">
        <v>-9.5691124477871412</v>
      </c>
      <c r="AB4" s="188">
        <f>_xll.qlCalendarAdvance(Calendar,AB3,"1d","mf",,Trigger)</f>
        <v>42067</v>
      </c>
      <c r="AC4" s="210">
        <f>_xll.qlDayCounterYearFraction(DayCounter,SettlementDate,AB4,,,Trigger)</f>
        <v>2.7397260273972603E-3</v>
      </c>
      <c r="AD4" s="189">
        <f t="shared" si="0"/>
        <v>4.5532856454536591E-3</v>
      </c>
      <c r="AE4" s="189">
        <f t="shared" si="1"/>
        <v>4.0261382289417053E-3</v>
      </c>
      <c r="AF4" s="161">
        <f t="shared" si="2"/>
        <v>2.2626946091529165E-3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42158</v>
      </c>
      <c r="E5" s="159">
        <f>_xll.qlInterestRateIndexMaturity($D$10,D5)</f>
        <v>42524</v>
      </c>
      <c r="F5" s="425">
        <v>4.8329605784095987E-3</v>
      </c>
      <c r="G5" s="210">
        <f>_xll.qlDayCounterYearFraction(DayCounter,SettlementDate,D5,,,Trigger)</f>
        <v>0.25205479452054796</v>
      </c>
      <c r="H5" s="210">
        <f>_xll.qlDayCounterYearFraction(DayCounter,SettlementDate,E5,,,Trigger)</f>
        <v>1.2547945205479452</v>
      </c>
      <c r="I5" s="210">
        <f>H5-G5</f>
        <v>1.0027397260273971</v>
      </c>
      <c r="J5" s="210">
        <f>(H5^2-G5^2)/2</f>
        <v>0.75548883467817585</v>
      </c>
      <c r="K5" s="210">
        <f>(H5^3-G5^3)/3</f>
        <v>0.65322405961693175</v>
      </c>
      <c r="L5" s="192" t="b">
        <v>1</v>
      </c>
      <c r="N5" s="497"/>
      <c r="O5" s="172">
        <v>1.1102658170037127</v>
      </c>
      <c r="P5" s="173">
        <v>1.0165059110527304</v>
      </c>
      <c r="Q5" s="174">
        <v>1.0082191780821916</v>
      </c>
      <c r="R5" s="171"/>
      <c r="S5" s="176">
        <v>2.2389767573848356E-3</v>
      </c>
      <c r="T5" s="169"/>
      <c r="U5" s="160">
        <v>4.3350091296619235E-3</v>
      </c>
      <c r="W5" s="172">
        <v>5.2594161955599308</v>
      </c>
      <c r="X5" s="173">
        <v>-6.5161017275210877</v>
      </c>
      <c r="Y5" s="174">
        <v>2.2417035453744103</v>
      </c>
      <c r="AB5" s="188">
        <f>_xll.qlCalendarAdvance(Calendar,AB4,"1d","mf",,Trigger)</f>
        <v>42068</v>
      </c>
      <c r="AC5" s="210">
        <f>_xll.qlDayCounterYearFraction(DayCounter,SettlementDate,AB5,,,Trigger)</f>
        <v>5.4794520547945206E-3</v>
      </c>
      <c r="AD5" s="189">
        <f t="shared" si="0"/>
        <v>4.5532856454536591E-3</v>
      </c>
      <c r="AE5" s="189">
        <f t="shared" si="1"/>
        <v>4.0290346433181452E-3</v>
      </c>
      <c r="AF5" s="161">
        <f t="shared" si="2"/>
        <v>2.2863213386567008E-3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42250</v>
      </c>
      <c r="E6" s="159">
        <f>_xll.qlInterestRateIndexMaturity($D$10,D6)</f>
        <v>42618</v>
      </c>
      <c r="F6" s="425">
        <v>4.3350091296619235E-3</v>
      </c>
      <c r="G6" s="210">
        <f>_xll.qlDayCounterYearFraction(DayCounter,SettlementDate,D6,,,Trigger)</f>
        <v>0.50410958904109593</v>
      </c>
      <c r="H6" s="210">
        <f>_xll.qlDayCounterYearFraction(DayCounter,SettlementDate,E6,,,Trigger)</f>
        <v>1.5123287671232877</v>
      </c>
      <c r="I6" s="210">
        <f>H6-G6</f>
        <v>1.0082191780821916</v>
      </c>
      <c r="J6" s="210">
        <f>(H6^2-G6^2)/2</f>
        <v>1.0165059110527304</v>
      </c>
      <c r="K6" s="210">
        <f>(H6^3-G6^3)/3</f>
        <v>1.1102658170037127</v>
      </c>
      <c r="L6" s="192" t="b">
        <v>1</v>
      </c>
      <c r="S6" s="178"/>
      <c r="T6" s="207"/>
      <c r="U6" s="179"/>
      <c r="AB6" s="188">
        <f>_xll.qlCalendarAdvance(Calendar,AB5,"1d","mf",,Trigger)</f>
        <v>42069</v>
      </c>
      <c r="AC6" s="210">
        <f>_xll.qlDayCounterYearFraction(DayCounter,SettlementDate,AB6,,,Trigger)</f>
        <v>8.21917808219178E-3</v>
      </c>
      <c r="AD6" s="189">
        <f t="shared" si="0"/>
        <v>4.5532856454536591E-3</v>
      </c>
      <c r="AE6" s="189">
        <f t="shared" si="1"/>
        <v>4.0319310576945842E-3</v>
      </c>
      <c r="AF6" s="161">
        <f t="shared" si="2"/>
        <v>2.3098569458961894E-3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42432</v>
      </c>
      <c r="E7" s="163">
        <f>_xll.qlInterestRateIndexMaturity($D$10,D7)</f>
        <v>42797</v>
      </c>
      <c r="F7" s="426">
        <v>4.3289135860307571E-3</v>
      </c>
      <c r="G7" s="211">
        <f>_xll.qlDayCounterYearFraction(DayCounter,SettlementDate,D7,,,Trigger)</f>
        <v>1.0027397260273974</v>
      </c>
      <c r="H7" s="211">
        <f>_xll.qlDayCounterYearFraction(DayCounter,SettlementDate,E7,,,Trigger)</f>
        <v>2.0027397260273974</v>
      </c>
      <c r="I7" s="211">
        <f>H7-G7</f>
        <v>1</v>
      </c>
      <c r="J7" s="211">
        <f>(H7^2-G7^2)/2</f>
        <v>1.5027397260273974</v>
      </c>
      <c r="K7" s="211">
        <f>(H7^3-G7^3)/3</f>
        <v>2.3415600175142308</v>
      </c>
      <c r="L7" s="193" t="b">
        <v>0</v>
      </c>
      <c r="S7" s="178"/>
      <c r="T7" s="207"/>
      <c r="U7" s="179"/>
      <c r="AB7" s="188">
        <f>_xll.qlCalendarAdvance(Calendar,AB6,"1d","mf",,Trigger)</f>
        <v>42072</v>
      </c>
      <c r="AC7" s="210">
        <f>_xll.qlDayCounterYearFraction(DayCounter,SettlementDate,AB7,,,Trigger)</f>
        <v>1.643835616438356E-2</v>
      </c>
      <c r="AD7" s="189">
        <f t="shared" si="0"/>
        <v>4.5532856454536591E-3</v>
      </c>
      <c r="AE7" s="189">
        <f t="shared" si="1"/>
        <v>4.0406203008239022E-3</v>
      </c>
      <c r="AF7" s="161">
        <f t="shared" si="2"/>
        <v>2.3799170340288787E-3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42073</v>
      </c>
      <c r="AC8" s="210">
        <f>_xll.qlDayCounterYearFraction(DayCounter,SettlementDate,AB8,,,Trigger)</f>
        <v>1.9178082191780823E-2</v>
      </c>
      <c r="AD8" s="189">
        <f t="shared" si="0"/>
        <v>4.5532856454536591E-3</v>
      </c>
      <c r="AE8" s="189">
        <f t="shared" si="1"/>
        <v>4.0435167152003413E-3</v>
      </c>
      <c r="AF8" s="161">
        <f t="shared" si="2"/>
        <v>2.4030881522111832E-3</v>
      </c>
    </row>
    <row r="9" spans="1:32" ht="12" customHeight="1" x14ac:dyDescent="0.2">
      <c r="C9" s="165" t="s">
        <v>153</v>
      </c>
      <c r="D9" s="203" t="s">
        <v>25</v>
      </c>
      <c r="N9" s="496" t="s">
        <v>104</v>
      </c>
      <c r="O9" s="209"/>
      <c r="P9" s="172">
        <f t="array" ref="P9:P10">_xll.ohFilter(J3:J7,L3:L7)</f>
        <v>0.50274347907674999</v>
      </c>
      <c r="Q9" s="174">
        <f t="array" ref="Q9:Q10">_xll.ohFilter(I3:I7,L3:L7)</f>
        <v>1.0027397260273974</v>
      </c>
      <c r="R9" s="498" t="s">
        <v>35</v>
      </c>
      <c r="S9" s="176">
        <f t="array" ref="S9:S10">MMULT(W9:X10,U9:U10)</f>
        <v>1.0571912474003457E-3</v>
      </c>
      <c r="T9" s="498" t="s">
        <v>36</v>
      </c>
      <c r="U9" s="160">
        <f t="array" ref="U9:U10">_xll.ohFilter(F3:F7,L3:L7)</f>
        <v>4.5657604006466837E-3</v>
      </c>
      <c r="W9" s="172">
        <f t="array" ref="W9:X10">MINVERSE(P9:Q10)</f>
        <v>-3.9565514373960573</v>
      </c>
      <c r="X9" s="174">
        <v>3.9565514373960577</v>
      </c>
      <c r="AB9" s="188">
        <f>_xll.qlCalendarAdvance(Calendar,AB8,"1d","mf",,Trigger)</f>
        <v>42074</v>
      </c>
      <c r="AC9" s="210">
        <f>_xll.qlDayCounterYearFraction(DayCounter,SettlementDate,AB9,,,Trigger)</f>
        <v>2.1917808219178082E-2</v>
      </c>
      <c r="AD9" s="189">
        <f t="shared" si="0"/>
        <v>4.5532856454536591E-3</v>
      </c>
      <c r="AE9" s="189">
        <f t="shared" si="1"/>
        <v>4.0464131295767803E-3</v>
      </c>
      <c r="AF9" s="161">
        <f t="shared" si="2"/>
        <v>2.4261681481291915E-3</v>
      </c>
    </row>
    <row r="10" spans="1:32" ht="12" customHeight="1" x14ac:dyDescent="0.2">
      <c r="C10" s="183" t="s">
        <v>116</v>
      </c>
      <c r="D10" s="204" t="str">
        <f>PROPER(Currency)&amp;IborType&amp;D9</f>
        <v>GbpLibor1Y</v>
      </c>
      <c r="N10" s="496"/>
      <c r="O10" s="209"/>
      <c r="P10" s="172">
        <v>0.75548883467817585</v>
      </c>
      <c r="Q10" s="174">
        <v>1.0027397260273971</v>
      </c>
      <c r="R10" s="498"/>
      <c r="S10" s="176">
        <v>4.0232418145652663E-3</v>
      </c>
      <c r="T10" s="498"/>
      <c r="U10" s="160">
        <v>4.8329605784095987E-3</v>
      </c>
      <c r="W10" s="172">
        <v>2.9809634117367549</v>
      </c>
      <c r="X10" s="174">
        <v>-1.9836956521739142</v>
      </c>
      <c r="AB10" s="188">
        <f>_xll.qlCalendarAdvance(Calendar,AB9,"1d","mf",,Trigger)</f>
        <v>42075</v>
      </c>
      <c r="AC10" s="210">
        <f>_xll.qlDayCounterYearFraction(DayCounter,SettlementDate,AB10,,,Trigger)</f>
        <v>2.4657534246575342E-2</v>
      </c>
      <c r="AD10" s="189">
        <f t="shared" si="0"/>
        <v>4.5532856454536591E-3</v>
      </c>
      <c r="AE10" s="189">
        <f t="shared" si="1"/>
        <v>4.0493095439532202E-3</v>
      </c>
      <c r="AF10" s="161">
        <f t="shared" si="2"/>
        <v>2.4491570217829036E-3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42076</v>
      </c>
      <c r="AC11" s="210">
        <f>_xll.qlDayCounterYearFraction(DayCounter,SettlementDate,AB11,,,Trigger)</f>
        <v>2.7397260273972601E-2</v>
      </c>
      <c r="AD11" s="189">
        <f t="shared" si="0"/>
        <v>4.5532856454536591E-3</v>
      </c>
      <c r="AE11" s="189">
        <f t="shared" si="1"/>
        <v>4.0522059583296592E-3</v>
      </c>
      <c r="AF11" s="161">
        <f t="shared" si="2"/>
        <v>2.4720547731723204E-3</v>
      </c>
    </row>
    <row r="12" spans="1:32" ht="12" customHeight="1" thickBot="1" x14ac:dyDescent="0.25">
      <c r="C12" s="184" t="s">
        <v>143</v>
      </c>
      <c r="D12" s="359" t="s">
        <v>150</v>
      </c>
      <c r="S12" s="206" t="s">
        <v>33</v>
      </c>
      <c r="T12" s="207"/>
      <c r="U12" s="179"/>
      <c r="AB12" s="188">
        <f>_xll.qlCalendarAdvance(Calendar,AB11,"1d","mf",,Trigger)</f>
        <v>42079</v>
      </c>
      <c r="AC12" s="210">
        <f>_xll.qlDayCounterYearFraction(DayCounter,SettlementDate,AB12,,,Trigger)</f>
        <v>3.5616438356164383E-2</v>
      </c>
      <c r="AD12" s="189">
        <f t="shared" si="0"/>
        <v>4.5532856454536591E-3</v>
      </c>
      <c r="AE12" s="189">
        <f t="shared" si="1"/>
        <v>4.0608952014589772E-3</v>
      </c>
      <c r="AF12" s="161">
        <f t="shared" si="2"/>
        <v>2.5402012937547932E-3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105</v>
      </c>
      <c r="Q13" s="175">
        <f t="array" ref="Q13">_xll.ohFilter(I3:I7,L3:L7)</f>
        <v>1.0027397260273974</v>
      </c>
      <c r="R13" s="355" t="s">
        <v>35</v>
      </c>
      <c r="S13" s="176">
        <f>MMULT(W13,U13)</f>
        <v>4.5532856454536591E-3</v>
      </c>
      <c r="T13" s="355" t="s">
        <v>36</v>
      </c>
      <c r="U13" s="160">
        <f t="array" ref="U13">_xll.ohFilter(F3:F7,L3:L7)</f>
        <v>4.5657604006466837E-3</v>
      </c>
      <c r="W13" s="175">
        <f>MINVERSE(Q13)</f>
        <v>0.99726775956284142</v>
      </c>
      <c r="AB13" s="188">
        <f>_xll.qlCalendarAdvance(Calendar,AB12,"1d","mf",,Trigger)</f>
        <v>42080</v>
      </c>
      <c r="AC13" s="210">
        <f>_xll.qlDayCounterYearFraction(DayCounter,SettlementDate,AB13,,,Trigger)</f>
        <v>3.8356164383561646E-2</v>
      </c>
      <c r="AD13" s="189">
        <f t="shared" si="0"/>
        <v>4.5532856454536591E-3</v>
      </c>
      <c r="AE13" s="189">
        <f t="shared" si="1"/>
        <v>4.0637916158354163E-3</v>
      </c>
      <c r="AF13" s="161">
        <f t="shared" si="2"/>
        <v>2.5627345560870255E-3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42081</v>
      </c>
      <c r="AC14" s="210">
        <f>_xll.qlDayCounterYearFraction(DayCounter,SettlementDate,AB14,,,Trigger)</f>
        <v>4.1095890410958902E-2</v>
      </c>
      <c r="AD14" s="189">
        <f t="shared" si="0"/>
        <v>4.5532856454536591E-3</v>
      </c>
      <c r="AE14" s="189">
        <f t="shared" si="1"/>
        <v>4.0666880302118562E-3</v>
      </c>
      <c r="AF14" s="161">
        <f t="shared" si="2"/>
        <v>2.5851766961549616E-3</v>
      </c>
    </row>
    <row r="15" spans="1:32" ht="12" customHeight="1" x14ac:dyDescent="0.2">
      <c r="C15" s="200" t="s">
        <v>41</v>
      </c>
      <c r="D15" s="194">
        <f t="shared" ref="D15:D30" si="4">SettlementDate</f>
        <v>42066</v>
      </c>
      <c r="E15" s="195">
        <f>_xll.qlCalendarAdvance(Calendar,SettlementDate,C15,"Following",,Trigger)</f>
        <v>42067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419">
        <f>_xll.qlYieldTSDiscount(Discounting,E15,,AllTriggers)</f>
        <v>0.99998748888755595</v>
      </c>
      <c r="I15" s="361">
        <f>(G15/H15-1)/F15</f>
        <v>4.5666131754906747E-3</v>
      </c>
      <c r="J15" s="357">
        <f>((1+I15*F15)*EXP($S$13*F15)-1)/F15</f>
        <v>9.1199841893552236E-3</v>
      </c>
      <c r="K15" s="357">
        <f>((1+F15*I15)*EXP($S$10*F15+0.5*$S$9*F15^2)-1)/F15</f>
        <v>8.5913757408284663E-3</v>
      </c>
      <c r="L15" s="357">
        <f>((1+F15*I15)*EXP($S$5*F15+0.5*$S$4*F15^2+1/3*$S$3*F15^3)-1)/F15</f>
        <v>6.817491553445798E-3</v>
      </c>
      <c r="AB15" s="188">
        <f>_xll.qlCalendarAdvance(Calendar,AB14,"1d","mf",,Trigger)</f>
        <v>42082</v>
      </c>
      <c r="AC15" s="210">
        <f>_xll.qlDayCounterYearFraction(DayCounter,SettlementDate,AB15,,,Trigger)</f>
        <v>4.3835616438356165E-2</v>
      </c>
      <c r="AD15" s="189">
        <f t="shared" si="0"/>
        <v>4.5532856454536591E-3</v>
      </c>
      <c r="AE15" s="189">
        <f t="shared" si="1"/>
        <v>4.0695844445882952E-3</v>
      </c>
      <c r="AF15" s="161">
        <f t="shared" si="2"/>
        <v>2.607527713958602E-3</v>
      </c>
    </row>
    <row r="16" spans="1:32" ht="12" customHeight="1" x14ac:dyDescent="0.2">
      <c r="C16" s="198" t="s">
        <v>42</v>
      </c>
      <c r="D16" s="159">
        <f>SettlementDate</f>
        <v>42066</v>
      </c>
      <c r="E16" s="196">
        <f>_xll.qlCalendarAdvance(Calendar,SettlementDate,C16,"Following",,Trigger)</f>
        <v>42073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420">
        <f>_xll.qlYieldTSDiscount(Discounting,E16,,AllTriggers)</f>
        <v>0.99991237672823008</v>
      </c>
      <c r="I16" s="361">
        <f t="shared" ref="I16:I18" si="5">(G16/H16-1)/F16</f>
        <v>4.5693281217645022E-3</v>
      </c>
      <c r="J16" s="358">
        <f t="shared" ref="J16:J18" si="6">((1+I16*F16)*EXP($S$13*F16)-1)/F16</f>
        <v>9.1232116031068691E-3</v>
      </c>
      <c r="K16" s="358">
        <f t="shared" ref="K16:K18" si="7">((1+F16*I16)*EXP($S$10*F16+0.5*$S$9*F16^2)-1)/F16</f>
        <v>8.6032168491347229E-3</v>
      </c>
      <c r="L16" s="358">
        <f t="shared" ref="L16:L18" si="8">((1+F16*I16)*EXP($S$5*F16+0.5*$S$4*F16^2+1/3*$S$3*F16^3)-1)/F16</f>
        <v>6.8909877658841958E-3</v>
      </c>
      <c r="AB16" s="188">
        <f>_xll.qlCalendarAdvance(Calendar,AB15,"1d","mf",,Trigger)</f>
        <v>42083</v>
      </c>
      <c r="AC16" s="210">
        <f>_xll.qlDayCounterYearFraction(DayCounter,SettlementDate,AB16,,,Trigger)</f>
        <v>4.6575342465753428E-2</v>
      </c>
      <c r="AD16" s="189">
        <f t="shared" si="0"/>
        <v>4.5532856454536591E-3</v>
      </c>
      <c r="AE16" s="189">
        <f t="shared" si="1"/>
        <v>4.0724808589647343E-3</v>
      </c>
      <c r="AF16" s="161">
        <f t="shared" si="2"/>
        <v>2.6297876094979462E-3</v>
      </c>
    </row>
    <row r="17" spans="3:32" ht="12" customHeight="1" x14ac:dyDescent="0.2">
      <c r="C17" s="198" t="s">
        <v>43</v>
      </c>
      <c r="D17" s="159">
        <f t="shared" si="4"/>
        <v>42066</v>
      </c>
      <c r="E17" s="196">
        <f>_xll.qlCalendarAdvance(Calendar,SettlementDate,C17,"Following",,Trigger)</f>
        <v>42080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420">
        <f>_xll.qlYieldTSDiscount(Discounting,E17,,AllTriggers)</f>
        <v>0.99982466012451821</v>
      </c>
      <c r="I17" s="361">
        <f t="shared" si="5"/>
        <v>4.5721627217917438E-3</v>
      </c>
      <c r="J17" s="358">
        <f t="shared" si="6"/>
        <v>9.1266445805379282E-3</v>
      </c>
      <c r="K17" s="358">
        <f t="shared" si="7"/>
        <v>8.616702184418408E-3</v>
      </c>
      <c r="L17" s="358">
        <f t="shared" si="8"/>
        <v>6.9750387138542026E-3</v>
      </c>
      <c r="AB17" s="188">
        <f>_xll.qlCalendarAdvance(Calendar,AB16,"1d","mf",,Trigger)</f>
        <v>42086</v>
      </c>
      <c r="AC17" s="210">
        <f>_xll.qlDayCounterYearFraction(DayCounter,SettlementDate,AB17,,,Trigger)</f>
        <v>5.4794520547945202E-2</v>
      </c>
      <c r="AD17" s="189">
        <f t="shared" si="0"/>
        <v>4.5532856454536591E-3</v>
      </c>
      <c r="AE17" s="189">
        <f t="shared" si="1"/>
        <v>4.0811701020940522E-3</v>
      </c>
      <c r="AF17" s="161">
        <f t="shared" si="2"/>
        <v>2.6960205625302029E-3</v>
      </c>
    </row>
    <row r="18" spans="3:32" ht="12" customHeight="1" x14ac:dyDescent="0.2">
      <c r="C18" s="198" t="s">
        <v>44</v>
      </c>
      <c r="D18" s="159">
        <f t="shared" si="4"/>
        <v>42066</v>
      </c>
      <c r="E18" s="196">
        <f>_xll.qlCalendarAdvance(Calendar,SettlementDate,C18,"Following",,Trigger)</f>
        <v>42087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420">
        <f>_xll.qlYieldTSDiscount(Discounting,E18,,AllTriggers)</f>
        <v>0.99973734144216364</v>
      </c>
      <c r="I18" s="361">
        <f t="shared" si="5"/>
        <v>4.5664553047687828E-3</v>
      </c>
      <c r="J18" s="358">
        <f t="shared" si="6"/>
        <v>9.1215338444657536E-3</v>
      </c>
      <c r="K18" s="358">
        <f t="shared" si="7"/>
        <v>8.6216473425259656E-3</v>
      </c>
      <c r="L18" s="358">
        <f t="shared" si="8"/>
        <v>7.0490796876953084E-3</v>
      </c>
      <c r="AB18" s="188">
        <f>_xll.qlCalendarAdvance(Calendar,AB17,"1d","mf",,Trigger)</f>
        <v>42087</v>
      </c>
      <c r="AC18" s="210">
        <f>_xll.qlDayCounterYearFraction(DayCounter,SettlementDate,AB18,,,Trigger)</f>
        <v>5.7534246575342465E-2</v>
      </c>
      <c r="AD18" s="189">
        <f t="shared" si="0"/>
        <v>4.5532856454536591E-3</v>
      </c>
      <c r="AE18" s="189">
        <f t="shared" si="1"/>
        <v>4.0840665164704913E-3</v>
      </c>
      <c r="AF18" s="161">
        <f t="shared" si="2"/>
        <v>2.717915969012363E-3</v>
      </c>
    </row>
    <row r="19" spans="3:32" ht="12" customHeight="1" x14ac:dyDescent="0.2">
      <c r="C19" s="198" t="s">
        <v>38</v>
      </c>
      <c r="D19" s="159">
        <f t="shared" si="4"/>
        <v>42066</v>
      </c>
      <c r="E19" s="196">
        <f>_xll.qlCalendarAdvance(Calendar,SettlementDate,C19,"Following",,Trigger)</f>
        <v>42101</v>
      </c>
      <c r="F19" s="210">
        <f>_xll.qlDayCounterYearFraction(DayCounter,D19,E19,,,Trigger)</f>
        <v>9.5890410958904104E-2</v>
      </c>
      <c r="G19" s="348">
        <f>_xll.qlYieldTSDiscount(Discounting,D19,,AllTriggers)</f>
        <v>1</v>
      </c>
      <c r="H19" s="420">
        <f>_xll.qlYieldTSDiscount(Discounting,E19,,AllTriggers)</f>
        <v>0.9995632792414465</v>
      </c>
      <c r="I19" s="361">
        <f t="shared" ref="I19:I30" si="9">(G19/H19-1)/F19</f>
        <v>4.5563634834327226E-3</v>
      </c>
      <c r="J19" s="358">
        <f t="shared" ref="J19:J30" si="10">((1+I19*F19)*EXP($S$13*F19)-1)/F19</f>
        <v>9.1126331107637924E-3</v>
      </c>
      <c r="K19" s="358">
        <f t="shared" ref="K19:K30" si="11">((1+F19*I19)*EXP($S$10*F19+0.5*$S$9*F19^2)-1)/F19</f>
        <v>8.6328686893479209E-3</v>
      </c>
      <c r="L19" s="358">
        <f t="shared" ref="L19:L30" si="12">((1+F19*I19)*EXP($S$5*F19+0.5*$S$4*F19^2+1/3*$S$3*F19^3)-1)/F19</f>
        <v>7.1940810174939062E-3</v>
      </c>
      <c r="AB19" s="188">
        <f>_xll.qlCalendarAdvance(Calendar,AB18,"1d","mf",,Trigger)</f>
        <v>42088</v>
      </c>
      <c r="AC19" s="210">
        <f>_xll.qlDayCounterYearFraction(DayCounter,SettlementDate,AB19,,,Trigger)</f>
        <v>6.0273972602739728E-2</v>
      </c>
      <c r="AD19" s="189">
        <f t="shared" si="0"/>
        <v>4.5532856454536591E-3</v>
      </c>
      <c r="AE19" s="189">
        <f t="shared" si="1"/>
        <v>4.0869629308469312E-3</v>
      </c>
      <c r="AF19" s="161">
        <f t="shared" si="2"/>
        <v>2.7397202532302273E-3</v>
      </c>
    </row>
    <row r="20" spans="3:32" ht="12" customHeight="1" x14ac:dyDescent="0.2">
      <c r="C20" s="198" t="s">
        <v>45</v>
      </c>
      <c r="D20" s="159">
        <f t="shared" si="4"/>
        <v>42066</v>
      </c>
      <c r="E20" s="196">
        <f>_xll.qlCalendarAdvance(Calendar,SettlementDate,C20,"Following",,Trigger)</f>
        <v>42129</v>
      </c>
      <c r="F20" s="210">
        <f>_xll.qlDayCounterYearFraction(DayCounter,D20,E20,,,Trigger)</f>
        <v>0.17260273972602741</v>
      </c>
      <c r="G20" s="348">
        <f>_xll.qlYieldTSDiscount(Discounting,D20,,AllTriggers)</f>
        <v>1</v>
      </c>
      <c r="H20" s="420">
        <f>_xll.qlYieldTSDiscount(Discounting,E20,,AllTriggers)</f>
        <v>0.99921370738166537</v>
      </c>
      <c r="I20" s="361">
        <f t="shared" si="9"/>
        <v>4.5590896307785419E-3</v>
      </c>
      <c r="J20" s="358">
        <f t="shared" si="10"/>
        <v>9.1177494209902406E-3</v>
      </c>
      <c r="K20" s="358">
        <f t="shared" si="11"/>
        <v>8.6782687146191497E-3</v>
      </c>
      <c r="L20" s="358">
        <f t="shared" si="12"/>
        <v>7.4893802040590061E-3</v>
      </c>
      <c r="AB20" s="188">
        <f>_xll.qlCalendarAdvance(Calendar,AB19,"1d","mf",,Trigger)</f>
        <v>42089</v>
      </c>
      <c r="AC20" s="210">
        <f>_xll.qlDayCounterYearFraction(DayCounter,SettlementDate,AB20,,,Trigger)</f>
        <v>6.3013698630136991E-2</v>
      </c>
      <c r="AD20" s="189">
        <f t="shared" si="0"/>
        <v>4.5532856454536591E-3</v>
      </c>
      <c r="AE20" s="189">
        <f t="shared" si="1"/>
        <v>4.0898593452233702E-3</v>
      </c>
      <c r="AF20" s="161">
        <f t="shared" si="2"/>
        <v>2.7614334151837951E-3</v>
      </c>
    </row>
    <row r="21" spans="3:32" ht="12" customHeight="1" x14ac:dyDescent="0.2">
      <c r="C21" s="198" t="s">
        <v>39</v>
      </c>
      <c r="D21" s="159">
        <f t="shared" si="4"/>
        <v>42066</v>
      </c>
      <c r="E21" s="196">
        <f>_xll.qlCalendarAdvance(Calendar,SettlementDate,C21,"Following",,Trigger)</f>
        <v>42158</v>
      </c>
      <c r="F21" s="210">
        <f>_xll.qlDayCounterYearFraction(DayCounter,D21,E21,,,Trigger)</f>
        <v>0.25205479452054796</v>
      </c>
      <c r="G21" s="348">
        <f>_xll.qlYieldTSDiscount(Discounting,D21,,AllTriggers)</f>
        <v>1</v>
      </c>
      <c r="H21" s="420">
        <f>_xll.qlYieldTSDiscount(Discounting,E21,,AllTriggers)</f>
        <v>0.99885190848149896</v>
      </c>
      <c r="I21" s="361">
        <f t="shared" si="9"/>
        <v>4.5601637924700079E-3</v>
      </c>
      <c r="J21" s="358">
        <f t="shared" si="10"/>
        <v>9.121299891142489E-3</v>
      </c>
      <c r="K21" s="358">
        <f t="shared" si="11"/>
        <v>8.7235987203575279E-3</v>
      </c>
      <c r="L21" s="358">
        <f t="shared" si="12"/>
        <v>7.7686918204121422E-3</v>
      </c>
      <c r="AB21" s="188">
        <f>_xll.qlCalendarAdvance(Calendar,AB20,"1d","mf",,Trigger)</f>
        <v>42090</v>
      </c>
      <c r="AC21" s="210">
        <f>_xll.qlDayCounterYearFraction(DayCounter,SettlementDate,AB21,,,Trigger)</f>
        <v>6.575342465753424E-2</v>
      </c>
      <c r="AD21" s="189">
        <f t="shared" si="0"/>
        <v>4.5532856454536591E-3</v>
      </c>
      <c r="AE21" s="189">
        <f t="shared" si="1"/>
        <v>4.0927557595998093E-3</v>
      </c>
      <c r="AF21" s="161">
        <f t="shared" si="2"/>
        <v>2.7830554548730667E-3</v>
      </c>
    </row>
    <row r="22" spans="3:32" ht="12" customHeight="1" x14ac:dyDescent="0.2">
      <c r="C22" s="198" t="s">
        <v>46</v>
      </c>
      <c r="D22" s="159">
        <f t="shared" si="4"/>
        <v>42066</v>
      </c>
      <c r="E22" s="196">
        <f>_xll.qlCalendarAdvance(Calendar,SettlementDate,C22,"Following",,Trigger)</f>
        <v>42188</v>
      </c>
      <c r="F22" s="210">
        <f>_xll.qlDayCounterYearFraction(DayCounter,D22,E22,,,Trigger)</f>
        <v>0.33424657534246577</v>
      </c>
      <c r="G22" s="348">
        <f>_xll.qlYieldTSDiscount(Discounting,D22,,AllTriggers)</f>
        <v>1</v>
      </c>
      <c r="H22" s="420">
        <f>_xll.qlYieldTSDiscount(Discounting,E22,,AllTriggers)</f>
        <v>0.99847374401128286</v>
      </c>
      <c r="I22" s="361">
        <f t="shared" si="9"/>
        <v>4.5732376024402747E-3</v>
      </c>
      <c r="J22" s="358">
        <f t="shared" si="10"/>
        <v>9.1369552762933393E-3</v>
      </c>
      <c r="K22" s="358">
        <f t="shared" si="11"/>
        <v>8.7825344853097558E-3</v>
      </c>
      <c r="L22" s="358">
        <f t="shared" si="12"/>
        <v>8.0430387876860784E-3</v>
      </c>
      <c r="AB22" s="188">
        <f>_xll.qlCalendarAdvance(Calendar,AB21,"1d","mf",,Trigger)</f>
        <v>42093</v>
      </c>
      <c r="AC22" s="210">
        <f>_xll.qlDayCounterYearFraction(DayCounter,SettlementDate,AB22,,,Trigger)</f>
        <v>7.3972602739726029E-2</v>
      </c>
      <c r="AD22" s="189">
        <f t="shared" si="0"/>
        <v>4.5532856454536591E-3</v>
      </c>
      <c r="AE22" s="189">
        <f t="shared" ref="AE22:AE85" si="13">$S$10+$S$9*AC22</f>
        <v>4.1014450027291273E-3</v>
      </c>
      <c r="AF22" s="161">
        <f t="shared" ref="AF22:AF85" si="14">($S$5+$S$4*AC22+$S$3*AC22^2)</f>
        <v>2.8473748403551069E-3</v>
      </c>
    </row>
    <row r="23" spans="3:32" ht="12" customHeight="1" x14ac:dyDescent="0.2">
      <c r="C23" s="198" t="s">
        <v>47</v>
      </c>
      <c r="D23" s="159">
        <f t="shared" si="4"/>
        <v>42066</v>
      </c>
      <c r="E23" s="196">
        <f>_xll.qlCalendarAdvance(Calendar,SettlementDate,C23,"Following",,Trigger)</f>
        <v>42219</v>
      </c>
      <c r="F23" s="210">
        <f>_xll.qlDayCounterYearFraction(DayCounter,D23,E23,,,Trigger)</f>
        <v>0.41917808219178082</v>
      </c>
      <c r="G23" s="348">
        <f>_xll.qlYieldTSDiscount(Discounting,D23,,AllTriggers)</f>
        <v>1</v>
      </c>
      <c r="H23" s="420">
        <f>_xll.qlYieldTSDiscount(Discounting,E23,,AllTriggers)</f>
        <v>0.99808651801068549</v>
      </c>
      <c r="I23" s="361">
        <f t="shared" si="9"/>
        <v>4.5735941442685297E-3</v>
      </c>
      <c r="J23" s="358">
        <f t="shared" si="10"/>
        <v>9.1399655109005822E-3</v>
      </c>
      <c r="K23" s="358">
        <f t="shared" si="11"/>
        <v>8.8303355726057145E-3</v>
      </c>
      <c r="L23" s="358">
        <f t="shared" si="12"/>
        <v>8.2849329302689349E-3</v>
      </c>
      <c r="AB23" s="188">
        <f>_xll.qlCalendarAdvance(Calendar,AB22,"1d","mf",,Trigger)</f>
        <v>42094</v>
      </c>
      <c r="AC23" s="210">
        <f>_xll.qlDayCounterYearFraction(DayCounter,SettlementDate,AB23,,,Trigger)</f>
        <v>7.6712328767123292E-2</v>
      </c>
      <c r="AD23" s="189">
        <f t="shared" si="0"/>
        <v>4.5532856454536591E-3</v>
      </c>
      <c r="AE23" s="189">
        <f t="shared" si="13"/>
        <v>4.1043414171055672E-3</v>
      </c>
      <c r="AF23" s="161">
        <f t="shared" si="14"/>
        <v>2.8686323909871952E-3</v>
      </c>
    </row>
    <row r="24" spans="3:32" ht="12" customHeight="1" x14ac:dyDescent="0.2">
      <c r="C24" s="198" t="s">
        <v>40</v>
      </c>
      <c r="D24" s="159">
        <f t="shared" si="4"/>
        <v>42066</v>
      </c>
      <c r="E24" s="196">
        <f>_xll.qlCalendarAdvance(Calendar,SettlementDate,C24,"Following",,Trigger)</f>
        <v>42250</v>
      </c>
      <c r="F24" s="210">
        <f>_xll.qlDayCounterYearFraction(DayCounter,D24,E24,,,Trigger)</f>
        <v>0.50410958904109593</v>
      </c>
      <c r="G24" s="348">
        <f>_xll.qlYieldTSDiscount(Discounting,D24,,AllTriggers)</f>
        <v>1</v>
      </c>
      <c r="H24" s="420">
        <f>_xll.qlYieldTSDiscount(Discounting,E24,,AllTriggers)</f>
        <v>0.99768077537065136</v>
      </c>
      <c r="I24" s="361">
        <f t="shared" si="9"/>
        <v>4.611330524981248E-3</v>
      </c>
      <c r="J24" s="358">
        <f t="shared" si="10"/>
        <v>9.1804426718222198E-3</v>
      </c>
      <c r="K24" s="358">
        <f t="shared" si="11"/>
        <v>8.9156667486204356E-3</v>
      </c>
      <c r="L24" s="358">
        <f t="shared" si="12"/>
        <v>8.5353273565151409E-3</v>
      </c>
      <c r="AB24" s="188">
        <f>_xll.qlCalendarAdvance(Calendar,AB23,"1d","mf",,Trigger)</f>
        <v>42095</v>
      </c>
      <c r="AC24" s="210">
        <f>_xll.qlDayCounterYearFraction(DayCounter,SettlementDate,AB24,,,Trigger)</f>
        <v>7.9452054794520555E-2</v>
      </c>
      <c r="AD24" s="189">
        <f t="shared" si="0"/>
        <v>4.5532856454536591E-3</v>
      </c>
      <c r="AE24" s="189">
        <f t="shared" si="13"/>
        <v>4.1072378314820062E-3</v>
      </c>
      <c r="AF24" s="161">
        <f t="shared" si="14"/>
        <v>2.8897988193549873E-3</v>
      </c>
    </row>
    <row r="25" spans="3:32" ht="12" customHeight="1" x14ac:dyDescent="0.2">
      <c r="C25" s="198" t="s">
        <v>48</v>
      </c>
      <c r="D25" s="159">
        <f t="shared" si="4"/>
        <v>42066</v>
      </c>
      <c r="E25" s="196">
        <f>_xll.qlCalendarAdvance(Calendar,SettlementDate,C25,"Following",,Trigger)</f>
        <v>42282</v>
      </c>
      <c r="F25" s="210">
        <f>_xll.qlDayCounterYearFraction(DayCounter,D25,E25,,,Trigger)</f>
        <v>0.59178082191780823</v>
      </c>
      <c r="G25" s="348">
        <f>_xll.qlYieldTSDiscount(Discounting,D25,,AllTriggers)</f>
        <v>1</v>
      </c>
      <c r="H25" s="420">
        <f>_xll.qlYieldTSDiscount(Discounting,E25,,AllTriggers)</f>
        <v>0.99725635725786721</v>
      </c>
      <c r="I25" s="361">
        <f t="shared" si="9"/>
        <v>4.6490033565323779E-3</v>
      </c>
      <c r="J25" s="358">
        <f t="shared" si="10"/>
        <v>9.2209728880057532E-3</v>
      </c>
      <c r="K25" s="358">
        <f t="shared" si="11"/>
        <v>9.0025704627947709E-3</v>
      </c>
      <c r="L25" s="358">
        <f t="shared" si="12"/>
        <v>8.7621172096840547E-3</v>
      </c>
      <c r="AB25" s="188">
        <f>_xll.qlCalendarAdvance(Calendar,AB24,"1d","mf",,Trigger)</f>
        <v>42096</v>
      </c>
      <c r="AC25" s="210">
        <f>_xll.qlDayCounterYearFraction(DayCounter,SettlementDate,AB25,,,Trigger)</f>
        <v>8.2191780821917804E-2</v>
      </c>
      <c r="AD25" s="189">
        <f t="shared" si="0"/>
        <v>4.5532856454536591E-3</v>
      </c>
      <c r="AE25" s="189">
        <f t="shared" si="13"/>
        <v>4.1101342458584452E-3</v>
      </c>
      <c r="AF25" s="161">
        <f t="shared" si="14"/>
        <v>2.9108741254584829E-3</v>
      </c>
    </row>
    <row r="26" spans="3:32" ht="12" customHeight="1" x14ac:dyDescent="0.2">
      <c r="C26" s="198" t="s">
        <v>49</v>
      </c>
      <c r="D26" s="159">
        <f t="shared" si="4"/>
        <v>42066</v>
      </c>
      <c r="E26" s="196">
        <f>_xll.qlCalendarAdvance(Calendar,SettlementDate,C26,"Following",,Trigger)</f>
        <v>42311</v>
      </c>
      <c r="F26" s="210">
        <f>_xll.qlDayCounterYearFraction(DayCounter,D26,E26,,,Trigger)</f>
        <v>0.67123287671232879</v>
      </c>
      <c r="G26" s="348">
        <f>_xll.qlYieldTSDiscount(Discounting,D26,,AllTriggers)</f>
        <v>1</v>
      </c>
      <c r="H26" s="420">
        <f>_xll.qlYieldTSDiscount(Discounting,E26,,AllTriggers)</f>
        <v>0.99685571323436273</v>
      </c>
      <c r="I26" s="361">
        <f t="shared" si="9"/>
        <v>4.6991209735101338E-3</v>
      </c>
      <c r="J26" s="358">
        <f t="shared" si="10"/>
        <v>9.2737558145848456E-3</v>
      </c>
      <c r="K26" s="358">
        <f t="shared" si="11"/>
        <v>9.097442314666011E-3</v>
      </c>
      <c r="L26" s="358">
        <f t="shared" si="12"/>
        <v>8.9569360090620501E-3</v>
      </c>
      <c r="AB26" s="188">
        <f>_xll.qlCalendarAdvance(Calendar,AB25,"1d","mf",,Trigger)</f>
        <v>42101</v>
      </c>
      <c r="AC26" s="210">
        <f>_xll.qlDayCounterYearFraction(DayCounter,SettlementDate,AB26,,,Trigger)</f>
        <v>9.5890410958904104E-2</v>
      </c>
      <c r="AD26" s="189">
        <f t="shared" si="0"/>
        <v>4.5532856454536591E-3</v>
      </c>
      <c r="AE26" s="189">
        <f t="shared" si="13"/>
        <v>4.1246163177406422E-3</v>
      </c>
      <c r="AF26" s="161">
        <f t="shared" si="14"/>
        <v>3.0148838220115221E-3</v>
      </c>
    </row>
    <row r="27" spans="3:32" ht="12" customHeight="1" x14ac:dyDescent="0.2">
      <c r="C27" s="198" t="s">
        <v>50</v>
      </c>
      <c r="D27" s="159">
        <f t="shared" si="4"/>
        <v>42066</v>
      </c>
      <c r="E27" s="196">
        <f>_xll.qlCalendarAdvance(Calendar,SettlementDate,C27,"Following",,Trigger)</f>
        <v>42341</v>
      </c>
      <c r="F27" s="210">
        <f>_xll.qlDayCounterYearFraction(DayCounter,D27,E27,,,Trigger)</f>
        <v>0.75342465753424659</v>
      </c>
      <c r="G27" s="348">
        <f>_xll.qlYieldTSDiscount(Discounting,D27,,AllTriggers)</f>
        <v>1</v>
      </c>
      <c r="H27" s="420">
        <f>_xll.qlYieldTSDiscount(Discounting,E27,,AllTriggers)</f>
        <v>0.99638782922356262</v>
      </c>
      <c r="I27" s="361">
        <f t="shared" si="9"/>
        <v>4.8117164995411599E-3</v>
      </c>
      <c r="J27" s="358">
        <f t="shared" si="10"/>
        <v>9.3893564555112517E-3</v>
      </c>
      <c r="K27" s="358">
        <f t="shared" si="11"/>
        <v>9.2566439071420266E-3</v>
      </c>
      <c r="L27" s="358">
        <f t="shared" si="12"/>
        <v>9.1926291042861239E-3</v>
      </c>
      <c r="AB27" s="188">
        <f>_xll.qlCalendarAdvance(Calendar,AB26,"1d","mf",,Trigger)</f>
        <v>42102</v>
      </c>
      <c r="AC27" s="210">
        <f>_xll.qlDayCounterYearFraction(DayCounter,SettlementDate,AB27,,,Trigger)</f>
        <v>9.8630136986301367E-2</v>
      </c>
      <c r="AD27" s="189">
        <f t="shared" si="0"/>
        <v>4.5532856454536591E-3</v>
      </c>
      <c r="AE27" s="189">
        <f t="shared" si="13"/>
        <v>4.1275127321170812E-3</v>
      </c>
      <c r="AF27" s="161">
        <f t="shared" si="14"/>
        <v>3.0354123945292421E-3</v>
      </c>
    </row>
    <row r="28" spans="3:32" ht="12" customHeight="1" x14ac:dyDescent="0.2">
      <c r="C28" s="198" t="s">
        <v>51</v>
      </c>
      <c r="D28" s="159">
        <f t="shared" si="4"/>
        <v>42066</v>
      </c>
      <c r="E28" s="196">
        <f>_xll.qlCalendarAdvance(Calendar,SettlementDate,C28,"Following",,Trigger)</f>
        <v>42373</v>
      </c>
      <c r="F28" s="210">
        <f>_xll.qlDayCounterYearFraction(DayCounter,D28,E28,,,Trigger)</f>
        <v>0.84109589041095889</v>
      </c>
      <c r="G28" s="348">
        <f>_xll.qlYieldTSDiscount(Discounting,D28,,AllTriggers)</f>
        <v>1</v>
      </c>
      <c r="H28" s="420">
        <f>_xll.qlYieldTSDiscount(Discounting,E28,,AllTriggers)</f>
        <v>0.99587527715663748</v>
      </c>
      <c r="I28" s="361">
        <f t="shared" si="9"/>
        <v>4.9242978060826227E-3</v>
      </c>
      <c r="J28" s="358">
        <f t="shared" si="10"/>
        <v>9.5052085523901451E-3</v>
      </c>
      <c r="K28" s="358">
        <f t="shared" si="11"/>
        <v>9.4190843142719569E-3</v>
      </c>
      <c r="L28" s="358">
        <f t="shared" si="12"/>
        <v>9.4064405006445938E-3</v>
      </c>
      <c r="AB28" s="188">
        <f>_xll.qlCalendarAdvance(Calendar,AB27,"1d","mf",,Trigger)</f>
        <v>42103</v>
      </c>
      <c r="AC28" s="210">
        <f>_xll.qlDayCounterYearFraction(DayCounter,SettlementDate,AB28,,,Trigger)</f>
        <v>0.10136986301369863</v>
      </c>
      <c r="AD28" s="189">
        <f t="shared" si="0"/>
        <v>4.5532856454536591E-3</v>
      </c>
      <c r="AE28" s="189">
        <f t="shared" si="13"/>
        <v>4.1304091464935203E-3</v>
      </c>
      <c r="AF28" s="161">
        <f t="shared" si="14"/>
        <v>3.0558498447826655E-3</v>
      </c>
    </row>
    <row r="29" spans="3:32" ht="12" customHeight="1" x14ac:dyDescent="0.2">
      <c r="C29" s="198" t="s">
        <v>52</v>
      </c>
      <c r="D29" s="159">
        <f t="shared" si="4"/>
        <v>42066</v>
      </c>
      <c r="E29" s="196">
        <f>_xll.qlCalendarAdvance(Calendar,SettlementDate,C29,"Following",,Trigger)</f>
        <v>42403</v>
      </c>
      <c r="F29" s="210">
        <f>_xll.qlDayCounterYearFraction(DayCounter,D29,E29,,,Trigger)</f>
        <v>0.92328767123287669</v>
      </c>
      <c r="G29" s="348">
        <f>_xll.qlYieldTSDiscount(Discounting,D29,,AllTriggers)</f>
        <v>1</v>
      </c>
      <c r="H29" s="420">
        <f>_xll.qlYieldTSDiscount(Discounting,E29,,AllTriggers)</f>
        <v>0.99537105603561071</v>
      </c>
      <c r="I29" s="361">
        <f t="shared" si="9"/>
        <v>5.0368599925195651E-3</v>
      </c>
      <c r="J29" s="358">
        <f t="shared" si="10"/>
        <v>9.6209495472320862E-3</v>
      </c>
      <c r="K29" s="358">
        <f t="shared" si="11"/>
        <v>9.5785792959769585E-3</v>
      </c>
      <c r="L29" s="358">
        <f t="shared" si="12"/>
        <v>9.5856884278187771E-3</v>
      </c>
      <c r="AB29" s="188">
        <f>_xll.qlCalendarAdvance(Calendar,AB28,"1d","mf",,Trigger)</f>
        <v>42104</v>
      </c>
      <c r="AC29" s="210">
        <f>_xll.qlDayCounterYearFraction(DayCounter,SettlementDate,AB29,,,Trigger)</f>
        <v>0.10410958904109589</v>
      </c>
      <c r="AD29" s="189">
        <f t="shared" si="0"/>
        <v>4.5532856454536591E-3</v>
      </c>
      <c r="AE29" s="189">
        <f t="shared" si="13"/>
        <v>4.1333055608699602E-3</v>
      </c>
      <c r="AF29" s="161">
        <f t="shared" si="14"/>
        <v>3.0761961727717932E-3</v>
      </c>
    </row>
    <row r="30" spans="3:32" ht="12" customHeight="1" thickBot="1" x14ac:dyDescent="0.25">
      <c r="C30" s="199" t="s">
        <v>53</v>
      </c>
      <c r="D30" s="163">
        <f t="shared" si="4"/>
        <v>42066</v>
      </c>
      <c r="E30" s="197">
        <f>_xll.qlCalendarAdvance(Calendar,SettlementDate,C30,"Following",,Trigger)</f>
        <v>42432</v>
      </c>
      <c r="F30" s="211">
        <f>_xll.qlDayCounterYearFraction(DayCounter,D30,E30,,,Trigger)</f>
        <v>1.0027397260273974</v>
      </c>
      <c r="G30" s="349">
        <f>_xll.qlYieldTSDiscount(Discounting,D30,,AllTriggers)</f>
        <v>1</v>
      </c>
      <c r="H30" s="421">
        <f>_xll.qlYieldTSDiscount(Discounting,E30,,AllTriggers)</f>
        <v>0.99481338588579293</v>
      </c>
      <c r="I30" s="362">
        <f t="shared" si="9"/>
        <v>5.1994103726165008E-3</v>
      </c>
      <c r="J30" s="370">
        <f t="shared" si="10"/>
        <v>9.7869000000001087E-3</v>
      </c>
      <c r="K30" s="370">
        <f t="shared" si="11"/>
        <v>9.7869000000001087E-3</v>
      </c>
      <c r="L30" s="370">
        <f t="shared" si="12"/>
        <v>9.7869000000001087E-3</v>
      </c>
      <c r="AB30" s="188">
        <f>_xll.qlCalendarAdvance(Calendar,AB29,"1d","mf",,Trigger)</f>
        <v>42107</v>
      </c>
      <c r="AC30" s="210">
        <f>_xll.qlDayCounterYearFraction(DayCounter,SettlementDate,AB30,,,Trigger)</f>
        <v>0.11232876712328767</v>
      </c>
      <c r="AD30" s="189">
        <f t="shared" si="0"/>
        <v>4.5532856454536591E-3</v>
      </c>
      <c r="AE30" s="189">
        <f t="shared" si="13"/>
        <v>4.1419948039992773E-3</v>
      </c>
      <c r="AF30" s="161">
        <f t="shared" si="14"/>
        <v>3.1366884231534007E-3</v>
      </c>
    </row>
    <row r="31" spans="3:32" ht="12" customHeight="1" thickBot="1" x14ac:dyDescent="0.25">
      <c r="AB31" s="188">
        <f>_xll.qlCalendarAdvance(Calendar,AB30,"1d","mf",,Trigger)</f>
        <v>42108</v>
      </c>
      <c r="AC31" s="210">
        <f>_xll.qlDayCounterYearFraction(DayCounter,SettlementDate,AB31,,,Trigger)</f>
        <v>0.11506849315068493</v>
      </c>
      <c r="AD31" s="189">
        <f t="shared" si="0"/>
        <v>4.5532856454536591E-3</v>
      </c>
      <c r="AE31" s="189">
        <f t="shared" si="13"/>
        <v>4.1448912183757172E-3</v>
      </c>
      <c r="AF31" s="161">
        <f t="shared" si="14"/>
        <v>3.1566702620853442E-3</v>
      </c>
    </row>
    <row r="32" spans="3:32" ht="12" customHeight="1" x14ac:dyDescent="0.2">
      <c r="C32" s="212" t="s">
        <v>118</v>
      </c>
      <c r="AB32" s="188">
        <f>_xll.qlCalendarAdvance(Calendar,AB31,"1d","mf",,Trigger)</f>
        <v>42109</v>
      </c>
      <c r="AC32" s="210">
        <f>_xll.qlDayCounterYearFraction(DayCounter,SettlementDate,AB32,,,Trigger)</f>
        <v>0.11780821917808219</v>
      </c>
      <c r="AD32" s="189">
        <f t="shared" si="0"/>
        <v>4.5532856454536591E-3</v>
      </c>
      <c r="AE32" s="189">
        <f t="shared" si="13"/>
        <v>4.1477876327521562E-3</v>
      </c>
      <c r="AF32" s="161">
        <f t="shared" si="14"/>
        <v>3.1765609787529916E-3</v>
      </c>
    </row>
    <row r="33" spans="3:32" x14ac:dyDescent="0.2">
      <c r="C33" s="215" t="s">
        <v>104</v>
      </c>
      <c r="AB33" s="188">
        <f>_xll.qlCalendarAdvance(Calendar,AB32,"1d","mf",,Trigger)</f>
        <v>42110</v>
      </c>
      <c r="AC33" s="210">
        <f>_xll.qlDayCounterYearFraction(DayCounter,SettlementDate,AB33,,,Trigger)</f>
        <v>0.12054794520547946</v>
      </c>
      <c r="AD33" s="189">
        <f t="shared" si="0"/>
        <v>4.5532856454536591E-3</v>
      </c>
      <c r="AE33" s="189">
        <f t="shared" si="13"/>
        <v>4.1506840471285953E-3</v>
      </c>
      <c r="AF33" s="161">
        <f t="shared" si="14"/>
        <v>3.1963605731563432E-3</v>
      </c>
    </row>
    <row r="34" spans="3:32" x14ac:dyDescent="0.2">
      <c r="C34" s="189">
        <f t="shared" ref="C34:C49" si="15">IF($C$33="FLAT",J15,IF($C$33="linear",K15,L15))</f>
        <v>8.5913757408284663E-3</v>
      </c>
      <c r="AB34" s="188">
        <f>_xll.qlCalendarAdvance(Calendar,AB33,"1d","mf",,Trigger)</f>
        <v>42111</v>
      </c>
      <c r="AC34" s="210">
        <f>_xll.qlDayCounterYearFraction(DayCounter,SettlementDate,AB34,,,Trigger)</f>
        <v>0.12328767123287671</v>
      </c>
      <c r="AD34" s="189">
        <f t="shared" si="0"/>
        <v>4.5532856454536591E-3</v>
      </c>
      <c r="AE34" s="189">
        <f t="shared" si="13"/>
        <v>4.1535804615050352E-3</v>
      </c>
      <c r="AF34" s="161">
        <f t="shared" si="14"/>
        <v>3.2160690452953987E-3</v>
      </c>
    </row>
    <row r="35" spans="3:32" x14ac:dyDescent="0.2">
      <c r="C35" s="189">
        <f t="shared" si="15"/>
        <v>8.6032168491347229E-3</v>
      </c>
      <c r="AB35" s="188">
        <f>_xll.qlCalendarAdvance(Calendar,AB34,"1d","mf",,Trigger)</f>
        <v>42114</v>
      </c>
      <c r="AC35" s="210">
        <f>_xll.qlDayCounterYearFraction(DayCounter,SettlementDate,AB35,,,Trigger)</f>
        <v>0.13150684931506848</v>
      </c>
      <c r="AD35" s="189">
        <f t="shared" si="0"/>
        <v>4.5532856454536591E-3</v>
      </c>
      <c r="AE35" s="189">
        <f t="shared" si="13"/>
        <v>4.1622697046343532E-3</v>
      </c>
      <c r="AF35" s="161">
        <f t="shared" si="14"/>
        <v>3.2746477281267892E-3</v>
      </c>
    </row>
    <row r="36" spans="3:32" x14ac:dyDescent="0.2">
      <c r="C36" s="189">
        <f t="shared" si="15"/>
        <v>8.616702184418408E-3</v>
      </c>
      <c r="AB36" s="188">
        <f>_xll.qlCalendarAdvance(Calendar,AB35,"1d","mf",,Trigger)</f>
        <v>42115</v>
      </c>
      <c r="AC36" s="210">
        <f>_xll.qlDayCounterYearFraction(DayCounter,SettlementDate,AB36,,,Trigger)</f>
        <v>0.13424657534246576</v>
      </c>
      <c r="AD36" s="189">
        <f t="shared" si="0"/>
        <v>4.5532856454536591E-3</v>
      </c>
      <c r="AE36" s="189">
        <f t="shared" si="13"/>
        <v>4.1651661190107922E-3</v>
      </c>
      <c r="AF36" s="161">
        <f t="shared" si="14"/>
        <v>3.293991711208661E-3</v>
      </c>
    </row>
    <row r="37" spans="3:32" x14ac:dyDescent="0.2">
      <c r="C37" s="189">
        <f t="shared" si="15"/>
        <v>8.6216473425259656E-3</v>
      </c>
      <c r="AB37" s="188">
        <f>_xll.qlCalendarAdvance(Calendar,AB36,"1d","mf",,Trigger)</f>
        <v>42116</v>
      </c>
      <c r="AC37" s="210">
        <f>_xll.qlDayCounterYearFraction(DayCounter,SettlementDate,AB37,,,Trigger)</f>
        <v>0.13698630136986301</v>
      </c>
      <c r="AD37" s="189">
        <f t="shared" si="0"/>
        <v>4.5532856454536591E-3</v>
      </c>
      <c r="AE37" s="189">
        <f t="shared" si="13"/>
        <v>4.1680625333872312E-3</v>
      </c>
      <c r="AF37" s="161">
        <f t="shared" si="14"/>
        <v>3.3132445720262362E-3</v>
      </c>
    </row>
    <row r="38" spans="3:32" x14ac:dyDescent="0.2">
      <c r="C38" s="189">
        <f t="shared" si="15"/>
        <v>8.6328686893479209E-3</v>
      </c>
      <c r="AB38" s="188">
        <f>_xll.qlCalendarAdvance(Calendar,AB37,"1d","mf",,Trigger)</f>
        <v>42117</v>
      </c>
      <c r="AC38" s="210">
        <f>_xll.qlDayCounterYearFraction(DayCounter,SettlementDate,AB38,,,Trigger)</f>
        <v>0.13972602739726028</v>
      </c>
      <c r="AD38" s="189">
        <f t="shared" si="0"/>
        <v>4.5532856454536591E-3</v>
      </c>
      <c r="AE38" s="189">
        <f t="shared" si="13"/>
        <v>4.1709589477636711E-3</v>
      </c>
      <c r="AF38" s="161">
        <f t="shared" si="14"/>
        <v>3.3324063105795157E-3</v>
      </c>
    </row>
    <row r="39" spans="3:32" x14ac:dyDescent="0.2">
      <c r="C39" s="189">
        <f t="shared" si="15"/>
        <v>8.6782687146191497E-3</v>
      </c>
      <c r="AB39" s="188">
        <f>_xll.qlCalendarAdvance(Calendar,AB38,"1d","mf",,Trigger)</f>
        <v>42118</v>
      </c>
      <c r="AC39" s="210">
        <f>_xll.qlDayCounterYearFraction(DayCounter,SettlementDate,AB39,,,Trigger)</f>
        <v>0.14246575342465753</v>
      </c>
      <c r="AD39" s="189">
        <f t="shared" si="0"/>
        <v>4.5532856454536591E-3</v>
      </c>
      <c r="AE39" s="189">
        <f t="shared" si="13"/>
        <v>4.1738553621401102E-3</v>
      </c>
      <c r="AF39" s="161">
        <f t="shared" si="14"/>
        <v>3.3514769268684994E-3</v>
      </c>
    </row>
    <row r="40" spans="3:32" x14ac:dyDescent="0.2">
      <c r="C40" s="189">
        <f t="shared" si="15"/>
        <v>8.7235987203575279E-3</v>
      </c>
      <c r="AB40" s="188">
        <f>_xll.qlCalendarAdvance(Calendar,AB39,"1d","mf",,Trigger)</f>
        <v>42121</v>
      </c>
      <c r="AC40" s="210">
        <f>_xll.qlDayCounterYearFraction(DayCounter,SettlementDate,AB40,,,Trigger)</f>
        <v>0.15068493150684931</v>
      </c>
      <c r="AD40" s="189">
        <f t="shared" si="0"/>
        <v>4.5532856454536591E-3</v>
      </c>
      <c r="AE40" s="189">
        <f t="shared" si="13"/>
        <v>4.1825446052694282E-3</v>
      </c>
      <c r="AF40" s="161">
        <f t="shared" si="14"/>
        <v>3.4081420421496738E-3</v>
      </c>
    </row>
    <row r="41" spans="3:32" x14ac:dyDescent="0.2">
      <c r="C41" s="189">
        <f t="shared" si="15"/>
        <v>8.7825344853097558E-3</v>
      </c>
      <c r="AB41" s="188">
        <f>_xll.qlCalendarAdvance(Calendar,AB40,"1d","mf",,Trigger)</f>
        <v>42122</v>
      </c>
      <c r="AC41" s="210">
        <f>_xll.qlDayCounterYearFraction(DayCounter,SettlementDate,AB41,,,Trigger)</f>
        <v>0.15342465753424658</v>
      </c>
      <c r="AD41" s="189">
        <f t="shared" si="0"/>
        <v>4.5532856454536591E-3</v>
      </c>
      <c r="AE41" s="189">
        <f t="shared" si="13"/>
        <v>4.1854410196458672E-3</v>
      </c>
      <c r="AF41" s="161">
        <f t="shared" si="14"/>
        <v>3.4268481693814725E-3</v>
      </c>
    </row>
    <row r="42" spans="3:32" x14ac:dyDescent="0.2">
      <c r="C42" s="189">
        <f t="shared" si="15"/>
        <v>8.8303355726057145E-3</v>
      </c>
      <c r="AB42" s="188">
        <f>_xll.qlCalendarAdvance(Calendar,AB41,"1d","mf",,Trigger)</f>
        <v>42123</v>
      </c>
      <c r="AC42" s="210">
        <f>_xll.qlDayCounterYearFraction(DayCounter,SettlementDate,AB42,,,Trigger)</f>
        <v>0.15616438356164383</v>
      </c>
      <c r="AD42" s="189">
        <f t="shared" si="0"/>
        <v>4.5532856454536591E-3</v>
      </c>
      <c r="AE42" s="189">
        <f t="shared" si="13"/>
        <v>4.1883374340223063E-3</v>
      </c>
      <c r="AF42" s="161">
        <f t="shared" si="14"/>
        <v>3.4454631743489755E-3</v>
      </c>
    </row>
    <row r="43" spans="3:32" ht="11.25" customHeight="1" x14ac:dyDescent="0.2">
      <c r="C43" s="189">
        <f t="shared" si="15"/>
        <v>8.9156667486204356E-3</v>
      </c>
      <c r="M43" s="214"/>
      <c r="AB43" s="188">
        <f>_xll.qlCalendarAdvance(Calendar,AB42,"1d","mf",,Trigger)</f>
        <v>42124</v>
      </c>
      <c r="AC43" s="210">
        <f>_xll.qlDayCounterYearFraction(DayCounter,SettlementDate,AB43,,,Trigger)</f>
        <v>0.15890410958904111</v>
      </c>
      <c r="AD43" s="189">
        <f t="shared" si="0"/>
        <v>4.5532856454536591E-3</v>
      </c>
      <c r="AE43" s="189">
        <f t="shared" si="13"/>
        <v>4.1912338483987462E-3</v>
      </c>
      <c r="AF43" s="161">
        <f t="shared" si="14"/>
        <v>3.4639870570521837E-3</v>
      </c>
    </row>
    <row r="44" spans="3:32" x14ac:dyDescent="0.2">
      <c r="C44" s="189">
        <f t="shared" si="15"/>
        <v>9.0025704627947709E-3</v>
      </c>
      <c r="M44" s="214"/>
      <c r="AB44" s="188">
        <f>_xll.qlCalendarAdvance(Calendar,AB43,"1d","mf",,Trigger)</f>
        <v>42125</v>
      </c>
      <c r="AC44" s="210">
        <f>_xll.qlDayCounterYearFraction(DayCounter,SettlementDate,AB44,,,Trigger)</f>
        <v>0.16164383561643836</v>
      </c>
      <c r="AD44" s="189">
        <f t="shared" si="0"/>
        <v>4.5532856454536591E-3</v>
      </c>
      <c r="AE44" s="189">
        <f t="shared" si="13"/>
        <v>4.1941302627751852E-3</v>
      </c>
      <c r="AF44" s="161">
        <f t="shared" si="14"/>
        <v>3.4824198174910944E-3</v>
      </c>
    </row>
    <row r="45" spans="3:32" x14ac:dyDescent="0.2">
      <c r="C45" s="189">
        <f t="shared" si="15"/>
        <v>9.097442314666011E-3</v>
      </c>
      <c r="M45" s="214"/>
      <c r="AB45" s="188">
        <f>_xll.qlCalendarAdvance(Calendar,AB44,"1d","mf",,Trigger)</f>
        <v>42129</v>
      </c>
      <c r="AC45" s="210">
        <f>_xll.qlDayCounterYearFraction(DayCounter,SettlementDate,AB45,,,Trigger)</f>
        <v>0.17260273972602741</v>
      </c>
      <c r="AD45" s="189">
        <f t="shared" si="0"/>
        <v>4.5532856454536591E-3</v>
      </c>
      <c r="AE45" s="189">
        <f t="shared" si="13"/>
        <v>4.2057159202809422E-3</v>
      </c>
      <c r="AF45" s="161">
        <f t="shared" si="14"/>
        <v>3.5552396366037792E-3</v>
      </c>
    </row>
    <row r="46" spans="3:32" x14ac:dyDescent="0.2">
      <c r="C46" s="189">
        <f t="shared" si="15"/>
        <v>9.2566439071420266E-3</v>
      </c>
      <c r="M46" s="214"/>
      <c r="AB46" s="188">
        <f>_xll.qlCalendarAdvance(Calendar,AB45,"1d","mf",,Trigger)</f>
        <v>42130</v>
      </c>
      <c r="AC46" s="210">
        <f>_xll.qlDayCounterYearFraction(DayCounter,SettlementDate,AB46,,,Trigger)</f>
        <v>0.17534246575342466</v>
      </c>
      <c r="AD46" s="189">
        <f t="shared" si="0"/>
        <v>4.5532856454536591E-3</v>
      </c>
      <c r="AE46" s="189">
        <f t="shared" si="13"/>
        <v>4.2086123346573813E-3</v>
      </c>
      <c r="AF46" s="161">
        <f t="shared" si="14"/>
        <v>3.5732167857212105E-3</v>
      </c>
    </row>
    <row r="47" spans="3:32" x14ac:dyDescent="0.2">
      <c r="C47" s="189">
        <f t="shared" si="15"/>
        <v>9.4190843142719569E-3</v>
      </c>
      <c r="M47" s="214"/>
      <c r="AB47" s="188">
        <f>_xll.qlCalendarAdvance(Calendar,AB46,"1d","mf",,Trigger)</f>
        <v>42131</v>
      </c>
      <c r="AC47" s="210">
        <f>_xll.qlDayCounterYearFraction(DayCounter,SettlementDate,AB47,,,Trigger)</f>
        <v>0.17808219178082191</v>
      </c>
      <c r="AD47" s="189">
        <f t="shared" si="0"/>
        <v>4.5532856454536591E-3</v>
      </c>
      <c r="AE47" s="189">
        <f t="shared" si="13"/>
        <v>4.2115087490338212E-3</v>
      </c>
      <c r="AF47" s="161">
        <f t="shared" si="14"/>
        <v>3.5911028125743456E-3</v>
      </c>
    </row>
    <row r="48" spans="3:32" x14ac:dyDescent="0.2">
      <c r="C48" s="189">
        <f t="shared" si="15"/>
        <v>9.5785792959769585E-3</v>
      </c>
      <c r="AB48" s="188">
        <f>_xll.qlCalendarAdvance(Calendar,AB47,"1d","mf",,Trigger)</f>
        <v>42132</v>
      </c>
      <c r="AC48" s="210">
        <f>_xll.qlDayCounterYearFraction(DayCounter,SettlementDate,AB48,,,Trigger)</f>
        <v>0.18082191780821918</v>
      </c>
      <c r="AD48" s="189">
        <f t="shared" si="0"/>
        <v>4.5532856454536591E-3</v>
      </c>
      <c r="AE48" s="189">
        <f t="shared" si="13"/>
        <v>4.2144051634102602E-3</v>
      </c>
      <c r="AF48" s="161">
        <f t="shared" si="14"/>
        <v>3.6088977171631845E-3</v>
      </c>
    </row>
    <row r="49" spans="3:32" x14ac:dyDescent="0.2">
      <c r="C49" s="216">
        <f t="shared" si="15"/>
        <v>9.7869000000001087E-3</v>
      </c>
      <c r="AB49" s="188">
        <f>_xll.qlCalendarAdvance(Calendar,AB48,"1d","mf",,Trigger)</f>
        <v>42135</v>
      </c>
      <c r="AC49" s="210">
        <f>_xll.qlDayCounterYearFraction(DayCounter,SettlementDate,AB49,,,Trigger)</f>
        <v>0.18904109589041096</v>
      </c>
      <c r="AD49" s="189">
        <f t="shared" si="0"/>
        <v>4.5532856454536591E-3</v>
      </c>
      <c r="AE49" s="189">
        <f t="shared" si="13"/>
        <v>4.2230944065395782E-3</v>
      </c>
      <c r="AF49" s="161">
        <f t="shared" si="14"/>
        <v>3.6617356973439258E-3</v>
      </c>
    </row>
    <row r="50" spans="3:32" x14ac:dyDescent="0.2">
      <c r="I50" s="170"/>
      <c r="J50" s="170"/>
      <c r="AB50" s="188">
        <f>_xll.qlCalendarAdvance(Calendar,AB49,"1d","mf",,Trigger)</f>
        <v>42136</v>
      </c>
      <c r="AC50" s="210">
        <f>_xll.qlDayCounterYearFraction(DayCounter,SettlementDate,AB50,,,Trigger)</f>
        <v>0.19178082191780821</v>
      </c>
      <c r="AD50" s="189">
        <f t="shared" si="0"/>
        <v>4.5532856454536591E-3</v>
      </c>
      <c r="AE50" s="189">
        <f t="shared" si="13"/>
        <v>4.2259908209160172E-3</v>
      </c>
      <c r="AF50" s="161">
        <f t="shared" si="14"/>
        <v>3.6791661128755806E-3</v>
      </c>
    </row>
    <row r="51" spans="3:32" x14ac:dyDescent="0.2">
      <c r="AB51" s="188">
        <f>_xll.qlCalendarAdvance(Calendar,AB50,"1d","mf",,Trigger)</f>
        <v>42137</v>
      </c>
      <c r="AC51" s="210">
        <f>_xll.qlDayCounterYearFraction(DayCounter,SettlementDate,AB51,,,Trigger)</f>
        <v>0.19452054794520549</v>
      </c>
      <c r="AD51" s="189">
        <f t="shared" si="0"/>
        <v>4.5532856454536591E-3</v>
      </c>
      <c r="AE51" s="189">
        <f t="shared" si="13"/>
        <v>4.2288872352924571E-3</v>
      </c>
      <c r="AF51" s="161">
        <f t="shared" si="14"/>
        <v>3.6965054061429401E-3</v>
      </c>
    </row>
    <row r="52" spans="3:32" x14ac:dyDescent="0.2">
      <c r="AB52" s="188">
        <f>_xll.qlCalendarAdvance(Calendar,AB51,"1d","mf",,Trigger)</f>
        <v>42138</v>
      </c>
      <c r="AC52" s="210">
        <f>_xll.qlDayCounterYearFraction(DayCounter,SettlementDate,AB52,,,Trigger)</f>
        <v>0.19726027397260273</v>
      </c>
      <c r="AD52" s="189">
        <f t="shared" si="0"/>
        <v>4.5532856454536591E-3</v>
      </c>
      <c r="AE52" s="189">
        <f t="shared" si="13"/>
        <v>4.2317836496688962E-3</v>
      </c>
      <c r="AF52" s="161">
        <f t="shared" si="14"/>
        <v>3.7137535771460026E-3</v>
      </c>
    </row>
    <row r="53" spans="3:32" x14ac:dyDescent="0.2">
      <c r="AB53" s="188">
        <f>_xll.qlCalendarAdvance(Calendar,AB52,"1d","mf",,Trigger)</f>
        <v>42139</v>
      </c>
      <c r="AC53" s="210">
        <f>_xll.qlDayCounterYearFraction(DayCounter,SettlementDate,AB53,,,Trigger)</f>
        <v>0.2</v>
      </c>
      <c r="AD53" s="189">
        <f t="shared" si="0"/>
        <v>4.5532856454536591E-3</v>
      </c>
      <c r="AE53" s="189">
        <f t="shared" si="13"/>
        <v>4.2346800640453352E-3</v>
      </c>
      <c r="AF53" s="161">
        <f t="shared" si="14"/>
        <v>3.7309106258847694E-3</v>
      </c>
    </row>
    <row r="54" spans="3:32" x14ac:dyDescent="0.2">
      <c r="AB54" s="188">
        <f>_xll.qlCalendarAdvance(Calendar,AB53,"1d","mf",,Trigger)</f>
        <v>42142</v>
      </c>
      <c r="AC54" s="210">
        <f>_xll.qlDayCounterYearFraction(DayCounter,SettlementDate,AB54,,,Trigger)</f>
        <v>0.20821917808219179</v>
      </c>
      <c r="AD54" s="189">
        <f t="shared" si="0"/>
        <v>4.5532856454536591E-3</v>
      </c>
      <c r="AE54" s="189">
        <f t="shared" si="13"/>
        <v>4.2433693071746532E-3</v>
      </c>
      <c r="AF54" s="161">
        <f t="shared" si="14"/>
        <v>3.7818350385152941E-3</v>
      </c>
    </row>
    <row r="55" spans="3:32" x14ac:dyDescent="0.2">
      <c r="AB55" s="188">
        <f>_xll.qlCalendarAdvance(Calendar,AB54,"1d","mf",,Trigger)</f>
        <v>42143</v>
      </c>
      <c r="AC55" s="210">
        <f>_xll.qlDayCounterYearFraction(DayCounter,SettlementDate,AB55,,,Trigger)</f>
        <v>0.21095890410958903</v>
      </c>
      <c r="AD55" s="189">
        <f t="shared" si="0"/>
        <v>4.5532856454536591E-3</v>
      </c>
      <c r="AE55" s="189">
        <f t="shared" si="13"/>
        <v>4.2462657215510922E-3</v>
      </c>
      <c r="AF55" s="161">
        <f t="shared" si="14"/>
        <v>3.7986275981968767E-3</v>
      </c>
    </row>
    <row r="56" spans="3:32" x14ac:dyDescent="0.2">
      <c r="AB56" s="188">
        <f>_xll.qlCalendarAdvance(Calendar,AB55,"1d","mf",,Trigger)</f>
        <v>42144</v>
      </c>
      <c r="AC56" s="210">
        <f>_xll.qlDayCounterYearFraction(DayCounter,SettlementDate,AB56,,,Trigger)</f>
        <v>0.21369863013698631</v>
      </c>
      <c r="AD56" s="189">
        <f t="shared" si="0"/>
        <v>4.5532856454536591E-3</v>
      </c>
      <c r="AE56" s="189">
        <f t="shared" si="13"/>
        <v>4.2491621359275322E-3</v>
      </c>
      <c r="AF56" s="161">
        <f t="shared" si="14"/>
        <v>3.8153290356141641E-3</v>
      </c>
    </row>
    <row r="57" spans="3:32" x14ac:dyDescent="0.2">
      <c r="AB57" s="188">
        <f>_xll.qlCalendarAdvance(Calendar,AB56,"1d","mf",,Trigger)</f>
        <v>42145</v>
      </c>
      <c r="AC57" s="210">
        <f>_xll.qlDayCounterYearFraction(DayCounter,SettlementDate,AB57,,,Trigger)</f>
        <v>0.21643835616438356</v>
      </c>
      <c r="AD57" s="189">
        <f t="shared" si="0"/>
        <v>4.5532856454536591E-3</v>
      </c>
      <c r="AE57" s="189">
        <f t="shared" si="13"/>
        <v>4.2520585503039712E-3</v>
      </c>
      <c r="AF57" s="161">
        <f t="shared" si="14"/>
        <v>3.8319393507671544E-3</v>
      </c>
    </row>
    <row r="58" spans="3:32" x14ac:dyDescent="0.2">
      <c r="AB58" s="188">
        <f>_xll.qlCalendarAdvance(Calendar,AB57,"1d","mf",,Trigger)</f>
        <v>42146</v>
      </c>
      <c r="AC58" s="210">
        <f>_xll.qlDayCounterYearFraction(DayCounter,SettlementDate,AB58,,,Trigger)</f>
        <v>0.21917808219178081</v>
      </c>
      <c r="AD58" s="189">
        <f t="shared" si="0"/>
        <v>4.5532856454536591E-3</v>
      </c>
      <c r="AE58" s="189">
        <f t="shared" si="13"/>
        <v>4.2549549646804102E-3</v>
      </c>
      <c r="AF58" s="161">
        <f t="shared" si="14"/>
        <v>3.848458543655849E-3</v>
      </c>
    </row>
    <row r="59" spans="3:32" x14ac:dyDescent="0.2">
      <c r="AB59" s="188">
        <f>_xll.qlCalendarAdvance(Calendar,AB58,"1d","mf",,Trigger)</f>
        <v>42150</v>
      </c>
      <c r="AC59" s="210">
        <f>_xll.qlDayCounterYearFraction(DayCounter,SettlementDate,AB59,,,Trigger)</f>
        <v>0.23013698630136986</v>
      </c>
      <c r="AD59" s="189">
        <f t="shared" si="0"/>
        <v>4.5532856454536591E-3</v>
      </c>
      <c r="AE59" s="189">
        <f t="shared" si="13"/>
        <v>4.2665406221861681E-3</v>
      </c>
      <c r="AF59" s="161">
        <f t="shared" si="14"/>
        <v>3.9136240925676689E-3</v>
      </c>
    </row>
    <row r="60" spans="3:32" x14ac:dyDescent="0.2">
      <c r="AB60" s="188">
        <f>_xll.qlCalendarAdvance(Calendar,AB59,"1d","mf",,Trigger)</f>
        <v>42151</v>
      </c>
      <c r="AC60" s="210">
        <f>_xll.qlDayCounterYearFraction(DayCounter,SettlementDate,AB60,,,Trigger)</f>
        <v>0.23287671232876711</v>
      </c>
      <c r="AD60" s="189">
        <f t="shared" si="0"/>
        <v>4.5532856454536591E-3</v>
      </c>
      <c r="AE60" s="189">
        <f t="shared" si="13"/>
        <v>4.2694370365626072E-3</v>
      </c>
      <c r="AF60" s="161">
        <f t="shared" si="14"/>
        <v>3.9296876741348819E-3</v>
      </c>
    </row>
    <row r="61" spans="3:32" x14ac:dyDescent="0.2">
      <c r="AB61" s="188">
        <f>_xll.qlCalendarAdvance(Calendar,AB60,"1d","mf",,Trigger)</f>
        <v>42152</v>
      </c>
      <c r="AC61" s="210">
        <f>_xll.qlDayCounterYearFraction(DayCounter,SettlementDate,AB61,,,Trigger)</f>
        <v>0.23561643835616439</v>
      </c>
      <c r="AD61" s="189">
        <f t="shared" si="0"/>
        <v>4.5532856454536591E-3</v>
      </c>
      <c r="AE61" s="189">
        <f t="shared" si="13"/>
        <v>4.2723334509390462E-3</v>
      </c>
      <c r="AF61" s="161">
        <f t="shared" si="14"/>
        <v>3.9456601334378009E-3</v>
      </c>
    </row>
    <row r="62" spans="3:32" x14ac:dyDescent="0.2">
      <c r="AB62" s="188">
        <f>_xll.qlCalendarAdvance(Calendar,AB61,"1d","mf",,Trigger)</f>
        <v>42153</v>
      </c>
      <c r="AC62" s="210">
        <f>_xll.qlDayCounterYearFraction(DayCounter,SettlementDate,AB62,,,Trigger)</f>
        <v>0.23835616438356164</v>
      </c>
      <c r="AD62" s="189">
        <f t="shared" si="0"/>
        <v>4.5532856454536591E-3</v>
      </c>
      <c r="AE62" s="189">
        <f t="shared" si="13"/>
        <v>4.2752298653154852E-3</v>
      </c>
      <c r="AF62" s="161">
        <f t="shared" si="14"/>
        <v>3.9615414704764242E-3</v>
      </c>
    </row>
    <row r="63" spans="3:32" x14ac:dyDescent="0.2">
      <c r="AB63" s="188">
        <f>_xll.qlCalendarAdvance(Calendar,AB62,"1d","mf",,Trigger)</f>
        <v>42156</v>
      </c>
      <c r="AC63" s="210">
        <f>_xll.qlDayCounterYearFraction(DayCounter,SettlementDate,AB63,,,Trigger)</f>
        <v>0.24657534246575341</v>
      </c>
      <c r="AD63" s="189">
        <f t="shared" si="0"/>
        <v>4.5532856454536591E-3</v>
      </c>
      <c r="AE63" s="189">
        <f t="shared" si="13"/>
        <v>4.2839191084448032E-3</v>
      </c>
      <c r="AF63" s="161">
        <f t="shared" si="14"/>
        <v>4.0086387480065154E-3</v>
      </c>
    </row>
    <row r="64" spans="3:32" x14ac:dyDescent="0.2">
      <c r="AB64" s="188">
        <f>_xll.qlCalendarAdvance(Calendar,AB63,"1d","mf",,Trigger)</f>
        <v>42157</v>
      </c>
      <c r="AC64" s="210">
        <f>_xll.qlDayCounterYearFraction(DayCounter,SettlementDate,AB64,,,Trigger)</f>
        <v>0.24931506849315069</v>
      </c>
      <c r="AD64" s="189">
        <f t="shared" si="0"/>
        <v>4.5532856454536591E-3</v>
      </c>
      <c r="AE64" s="189">
        <f t="shared" si="13"/>
        <v>4.2868155228212431E-3</v>
      </c>
      <c r="AF64" s="161">
        <f t="shared" si="14"/>
        <v>4.024155595987954E-3</v>
      </c>
    </row>
    <row r="65" spans="9:32" x14ac:dyDescent="0.2">
      <c r="AB65" s="188">
        <f>_xll.qlCalendarAdvance(Calendar,AB64,"1d","mf",,Trigger)</f>
        <v>42158</v>
      </c>
      <c r="AC65" s="210">
        <f>_xll.qlDayCounterYearFraction(DayCounter,SettlementDate,AB65,,,Trigger)</f>
        <v>0.25205479452054796</v>
      </c>
      <c r="AD65" s="189">
        <f t="shared" si="0"/>
        <v>4.5532856454536591E-3</v>
      </c>
      <c r="AE65" s="189">
        <f t="shared" si="13"/>
        <v>4.2897119371976822E-3</v>
      </c>
      <c r="AF65" s="161">
        <f t="shared" si="14"/>
        <v>4.039581321705097E-3</v>
      </c>
    </row>
    <row r="66" spans="9:32" x14ac:dyDescent="0.2">
      <c r="AB66" s="188">
        <f>_xll.qlCalendarAdvance(Calendar,AB65,"1d","mf",,Trigger)</f>
        <v>42159</v>
      </c>
      <c r="AC66" s="210">
        <f>_xll.qlDayCounterYearFraction(DayCounter,SettlementDate,AB66,,,Trigger)</f>
        <v>0.25479452054794521</v>
      </c>
      <c r="AD66" s="189">
        <f t="shared" si="0"/>
        <v>4.5532856454536591E-3</v>
      </c>
      <c r="AE66" s="189">
        <f t="shared" si="13"/>
        <v>4.2926083515741212E-3</v>
      </c>
      <c r="AF66" s="161">
        <f t="shared" si="14"/>
        <v>4.0549159251579434E-3</v>
      </c>
    </row>
    <row r="67" spans="9:32" x14ac:dyDescent="0.2">
      <c r="AB67" s="188">
        <f>_xll.qlCalendarAdvance(Calendar,AB66,"1d","mf",,Trigger)</f>
        <v>42160</v>
      </c>
      <c r="AC67" s="210">
        <f>_xll.qlDayCounterYearFraction(DayCounter,SettlementDate,AB67,,,Trigger)</f>
        <v>0.25753424657534246</v>
      </c>
      <c r="AD67" s="189">
        <f t="shared" ref="AD67:AD130" si="16">$S$13</f>
        <v>4.5532856454536591E-3</v>
      </c>
      <c r="AE67" s="189">
        <f t="shared" si="13"/>
        <v>4.2955047659505611E-3</v>
      </c>
      <c r="AF67" s="161">
        <f t="shared" si="14"/>
        <v>4.0701594063464932E-3</v>
      </c>
    </row>
    <row r="68" spans="9:32" x14ac:dyDescent="0.2">
      <c r="AB68" s="188">
        <f>_xll.qlCalendarAdvance(Calendar,AB67,"1d","mf",,Trigger)</f>
        <v>42163</v>
      </c>
      <c r="AC68" s="210">
        <f>_xll.qlDayCounterYearFraction(DayCounter,SettlementDate,AB68,,,Trigger)</f>
        <v>0.26575342465753427</v>
      </c>
      <c r="AD68" s="189">
        <f t="shared" si="16"/>
        <v>4.5532856454536591E-3</v>
      </c>
      <c r="AE68" s="189">
        <f t="shared" si="13"/>
        <v>4.3041940090798782E-3</v>
      </c>
      <c r="AF68" s="161">
        <f t="shared" si="14"/>
        <v>4.1153431163263683E-3</v>
      </c>
    </row>
    <row r="69" spans="9:32" x14ac:dyDescent="0.2">
      <c r="I69" s="170"/>
      <c r="AB69" s="188">
        <f>_xll.qlCalendarAdvance(Calendar,AB68,"1d","mf",,Trigger)</f>
        <v>42164</v>
      </c>
      <c r="AC69" s="210">
        <f>_xll.qlDayCounterYearFraction(DayCounter,SettlementDate,AB69,,,Trigger)</f>
        <v>0.26849315068493151</v>
      </c>
      <c r="AD69" s="189">
        <f t="shared" si="16"/>
        <v>4.5532856454536591E-3</v>
      </c>
      <c r="AE69" s="189">
        <f t="shared" si="13"/>
        <v>4.3070904234563182E-3</v>
      </c>
      <c r="AF69" s="161">
        <f t="shared" si="14"/>
        <v>4.1302221084577352E-3</v>
      </c>
    </row>
    <row r="70" spans="9:32" x14ac:dyDescent="0.2">
      <c r="I70" s="170"/>
      <c r="AB70" s="188">
        <f>_xll.qlCalendarAdvance(Calendar,AB69,"1d","mf",,Trigger)</f>
        <v>42165</v>
      </c>
      <c r="AC70" s="210">
        <f>_xll.qlDayCounterYearFraction(DayCounter,SettlementDate,AB70,,,Trigger)</f>
        <v>0.27123287671232876</v>
      </c>
      <c r="AD70" s="189">
        <f t="shared" si="16"/>
        <v>4.5532856454536591E-3</v>
      </c>
      <c r="AE70" s="189">
        <f t="shared" si="13"/>
        <v>4.3099868378327572E-3</v>
      </c>
      <c r="AF70" s="161">
        <f t="shared" si="14"/>
        <v>4.1450099783248056E-3</v>
      </c>
    </row>
    <row r="71" spans="9:32" x14ac:dyDescent="0.2">
      <c r="I71" s="170"/>
      <c r="AB71" s="188">
        <f>_xll.qlCalendarAdvance(Calendar,AB70,"1d","mf",,Trigger)</f>
        <v>42166</v>
      </c>
      <c r="AC71" s="210">
        <f>_xll.qlDayCounterYearFraction(DayCounter,SettlementDate,AB71,,,Trigger)</f>
        <v>0.27397260273972601</v>
      </c>
      <c r="AD71" s="189">
        <f t="shared" si="16"/>
        <v>4.5532856454536591E-3</v>
      </c>
      <c r="AE71" s="189">
        <f t="shared" si="13"/>
        <v>4.3128832522091962E-3</v>
      </c>
      <c r="AF71" s="161">
        <f t="shared" si="14"/>
        <v>4.1597067259275793E-3</v>
      </c>
    </row>
    <row r="72" spans="9:32" x14ac:dyDescent="0.2">
      <c r="I72" s="170"/>
      <c r="AB72" s="188">
        <f>_xll.qlCalendarAdvance(Calendar,AB71,"1d","mf",,Trigger)</f>
        <v>42167</v>
      </c>
      <c r="AC72" s="210">
        <f>_xll.qlDayCounterYearFraction(DayCounter,SettlementDate,AB72,,,Trigger)</f>
        <v>0.27671232876712326</v>
      </c>
      <c r="AD72" s="189">
        <f t="shared" si="16"/>
        <v>4.5532856454536591E-3</v>
      </c>
      <c r="AE72" s="189">
        <f t="shared" si="13"/>
        <v>4.3157796665856361E-3</v>
      </c>
      <c r="AF72" s="161">
        <f t="shared" si="14"/>
        <v>4.1743123512660582E-3</v>
      </c>
    </row>
    <row r="73" spans="9:32" x14ac:dyDescent="0.2">
      <c r="I73" s="170"/>
      <c r="AB73" s="188">
        <f>_xll.qlCalendarAdvance(Calendar,AB72,"1d","mf",,Trigger)</f>
        <v>42170</v>
      </c>
      <c r="AC73" s="210">
        <f>_xll.qlDayCounterYearFraction(DayCounter,SettlementDate,AB73,,,Trigger)</f>
        <v>0.28493150684931506</v>
      </c>
      <c r="AD73" s="189">
        <f t="shared" si="16"/>
        <v>4.5532856454536591E-3</v>
      </c>
      <c r="AE73" s="189">
        <f t="shared" si="13"/>
        <v>4.3244689097149541E-3</v>
      </c>
      <c r="AF73" s="161">
        <f t="shared" si="14"/>
        <v>4.2175824936957172E-3</v>
      </c>
    </row>
    <row r="74" spans="9:32" x14ac:dyDescent="0.2">
      <c r="I74" s="170"/>
      <c r="AB74" s="188">
        <f>_xll.qlCalendarAdvance(Calendar,AB73,"1d","mf",,Trigger)</f>
        <v>42171</v>
      </c>
      <c r="AC74" s="210">
        <f>_xll.qlDayCounterYearFraction(DayCounter,SettlementDate,AB74,,,Trigger)</f>
        <v>0.28767123287671231</v>
      </c>
      <c r="AD74" s="189">
        <f t="shared" si="16"/>
        <v>4.5532856454536591E-3</v>
      </c>
      <c r="AE74" s="189">
        <f t="shared" si="13"/>
        <v>4.3273653240913932E-3</v>
      </c>
      <c r="AF74" s="161">
        <f t="shared" si="14"/>
        <v>4.2318236299770107E-3</v>
      </c>
    </row>
    <row r="75" spans="9:32" x14ac:dyDescent="0.2">
      <c r="I75" s="170"/>
      <c r="J75" s="170"/>
      <c r="AB75" s="188">
        <f>_xll.qlCalendarAdvance(Calendar,AB74,"1d","mf",,Trigger)</f>
        <v>42172</v>
      </c>
      <c r="AC75" s="210">
        <f>_xll.qlDayCounterYearFraction(DayCounter,SettlementDate,AB75,,,Trigger)</f>
        <v>0.29041095890410956</v>
      </c>
      <c r="AD75" s="189">
        <f t="shared" si="16"/>
        <v>4.5532856454536591E-3</v>
      </c>
      <c r="AE75" s="189">
        <f t="shared" si="13"/>
        <v>4.3302617384678322E-3</v>
      </c>
      <c r="AF75" s="161">
        <f t="shared" si="14"/>
        <v>4.2459736439940093E-3</v>
      </c>
    </row>
    <row r="76" spans="9:32" x14ac:dyDescent="0.2">
      <c r="I76" s="170"/>
      <c r="J76" s="170"/>
      <c r="AB76" s="188">
        <f>_xll.qlCalendarAdvance(Calendar,AB75,"1d","mf",,Trigger)</f>
        <v>42173</v>
      </c>
      <c r="AC76" s="210">
        <f>_xll.qlDayCounterYearFraction(DayCounter,SettlementDate,AB76,,,Trigger)</f>
        <v>0.29315068493150687</v>
      </c>
      <c r="AD76" s="189">
        <f t="shared" si="16"/>
        <v>4.5532856454536591E-3</v>
      </c>
      <c r="AE76" s="189">
        <f t="shared" si="13"/>
        <v>4.3331581528442721E-3</v>
      </c>
      <c r="AF76" s="161">
        <f t="shared" si="14"/>
        <v>4.2600325357467113E-3</v>
      </c>
    </row>
    <row r="77" spans="9:32" x14ac:dyDescent="0.2">
      <c r="I77" s="170"/>
      <c r="J77" s="170"/>
      <c r="AB77" s="188">
        <f>_xll.qlCalendarAdvance(Calendar,AB76,"1d","mf",,Trigger)</f>
        <v>42174</v>
      </c>
      <c r="AC77" s="210">
        <f>_xll.qlDayCounterYearFraction(DayCounter,SettlementDate,AB77,,,Trigger)</f>
        <v>0.29589041095890412</v>
      </c>
      <c r="AD77" s="189">
        <f t="shared" si="16"/>
        <v>4.5532856454536591E-3</v>
      </c>
      <c r="AE77" s="189">
        <f t="shared" si="13"/>
        <v>4.3360545672207111E-3</v>
      </c>
      <c r="AF77" s="161">
        <f t="shared" si="14"/>
        <v>4.2740003052351176E-3</v>
      </c>
    </row>
    <row r="78" spans="9:32" x14ac:dyDescent="0.2">
      <c r="I78" s="170"/>
      <c r="J78" s="170"/>
      <c r="AB78" s="188">
        <f>_xll.qlCalendarAdvance(Calendar,AB77,"1d","mf",,Trigger)</f>
        <v>42177</v>
      </c>
      <c r="AC78" s="210">
        <f>_xll.qlDayCounterYearFraction(DayCounter,SettlementDate,AB78,,,Trigger)</f>
        <v>0.30410958904109592</v>
      </c>
      <c r="AD78" s="189">
        <f t="shared" si="16"/>
        <v>4.5532856454536591E-3</v>
      </c>
      <c r="AE78" s="189">
        <f t="shared" si="13"/>
        <v>4.3447438103500291E-3</v>
      </c>
      <c r="AF78" s="161">
        <f t="shared" si="14"/>
        <v>4.3153568801145596E-3</v>
      </c>
    </row>
    <row r="79" spans="9:32" x14ac:dyDescent="0.2">
      <c r="I79" s="170"/>
      <c r="J79" s="170"/>
      <c r="AB79" s="188">
        <f>_xll.qlCalendarAdvance(Calendar,AB78,"1d","mf",,Trigger)</f>
        <v>42178</v>
      </c>
      <c r="AC79" s="210">
        <f>_xll.qlDayCounterYearFraction(DayCounter,SettlementDate,AB79,,,Trigger)</f>
        <v>0.30684931506849317</v>
      </c>
      <c r="AD79" s="189">
        <f t="shared" si="16"/>
        <v>4.5532856454536591E-3</v>
      </c>
      <c r="AE79" s="189">
        <f t="shared" si="13"/>
        <v>4.3476402247264682E-3</v>
      </c>
      <c r="AF79" s="161">
        <f t="shared" si="14"/>
        <v>4.3289601605457813E-3</v>
      </c>
    </row>
    <row r="80" spans="9:32" x14ac:dyDescent="0.2">
      <c r="I80" s="170"/>
      <c r="J80" s="170"/>
      <c r="AB80" s="188">
        <f>_xll.qlCalendarAdvance(Calendar,AB79,"1d","mf",,Trigger)</f>
        <v>42179</v>
      </c>
      <c r="AC80" s="210">
        <f>_xll.qlDayCounterYearFraction(DayCounter,SettlementDate,AB80,,,Trigger)</f>
        <v>0.30958904109589042</v>
      </c>
      <c r="AD80" s="189">
        <f t="shared" si="16"/>
        <v>4.5532856454536591E-3</v>
      </c>
      <c r="AE80" s="189">
        <f t="shared" si="13"/>
        <v>4.3505366391029072E-3</v>
      </c>
      <c r="AF80" s="161">
        <f t="shared" si="14"/>
        <v>4.3424723187127081E-3</v>
      </c>
    </row>
    <row r="81" spans="9:32" x14ac:dyDescent="0.2">
      <c r="I81" s="170"/>
      <c r="J81" s="170"/>
      <c r="AB81" s="188">
        <f>_xll.qlCalendarAdvance(Calendar,AB80,"1d","mf",,Trigger)</f>
        <v>42180</v>
      </c>
      <c r="AC81" s="210">
        <f>_xll.qlDayCounterYearFraction(DayCounter,SettlementDate,AB81,,,Trigger)</f>
        <v>0.31232876712328766</v>
      </c>
      <c r="AD81" s="189">
        <f t="shared" si="16"/>
        <v>4.5532856454536591E-3</v>
      </c>
      <c r="AE81" s="189">
        <f t="shared" si="13"/>
        <v>4.3534330534793471E-3</v>
      </c>
      <c r="AF81" s="161">
        <f t="shared" si="14"/>
        <v>4.3558933546153367E-3</v>
      </c>
    </row>
    <row r="82" spans="9:32" x14ac:dyDescent="0.2">
      <c r="I82" s="170"/>
      <c r="J82" s="170"/>
      <c r="AB82" s="188">
        <f>_xll.qlCalendarAdvance(Calendar,AB81,"1d","mf",,Trigger)</f>
        <v>42181</v>
      </c>
      <c r="AC82" s="210">
        <f>_xll.qlDayCounterYearFraction(DayCounter,SettlementDate,AB82,,,Trigger)</f>
        <v>0.31506849315068491</v>
      </c>
      <c r="AD82" s="189">
        <f t="shared" si="16"/>
        <v>4.5532856454536591E-3</v>
      </c>
      <c r="AE82" s="189">
        <f t="shared" si="13"/>
        <v>4.3563294678557862E-3</v>
      </c>
      <c r="AF82" s="161">
        <f t="shared" si="14"/>
        <v>4.3692232682536721E-3</v>
      </c>
    </row>
    <row r="83" spans="9:32" x14ac:dyDescent="0.2">
      <c r="I83" s="170"/>
      <c r="J83" s="170"/>
      <c r="AB83" s="188">
        <f>_xll.qlCalendarAdvance(Calendar,AB82,"1d","mf",,Trigger)</f>
        <v>42184</v>
      </c>
      <c r="AC83" s="210">
        <f>_xll.qlDayCounterYearFraction(DayCounter,SettlementDate,AB83,,,Trigger)</f>
        <v>0.32328767123287672</v>
      </c>
      <c r="AD83" s="189">
        <f t="shared" si="16"/>
        <v>4.5532856454536591E-3</v>
      </c>
      <c r="AE83" s="189">
        <f t="shared" si="13"/>
        <v>4.3650187109851041E-3</v>
      </c>
      <c r="AF83" s="161">
        <f t="shared" si="14"/>
        <v>4.4086662755828971E-3</v>
      </c>
    </row>
    <row r="84" spans="9:32" x14ac:dyDescent="0.2">
      <c r="I84" s="170"/>
      <c r="J84" s="170"/>
      <c r="AB84" s="188">
        <f>_xll.qlCalendarAdvance(Calendar,AB83,"1d","mf",,Trigger)</f>
        <v>42185</v>
      </c>
      <c r="AC84" s="210">
        <f>_xll.qlDayCounterYearFraction(DayCounter,SettlementDate,AB84,,,Trigger)</f>
        <v>0.32602739726027397</v>
      </c>
      <c r="AD84" s="189">
        <f t="shared" si="16"/>
        <v>4.5532856454536591E-3</v>
      </c>
      <c r="AE84" s="189">
        <f t="shared" si="13"/>
        <v>4.3679151253615432E-3</v>
      </c>
      <c r="AF84" s="161">
        <f t="shared" si="14"/>
        <v>4.4216317001640471E-3</v>
      </c>
    </row>
    <row r="85" spans="9:32" x14ac:dyDescent="0.2">
      <c r="I85" s="170"/>
      <c r="J85" s="170"/>
      <c r="AB85" s="188">
        <f>_xll.qlCalendarAdvance(Calendar,AB84,"1d","mf",,Trigger)</f>
        <v>42186</v>
      </c>
      <c r="AC85" s="210">
        <f>_xll.qlDayCounterYearFraction(DayCounter,SettlementDate,AB85,,,Trigger)</f>
        <v>0.32876712328767121</v>
      </c>
      <c r="AD85" s="189">
        <f t="shared" si="16"/>
        <v>4.5532856454536591E-3</v>
      </c>
      <c r="AE85" s="189">
        <f t="shared" si="13"/>
        <v>4.3708115397379822E-3</v>
      </c>
      <c r="AF85" s="161">
        <f t="shared" si="14"/>
        <v>4.4345060024809004E-3</v>
      </c>
    </row>
    <row r="86" spans="9:32" x14ac:dyDescent="0.2">
      <c r="I86" s="170"/>
      <c r="J86" s="170"/>
      <c r="AB86" s="188">
        <f>_xll.qlCalendarAdvance(Calendar,AB85,"1d","mf",,Trigger)</f>
        <v>42187</v>
      </c>
      <c r="AC86" s="210">
        <f>_xll.qlDayCounterYearFraction(DayCounter,SettlementDate,AB86,,,Trigger)</f>
        <v>0.33150684931506852</v>
      </c>
      <c r="AD86" s="189">
        <f t="shared" si="16"/>
        <v>4.5532856454536591E-3</v>
      </c>
      <c r="AE86" s="189">
        <f t="shared" ref="AE86:AE145" si="17">$S$10+$S$9*AC86</f>
        <v>4.3737079541144221E-3</v>
      </c>
      <c r="AF86" s="161">
        <f t="shared" ref="AF86:AF145" si="18">($S$5+$S$4*AC86+$S$3*AC86^2)</f>
        <v>4.4472891825334589E-3</v>
      </c>
    </row>
    <row r="87" spans="9:32" x14ac:dyDescent="0.2">
      <c r="I87" s="170"/>
      <c r="J87" s="170"/>
      <c r="AB87" s="188">
        <f>_xll.qlCalendarAdvance(Calendar,AB86,"1d","mf",,Trigger)</f>
        <v>42188</v>
      </c>
      <c r="AC87" s="210">
        <f>_xll.qlDayCounterYearFraction(DayCounter,SettlementDate,AB87,,,Trigger)</f>
        <v>0.33424657534246577</v>
      </c>
      <c r="AD87" s="189">
        <f t="shared" si="16"/>
        <v>4.5532856454536591E-3</v>
      </c>
      <c r="AE87" s="189">
        <f t="shared" si="17"/>
        <v>4.3766043684908612E-3</v>
      </c>
      <c r="AF87" s="161">
        <f t="shared" si="18"/>
        <v>4.4599812403217209E-3</v>
      </c>
    </row>
    <row r="88" spans="9:32" x14ac:dyDescent="0.2">
      <c r="I88" s="170"/>
      <c r="J88" s="170"/>
      <c r="AB88" s="188">
        <f>_xll.qlCalendarAdvance(Calendar,AB87,"1d","mf",,Trigger)</f>
        <v>42191</v>
      </c>
      <c r="AC88" s="210">
        <f>_xll.qlDayCounterYearFraction(DayCounter,SettlementDate,AB88,,,Trigger)</f>
        <v>0.34246575342465752</v>
      </c>
      <c r="AD88" s="189">
        <f t="shared" si="16"/>
        <v>4.5532856454536591E-3</v>
      </c>
      <c r="AE88" s="189">
        <f t="shared" si="17"/>
        <v>4.3852936116201792E-3</v>
      </c>
      <c r="AF88" s="161">
        <f t="shared" si="18"/>
        <v>4.4975106801007298E-3</v>
      </c>
    </row>
    <row r="89" spans="9:32" x14ac:dyDescent="0.2">
      <c r="I89" s="170"/>
      <c r="J89" s="170"/>
      <c r="AB89" s="188">
        <f>_xll.qlCalendarAdvance(Calendar,AB88,"1d","mf",,Trigger)</f>
        <v>42192</v>
      </c>
      <c r="AC89" s="210">
        <f>_xll.qlDayCounterYearFraction(DayCounter,SettlementDate,AB89,,,Trigger)</f>
        <v>0.34520547945205482</v>
      </c>
      <c r="AD89" s="189">
        <f t="shared" si="16"/>
        <v>4.5532856454536591E-3</v>
      </c>
      <c r="AE89" s="189">
        <f t="shared" si="17"/>
        <v>4.3881900259966182E-3</v>
      </c>
      <c r="AF89" s="161">
        <f t="shared" si="18"/>
        <v>4.5098382488318071E-3</v>
      </c>
    </row>
    <row r="90" spans="9:32" x14ac:dyDescent="0.2">
      <c r="I90" s="170"/>
      <c r="J90" s="170"/>
      <c r="AB90" s="188">
        <f>_xll.qlCalendarAdvance(Calendar,AB89,"1d","mf",,Trigger)</f>
        <v>42193</v>
      </c>
      <c r="AC90" s="210">
        <f>_xll.qlDayCounterYearFraction(DayCounter,SettlementDate,AB90,,,Trigger)</f>
        <v>0.34794520547945207</v>
      </c>
      <c r="AD90" s="189">
        <f t="shared" si="16"/>
        <v>4.5532856454536591E-3</v>
      </c>
      <c r="AE90" s="189">
        <f t="shared" si="17"/>
        <v>4.3910864403730581E-3</v>
      </c>
      <c r="AF90" s="161">
        <f t="shared" si="18"/>
        <v>4.5220746952985896E-3</v>
      </c>
    </row>
    <row r="91" spans="9:32" x14ac:dyDescent="0.2">
      <c r="I91" s="170"/>
      <c r="J91" s="170"/>
      <c r="AB91" s="188">
        <f>_xll.qlCalendarAdvance(Calendar,AB90,"1d","mf",,Trigger)</f>
        <v>42194</v>
      </c>
      <c r="AC91" s="210">
        <f>_xll.qlDayCounterYearFraction(DayCounter,SettlementDate,AB91,,,Trigger)</f>
        <v>0.35068493150684932</v>
      </c>
      <c r="AD91" s="189">
        <f t="shared" si="16"/>
        <v>4.5532856454536591E-3</v>
      </c>
      <c r="AE91" s="189">
        <f t="shared" si="17"/>
        <v>4.3939828547494971E-3</v>
      </c>
      <c r="AF91" s="161">
        <f t="shared" si="18"/>
        <v>4.5342200195010746E-3</v>
      </c>
    </row>
    <row r="92" spans="9:32" x14ac:dyDescent="0.2">
      <c r="I92" s="170"/>
      <c r="J92" s="170"/>
      <c r="AB92" s="188">
        <f>_xll.qlCalendarAdvance(Calendar,AB91,"1d","mf",,Trigger)</f>
        <v>42195</v>
      </c>
      <c r="AC92" s="210">
        <f>_xll.qlDayCounterYearFraction(DayCounter,SettlementDate,AB92,,,Trigger)</f>
        <v>0.35342465753424657</v>
      </c>
      <c r="AD92" s="189">
        <f t="shared" si="16"/>
        <v>4.5532856454536591E-3</v>
      </c>
      <c r="AE92" s="189">
        <f t="shared" si="17"/>
        <v>4.3968792691259362E-3</v>
      </c>
      <c r="AF92" s="161">
        <f t="shared" si="18"/>
        <v>4.5462742214392648E-3</v>
      </c>
    </row>
    <row r="93" spans="9:32" x14ac:dyDescent="0.2">
      <c r="I93" s="170"/>
      <c r="J93" s="170"/>
      <c r="AB93" s="188">
        <f>_xll.qlCalendarAdvance(Calendar,AB92,"1d","mf",,Trigger)</f>
        <v>42198</v>
      </c>
      <c r="AC93" s="210">
        <f>_xll.qlDayCounterYearFraction(DayCounter,SettlementDate,AB93,,,Trigger)</f>
        <v>0.36164383561643837</v>
      </c>
      <c r="AD93" s="189">
        <f t="shared" si="16"/>
        <v>4.5532856454536591E-3</v>
      </c>
      <c r="AE93" s="189">
        <f t="shared" si="17"/>
        <v>4.4055685122552542E-3</v>
      </c>
      <c r="AF93" s="161">
        <f t="shared" si="18"/>
        <v>4.5818900936680576E-3</v>
      </c>
    </row>
    <row r="94" spans="9:32" x14ac:dyDescent="0.2">
      <c r="I94" s="170"/>
      <c r="J94" s="170"/>
      <c r="AB94" s="188">
        <f>_xll.qlCalendarAdvance(Calendar,AB93,"1d","mf",,Trigger)</f>
        <v>42199</v>
      </c>
      <c r="AC94" s="210">
        <f>_xll.qlDayCounterYearFraction(DayCounter,SettlementDate,AB94,,,Trigger)</f>
        <v>0.36438356164383562</v>
      </c>
      <c r="AD94" s="189">
        <f t="shared" si="16"/>
        <v>4.5532856454536591E-3</v>
      </c>
      <c r="AE94" s="189">
        <f t="shared" si="17"/>
        <v>4.4084649266316932E-3</v>
      </c>
      <c r="AF94" s="161">
        <f t="shared" si="18"/>
        <v>4.5935798065490632E-3</v>
      </c>
    </row>
    <row r="95" spans="9:32" x14ac:dyDescent="0.2">
      <c r="I95" s="170"/>
      <c r="J95" s="170"/>
      <c r="AB95" s="188">
        <f>_xll.qlCalendarAdvance(Calendar,AB94,"1d","mf",,Trigger)</f>
        <v>42200</v>
      </c>
      <c r="AC95" s="210">
        <f>_xll.qlDayCounterYearFraction(DayCounter,SettlementDate,AB95,,,Trigger)</f>
        <v>0.36712328767123287</v>
      </c>
      <c r="AD95" s="189">
        <f t="shared" si="16"/>
        <v>4.5532856454536591E-3</v>
      </c>
      <c r="AE95" s="189">
        <f t="shared" si="17"/>
        <v>4.4113613410081331E-3</v>
      </c>
      <c r="AF95" s="161">
        <f t="shared" si="18"/>
        <v>4.6051783971657722E-3</v>
      </c>
    </row>
    <row r="96" spans="9:32" x14ac:dyDescent="0.2">
      <c r="I96" s="170"/>
      <c r="J96" s="170"/>
      <c r="AB96" s="188">
        <f>_xll.qlCalendarAdvance(Calendar,AB95,"1d","mf",,Trigger)</f>
        <v>42201</v>
      </c>
      <c r="AC96" s="210">
        <f>_xll.qlDayCounterYearFraction(DayCounter,SettlementDate,AB96,,,Trigger)</f>
        <v>0.36986301369863012</v>
      </c>
      <c r="AD96" s="189">
        <f t="shared" si="16"/>
        <v>4.5532856454536591E-3</v>
      </c>
      <c r="AE96" s="189">
        <f t="shared" si="17"/>
        <v>4.4142577553845722E-3</v>
      </c>
      <c r="AF96" s="161">
        <f t="shared" si="18"/>
        <v>4.6166858655181863E-3</v>
      </c>
    </row>
    <row r="97" spans="9:32" x14ac:dyDescent="0.2">
      <c r="I97" s="170"/>
      <c r="J97" s="170"/>
      <c r="AB97" s="188">
        <f>_xll.qlCalendarAdvance(Calendar,AB96,"1d","mf",,Trigger)</f>
        <v>42202</v>
      </c>
      <c r="AC97" s="210">
        <f>_xll.qlDayCounterYearFraction(DayCounter,SettlementDate,AB97,,,Trigger)</f>
        <v>0.37260273972602742</v>
      </c>
      <c r="AD97" s="189">
        <f t="shared" si="16"/>
        <v>4.5532856454536591E-3</v>
      </c>
      <c r="AE97" s="189">
        <f t="shared" si="17"/>
        <v>4.4171541697610112E-3</v>
      </c>
      <c r="AF97" s="161">
        <f t="shared" si="18"/>
        <v>4.6281022116063039E-3</v>
      </c>
    </row>
    <row r="98" spans="9:32" x14ac:dyDescent="0.2">
      <c r="I98" s="170"/>
      <c r="J98" s="170"/>
      <c r="AB98" s="188">
        <f>_xll.qlCalendarAdvance(Calendar,AB97,"1d","mf",,Trigger)</f>
        <v>42205</v>
      </c>
      <c r="AC98" s="210">
        <f>_xll.qlDayCounterYearFraction(DayCounter,SettlementDate,AB98,,,Trigger)</f>
        <v>0.38082191780821917</v>
      </c>
      <c r="AD98" s="189">
        <f t="shared" si="16"/>
        <v>4.5532856454536591E-3</v>
      </c>
      <c r="AE98" s="189">
        <f t="shared" si="17"/>
        <v>4.4258434128903292E-3</v>
      </c>
      <c r="AF98" s="161">
        <f t="shared" si="18"/>
        <v>4.6618045162848797E-3</v>
      </c>
    </row>
    <row r="99" spans="9:32" x14ac:dyDescent="0.2">
      <c r="I99" s="170"/>
      <c r="J99" s="170"/>
      <c r="AB99" s="188">
        <f>_xll.qlCalendarAdvance(Calendar,AB98,"1d","mf",,Trigger)</f>
        <v>42206</v>
      </c>
      <c r="AC99" s="210">
        <f>_xll.qlDayCounterYearFraction(DayCounter,SettlementDate,AB99,,,Trigger)</f>
        <v>0.38356164383561642</v>
      </c>
      <c r="AD99" s="189">
        <f t="shared" si="16"/>
        <v>4.5532856454536591E-3</v>
      </c>
      <c r="AE99" s="189">
        <f t="shared" si="17"/>
        <v>4.4287398272667691E-3</v>
      </c>
      <c r="AF99" s="161">
        <f t="shared" si="18"/>
        <v>4.6728563733158127E-3</v>
      </c>
    </row>
    <row r="100" spans="9:32" x14ac:dyDescent="0.2">
      <c r="I100" s="170"/>
      <c r="J100" s="170"/>
      <c r="AB100" s="188">
        <f>_xll.qlCalendarAdvance(Calendar,AB99,"1d","mf",,Trigger)</f>
        <v>42207</v>
      </c>
      <c r="AC100" s="210">
        <f>_xll.qlDayCounterYearFraction(DayCounter,SettlementDate,AB100,,,Trigger)</f>
        <v>0.38630136986301372</v>
      </c>
      <c r="AD100" s="189">
        <f t="shared" si="16"/>
        <v>4.5532856454536591E-3</v>
      </c>
      <c r="AE100" s="189">
        <f t="shared" si="17"/>
        <v>4.4316362416432081E-3</v>
      </c>
      <c r="AF100" s="161">
        <f t="shared" si="18"/>
        <v>4.6838171080824508E-3</v>
      </c>
    </row>
    <row r="101" spans="9:32" x14ac:dyDescent="0.2">
      <c r="I101" s="170"/>
      <c r="J101" s="170"/>
      <c r="AB101" s="188">
        <f>_xll.qlCalendarAdvance(Calendar,AB100,"1d","mf",,Trigger)</f>
        <v>42208</v>
      </c>
      <c r="AC101" s="210">
        <f>_xll.qlDayCounterYearFraction(DayCounter,SettlementDate,AB101,,,Trigger)</f>
        <v>0.38904109589041097</v>
      </c>
      <c r="AD101" s="189">
        <f t="shared" si="16"/>
        <v>4.5532856454536591E-3</v>
      </c>
      <c r="AE101" s="189">
        <f t="shared" si="17"/>
        <v>4.4345326560196472E-3</v>
      </c>
      <c r="AF101" s="161">
        <f t="shared" si="18"/>
        <v>4.6946867205847924E-3</v>
      </c>
    </row>
    <row r="102" spans="9:32" x14ac:dyDescent="0.2">
      <c r="I102" s="170"/>
      <c r="J102" s="170"/>
      <c r="AB102" s="188">
        <f>_xll.qlCalendarAdvance(Calendar,AB101,"1d","mf",,Trigger)</f>
        <v>42209</v>
      </c>
      <c r="AC102" s="210">
        <f>_xll.qlDayCounterYearFraction(DayCounter,SettlementDate,AB102,,,Trigger)</f>
        <v>0.39178082191780822</v>
      </c>
      <c r="AD102" s="189">
        <f t="shared" si="16"/>
        <v>4.5532856454536591E-3</v>
      </c>
      <c r="AE102" s="189">
        <f t="shared" si="17"/>
        <v>4.4374290703960862E-3</v>
      </c>
      <c r="AF102" s="161">
        <f t="shared" si="18"/>
        <v>4.7054652108228364E-3</v>
      </c>
    </row>
    <row r="103" spans="9:32" x14ac:dyDescent="0.2">
      <c r="I103" s="170"/>
      <c r="J103" s="170"/>
      <c r="AB103" s="188">
        <f>_xll.qlCalendarAdvance(Calendar,AB102,"1d","mf",,Trigger)</f>
        <v>42212</v>
      </c>
      <c r="AC103" s="210">
        <f>_xll.qlDayCounterYearFraction(DayCounter,SettlementDate,AB103,,,Trigger)</f>
        <v>0.4</v>
      </c>
      <c r="AD103" s="189">
        <f t="shared" si="16"/>
        <v>4.5532856454536591E-3</v>
      </c>
      <c r="AE103" s="189">
        <f t="shared" si="17"/>
        <v>4.4461183135254042E-3</v>
      </c>
      <c r="AF103" s="161">
        <f t="shared" si="18"/>
        <v>4.7372539479511961E-3</v>
      </c>
    </row>
    <row r="104" spans="9:32" x14ac:dyDescent="0.2">
      <c r="I104" s="170"/>
      <c r="J104" s="170"/>
      <c r="AB104" s="188">
        <f>_xll.qlCalendarAdvance(Calendar,AB103,"1d","mf",,Trigger)</f>
        <v>42213</v>
      </c>
      <c r="AC104" s="210">
        <f>_xll.qlDayCounterYearFraction(DayCounter,SettlementDate,AB104,,,Trigger)</f>
        <v>0.40273972602739727</v>
      </c>
      <c r="AD104" s="189">
        <f t="shared" si="16"/>
        <v>4.5532856454536591E-3</v>
      </c>
      <c r="AE104" s="189">
        <f t="shared" si="17"/>
        <v>4.4490147279018441E-3</v>
      </c>
      <c r="AF104" s="161">
        <f t="shared" si="18"/>
        <v>4.7476679491320582E-3</v>
      </c>
    </row>
    <row r="105" spans="9:32" x14ac:dyDescent="0.2">
      <c r="I105" s="170"/>
      <c r="J105" s="170"/>
      <c r="AB105" s="188">
        <f>_xll.qlCalendarAdvance(Calendar,AB104,"1d","mf",,Trigger)</f>
        <v>42214</v>
      </c>
      <c r="AC105" s="210">
        <f>_xll.qlDayCounterYearFraction(DayCounter,SettlementDate,AB105,,,Trigger)</f>
        <v>0.40547945205479452</v>
      </c>
      <c r="AD105" s="189">
        <f t="shared" si="16"/>
        <v>4.5532856454536591E-3</v>
      </c>
      <c r="AE105" s="189">
        <f t="shared" si="17"/>
        <v>4.4519111422782831E-3</v>
      </c>
      <c r="AF105" s="161">
        <f t="shared" si="18"/>
        <v>4.7579908280486229E-3</v>
      </c>
    </row>
    <row r="106" spans="9:32" x14ac:dyDescent="0.2">
      <c r="I106" s="170"/>
      <c r="J106" s="170"/>
      <c r="AB106" s="188">
        <f>_xll.qlCalendarAdvance(Calendar,AB105,"1d","mf",,Trigger)</f>
        <v>42215</v>
      </c>
      <c r="AC106" s="210">
        <f>_xll.qlDayCounterYearFraction(DayCounter,SettlementDate,AB106,,,Trigger)</f>
        <v>0.40821917808219177</v>
      </c>
      <c r="AD106" s="189">
        <f t="shared" si="16"/>
        <v>4.5532856454536591E-3</v>
      </c>
      <c r="AE106" s="189">
        <f t="shared" si="17"/>
        <v>4.4548075566547222E-3</v>
      </c>
      <c r="AF106" s="161">
        <f t="shared" si="18"/>
        <v>4.7682225847008926E-3</v>
      </c>
    </row>
    <row r="107" spans="9:32" x14ac:dyDescent="0.2">
      <c r="I107" s="170"/>
      <c r="J107" s="170"/>
      <c r="AB107" s="188">
        <f>_xll.qlCalendarAdvance(Calendar,AB106,"1d","mf",,Trigger)</f>
        <v>42216</v>
      </c>
      <c r="AC107" s="210">
        <f>_xll.qlDayCounterYearFraction(DayCounter,SettlementDate,AB107,,,Trigger)</f>
        <v>0.41095890410958902</v>
      </c>
      <c r="AD107" s="189">
        <f t="shared" si="16"/>
        <v>4.5532856454536591E-3</v>
      </c>
      <c r="AE107" s="189">
        <f t="shared" si="17"/>
        <v>4.4577039710311621E-3</v>
      </c>
      <c r="AF107" s="161">
        <f t="shared" si="18"/>
        <v>4.7783632190888659E-3</v>
      </c>
    </row>
    <row r="108" spans="9:32" x14ac:dyDescent="0.2">
      <c r="I108" s="170"/>
      <c r="J108" s="170"/>
      <c r="AB108" s="188">
        <f>_xll.qlCalendarAdvance(Calendar,AB107,"1d","mf",,Trigger)</f>
        <v>42219</v>
      </c>
      <c r="AC108" s="210">
        <f>_xll.qlDayCounterYearFraction(DayCounter,SettlementDate,AB108,,,Trigger)</f>
        <v>0.41917808219178082</v>
      </c>
      <c r="AD108" s="189">
        <f t="shared" si="16"/>
        <v>4.5532856454536591E-3</v>
      </c>
      <c r="AE108" s="189">
        <f t="shared" si="17"/>
        <v>4.4663932141604801E-3</v>
      </c>
      <c r="AF108" s="161">
        <f t="shared" si="18"/>
        <v>4.8082383886670094E-3</v>
      </c>
    </row>
    <row r="109" spans="9:32" x14ac:dyDescent="0.2">
      <c r="I109" s="170"/>
      <c r="J109" s="170"/>
      <c r="AB109" s="188">
        <f>_xll.qlCalendarAdvance(Calendar,AB108,"1d","mf",,Trigger)</f>
        <v>42220</v>
      </c>
      <c r="AC109" s="210">
        <f>_xll.qlDayCounterYearFraction(DayCounter,SettlementDate,AB109,,,Trigger)</f>
        <v>0.42191780821917807</v>
      </c>
      <c r="AD109" s="189">
        <f t="shared" si="16"/>
        <v>4.5532856454536591E-3</v>
      </c>
      <c r="AE109" s="189">
        <f t="shared" si="17"/>
        <v>4.4692896285369191E-3</v>
      </c>
      <c r="AF109" s="161">
        <f t="shared" si="18"/>
        <v>4.818014533997798E-3</v>
      </c>
    </row>
    <row r="110" spans="9:32" x14ac:dyDescent="0.2">
      <c r="I110" s="170"/>
      <c r="J110" s="170"/>
      <c r="AB110" s="188">
        <f>_xll.qlCalendarAdvance(Calendar,AB109,"1d","mf",,Trigger)</f>
        <v>42221</v>
      </c>
      <c r="AC110" s="210">
        <f>_xll.qlDayCounterYearFraction(DayCounter,SettlementDate,AB110,,,Trigger)</f>
        <v>0.42465753424657532</v>
      </c>
      <c r="AD110" s="189">
        <f t="shared" si="16"/>
        <v>4.5532856454536591E-3</v>
      </c>
      <c r="AE110" s="189">
        <f t="shared" si="17"/>
        <v>4.4721860429133582E-3</v>
      </c>
      <c r="AF110" s="161">
        <f t="shared" si="18"/>
        <v>4.8276995570642918E-3</v>
      </c>
    </row>
    <row r="111" spans="9:32" x14ac:dyDescent="0.2">
      <c r="I111" s="170"/>
      <c r="J111" s="170"/>
      <c r="AB111" s="188">
        <f>_xll.qlCalendarAdvance(Calendar,AB110,"1d","mf",,Trigger)</f>
        <v>42222</v>
      </c>
      <c r="AC111" s="210">
        <f>_xll.qlDayCounterYearFraction(DayCounter,SettlementDate,AB111,,,Trigger)</f>
        <v>0.42739726027397262</v>
      </c>
      <c r="AD111" s="189">
        <f t="shared" si="16"/>
        <v>4.5532856454536591E-3</v>
      </c>
      <c r="AE111" s="189">
        <f t="shared" si="17"/>
        <v>4.4750824572897972E-3</v>
      </c>
      <c r="AF111" s="161">
        <f t="shared" si="18"/>
        <v>4.837293457866489E-3</v>
      </c>
    </row>
    <row r="112" spans="9:32" x14ac:dyDescent="0.2">
      <c r="I112" s="170"/>
      <c r="J112" s="170"/>
      <c r="AB112" s="188">
        <f>_xll.qlCalendarAdvance(Calendar,AB111,"1d","mf",,Trigger)</f>
        <v>42223</v>
      </c>
      <c r="AC112" s="210">
        <f>_xll.qlDayCounterYearFraction(DayCounter,SettlementDate,AB112,,,Trigger)</f>
        <v>0.43013698630136987</v>
      </c>
      <c r="AD112" s="189">
        <f t="shared" si="16"/>
        <v>4.5532856454536591E-3</v>
      </c>
      <c r="AE112" s="189">
        <f t="shared" si="17"/>
        <v>4.4779788716662371E-3</v>
      </c>
      <c r="AF112" s="161">
        <f t="shared" si="18"/>
        <v>4.8467962364043896E-3</v>
      </c>
    </row>
    <row r="113" spans="9:32" x14ac:dyDescent="0.2">
      <c r="I113" s="170"/>
      <c r="J113" s="170"/>
      <c r="AB113" s="188">
        <f>_xll.qlCalendarAdvance(Calendar,AB112,"1d","mf",,Trigger)</f>
        <v>42226</v>
      </c>
      <c r="AC113" s="210">
        <f>_xll.qlDayCounterYearFraction(DayCounter,SettlementDate,AB113,,,Trigger)</f>
        <v>0.43835616438356162</v>
      </c>
      <c r="AD113" s="189">
        <f t="shared" si="16"/>
        <v>4.5532856454536591E-3</v>
      </c>
      <c r="AE113" s="189">
        <f t="shared" si="17"/>
        <v>4.4866681147955551E-3</v>
      </c>
      <c r="AF113" s="161">
        <f t="shared" si="18"/>
        <v>4.8747578384323153E-3</v>
      </c>
    </row>
    <row r="114" spans="9:32" x14ac:dyDescent="0.2">
      <c r="I114" s="170"/>
      <c r="J114" s="170"/>
      <c r="AB114" s="188">
        <f>_xll.qlCalendarAdvance(Calendar,AB113,"1d","mf",,Trigger)</f>
        <v>42227</v>
      </c>
      <c r="AC114" s="210">
        <f>_xll.qlDayCounterYearFraction(DayCounter,SettlementDate,AB114,,,Trigger)</f>
        <v>0.44109589041095892</v>
      </c>
      <c r="AD114" s="189">
        <f t="shared" si="16"/>
        <v>4.5532856454536591E-3</v>
      </c>
      <c r="AE114" s="189">
        <f t="shared" si="17"/>
        <v>4.4895645291719941E-3</v>
      </c>
      <c r="AF114" s="161">
        <f t="shared" si="18"/>
        <v>4.883896127913033E-3</v>
      </c>
    </row>
    <row r="115" spans="9:32" x14ac:dyDescent="0.2">
      <c r="I115" s="170"/>
      <c r="J115" s="170"/>
      <c r="AB115" s="188">
        <f>_xll.qlCalendarAdvance(Calendar,AB114,"1d","mf",,Trigger)</f>
        <v>42228</v>
      </c>
      <c r="AC115" s="210">
        <f>_xll.qlDayCounterYearFraction(DayCounter,SettlementDate,AB115,,,Trigger)</f>
        <v>0.44383561643835617</v>
      </c>
      <c r="AD115" s="189">
        <f t="shared" si="16"/>
        <v>4.5532856454536591E-3</v>
      </c>
      <c r="AE115" s="189">
        <f t="shared" si="17"/>
        <v>4.4924609435484332E-3</v>
      </c>
      <c r="AF115" s="161">
        <f t="shared" si="18"/>
        <v>4.8929432951294542E-3</v>
      </c>
    </row>
    <row r="116" spans="9:32" x14ac:dyDescent="0.2">
      <c r="I116" s="170"/>
      <c r="J116" s="170"/>
      <c r="AB116" s="188">
        <f>_xll.qlCalendarAdvance(Calendar,AB115,"1d","mf",,Trigger)</f>
        <v>42229</v>
      </c>
      <c r="AC116" s="210">
        <f>_xll.qlDayCounterYearFraction(DayCounter,SettlementDate,AB116,,,Trigger)</f>
        <v>0.44657534246575342</v>
      </c>
      <c r="AD116" s="189">
        <f t="shared" si="16"/>
        <v>4.5532856454536591E-3</v>
      </c>
      <c r="AE116" s="189">
        <f t="shared" si="17"/>
        <v>4.4953573579248731E-3</v>
      </c>
      <c r="AF116" s="161">
        <f t="shared" si="18"/>
        <v>4.9018993400815787E-3</v>
      </c>
    </row>
    <row r="117" spans="9:32" x14ac:dyDescent="0.2">
      <c r="I117" s="170"/>
      <c r="J117" s="170"/>
      <c r="AB117" s="188">
        <f>_xll.qlCalendarAdvance(Calendar,AB116,"1d","mf",,Trigger)</f>
        <v>42230</v>
      </c>
      <c r="AC117" s="210">
        <f>_xll.qlDayCounterYearFraction(DayCounter,SettlementDate,AB117,,,Trigger)</f>
        <v>0.44931506849315067</v>
      </c>
      <c r="AD117" s="189">
        <f t="shared" si="16"/>
        <v>4.5532856454536591E-3</v>
      </c>
      <c r="AE117" s="189">
        <f t="shared" si="17"/>
        <v>4.4982537723013121E-3</v>
      </c>
      <c r="AF117" s="161">
        <f t="shared" si="18"/>
        <v>4.9107642627694075E-3</v>
      </c>
    </row>
    <row r="118" spans="9:32" x14ac:dyDescent="0.2">
      <c r="I118" s="170"/>
      <c r="J118" s="170"/>
      <c r="AB118" s="188">
        <f>_xll.qlCalendarAdvance(Calendar,AB117,"1d","mf",,Trigger)</f>
        <v>42233</v>
      </c>
      <c r="AC118" s="210">
        <f>_xll.qlDayCounterYearFraction(DayCounter,SettlementDate,AB118,,,Trigger)</f>
        <v>0.45753424657534247</v>
      </c>
      <c r="AD118" s="189">
        <f t="shared" si="16"/>
        <v>4.5532856454536591E-3</v>
      </c>
      <c r="AE118" s="189">
        <f t="shared" si="17"/>
        <v>4.5069430154306301E-3</v>
      </c>
      <c r="AF118" s="161">
        <f t="shared" si="18"/>
        <v>4.936812297247118E-3</v>
      </c>
    </row>
    <row r="119" spans="9:32" x14ac:dyDescent="0.2">
      <c r="I119" s="170"/>
      <c r="J119" s="170"/>
      <c r="AB119" s="188">
        <f>_xll.qlCalendarAdvance(Calendar,AB118,"1d","mf",,Trigger)</f>
        <v>42234</v>
      </c>
      <c r="AC119" s="210">
        <f>_xll.qlDayCounterYearFraction(DayCounter,SettlementDate,AB119,,,Trigger)</f>
        <v>0.46027397260273972</v>
      </c>
      <c r="AD119" s="189">
        <f t="shared" si="16"/>
        <v>4.5532856454536591E-3</v>
      </c>
      <c r="AE119" s="189">
        <f t="shared" si="17"/>
        <v>4.5098394298070691E-3</v>
      </c>
      <c r="AF119" s="161">
        <f t="shared" si="18"/>
        <v>4.9453127308777623E-3</v>
      </c>
    </row>
    <row r="120" spans="9:32" x14ac:dyDescent="0.2">
      <c r="I120" s="170"/>
      <c r="J120" s="170"/>
      <c r="AB120" s="188">
        <f>_xll.qlCalendarAdvance(Calendar,AB119,"1d","mf",,Trigger)</f>
        <v>42235</v>
      </c>
      <c r="AC120" s="210">
        <f>_xll.qlDayCounterYearFraction(DayCounter,SettlementDate,AB120,,,Trigger)</f>
        <v>0.46301369863013697</v>
      </c>
      <c r="AD120" s="189">
        <f t="shared" si="16"/>
        <v>4.5532856454536591E-3</v>
      </c>
      <c r="AE120" s="189">
        <f t="shared" si="17"/>
        <v>4.5127358441835082E-3</v>
      </c>
      <c r="AF120" s="161">
        <f t="shared" si="18"/>
        <v>4.9537220422441108E-3</v>
      </c>
    </row>
    <row r="121" spans="9:32" x14ac:dyDescent="0.2">
      <c r="I121" s="170"/>
      <c r="J121" s="170"/>
      <c r="AB121" s="188">
        <f>_xll.qlCalendarAdvance(Calendar,AB120,"1d","mf",,Trigger)</f>
        <v>42236</v>
      </c>
      <c r="AC121" s="210">
        <f>_xll.qlDayCounterYearFraction(DayCounter,SettlementDate,AB121,,,Trigger)</f>
        <v>0.46575342465753422</v>
      </c>
      <c r="AD121" s="189">
        <f t="shared" si="16"/>
        <v>4.5532856454536591E-3</v>
      </c>
      <c r="AE121" s="189">
        <f t="shared" si="17"/>
        <v>4.5156322585599481E-3</v>
      </c>
      <c r="AF121" s="161">
        <f t="shared" si="18"/>
        <v>4.9620402313461636E-3</v>
      </c>
    </row>
    <row r="122" spans="9:32" x14ac:dyDescent="0.2">
      <c r="I122" s="157"/>
      <c r="J122" s="170"/>
      <c r="AB122" s="188">
        <f>_xll.qlCalendarAdvance(Calendar,AB121,"1d","mf",,Trigger)</f>
        <v>42237</v>
      </c>
      <c r="AC122" s="210">
        <f>_xll.qlDayCounterYearFraction(DayCounter,SettlementDate,AB122,,,Trigger)</f>
        <v>0.46849315068493153</v>
      </c>
      <c r="AD122" s="189">
        <f t="shared" si="16"/>
        <v>4.5532856454536591E-3</v>
      </c>
      <c r="AE122" s="189">
        <f t="shared" si="17"/>
        <v>4.5185286729363871E-3</v>
      </c>
      <c r="AF122" s="161">
        <f t="shared" si="18"/>
        <v>4.9702672981839207E-3</v>
      </c>
    </row>
    <row r="123" spans="9:32" x14ac:dyDescent="0.2">
      <c r="I123" s="157"/>
      <c r="J123" s="170"/>
      <c r="AB123" s="188">
        <f>_xll.qlCalendarAdvance(Calendar,AB122,"1d","mf",,Trigger)</f>
        <v>42240</v>
      </c>
      <c r="AC123" s="210">
        <f>_xll.qlDayCounterYearFraction(DayCounter,SettlementDate,AB123,,,Trigger)</f>
        <v>0.47671232876712327</v>
      </c>
      <c r="AD123" s="189">
        <f t="shared" si="16"/>
        <v>4.5532856454536591E-3</v>
      </c>
      <c r="AE123" s="189">
        <f t="shared" si="17"/>
        <v>4.5272179160657051E-3</v>
      </c>
      <c r="AF123" s="161">
        <f t="shared" si="18"/>
        <v>4.9944017651114151E-3</v>
      </c>
    </row>
    <row r="124" spans="9:32" x14ac:dyDescent="0.2">
      <c r="I124" s="157"/>
      <c r="J124" s="170"/>
      <c r="AB124" s="188">
        <f>_xll.qlCalendarAdvance(Calendar,AB123,"1d","mf",,Trigger)</f>
        <v>42241</v>
      </c>
      <c r="AC124" s="210">
        <f>_xll.qlDayCounterYearFraction(DayCounter,SettlementDate,AB124,,,Trigger)</f>
        <v>0.47945205479452052</v>
      </c>
      <c r="AD124" s="189">
        <f t="shared" si="16"/>
        <v>4.5532856454536591E-3</v>
      </c>
      <c r="AE124" s="189">
        <f t="shared" si="17"/>
        <v>4.5301143304421441E-3</v>
      </c>
      <c r="AF124" s="161">
        <f t="shared" si="18"/>
        <v>5.0022643428919867E-3</v>
      </c>
    </row>
    <row r="125" spans="9:32" x14ac:dyDescent="0.2">
      <c r="I125" s="157"/>
      <c r="J125" s="170"/>
      <c r="AB125" s="188">
        <f>_xll.qlCalendarAdvance(Calendar,AB124,"1d","mf",,Trigger)</f>
        <v>42242</v>
      </c>
      <c r="AC125" s="210">
        <f>_xll.qlDayCounterYearFraction(DayCounter,SettlementDate,AB125,,,Trigger)</f>
        <v>0.48219178082191783</v>
      </c>
      <c r="AD125" s="189">
        <f t="shared" si="16"/>
        <v>4.5532856454536591E-3</v>
      </c>
      <c r="AE125" s="189">
        <f t="shared" si="17"/>
        <v>4.5330107448185841E-3</v>
      </c>
      <c r="AF125" s="161">
        <f t="shared" si="18"/>
        <v>5.0100357984082643E-3</v>
      </c>
    </row>
    <row r="126" spans="9:32" x14ac:dyDescent="0.2">
      <c r="I126" s="157"/>
      <c r="J126" s="170"/>
      <c r="AB126" s="188">
        <f>_xll.qlCalendarAdvance(Calendar,AB125,"1d","mf",,Trigger)</f>
        <v>42243</v>
      </c>
      <c r="AC126" s="210">
        <f>_xll.qlDayCounterYearFraction(DayCounter,SettlementDate,AB126,,,Trigger)</f>
        <v>0.48493150684931507</v>
      </c>
      <c r="AD126" s="189">
        <f t="shared" si="16"/>
        <v>4.5532856454536591E-3</v>
      </c>
      <c r="AE126" s="189">
        <f t="shared" si="17"/>
        <v>4.5359071591950231E-3</v>
      </c>
      <c r="AF126" s="161">
        <f t="shared" si="18"/>
        <v>5.0177161316602445E-3</v>
      </c>
    </row>
    <row r="127" spans="9:32" x14ac:dyDescent="0.2">
      <c r="I127" s="157"/>
      <c r="J127" s="170"/>
      <c r="AB127" s="188">
        <f>_xll.qlCalendarAdvance(Calendar,AB126,"1d","mf",,Trigger)</f>
        <v>42244</v>
      </c>
      <c r="AC127" s="210">
        <f>_xll.qlDayCounterYearFraction(DayCounter,SettlementDate,AB127,,,Trigger)</f>
        <v>0.48767123287671232</v>
      </c>
      <c r="AD127" s="189">
        <f t="shared" si="16"/>
        <v>4.5532856454536591E-3</v>
      </c>
      <c r="AE127" s="189">
        <f t="shared" si="17"/>
        <v>4.5388035735714621E-3</v>
      </c>
      <c r="AF127" s="161">
        <f t="shared" si="18"/>
        <v>5.025305342647929E-3</v>
      </c>
    </row>
    <row r="128" spans="9:32" x14ac:dyDescent="0.2">
      <c r="I128" s="157"/>
      <c r="J128" s="157"/>
      <c r="AB128" s="188">
        <f>_xll.qlCalendarAdvance(Calendar,AB127,"1d","mf",,Trigger)</f>
        <v>42248</v>
      </c>
      <c r="AC128" s="210">
        <f>_xll.qlDayCounterYearFraction(DayCounter,SettlementDate,AB128,,,Trigger)</f>
        <v>0.49863013698630138</v>
      </c>
      <c r="AD128" s="189">
        <f t="shared" si="16"/>
        <v>4.5532856454536591E-3</v>
      </c>
      <c r="AE128" s="189">
        <f t="shared" si="17"/>
        <v>4.5503892310772192E-3</v>
      </c>
      <c r="AF128" s="161">
        <f t="shared" si="18"/>
        <v>5.0547509639557063E-3</v>
      </c>
    </row>
    <row r="129" spans="9:32" x14ac:dyDescent="0.2">
      <c r="I129" s="157"/>
      <c r="J129" s="157"/>
      <c r="AB129" s="188">
        <f>_xll.qlCalendarAdvance(Calendar,AB128,"1d","mf",,Trigger)</f>
        <v>42249</v>
      </c>
      <c r="AC129" s="210">
        <f>_xll.qlDayCounterYearFraction(DayCounter,SettlementDate,AB129,,,Trigger)</f>
        <v>0.50136986301369868</v>
      </c>
      <c r="AD129" s="189">
        <f t="shared" si="16"/>
        <v>4.5532856454536591E-3</v>
      </c>
      <c r="AE129" s="189">
        <f t="shared" si="17"/>
        <v>4.5532856454536591E-3</v>
      </c>
      <c r="AF129" s="161">
        <f t="shared" si="18"/>
        <v>5.0618845636219104E-3</v>
      </c>
    </row>
    <row r="130" spans="9:32" x14ac:dyDescent="0.2">
      <c r="I130" s="157"/>
      <c r="J130" s="157"/>
      <c r="AB130" s="188">
        <f>_xll.qlCalendarAdvance(Calendar,AB129,"1d","mf",,Trigger)</f>
        <v>42250</v>
      </c>
      <c r="AC130" s="210">
        <f>_xll.qlDayCounterYearFraction(DayCounter,SettlementDate,AB130,,,Trigger)</f>
        <v>0.50410958904109593</v>
      </c>
      <c r="AD130" s="189">
        <f t="shared" si="16"/>
        <v>4.5532856454536591E-3</v>
      </c>
      <c r="AE130" s="189">
        <f t="shared" si="17"/>
        <v>4.5561820598300981E-3</v>
      </c>
      <c r="AF130" s="161">
        <f t="shared" si="18"/>
        <v>5.0689270410238189E-3</v>
      </c>
    </row>
    <row r="131" spans="9:32" x14ac:dyDescent="0.2">
      <c r="I131" s="157"/>
      <c r="J131" s="157"/>
      <c r="AB131" s="188">
        <f>_xll.qlCalendarAdvance(Calendar,AB130,"1d","mf",,Trigger)</f>
        <v>42251</v>
      </c>
      <c r="AC131" s="210">
        <f>_xll.qlDayCounterYearFraction(DayCounter,SettlementDate,AB131,,,Trigger)</f>
        <v>0.50684931506849318</v>
      </c>
      <c r="AD131" s="189">
        <f t="shared" ref="AD131:AD194" si="19">$S$13</f>
        <v>4.5532856454536591E-3</v>
      </c>
      <c r="AE131" s="189">
        <f t="shared" si="17"/>
        <v>4.5590784742065371E-3</v>
      </c>
      <c r="AF131" s="161">
        <f t="shared" si="18"/>
        <v>5.0758783961614325E-3</v>
      </c>
    </row>
    <row r="132" spans="9:32" x14ac:dyDescent="0.2">
      <c r="I132" s="157"/>
      <c r="J132" s="157"/>
      <c r="AB132" s="188">
        <f>_xll.qlCalendarAdvance(Calendar,AB131,"1d","mf",,Trigger)</f>
        <v>42254</v>
      </c>
      <c r="AC132" s="210">
        <f>_xll.qlDayCounterYearFraction(DayCounter,SettlementDate,AB132,,,Trigger)</f>
        <v>0.51506849315068493</v>
      </c>
      <c r="AD132" s="189">
        <f t="shared" si="19"/>
        <v>4.5532856454536591E-3</v>
      </c>
      <c r="AE132" s="189">
        <f t="shared" si="17"/>
        <v>4.5677677173358551E-3</v>
      </c>
      <c r="AF132" s="161">
        <f t="shared" si="18"/>
        <v>5.0961857279884929E-3</v>
      </c>
    </row>
    <row r="133" spans="9:32" x14ac:dyDescent="0.2">
      <c r="I133" s="157"/>
      <c r="J133" s="157"/>
      <c r="AB133" s="188">
        <f>_xll.qlCalendarAdvance(Calendar,AB132,"1d","mf",,Trigger)</f>
        <v>42255</v>
      </c>
      <c r="AC133" s="210">
        <f>_xll.qlDayCounterYearFraction(DayCounter,SettlementDate,AB133,,,Trigger)</f>
        <v>0.51780821917808217</v>
      </c>
      <c r="AD133" s="189">
        <f t="shared" si="19"/>
        <v>4.5532856454536591E-3</v>
      </c>
      <c r="AE133" s="189">
        <f t="shared" si="17"/>
        <v>4.5706641317122942E-3</v>
      </c>
      <c r="AF133" s="161">
        <f t="shared" si="18"/>
        <v>5.102772594068921E-3</v>
      </c>
    </row>
    <row r="134" spans="9:32" x14ac:dyDescent="0.2">
      <c r="I134" s="157"/>
      <c r="J134" s="157"/>
      <c r="AB134" s="188">
        <f>_xll.qlCalendarAdvance(Calendar,AB133,"1d","mf",,Trigger)</f>
        <v>42256</v>
      </c>
      <c r="AC134" s="210">
        <f>_xll.qlDayCounterYearFraction(DayCounter,SettlementDate,AB134,,,Trigger)</f>
        <v>0.52054794520547942</v>
      </c>
      <c r="AD134" s="189">
        <f t="shared" si="19"/>
        <v>4.5532856454536591E-3</v>
      </c>
      <c r="AE134" s="189">
        <f t="shared" si="17"/>
        <v>4.5735605460887341E-3</v>
      </c>
      <c r="AF134" s="161">
        <f t="shared" si="18"/>
        <v>5.1092683378850525E-3</v>
      </c>
    </row>
    <row r="135" spans="9:32" x14ac:dyDescent="0.2">
      <c r="I135" s="157"/>
      <c r="J135" s="157"/>
      <c r="AB135" s="188">
        <f>_xll.qlCalendarAdvance(Calendar,AB134,"1d","mf",,Trigger)</f>
        <v>42257</v>
      </c>
      <c r="AC135" s="210">
        <f>_xll.qlDayCounterYearFraction(DayCounter,SettlementDate,AB135,,,Trigger)</f>
        <v>0.52328767123287667</v>
      </c>
      <c r="AD135" s="189">
        <f t="shared" si="19"/>
        <v>4.5532856454536591E-3</v>
      </c>
      <c r="AE135" s="189">
        <f t="shared" si="17"/>
        <v>4.5764569604651731E-3</v>
      </c>
      <c r="AF135" s="161">
        <f t="shared" si="18"/>
        <v>5.1156729594368892E-3</v>
      </c>
    </row>
    <row r="136" spans="9:32" x14ac:dyDescent="0.2">
      <c r="I136" s="157"/>
      <c r="J136" s="157"/>
      <c r="AB136" s="188">
        <f>_xll.qlCalendarAdvance(Calendar,AB135,"1d","mf",,Trigger)</f>
        <v>42258</v>
      </c>
      <c r="AC136" s="210">
        <f>_xll.qlDayCounterYearFraction(DayCounter,SettlementDate,AB136,,,Trigger)</f>
        <v>0.52602739726027392</v>
      </c>
      <c r="AD136" s="189">
        <f t="shared" si="19"/>
        <v>4.5532856454536591E-3</v>
      </c>
      <c r="AE136" s="189">
        <f t="shared" si="17"/>
        <v>4.5793533748416122E-3</v>
      </c>
      <c r="AF136" s="161">
        <f t="shared" si="18"/>
        <v>5.1219864587244293E-3</v>
      </c>
    </row>
    <row r="137" spans="9:32" x14ac:dyDescent="0.2">
      <c r="I137" s="157"/>
      <c r="J137" s="157"/>
      <c r="AB137" s="188">
        <f>_xll.qlCalendarAdvance(Calendar,AB136,"1d","mf",,Trigger)</f>
        <v>42261</v>
      </c>
      <c r="AC137" s="210">
        <f>_xll.qlDayCounterYearFraction(DayCounter,SettlementDate,AB137,,,Trigger)</f>
        <v>0.53424657534246578</v>
      </c>
      <c r="AD137" s="189">
        <f t="shared" si="19"/>
        <v>4.5532856454536591E-3</v>
      </c>
      <c r="AE137" s="189">
        <f t="shared" si="17"/>
        <v>4.5880426179709301E-3</v>
      </c>
      <c r="AF137" s="161">
        <f t="shared" si="18"/>
        <v>5.1403802230012745E-3</v>
      </c>
    </row>
    <row r="138" spans="9:32" x14ac:dyDescent="0.2">
      <c r="J138" s="157"/>
      <c r="AB138" s="188">
        <f>_xll.qlCalendarAdvance(Calendar,AB137,"1d","mf",,Trigger)</f>
        <v>42262</v>
      </c>
      <c r="AC138" s="210">
        <f>_xll.qlDayCounterYearFraction(DayCounter,SettlementDate,AB138,,,Trigger)</f>
        <v>0.53698630136986303</v>
      </c>
      <c r="AD138" s="189">
        <f t="shared" si="19"/>
        <v>4.5532856454536591E-3</v>
      </c>
      <c r="AE138" s="189">
        <f t="shared" si="17"/>
        <v>4.5909390323473701E-3</v>
      </c>
      <c r="AF138" s="161">
        <f t="shared" si="18"/>
        <v>5.14632923323163E-3</v>
      </c>
    </row>
    <row r="139" spans="9:32" x14ac:dyDescent="0.2">
      <c r="J139" s="157"/>
      <c r="AB139" s="188">
        <f>_xll.qlCalendarAdvance(Calendar,AB138,"1d","mf",,Trigger)</f>
        <v>42263</v>
      </c>
      <c r="AC139" s="210">
        <f>_xll.qlDayCounterYearFraction(DayCounter,SettlementDate,AB139,,,Trigger)</f>
        <v>0.53972602739726028</v>
      </c>
      <c r="AD139" s="189">
        <f t="shared" si="19"/>
        <v>4.5532856454536591E-3</v>
      </c>
      <c r="AE139" s="189">
        <f t="shared" si="17"/>
        <v>4.5938354467238091E-3</v>
      </c>
      <c r="AF139" s="161">
        <f t="shared" si="18"/>
        <v>5.1521871211976898E-3</v>
      </c>
    </row>
    <row r="140" spans="9:32" x14ac:dyDescent="0.2">
      <c r="J140" s="157"/>
      <c r="AB140" s="188">
        <f>_xll.qlCalendarAdvance(Calendar,AB139,"1d","mf",,Trigger)</f>
        <v>42264</v>
      </c>
      <c r="AC140" s="210">
        <f>_xll.qlDayCounterYearFraction(DayCounter,SettlementDate,AB140,,,Trigger)</f>
        <v>0.54246575342465753</v>
      </c>
      <c r="AD140" s="189">
        <f t="shared" si="19"/>
        <v>4.5532856454536591E-3</v>
      </c>
      <c r="AE140" s="189">
        <f t="shared" si="17"/>
        <v>4.5967318611002481E-3</v>
      </c>
      <c r="AF140" s="161">
        <f t="shared" si="18"/>
        <v>5.1579538868994539E-3</v>
      </c>
    </row>
    <row r="141" spans="9:32" x14ac:dyDescent="0.2">
      <c r="J141" s="157"/>
      <c r="AB141" s="188">
        <f>_xll.qlCalendarAdvance(Calendar,AB140,"1d","mf",,Trigger)</f>
        <v>42265</v>
      </c>
      <c r="AC141" s="210">
        <f>_xll.qlDayCounterYearFraction(DayCounter,SettlementDate,AB141,,,Trigger)</f>
        <v>0.54520547945205478</v>
      </c>
      <c r="AD141" s="189">
        <f t="shared" si="19"/>
        <v>4.5532856454536591E-3</v>
      </c>
      <c r="AE141" s="189">
        <f t="shared" si="17"/>
        <v>4.599628275476688E-3</v>
      </c>
      <c r="AF141" s="161">
        <f t="shared" si="18"/>
        <v>5.1636295303369223E-3</v>
      </c>
    </row>
    <row r="142" spans="9:32" x14ac:dyDescent="0.2">
      <c r="J142" s="157"/>
      <c r="AB142" s="188">
        <f>_xll.qlCalendarAdvance(Calendar,AB141,"1d","mf",,Trigger)</f>
        <v>42268</v>
      </c>
      <c r="AC142" s="210">
        <f>_xll.qlDayCounterYearFraction(DayCounter,SettlementDate,AB142,,,Trigger)</f>
        <v>0.55342465753424652</v>
      </c>
      <c r="AD142" s="189">
        <f t="shared" si="19"/>
        <v>4.5532856454536591E-3</v>
      </c>
      <c r="AE142" s="189">
        <f t="shared" si="17"/>
        <v>4.6083175186060052E-3</v>
      </c>
      <c r="AF142" s="161">
        <f t="shared" si="18"/>
        <v>5.1801097270635504E-3</v>
      </c>
    </row>
    <row r="143" spans="9:32" x14ac:dyDescent="0.2">
      <c r="J143" s="157"/>
      <c r="AB143" s="188">
        <f>_xll.qlCalendarAdvance(Calendar,AB142,"1d","mf",,Trigger)</f>
        <v>42269</v>
      </c>
      <c r="AC143" s="210">
        <f>_xll.qlDayCounterYearFraction(DayCounter,SettlementDate,AB143,,,Trigger)</f>
        <v>0.55616438356164388</v>
      </c>
      <c r="AD143" s="189">
        <f t="shared" si="19"/>
        <v>4.5532856454536591E-3</v>
      </c>
      <c r="AE143" s="189">
        <f t="shared" si="17"/>
        <v>4.6112139329824451E-3</v>
      </c>
      <c r="AF143" s="161">
        <f t="shared" si="18"/>
        <v>5.1854208814438342E-3</v>
      </c>
    </row>
    <row r="144" spans="9:32" x14ac:dyDescent="0.2">
      <c r="AB144" s="188">
        <f>_xll.qlCalendarAdvance(Calendar,AB143,"1d","mf",,Trigger)</f>
        <v>42270</v>
      </c>
      <c r="AC144" s="210">
        <f>_xll.qlDayCounterYearFraction(DayCounter,SettlementDate,AB144,,,Trigger)</f>
        <v>0.55890410958904113</v>
      </c>
      <c r="AD144" s="189">
        <f t="shared" si="19"/>
        <v>4.5532856454536591E-3</v>
      </c>
      <c r="AE144" s="189">
        <f t="shared" si="17"/>
        <v>4.6141103473588841E-3</v>
      </c>
      <c r="AF144" s="161">
        <f t="shared" si="18"/>
        <v>5.1906409135598222E-3</v>
      </c>
    </row>
    <row r="145" spans="28:32" x14ac:dyDescent="0.2">
      <c r="AB145" s="188">
        <f>_xll.qlCalendarAdvance(Calendar,AB144,"1d","mf",,Trigger)</f>
        <v>42271</v>
      </c>
      <c r="AC145" s="210">
        <f>_xll.qlDayCounterYearFraction(DayCounter,SettlementDate,AB145,,,Trigger)</f>
        <v>0.56164383561643838</v>
      </c>
      <c r="AD145" s="189">
        <f t="shared" si="19"/>
        <v>4.5532856454536591E-3</v>
      </c>
      <c r="AE145" s="189">
        <f t="shared" si="17"/>
        <v>4.6170067617353231E-3</v>
      </c>
      <c r="AF145" s="161">
        <f t="shared" si="18"/>
        <v>5.1957698234115146E-3</v>
      </c>
    </row>
    <row r="146" spans="28:32" x14ac:dyDescent="0.2">
      <c r="AB146" s="188">
        <f>_xll.qlCalendarAdvance(Calendar,AB145,"1d","mf",,Trigger)</f>
        <v>42272</v>
      </c>
      <c r="AC146" s="210">
        <f>_xll.qlDayCounterYearFraction(DayCounter,SettlementDate,AB146,,,Trigger)</f>
        <v>0.56438356164383563</v>
      </c>
      <c r="AD146" s="189">
        <f t="shared" si="19"/>
        <v>4.5532856454536591E-3</v>
      </c>
      <c r="AE146" s="189">
        <f t="shared" ref="AE146:AE187" si="20">$S$10+$S$9*AC146</f>
        <v>4.6199031761117631E-3</v>
      </c>
      <c r="AF146" s="161">
        <f t="shared" ref="AF146:AF187" si="21">($S$5+$S$4*AC146+$S$3*AC146^2)</f>
        <v>5.2008076109989103E-3</v>
      </c>
    </row>
    <row r="147" spans="28:32" x14ac:dyDescent="0.2">
      <c r="AB147" s="188">
        <f>_xll.qlCalendarAdvance(Calendar,AB146,"1d","mf",,Trigger)</f>
        <v>42275</v>
      </c>
      <c r="AC147" s="210">
        <f>_xll.qlDayCounterYearFraction(DayCounter,SettlementDate,AB147,,,Trigger)</f>
        <v>0.57260273972602738</v>
      </c>
      <c r="AD147" s="189">
        <f t="shared" si="19"/>
        <v>4.5532856454536591E-3</v>
      </c>
      <c r="AE147" s="189">
        <f t="shared" si="20"/>
        <v>4.6285924192410802E-3</v>
      </c>
      <c r="AF147" s="161">
        <f t="shared" si="21"/>
        <v>5.2153742401753207E-3</v>
      </c>
    </row>
    <row r="148" spans="28:32" x14ac:dyDescent="0.2">
      <c r="AB148" s="188">
        <f>_xll.qlCalendarAdvance(Calendar,AB147,"1d","mf",,Trigger)</f>
        <v>42276</v>
      </c>
      <c r="AC148" s="210">
        <f>_xll.qlDayCounterYearFraction(DayCounter,SettlementDate,AB148,,,Trigger)</f>
        <v>0.57534246575342463</v>
      </c>
      <c r="AD148" s="189">
        <f t="shared" si="19"/>
        <v>4.5532856454536591E-3</v>
      </c>
      <c r="AE148" s="189">
        <f t="shared" si="20"/>
        <v>4.6314888336175201E-3</v>
      </c>
      <c r="AF148" s="161">
        <f t="shared" si="21"/>
        <v>5.2200475387055335E-3</v>
      </c>
    </row>
    <row r="149" spans="28:32" x14ac:dyDescent="0.2">
      <c r="AB149" s="188">
        <f>_xll.qlCalendarAdvance(Calendar,AB148,"1d","mf",,Trigger)</f>
        <v>42277</v>
      </c>
      <c r="AC149" s="210">
        <f>_xll.qlDayCounterYearFraction(DayCounter,SettlementDate,AB149,,,Trigger)</f>
        <v>0.57808219178082187</v>
      </c>
      <c r="AD149" s="189">
        <f t="shared" si="19"/>
        <v>4.5532856454536591E-3</v>
      </c>
      <c r="AE149" s="189">
        <f t="shared" si="20"/>
        <v>4.6343852479939591E-3</v>
      </c>
      <c r="AF149" s="161">
        <f t="shared" si="21"/>
        <v>5.224629714971449E-3</v>
      </c>
    </row>
    <row r="150" spans="28:32" x14ac:dyDescent="0.2">
      <c r="AB150" s="188">
        <f>_xll.qlCalendarAdvance(Calendar,AB149,"1d","mf",,Trigger)</f>
        <v>42278</v>
      </c>
      <c r="AC150" s="210">
        <f>_xll.qlDayCounterYearFraction(DayCounter,SettlementDate,AB150,,,Trigger)</f>
        <v>0.58082191780821912</v>
      </c>
      <c r="AD150" s="189">
        <f t="shared" si="19"/>
        <v>4.5532856454536591E-3</v>
      </c>
      <c r="AE150" s="189">
        <f t="shared" si="20"/>
        <v>4.6372816623703982E-3</v>
      </c>
      <c r="AF150" s="161">
        <f t="shared" si="21"/>
        <v>5.2291207689730687E-3</v>
      </c>
    </row>
    <row r="151" spans="28:32" x14ac:dyDescent="0.2">
      <c r="AB151" s="188">
        <f>_xll.qlCalendarAdvance(Calendar,AB150,"1d","mf",,Trigger)</f>
        <v>42279</v>
      </c>
      <c r="AC151" s="210">
        <f>_xll.qlDayCounterYearFraction(DayCounter,SettlementDate,AB151,,,Trigger)</f>
        <v>0.58356164383561648</v>
      </c>
      <c r="AD151" s="189">
        <f t="shared" si="19"/>
        <v>4.5532856454536591E-3</v>
      </c>
      <c r="AE151" s="189">
        <f t="shared" si="20"/>
        <v>4.6401780767468381E-3</v>
      </c>
      <c r="AF151" s="161">
        <f t="shared" si="21"/>
        <v>5.2335207007103927E-3</v>
      </c>
    </row>
    <row r="152" spans="28:32" x14ac:dyDescent="0.2">
      <c r="AB152" s="188">
        <f>_xll.qlCalendarAdvance(Calendar,AB151,"1d","mf",,Trigger)</f>
        <v>42282</v>
      </c>
      <c r="AC152" s="210">
        <f>_xll.qlDayCounterYearFraction(DayCounter,SettlementDate,AB152,,,Trigger)</f>
        <v>0.59178082191780823</v>
      </c>
      <c r="AD152" s="189">
        <f t="shared" si="19"/>
        <v>4.5532856454536591E-3</v>
      </c>
      <c r="AE152" s="189">
        <f t="shared" si="20"/>
        <v>4.648867319876156E-3</v>
      </c>
      <c r="AF152" s="161">
        <f t="shared" si="21"/>
        <v>5.2461737623365878E-3</v>
      </c>
    </row>
    <row r="153" spans="28:32" x14ac:dyDescent="0.2">
      <c r="AB153" s="188">
        <f>_xll.qlCalendarAdvance(Calendar,AB152,"1d","mf",,Trigger)</f>
        <v>42283</v>
      </c>
      <c r="AC153" s="210">
        <f>_xll.qlDayCounterYearFraction(DayCounter,SettlementDate,AB153,,,Trigger)</f>
        <v>0.59452054794520548</v>
      </c>
      <c r="AD153" s="189">
        <f t="shared" si="19"/>
        <v>4.5532856454536591E-3</v>
      </c>
      <c r="AE153" s="189">
        <f t="shared" si="20"/>
        <v>4.6517637342525951E-3</v>
      </c>
      <c r="AF153" s="161">
        <f t="shared" si="21"/>
        <v>5.2502092050167263E-3</v>
      </c>
    </row>
    <row r="154" spans="28:32" x14ac:dyDescent="0.2">
      <c r="AB154" s="188">
        <f>_xll.qlCalendarAdvance(Calendar,AB153,"1d","mf",,Trigger)</f>
        <v>42284</v>
      </c>
      <c r="AC154" s="210">
        <f>_xll.qlDayCounterYearFraction(DayCounter,SettlementDate,AB154,,,Trigger)</f>
        <v>0.59726027397260273</v>
      </c>
      <c r="AD154" s="189">
        <f t="shared" si="19"/>
        <v>4.5532856454536591E-3</v>
      </c>
      <c r="AE154" s="189">
        <f t="shared" si="20"/>
        <v>4.6546601486290341E-3</v>
      </c>
      <c r="AF154" s="161">
        <f t="shared" si="21"/>
        <v>5.25415352543257E-3</v>
      </c>
    </row>
    <row r="155" spans="28:32" x14ac:dyDescent="0.2">
      <c r="AB155" s="188">
        <f>_xll.qlCalendarAdvance(Calendar,AB154,"1d","mf",,Trigger)</f>
        <v>42285</v>
      </c>
      <c r="AC155" s="210">
        <f>_xll.qlDayCounterYearFraction(DayCounter,SettlementDate,AB155,,,Trigger)</f>
        <v>0.6</v>
      </c>
      <c r="AD155" s="189">
        <f t="shared" si="19"/>
        <v>4.5532856454536591E-3</v>
      </c>
      <c r="AE155" s="189">
        <f t="shared" si="20"/>
        <v>4.657556563005474E-3</v>
      </c>
      <c r="AF155" s="161">
        <f t="shared" si="21"/>
        <v>5.2580067235841171E-3</v>
      </c>
    </row>
    <row r="156" spans="28:32" x14ac:dyDescent="0.2">
      <c r="AB156" s="188">
        <f>_xll.qlCalendarAdvance(Calendar,AB155,"1d","mf",,Trigger)</f>
        <v>42286</v>
      </c>
      <c r="AC156" s="210">
        <f>_xll.qlDayCounterYearFraction(DayCounter,SettlementDate,AB156,,,Trigger)</f>
        <v>0.60273972602739723</v>
      </c>
      <c r="AD156" s="189">
        <f t="shared" si="19"/>
        <v>4.5532856454536591E-3</v>
      </c>
      <c r="AE156" s="189">
        <f t="shared" si="20"/>
        <v>4.6604529773819131E-3</v>
      </c>
      <c r="AF156" s="161">
        <f t="shared" si="21"/>
        <v>5.2617687994713702E-3</v>
      </c>
    </row>
    <row r="157" spans="28:32" x14ac:dyDescent="0.2">
      <c r="AB157" s="188">
        <f>_xll.qlCalendarAdvance(Calendar,AB156,"1d","mf",,Trigger)</f>
        <v>42289</v>
      </c>
      <c r="AC157" s="210">
        <f>_xll.qlDayCounterYearFraction(DayCounter,SettlementDate,AB157,,,Trigger)</f>
        <v>0.61095890410958908</v>
      </c>
      <c r="AD157" s="189">
        <f t="shared" si="19"/>
        <v>4.5532856454536591E-3</v>
      </c>
      <c r="AE157" s="189">
        <f t="shared" si="20"/>
        <v>4.6691422205112311E-3</v>
      </c>
      <c r="AF157" s="161">
        <f t="shared" si="21"/>
        <v>5.2725082935473483E-3</v>
      </c>
    </row>
    <row r="158" spans="28:32" x14ac:dyDescent="0.2">
      <c r="AB158" s="188">
        <f>_xll.qlCalendarAdvance(Calendar,AB157,"1d","mf",,Trigger)</f>
        <v>42290</v>
      </c>
      <c r="AC158" s="210">
        <f>_xll.qlDayCounterYearFraction(DayCounter,SettlementDate,AB158,,,Trigger)</f>
        <v>0.61369863013698633</v>
      </c>
      <c r="AD158" s="189">
        <f t="shared" si="19"/>
        <v>4.5532856454536591E-3</v>
      </c>
      <c r="AE158" s="189">
        <f t="shared" si="20"/>
        <v>4.6720386348876701E-3</v>
      </c>
      <c r="AF158" s="161">
        <f t="shared" si="21"/>
        <v>5.2759058803774151E-3</v>
      </c>
    </row>
    <row r="159" spans="28:32" x14ac:dyDescent="0.2">
      <c r="AB159" s="188">
        <f>_xll.qlCalendarAdvance(Calendar,AB158,"1d","mf",,Trigger)</f>
        <v>42291</v>
      </c>
      <c r="AC159" s="210">
        <f>_xll.qlDayCounterYearFraction(DayCounter,SettlementDate,AB159,,,Trigger)</f>
        <v>0.61643835616438358</v>
      </c>
      <c r="AD159" s="189">
        <f t="shared" si="19"/>
        <v>4.5532856454536591E-3</v>
      </c>
      <c r="AE159" s="189">
        <f t="shared" si="20"/>
        <v>4.67493504926411E-3</v>
      </c>
      <c r="AF159" s="161">
        <f t="shared" si="21"/>
        <v>5.279212344943187E-3</v>
      </c>
    </row>
    <row r="160" spans="28:32" x14ac:dyDescent="0.2">
      <c r="AB160" s="188">
        <f>_xll.qlCalendarAdvance(Calendar,AB159,"1d","mf",,Trigger)</f>
        <v>42292</v>
      </c>
      <c r="AC160" s="210">
        <f>_xll.qlDayCounterYearFraction(DayCounter,SettlementDate,AB160,,,Trigger)</f>
        <v>0.61917808219178083</v>
      </c>
      <c r="AD160" s="189">
        <f t="shared" si="19"/>
        <v>4.5532856454536591E-3</v>
      </c>
      <c r="AE160" s="189">
        <f t="shared" si="20"/>
        <v>4.677831463640549E-3</v>
      </c>
      <c r="AF160" s="161">
        <f t="shared" si="21"/>
        <v>5.2824276872446632E-3</v>
      </c>
    </row>
    <row r="161" spans="28:32" x14ac:dyDescent="0.2">
      <c r="AB161" s="188">
        <f>_xll.qlCalendarAdvance(Calendar,AB160,"1d","mf",,Trigger)</f>
        <v>42293</v>
      </c>
      <c r="AC161" s="210">
        <f>_xll.qlDayCounterYearFraction(DayCounter,SettlementDate,AB161,,,Trigger)</f>
        <v>0.62191780821917808</v>
      </c>
      <c r="AD161" s="189">
        <f t="shared" si="19"/>
        <v>4.5532856454536591E-3</v>
      </c>
      <c r="AE161" s="189">
        <f t="shared" si="20"/>
        <v>4.6807278780169881E-3</v>
      </c>
      <c r="AF161" s="161">
        <f t="shared" si="21"/>
        <v>5.285551907281842E-3</v>
      </c>
    </row>
    <row r="162" spans="28:32" x14ac:dyDescent="0.2">
      <c r="AB162" s="188">
        <f>_xll.qlCalendarAdvance(Calendar,AB161,"1d","mf",,Trigger)</f>
        <v>42296</v>
      </c>
      <c r="AC162" s="210">
        <f>_xll.qlDayCounterYearFraction(DayCounter,SettlementDate,AB162,,,Trigger)</f>
        <v>0.63013698630136983</v>
      </c>
      <c r="AD162" s="189">
        <f t="shared" si="19"/>
        <v>4.5532856454536591E-3</v>
      </c>
      <c r="AE162" s="189">
        <f t="shared" si="20"/>
        <v>4.6894171211463061E-3</v>
      </c>
      <c r="AF162" s="161">
        <f t="shared" si="21"/>
        <v>5.294377833807604E-3</v>
      </c>
    </row>
    <row r="163" spans="28:32" x14ac:dyDescent="0.2">
      <c r="AB163" s="188">
        <f>_xll.qlCalendarAdvance(Calendar,AB162,"1d","mf",,Trigger)</f>
        <v>42297</v>
      </c>
      <c r="AC163" s="210">
        <f>_xll.qlDayCounterYearFraction(DayCounter,SettlementDate,AB163,,,Trigger)</f>
        <v>0.63287671232876708</v>
      </c>
      <c r="AD163" s="189">
        <f t="shared" si="19"/>
        <v>4.5532856454536591E-3</v>
      </c>
      <c r="AE163" s="189">
        <f t="shared" si="20"/>
        <v>4.6923135355227451E-3</v>
      </c>
      <c r="AF163" s="161">
        <f t="shared" si="21"/>
        <v>5.297137564787599E-3</v>
      </c>
    </row>
    <row r="164" spans="28:32" x14ac:dyDescent="0.2">
      <c r="AB164" s="188">
        <f>_xll.qlCalendarAdvance(Calendar,AB163,"1d","mf",,Trigger)</f>
        <v>42298</v>
      </c>
      <c r="AC164" s="210">
        <f>_xll.qlDayCounterYearFraction(DayCounter,SettlementDate,AB164,,,Trigger)</f>
        <v>0.63561643835616444</v>
      </c>
      <c r="AD164" s="189">
        <f t="shared" si="19"/>
        <v>4.5532856454536591E-3</v>
      </c>
      <c r="AE164" s="189">
        <f t="shared" si="20"/>
        <v>4.695209949899185E-3</v>
      </c>
      <c r="AF164" s="161">
        <f t="shared" si="21"/>
        <v>5.2998061735032992E-3</v>
      </c>
    </row>
    <row r="165" spans="28:32" x14ac:dyDescent="0.2">
      <c r="AB165" s="188">
        <f>_xll.qlCalendarAdvance(Calendar,AB164,"1d","mf",,Trigger)</f>
        <v>42299</v>
      </c>
      <c r="AC165" s="210">
        <f>_xll.qlDayCounterYearFraction(DayCounter,SettlementDate,AB165,,,Trigger)</f>
        <v>0.63835616438356169</v>
      </c>
      <c r="AD165" s="189">
        <f t="shared" si="19"/>
        <v>4.5532856454536591E-3</v>
      </c>
      <c r="AE165" s="189">
        <f t="shared" si="20"/>
        <v>4.6981063642756241E-3</v>
      </c>
      <c r="AF165" s="161">
        <f t="shared" si="21"/>
        <v>5.3023836599547011E-3</v>
      </c>
    </row>
    <row r="166" spans="28:32" x14ac:dyDescent="0.2">
      <c r="AB166" s="188">
        <f>_xll.qlCalendarAdvance(Calendar,AB165,"1d","mf",,Trigger)</f>
        <v>42300</v>
      </c>
      <c r="AC166" s="210">
        <f>_xll.qlDayCounterYearFraction(DayCounter,SettlementDate,AB166,,,Trigger)</f>
        <v>0.64109589041095894</v>
      </c>
      <c r="AD166" s="189">
        <f t="shared" si="19"/>
        <v>4.5532856454536591E-3</v>
      </c>
      <c r="AE166" s="189">
        <f t="shared" si="20"/>
        <v>4.7010027786520631E-3</v>
      </c>
      <c r="AF166" s="161">
        <f t="shared" si="21"/>
        <v>5.3048700241418081E-3</v>
      </c>
    </row>
    <row r="167" spans="28:32" x14ac:dyDescent="0.2">
      <c r="AB167" s="188">
        <f>_xll.qlCalendarAdvance(Calendar,AB166,"1d","mf",,Trigger)</f>
        <v>42303</v>
      </c>
      <c r="AC167" s="210">
        <f>_xll.qlDayCounterYearFraction(DayCounter,SettlementDate,AB167,,,Trigger)</f>
        <v>0.64931506849315068</v>
      </c>
      <c r="AD167" s="189">
        <f t="shared" si="19"/>
        <v>4.5532856454536591E-3</v>
      </c>
      <c r="AE167" s="189">
        <f t="shared" si="20"/>
        <v>4.7096920217813811E-3</v>
      </c>
      <c r="AF167" s="161">
        <f t="shared" si="21"/>
        <v>5.3117823831173531E-3</v>
      </c>
    </row>
    <row r="168" spans="28:32" x14ac:dyDescent="0.2">
      <c r="AB168" s="188">
        <f>_xll.qlCalendarAdvance(Calendar,AB167,"1d","mf",,Trigger)</f>
        <v>42304</v>
      </c>
      <c r="AC168" s="210">
        <f>_xll.qlDayCounterYearFraction(DayCounter,SettlementDate,AB168,,,Trigger)</f>
        <v>0.65205479452054793</v>
      </c>
      <c r="AD168" s="189">
        <f t="shared" si="19"/>
        <v>4.5532856454536591E-3</v>
      </c>
      <c r="AE168" s="189">
        <f t="shared" si="20"/>
        <v>4.7125884361578201E-3</v>
      </c>
      <c r="AF168" s="161">
        <f t="shared" si="21"/>
        <v>5.3139042582472772E-3</v>
      </c>
    </row>
    <row r="169" spans="28:32" x14ac:dyDescent="0.2">
      <c r="AB169" s="188">
        <f>_xll.qlCalendarAdvance(Calendar,AB168,"1d","mf",,Trigger)</f>
        <v>42305</v>
      </c>
      <c r="AC169" s="210">
        <f>_xll.qlDayCounterYearFraction(DayCounter,SettlementDate,AB169,,,Trigger)</f>
        <v>0.65479452054794518</v>
      </c>
      <c r="AD169" s="189">
        <f t="shared" si="19"/>
        <v>4.5532856454536591E-3</v>
      </c>
      <c r="AE169" s="189">
        <f t="shared" si="20"/>
        <v>4.71548485053426E-3</v>
      </c>
      <c r="AF169" s="161">
        <f t="shared" si="21"/>
        <v>5.3159350111129048E-3</v>
      </c>
    </row>
    <row r="170" spans="28:32" x14ac:dyDescent="0.2">
      <c r="AB170" s="188">
        <f>_xll.qlCalendarAdvance(Calendar,AB169,"1d","mf",,Trigger)</f>
        <v>42306</v>
      </c>
      <c r="AC170" s="210">
        <f>_xll.qlDayCounterYearFraction(DayCounter,SettlementDate,AB170,,,Trigger)</f>
        <v>0.65753424657534243</v>
      </c>
      <c r="AD170" s="189">
        <f t="shared" si="19"/>
        <v>4.5532856454536591E-3</v>
      </c>
      <c r="AE170" s="189">
        <f t="shared" si="20"/>
        <v>4.7183812649106991E-3</v>
      </c>
      <c r="AF170" s="161">
        <f t="shared" si="21"/>
        <v>5.3178746417142358E-3</v>
      </c>
    </row>
    <row r="171" spans="28:32" x14ac:dyDescent="0.2">
      <c r="AB171" s="188">
        <f>_xll.qlCalendarAdvance(Calendar,AB170,"1d","mf",,Trigger)</f>
        <v>42307</v>
      </c>
      <c r="AC171" s="210">
        <f>_xll.qlDayCounterYearFraction(DayCounter,SettlementDate,AB171,,,Trigger)</f>
        <v>0.66027397260273968</v>
      </c>
      <c r="AD171" s="189">
        <f t="shared" si="19"/>
        <v>4.5532856454536591E-3</v>
      </c>
      <c r="AE171" s="189">
        <f t="shared" si="20"/>
        <v>4.7212776792871381E-3</v>
      </c>
      <c r="AF171" s="161">
        <f t="shared" si="21"/>
        <v>5.319723150051271E-3</v>
      </c>
    </row>
    <row r="172" spans="28:32" x14ac:dyDescent="0.2">
      <c r="AB172" s="188">
        <f>_xll.qlCalendarAdvance(Calendar,AB171,"1d","mf",,Trigger)</f>
        <v>42310</v>
      </c>
      <c r="AC172" s="210">
        <f>_xll.qlDayCounterYearFraction(DayCounter,SettlementDate,AB172,,,Trigger)</f>
        <v>0.66849315068493154</v>
      </c>
      <c r="AD172" s="189">
        <f t="shared" si="19"/>
        <v>4.5532856454536591E-3</v>
      </c>
      <c r="AE172" s="189">
        <f t="shared" si="20"/>
        <v>4.7299669224164561E-3</v>
      </c>
      <c r="AF172" s="161">
        <f t="shared" si="21"/>
        <v>5.3247219414765991E-3</v>
      </c>
    </row>
    <row r="173" spans="28:32" x14ac:dyDescent="0.2">
      <c r="AB173" s="188">
        <f>_xll.qlCalendarAdvance(Calendar,AB172,"1d","mf",,Trigger)</f>
        <v>42311</v>
      </c>
      <c r="AC173" s="210">
        <f>_xll.qlDayCounterYearFraction(DayCounter,SettlementDate,AB173,,,Trigger)</f>
        <v>0.67123287671232879</v>
      </c>
      <c r="AD173" s="189">
        <f t="shared" si="19"/>
        <v>4.5532856454536591E-3</v>
      </c>
      <c r="AE173" s="189">
        <f t="shared" si="20"/>
        <v>4.732863336792896E-3</v>
      </c>
      <c r="AF173" s="161">
        <f t="shared" si="21"/>
        <v>5.3262059607564515E-3</v>
      </c>
    </row>
    <row r="174" spans="28:32" x14ac:dyDescent="0.2">
      <c r="AB174" s="188">
        <f>_xll.qlCalendarAdvance(Calendar,AB173,"1d","mf",,Trigger)</f>
        <v>42312</v>
      </c>
      <c r="AC174" s="210">
        <f>_xll.qlDayCounterYearFraction(DayCounter,SettlementDate,AB174,,,Trigger)</f>
        <v>0.67397260273972603</v>
      </c>
      <c r="AD174" s="189">
        <f t="shared" si="19"/>
        <v>4.5532856454536591E-3</v>
      </c>
      <c r="AE174" s="189">
        <f t="shared" si="20"/>
        <v>4.735759751169335E-3</v>
      </c>
      <c r="AF174" s="161">
        <f t="shared" si="21"/>
        <v>5.3275988577720056E-3</v>
      </c>
    </row>
    <row r="175" spans="28:32" x14ac:dyDescent="0.2">
      <c r="AB175" s="188">
        <f>_xll.qlCalendarAdvance(Calendar,AB174,"1d","mf",,Trigger)</f>
        <v>42313</v>
      </c>
      <c r="AC175" s="210">
        <f>_xll.qlDayCounterYearFraction(DayCounter,SettlementDate,AB175,,,Trigger)</f>
        <v>0.67671232876712328</v>
      </c>
      <c r="AD175" s="189">
        <f t="shared" si="19"/>
        <v>4.5532856454536591E-3</v>
      </c>
      <c r="AE175" s="189">
        <f t="shared" si="20"/>
        <v>4.7386561655457741E-3</v>
      </c>
      <c r="AF175" s="161">
        <f t="shared" si="21"/>
        <v>5.3289006325232648E-3</v>
      </c>
    </row>
    <row r="176" spans="28:32" x14ac:dyDescent="0.2">
      <c r="AB176" s="188">
        <f>_xll.qlCalendarAdvance(Calendar,AB175,"1d","mf",,Trigger)</f>
        <v>42314</v>
      </c>
      <c r="AC176" s="210">
        <f>_xll.qlDayCounterYearFraction(DayCounter,SettlementDate,AB176,,,Trigger)</f>
        <v>0.67945205479452053</v>
      </c>
      <c r="AD176" s="189">
        <f t="shared" si="19"/>
        <v>4.5532856454536591E-3</v>
      </c>
      <c r="AE176" s="189">
        <f t="shared" si="20"/>
        <v>4.7415525799222131E-3</v>
      </c>
      <c r="AF176" s="161">
        <f t="shared" si="21"/>
        <v>5.3301112850102283E-3</v>
      </c>
    </row>
    <row r="177" spans="28:32" x14ac:dyDescent="0.2">
      <c r="AB177" s="188">
        <f>_xll.qlCalendarAdvance(Calendar,AB176,"1d","mf",,Trigger)</f>
        <v>42317</v>
      </c>
      <c r="AC177" s="210">
        <f>_xll.qlDayCounterYearFraction(DayCounter,SettlementDate,AB177,,,Trigger)</f>
        <v>0.68767123287671228</v>
      </c>
      <c r="AD177" s="189">
        <f t="shared" si="19"/>
        <v>4.5532856454536591E-3</v>
      </c>
      <c r="AE177" s="189">
        <f t="shared" si="20"/>
        <v>4.7502418230515311E-3</v>
      </c>
      <c r="AF177" s="161">
        <f t="shared" si="21"/>
        <v>5.3331965088853411E-3</v>
      </c>
    </row>
    <row r="178" spans="28:32" x14ac:dyDescent="0.2">
      <c r="AB178" s="188">
        <f>_xll.qlCalendarAdvance(Calendar,AB177,"1d","mf",,Trigger)</f>
        <v>42318</v>
      </c>
      <c r="AC178" s="210">
        <f>_xll.qlDayCounterYearFraction(DayCounter,SettlementDate,AB178,,,Trigger)</f>
        <v>0.69041095890410964</v>
      </c>
      <c r="AD178" s="189">
        <f t="shared" si="19"/>
        <v>4.5532856454536591E-3</v>
      </c>
      <c r="AE178" s="189">
        <f t="shared" si="20"/>
        <v>4.753138237427971E-3</v>
      </c>
      <c r="AF178" s="161">
        <f t="shared" si="21"/>
        <v>5.3340426723151183E-3</v>
      </c>
    </row>
    <row r="179" spans="28:32" x14ac:dyDescent="0.2">
      <c r="AB179" s="188">
        <f>_xll.qlCalendarAdvance(Calendar,AB178,"1d","mf",,Trigger)</f>
        <v>42319</v>
      </c>
      <c r="AC179" s="210">
        <f>_xll.qlDayCounterYearFraction(DayCounter,SettlementDate,AB179,,,Trigger)</f>
        <v>0.69315068493150689</v>
      </c>
      <c r="AD179" s="189">
        <f t="shared" si="19"/>
        <v>4.5532856454536591E-3</v>
      </c>
      <c r="AE179" s="189">
        <f t="shared" si="20"/>
        <v>4.7560346518044101E-3</v>
      </c>
      <c r="AF179" s="161">
        <f t="shared" si="21"/>
        <v>5.3347977134806015E-3</v>
      </c>
    </row>
    <row r="180" spans="28:32" x14ac:dyDescent="0.2">
      <c r="AB180" s="188">
        <f>_xll.qlCalendarAdvance(Calendar,AB179,"1d","mf",,Trigger)</f>
        <v>42320</v>
      </c>
      <c r="AC180" s="210">
        <f>_xll.qlDayCounterYearFraction(DayCounter,SettlementDate,AB180,,,Trigger)</f>
        <v>0.69589041095890414</v>
      </c>
      <c r="AD180" s="189">
        <f t="shared" si="19"/>
        <v>4.5532856454536591E-3</v>
      </c>
      <c r="AE180" s="189">
        <f t="shared" si="20"/>
        <v>4.7589310661808491E-3</v>
      </c>
      <c r="AF180" s="161">
        <f t="shared" si="21"/>
        <v>5.335461632381789E-3</v>
      </c>
    </row>
    <row r="181" spans="28:32" x14ac:dyDescent="0.2">
      <c r="AB181" s="188">
        <f>_xll.qlCalendarAdvance(Calendar,AB180,"1d","mf",,Trigger)</f>
        <v>42321</v>
      </c>
      <c r="AC181" s="210">
        <f>_xll.qlDayCounterYearFraction(DayCounter,SettlementDate,AB181,,,Trigger)</f>
        <v>0.69863013698630139</v>
      </c>
      <c r="AD181" s="189">
        <f t="shared" si="19"/>
        <v>4.5532856454536591E-3</v>
      </c>
      <c r="AE181" s="189">
        <f t="shared" si="20"/>
        <v>4.761827480557289E-3</v>
      </c>
      <c r="AF181" s="161">
        <f t="shared" si="21"/>
        <v>5.336034429018679E-3</v>
      </c>
    </row>
    <row r="182" spans="28:32" x14ac:dyDescent="0.2">
      <c r="AB182" s="188">
        <f>_xll.qlCalendarAdvance(Calendar,AB181,"1d","mf",,Trigger)</f>
        <v>42324</v>
      </c>
      <c r="AC182" s="210">
        <f>_xll.qlDayCounterYearFraction(DayCounter,SettlementDate,AB182,,,Trigger)</f>
        <v>0.70684931506849313</v>
      </c>
      <c r="AD182" s="189">
        <f t="shared" si="19"/>
        <v>4.5532856454536591E-3</v>
      </c>
      <c r="AE182" s="189">
        <f t="shared" si="20"/>
        <v>4.7705167236866061E-3</v>
      </c>
      <c r="AF182" s="161">
        <f t="shared" si="21"/>
        <v>5.3372060853435748E-3</v>
      </c>
    </row>
    <row r="183" spans="28:32" x14ac:dyDescent="0.2">
      <c r="AB183" s="188">
        <f>_xll.qlCalendarAdvance(Calendar,AB182,"1d","mf",,Trigger)</f>
        <v>42325</v>
      </c>
      <c r="AC183" s="210">
        <f>_xll.qlDayCounterYearFraction(DayCounter,SettlementDate,AB183,,,Trigger)</f>
        <v>0.70958904109589038</v>
      </c>
      <c r="AD183" s="189">
        <f t="shared" si="19"/>
        <v>4.5532856454536591E-3</v>
      </c>
      <c r="AE183" s="189">
        <f t="shared" si="20"/>
        <v>4.773413138063046E-3</v>
      </c>
      <c r="AF183" s="161">
        <f t="shared" si="21"/>
        <v>5.3374143929232811E-3</v>
      </c>
    </row>
    <row r="184" spans="28:32" x14ac:dyDescent="0.2">
      <c r="AB184" s="188">
        <f>_xll.qlCalendarAdvance(Calendar,AB183,"1d","mf",,Trigger)</f>
        <v>42326</v>
      </c>
      <c r="AC184" s="210">
        <f>_xll.qlDayCounterYearFraction(DayCounter,SettlementDate,AB184,,,Trigger)</f>
        <v>0.71232876712328763</v>
      </c>
      <c r="AD184" s="189">
        <f t="shared" si="19"/>
        <v>4.5532856454536591E-3</v>
      </c>
      <c r="AE184" s="189">
        <f t="shared" si="20"/>
        <v>4.7763095524394851E-3</v>
      </c>
      <c r="AF184" s="161">
        <f t="shared" si="21"/>
        <v>5.3375315782386943E-3</v>
      </c>
    </row>
    <row r="185" spans="28:32" x14ac:dyDescent="0.2">
      <c r="AB185" s="188">
        <f>_xll.qlCalendarAdvance(Calendar,AB184,"1d","mf",,Trigger)</f>
        <v>42327</v>
      </c>
      <c r="AC185" s="210">
        <f>_xll.qlDayCounterYearFraction(DayCounter,SettlementDate,AB185,,,Trigger)</f>
        <v>0.71506849315068488</v>
      </c>
      <c r="AD185" s="189">
        <f t="shared" si="19"/>
        <v>4.5532856454536591E-3</v>
      </c>
      <c r="AE185" s="189">
        <f t="shared" si="20"/>
        <v>4.7792059668159241E-3</v>
      </c>
      <c r="AF185" s="161">
        <f t="shared" si="21"/>
        <v>5.3375576412898074E-3</v>
      </c>
    </row>
    <row r="186" spans="28:32" x14ac:dyDescent="0.2">
      <c r="AB186" s="188">
        <f>_xll.qlCalendarAdvance(Calendar,AB185,"1d","mf",,Trigger)</f>
        <v>42328</v>
      </c>
      <c r="AC186" s="210">
        <f>_xll.qlDayCounterYearFraction(DayCounter,SettlementDate,AB186,,,Trigger)</f>
        <v>0.71780821917808224</v>
      </c>
      <c r="AD186" s="189">
        <f t="shared" si="19"/>
        <v>4.5532856454536591E-3</v>
      </c>
      <c r="AE186" s="189">
        <f t="shared" si="20"/>
        <v>4.782102381192364E-3</v>
      </c>
      <c r="AF186" s="161">
        <f t="shared" si="21"/>
        <v>5.3374925820766257E-3</v>
      </c>
    </row>
    <row r="187" spans="28:32" x14ac:dyDescent="0.2">
      <c r="AB187" s="188">
        <f>_xll.qlCalendarAdvance(Calendar,AB186,"1d","mf",,Trigger)</f>
        <v>42331</v>
      </c>
      <c r="AC187" s="210">
        <f>_xll.qlDayCounterYearFraction(DayCounter,SettlementDate,AB187,,,Trigger)</f>
        <v>0.72602739726027399</v>
      </c>
      <c r="AD187" s="189">
        <f t="shared" si="19"/>
        <v>4.5532856454536591E-3</v>
      </c>
      <c r="AE187" s="189">
        <f t="shared" si="20"/>
        <v>4.790791624321682E-3</v>
      </c>
      <c r="AF187" s="161">
        <f t="shared" si="21"/>
        <v>5.3367506708513063E-3</v>
      </c>
    </row>
    <row r="188" spans="28:32" x14ac:dyDescent="0.2">
      <c r="AB188" s="188">
        <f>_xll.qlCalendarAdvance(Calendar,AB187,"1d","mf",,Trigger)</f>
        <v>42332</v>
      </c>
      <c r="AC188" s="210">
        <f>_xll.qlDayCounterYearFraction(DayCounter,SettlementDate,AB188,,,Trigger)</f>
        <v>0.72876712328767124</v>
      </c>
      <c r="AD188" s="189">
        <f t="shared" si="19"/>
        <v>4.5532856454536591E-3</v>
      </c>
      <c r="AE188" s="189">
        <f t="shared" ref="AE188:AE251" si="22">$S$10+$S$9*AC188</f>
        <v>4.793688038698121E-3</v>
      </c>
      <c r="AF188" s="161">
        <f t="shared" ref="AF188:AF251" si="23">($S$5+$S$4*AC188+$S$3*AC188^2)</f>
        <v>5.3363211225809417E-3</v>
      </c>
    </row>
    <row r="189" spans="28:32" x14ac:dyDescent="0.2">
      <c r="AB189" s="188">
        <f>_xll.qlCalendarAdvance(Calendar,AB188,"1d","mf",,Trigger)</f>
        <v>42333</v>
      </c>
      <c r="AC189" s="210">
        <f>_xll.qlDayCounterYearFraction(DayCounter,SettlementDate,AB189,,,Trigger)</f>
        <v>0.73150684931506849</v>
      </c>
      <c r="AD189" s="189">
        <f t="shared" si="19"/>
        <v>4.5532856454536591E-3</v>
      </c>
      <c r="AE189" s="189">
        <f t="shared" si="22"/>
        <v>4.7965844530745601E-3</v>
      </c>
      <c r="AF189" s="161">
        <f t="shared" si="23"/>
        <v>5.3358004520462788E-3</v>
      </c>
    </row>
    <row r="190" spans="28:32" x14ac:dyDescent="0.2">
      <c r="AB190" s="188">
        <f>_xll.qlCalendarAdvance(Calendar,AB189,"1d","mf",,Trigger)</f>
        <v>42334</v>
      </c>
      <c r="AC190" s="210">
        <f>_xll.qlDayCounterYearFraction(DayCounter,SettlementDate,AB190,,,Trigger)</f>
        <v>0.73424657534246573</v>
      </c>
      <c r="AD190" s="189">
        <f t="shared" si="19"/>
        <v>4.5532856454536591E-3</v>
      </c>
      <c r="AE190" s="189">
        <f t="shared" si="22"/>
        <v>4.799480867451E-3</v>
      </c>
      <c r="AF190" s="161">
        <f t="shared" si="23"/>
        <v>5.3351886592473193E-3</v>
      </c>
    </row>
    <row r="191" spans="28:32" x14ac:dyDescent="0.2">
      <c r="AB191" s="188">
        <f>_xll.qlCalendarAdvance(Calendar,AB190,"1d","mf",,Trigger)</f>
        <v>42335</v>
      </c>
      <c r="AC191" s="210">
        <f>_xll.qlDayCounterYearFraction(DayCounter,SettlementDate,AB191,,,Trigger)</f>
        <v>0.73698630136986298</v>
      </c>
      <c r="AD191" s="189">
        <f t="shared" si="19"/>
        <v>4.5532856454536591E-3</v>
      </c>
      <c r="AE191" s="189">
        <f t="shared" si="22"/>
        <v>4.802377281827439E-3</v>
      </c>
      <c r="AF191" s="161">
        <f t="shared" si="23"/>
        <v>5.3344857441840685E-3</v>
      </c>
    </row>
    <row r="192" spans="28:32" x14ac:dyDescent="0.2">
      <c r="AB192" s="188">
        <f>_xll.qlCalendarAdvance(Calendar,AB191,"1d","mf",,Trigger)</f>
        <v>42338</v>
      </c>
      <c r="AC192" s="210">
        <f>_xll.qlDayCounterYearFraction(DayCounter,SettlementDate,AB192,,,Trigger)</f>
        <v>0.74520547945205484</v>
      </c>
      <c r="AD192" s="189">
        <f t="shared" si="19"/>
        <v>4.5532856454536591E-3</v>
      </c>
      <c r="AE192" s="189">
        <f t="shared" si="22"/>
        <v>4.811066524956757E-3</v>
      </c>
      <c r="AF192" s="161">
        <f t="shared" si="23"/>
        <v>5.3318302654085312E-3</v>
      </c>
    </row>
    <row r="193" spans="28:32" x14ac:dyDescent="0.2">
      <c r="AB193" s="188">
        <f>_xll.qlCalendarAdvance(Calendar,AB192,"1d","mf",,Trigger)</f>
        <v>42339</v>
      </c>
      <c r="AC193" s="210">
        <f>_xll.qlDayCounterYearFraction(DayCounter,SettlementDate,AB193,,,Trigger)</f>
        <v>0.74794520547945209</v>
      </c>
      <c r="AD193" s="189">
        <f t="shared" si="19"/>
        <v>4.5532856454536591E-3</v>
      </c>
      <c r="AE193" s="189">
        <f t="shared" si="22"/>
        <v>4.8139629393331961E-3</v>
      </c>
      <c r="AF193" s="161">
        <f t="shared" si="23"/>
        <v>5.3307628612880922E-3</v>
      </c>
    </row>
    <row r="194" spans="28:32" x14ac:dyDescent="0.2">
      <c r="AB194" s="188">
        <f>_xll.qlCalendarAdvance(Calendar,AB193,"1d","mf",,Trigger)</f>
        <v>42340</v>
      </c>
      <c r="AC194" s="210">
        <f>_xll.qlDayCounterYearFraction(DayCounter,SettlementDate,AB194,,,Trigger)</f>
        <v>0.75068493150684934</v>
      </c>
      <c r="AD194" s="189">
        <f t="shared" si="19"/>
        <v>4.5532856454536591E-3</v>
      </c>
      <c r="AE194" s="189">
        <f t="shared" si="22"/>
        <v>4.8168593537096351E-3</v>
      </c>
      <c r="AF194" s="161">
        <f t="shared" si="23"/>
        <v>5.3296043349033602E-3</v>
      </c>
    </row>
    <row r="195" spans="28:32" x14ac:dyDescent="0.2">
      <c r="AB195" s="188">
        <f>_xll.qlCalendarAdvance(Calendar,AB194,"1d","mf",,Trigger)</f>
        <v>42341</v>
      </c>
      <c r="AC195" s="210">
        <f>_xll.qlDayCounterYearFraction(DayCounter,SettlementDate,AB195,,,Trigger)</f>
        <v>0.75342465753424659</v>
      </c>
      <c r="AD195" s="189">
        <f t="shared" ref="AD195:AD257" si="24">$S$13</f>
        <v>4.5532856454536591E-3</v>
      </c>
      <c r="AE195" s="189">
        <f t="shared" si="22"/>
        <v>4.819755768086075E-3</v>
      </c>
      <c r="AF195" s="161">
        <f t="shared" si="23"/>
        <v>5.3283546862543307E-3</v>
      </c>
    </row>
    <row r="196" spans="28:32" x14ac:dyDescent="0.2">
      <c r="AB196" s="188">
        <f>_xll.qlCalendarAdvance(Calendar,AB195,"1d","mf",,Trigger)</f>
        <v>42342</v>
      </c>
      <c r="AC196" s="210">
        <f>_xll.qlDayCounterYearFraction(DayCounter,SettlementDate,AB196,,,Trigger)</f>
        <v>0.75616438356164384</v>
      </c>
      <c r="AD196" s="189">
        <f t="shared" si="24"/>
        <v>4.5532856454536591E-3</v>
      </c>
      <c r="AE196" s="189">
        <f t="shared" si="22"/>
        <v>4.822652182462514E-3</v>
      </c>
      <c r="AF196" s="161">
        <f t="shared" si="23"/>
        <v>5.3270139153410037E-3</v>
      </c>
    </row>
    <row r="197" spans="28:32" x14ac:dyDescent="0.2">
      <c r="AB197" s="188">
        <f>_xll.qlCalendarAdvance(Calendar,AB196,"1d","mf",,Trigger)</f>
        <v>42345</v>
      </c>
      <c r="AC197" s="210">
        <f>_xll.qlDayCounterYearFraction(DayCounter,SettlementDate,AB197,,,Trigger)</f>
        <v>0.76438356164383559</v>
      </c>
      <c r="AD197" s="189">
        <f t="shared" si="24"/>
        <v>4.5532856454536591E-3</v>
      </c>
      <c r="AE197" s="189">
        <f t="shared" si="22"/>
        <v>4.831341425591832E-3</v>
      </c>
      <c r="AF197" s="161">
        <f t="shared" si="23"/>
        <v>5.3224448690152512E-3</v>
      </c>
    </row>
    <row r="198" spans="28:32" x14ac:dyDescent="0.2">
      <c r="AB198" s="188">
        <f>_xll.qlCalendarAdvance(Calendar,AB197,"1d","mf",,Trigger)</f>
        <v>42346</v>
      </c>
      <c r="AC198" s="210">
        <f>_xll.qlDayCounterYearFraction(DayCounter,SettlementDate,AB198,,,Trigger)</f>
        <v>0.76712328767123283</v>
      </c>
      <c r="AD198" s="189">
        <f t="shared" si="24"/>
        <v>4.5532856454536591E-3</v>
      </c>
      <c r="AE198" s="189">
        <f t="shared" si="22"/>
        <v>4.8342378399682711E-3</v>
      </c>
      <c r="AF198" s="161">
        <f t="shared" si="23"/>
        <v>5.3207396090447397E-3</v>
      </c>
    </row>
    <row r="199" spans="28:32" x14ac:dyDescent="0.2">
      <c r="AB199" s="188">
        <f>_xll.qlCalendarAdvance(Calendar,AB198,"1d","mf",,Trigger)</f>
        <v>42347</v>
      </c>
      <c r="AC199" s="210">
        <f>_xll.qlDayCounterYearFraction(DayCounter,SettlementDate,AB199,,,Trigger)</f>
        <v>0.76986301369863008</v>
      </c>
      <c r="AD199" s="189">
        <f t="shared" si="24"/>
        <v>4.5532856454536591E-3</v>
      </c>
      <c r="AE199" s="189">
        <f t="shared" si="22"/>
        <v>4.8371342543447101E-3</v>
      </c>
      <c r="AF199" s="161">
        <f t="shared" si="23"/>
        <v>5.318943226809935E-3</v>
      </c>
    </row>
    <row r="200" spans="28:32" x14ac:dyDescent="0.2">
      <c r="AB200" s="188">
        <f>_xll.qlCalendarAdvance(Calendar,AB199,"1d","mf",,Trigger)</f>
        <v>42348</v>
      </c>
      <c r="AC200" s="210">
        <f>_xll.qlDayCounterYearFraction(DayCounter,SettlementDate,AB200,,,Trigger)</f>
        <v>0.77260273972602744</v>
      </c>
      <c r="AD200" s="189">
        <f t="shared" si="24"/>
        <v>4.5532856454536591E-3</v>
      </c>
      <c r="AE200" s="189">
        <f t="shared" si="22"/>
        <v>4.84003066872115E-3</v>
      </c>
      <c r="AF200" s="161">
        <f t="shared" si="23"/>
        <v>5.317055722310832E-3</v>
      </c>
    </row>
    <row r="201" spans="28:32" x14ac:dyDescent="0.2">
      <c r="AB201" s="188">
        <f>_xll.qlCalendarAdvance(Calendar,AB200,"1d","mf",,Trigger)</f>
        <v>42349</v>
      </c>
      <c r="AC201" s="210">
        <f>_xll.qlDayCounterYearFraction(DayCounter,SettlementDate,AB201,,,Trigger)</f>
        <v>0.77534246575342469</v>
      </c>
      <c r="AD201" s="189">
        <f t="shared" si="24"/>
        <v>4.5532856454536591E-3</v>
      </c>
      <c r="AE201" s="189">
        <f t="shared" si="22"/>
        <v>4.842927083097589E-3</v>
      </c>
      <c r="AF201" s="161">
        <f t="shared" si="23"/>
        <v>5.3150770955474342E-3</v>
      </c>
    </row>
    <row r="202" spans="28:32" x14ac:dyDescent="0.2">
      <c r="AB202" s="188">
        <f>_xll.qlCalendarAdvance(Calendar,AB201,"1d","mf",,Trigger)</f>
        <v>42352</v>
      </c>
      <c r="AC202" s="210">
        <f>_xll.qlDayCounterYearFraction(DayCounter,SettlementDate,AB202,,,Trigger)</f>
        <v>0.78356164383561644</v>
      </c>
      <c r="AD202" s="189">
        <f t="shared" si="24"/>
        <v>4.5532856454536591E-3</v>
      </c>
      <c r="AE202" s="189">
        <f t="shared" si="22"/>
        <v>4.851616326226907E-3</v>
      </c>
      <c r="AF202" s="161">
        <f t="shared" si="23"/>
        <v>5.3085944816714647E-3</v>
      </c>
    </row>
    <row r="203" spans="28:32" x14ac:dyDescent="0.2">
      <c r="AB203" s="188">
        <f>_xll.qlCalendarAdvance(Calendar,AB202,"1d","mf",,Trigger)</f>
        <v>42353</v>
      </c>
      <c r="AC203" s="210">
        <f>_xll.qlDayCounterYearFraction(DayCounter,SettlementDate,AB203,,,Trigger)</f>
        <v>0.78630136986301369</v>
      </c>
      <c r="AD203" s="189">
        <f t="shared" si="24"/>
        <v>4.5532856454536591E-3</v>
      </c>
      <c r="AE203" s="189">
        <f t="shared" si="22"/>
        <v>4.8545127406033461E-3</v>
      </c>
      <c r="AF203" s="161">
        <f t="shared" si="23"/>
        <v>5.3062513658508823E-3</v>
      </c>
    </row>
    <row r="204" spans="28:32" x14ac:dyDescent="0.2">
      <c r="AB204" s="188">
        <f>_xll.qlCalendarAdvance(Calendar,AB203,"1d","mf",,Trigger)</f>
        <v>42354</v>
      </c>
      <c r="AC204" s="210">
        <f>_xll.qlDayCounterYearFraction(DayCounter,SettlementDate,AB204,,,Trigger)</f>
        <v>0.78904109589041094</v>
      </c>
      <c r="AD204" s="189">
        <f t="shared" si="24"/>
        <v>4.5532856454536591E-3</v>
      </c>
      <c r="AE204" s="189">
        <f t="shared" si="22"/>
        <v>4.857409154979786E-3</v>
      </c>
      <c r="AF204" s="161">
        <f t="shared" si="23"/>
        <v>5.303817127766005E-3</v>
      </c>
    </row>
    <row r="205" spans="28:32" x14ac:dyDescent="0.2">
      <c r="AB205" s="188">
        <f>_xll.qlCalendarAdvance(Calendar,AB204,"1d","mf",,Trigger)</f>
        <v>42355</v>
      </c>
      <c r="AC205" s="210">
        <f>_xll.qlDayCounterYearFraction(DayCounter,SettlementDate,AB205,,,Trigger)</f>
        <v>0.79178082191780819</v>
      </c>
      <c r="AD205" s="189">
        <f t="shared" si="24"/>
        <v>4.5532856454536591E-3</v>
      </c>
      <c r="AE205" s="189">
        <f t="shared" si="22"/>
        <v>4.860305569356225E-3</v>
      </c>
      <c r="AF205" s="161">
        <f t="shared" si="23"/>
        <v>5.3012917674168302E-3</v>
      </c>
    </row>
    <row r="206" spans="28:32" x14ac:dyDescent="0.2">
      <c r="AB206" s="188">
        <f>_xll.qlCalendarAdvance(Calendar,AB205,"1d","mf",,Trigger)</f>
        <v>42356</v>
      </c>
      <c r="AC206" s="210">
        <f>_xll.qlDayCounterYearFraction(DayCounter,SettlementDate,AB206,,,Trigger)</f>
        <v>0.79452054794520544</v>
      </c>
      <c r="AD206" s="189">
        <f t="shared" si="24"/>
        <v>4.5532856454536591E-3</v>
      </c>
      <c r="AE206" s="189">
        <f t="shared" si="22"/>
        <v>4.8632019837326641E-3</v>
      </c>
      <c r="AF206" s="161">
        <f t="shared" si="23"/>
        <v>5.2986752848033615E-3</v>
      </c>
    </row>
    <row r="207" spans="28:32" x14ac:dyDescent="0.2">
      <c r="AB207" s="188">
        <f>_xll.qlCalendarAdvance(Calendar,AB206,"1d","mf",,Trigger)</f>
        <v>42359</v>
      </c>
      <c r="AC207" s="210">
        <f>_xll.qlDayCounterYearFraction(DayCounter,SettlementDate,AB207,,,Trigger)</f>
        <v>0.80273972602739729</v>
      </c>
      <c r="AD207" s="189">
        <f t="shared" si="24"/>
        <v>4.5532856454536591E-3</v>
      </c>
      <c r="AE207" s="189">
        <f t="shared" si="22"/>
        <v>4.871891226861982E-3</v>
      </c>
      <c r="AF207" s="161">
        <f t="shared" si="23"/>
        <v>5.2902791033771742E-3</v>
      </c>
    </row>
    <row r="208" spans="28:32" x14ac:dyDescent="0.2">
      <c r="AB208" s="188">
        <f>_xll.qlCalendarAdvance(Calendar,AB207,"1d","mf",,Trigger)</f>
        <v>42360</v>
      </c>
      <c r="AC208" s="210">
        <f>_xll.qlDayCounterYearFraction(DayCounter,SettlementDate,AB208,,,Trigger)</f>
        <v>0.80547945205479454</v>
      </c>
      <c r="AD208" s="189">
        <f t="shared" si="24"/>
        <v>4.5532856454536591E-3</v>
      </c>
      <c r="AE208" s="189">
        <f t="shared" si="22"/>
        <v>4.8747876412384211E-3</v>
      </c>
      <c r="AF208" s="161">
        <f t="shared" si="23"/>
        <v>5.2872981317065209E-3</v>
      </c>
    </row>
    <row r="209" spans="28:32" x14ac:dyDescent="0.2">
      <c r="AB209" s="188">
        <f>_xll.qlCalendarAdvance(Calendar,AB208,"1d","mf",,Trigger)</f>
        <v>42361</v>
      </c>
      <c r="AC209" s="210">
        <f>_xll.qlDayCounterYearFraction(DayCounter,SettlementDate,AB209,,,Trigger)</f>
        <v>0.80821917808219179</v>
      </c>
      <c r="AD209" s="189">
        <f t="shared" si="24"/>
        <v>4.5532856454536591E-3</v>
      </c>
      <c r="AE209" s="189">
        <f t="shared" si="22"/>
        <v>4.877684055614861E-3</v>
      </c>
      <c r="AF209" s="161">
        <f t="shared" si="23"/>
        <v>5.2842260377715701E-3</v>
      </c>
    </row>
    <row r="210" spans="28:32" x14ac:dyDescent="0.2">
      <c r="AB210" s="188">
        <f>_xll.qlCalendarAdvance(Calendar,AB209,"1d","mf",,Trigger)</f>
        <v>42362</v>
      </c>
      <c r="AC210" s="210">
        <f>_xll.qlDayCounterYearFraction(DayCounter,SettlementDate,AB210,,,Trigger)</f>
        <v>0.81095890410958904</v>
      </c>
      <c r="AD210" s="189">
        <f t="shared" si="24"/>
        <v>4.5532856454536591E-3</v>
      </c>
      <c r="AE210" s="189">
        <f t="shared" si="22"/>
        <v>4.8805804699913E-3</v>
      </c>
      <c r="AF210" s="161">
        <f t="shared" si="23"/>
        <v>5.2810628215723236E-3</v>
      </c>
    </row>
    <row r="211" spans="28:32" x14ac:dyDescent="0.2">
      <c r="AB211" s="188">
        <f>_xll.qlCalendarAdvance(Calendar,AB210,"1d","mf",,Trigger)</f>
        <v>42367</v>
      </c>
      <c r="AC211" s="210">
        <f>_xll.qlDayCounterYearFraction(DayCounter,SettlementDate,AB211,,,Trigger)</f>
        <v>0.8246575342465754</v>
      </c>
      <c r="AD211" s="189">
        <f t="shared" si="24"/>
        <v>4.5532856454536591E-3</v>
      </c>
      <c r="AE211" s="189">
        <f t="shared" si="22"/>
        <v>4.895062541873497E-3</v>
      </c>
      <c r="AF211" s="161">
        <f t="shared" si="23"/>
        <v>5.263879906611652E-3</v>
      </c>
    </row>
    <row r="212" spans="28:32" x14ac:dyDescent="0.2">
      <c r="AB212" s="188">
        <f>_xll.qlCalendarAdvance(Calendar,AB211,"1d","mf",,Trigger)</f>
        <v>42368</v>
      </c>
      <c r="AC212" s="210">
        <f>_xll.qlDayCounterYearFraction(DayCounter,SettlementDate,AB212,,,Trigger)</f>
        <v>0.82739726027397265</v>
      </c>
      <c r="AD212" s="189">
        <f t="shared" si="24"/>
        <v>4.5532856454536591E-3</v>
      </c>
      <c r="AE212" s="189">
        <f t="shared" si="22"/>
        <v>4.897958956249936E-3</v>
      </c>
      <c r="AF212" s="161">
        <f t="shared" si="23"/>
        <v>5.2601699568266304E-3</v>
      </c>
    </row>
    <row r="213" spans="28:32" x14ac:dyDescent="0.2">
      <c r="AB213" s="188">
        <f>_xll.qlCalendarAdvance(Calendar,AB212,"1d","mf",,Trigger)</f>
        <v>42369</v>
      </c>
      <c r="AC213" s="210">
        <f>_xll.qlDayCounterYearFraction(DayCounter,SettlementDate,AB213,,,Trigger)</f>
        <v>0.83013698630136989</v>
      </c>
      <c r="AD213" s="189">
        <f t="shared" si="24"/>
        <v>4.5532856454536591E-3</v>
      </c>
      <c r="AE213" s="189">
        <f t="shared" si="22"/>
        <v>4.900855370626375E-3</v>
      </c>
      <c r="AF213" s="161">
        <f t="shared" si="23"/>
        <v>5.256368884777313E-3</v>
      </c>
    </row>
    <row r="214" spans="28:32" x14ac:dyDescent="0.2">
      <c r="AB214" s="188">
        <f>_xll.qlCalendarAdvance(Calendar,AB213,"1d","mf",,Trigger)</f>
        <v>42373</v>
      </c>
      <c r="AC214" s="210">
        <f>_xll.qlDayCounterYearFraction(DayCounter,SettlementDate,AB214,,,Trigger)</f>
        <v>0.84109589041095889</v>
      </c>
      <c r="AD214" s="189">
        <f t="shared" si="24"/>
        <v>4.5532856454536591E-3</v>
      </c>
      <c r="AE214" s="189">
        <f t="shared" si="22"/>
        <v>4.9124410281321321E-3</v>
      </c>
      <c r="AF214" s="161">
        <f t="shared" si="23"/>
        <v>5.2402533739370786E-3</v>
      </c>
    </row>
    <row r="215" spans="28:32" x14ac:dyDescent="0.2">
      <c r="AB215" s="188">
        <f>_xll.qlCalendarAdvance(Calendar,AB214,"1d","mf",,Trigger)</f>
        <v>42374</v>
      </c>
      <c r="AC215" s="210">
        <f>_xll.qlDayCounterYearFraction(DayCounter,SettlementDate,AB215,,,Trigger)</f>
        <v>0.84383561643835614</v>
      </c>
      <c r="AD215" s="189">
        <f t="shared" si="24"/>
        <v>4.5532856454536591E-3</v>
      </c>
      <c r="AE215" s="189">
        <f t="shared" si="22"/>
        <v>4.915337442508572E-3</v>
      </c>
      <c r="AF215" s="161">
        <f t="shared" si="23"/>
        <v>5.2359966905662792E-3</v>
      </c>
    </row>
    <row r="216" spans="28:32" x14ac:dyDescent="0.2">
      <c r="AB216" s="188">
        <f>_xll.qlCalendarAdvance(Calendar,AB215,"1d","mf",,Trigger)</f>
        <v>42375</v>
      </c>
      <c r="AC216" s="210">
        <f>_xll.qlDayCounterYearFraction(DayCounter,SettlementDate,AB216,,,Trigger)</f>
        <v>0.84657534246575339</v>
      </c>
      <c r="AD216" s="189">
        <f t="shared" si="24"/>
        <v>4.5532856454536591E-3</v>
      </c>
      <c r="AE216" s="189">
        <f t="shared" si="22"/>
        <v>4.918233856885011E-3</v>
      </c>
      <c r="AF216" s="161">
        <f t="shared" si="23"/>
        <v>5.2316488849311867E-3</v>
      </c>
    </row>
    <row r="217" spans="28:32" x14ac:dyDescent="0.2">
      <c r="AB217" s="188">
        <f>_xll.qlCalendarAdvance(Calendar,AB216,"1d","mf",,Trigger)</f>
        <v>42376</v>
      </c>
      <c r="AC217" s="210">
        <f>_xll.qlDayCounterYearFraction(DayCounter,SettlementDate,AB217,,,Trigger)</f>
        <v>0.84931506849315064</v>
      </c>
      <c r="AD217" s="189">
        <f t="shared" si="24"/>
        <v>4.5532856454536591E-3</v>
      </c>
      <c r="AE217" s="189">
        <f t="shared" si="22"/>
        <v>4.9211302712614501E-3</v>
      </c>
      <c r="AF217" s="161">
        <f t="shared" si="23"/>
        <v>5.2272099570317958E-3</v>
      </c>
    </row>
    <row r="218" spans="28:32" x14ac:dyDescent="0.2">
      <c r="AB218" s="188">
        <f>_xll.qlCalendarAdvance(Calendar,AB217,"1d","mf",,Trigger)</f>
        <v>42377</v>
      </c>
      <c r="AC218" s="210">
        <f>_xll.qlDayCounterYearFraction(DayCounter,SettlementDate,AB218,,,Trigger)</f>
        <v>0.852054794520548</v>
      </c>
      <c r="AD218" s="189">
        <f t="shared" si="24"/>
        <v>4.5532856454536591E-3</v>
      </c>
      <c r="AE218" s="189">
        <f t="shared" si="22"/>
        <v>4.92402668563789E-3</v>
      </c>
      <c r="AF218" s="161">
        <f t="shared" si="23"/>
        <v>5.2226799068681084E-3</v>
      </c>
    </row>
    <row r="219" spans="28:32" x14ac:dyDescent="0.2">
      <c r="AB219" s="188">
        <f>_xll.qlCalendarAdvance(Calendar,AB218,"1d","mf",,Trigger)</f>
        <v>42380</v>
      </c>
      <c r="AC219" s="210">
        <f>_xll.qlDayCounterYearFraction(DayCounter,SettlementDate,AB219,,,Trigger)</f>
        <v>0.86027397260273974</v>
      </c>
      <c r="AD219" s="189">
        <f t="shared" si="24"/>
        <v>4.5532856454536591E-3</v>
      </c>
      <c r="AE219" s="189">
        <f t="shared" si="22"/>
        <v>4.9327159287672079E-3</v>
      </c>
      <c r="AF219" s="161">
        <f t="shared" si="23"/>
        <v>5.2085430227912736E-3</v>
      </c>
    </row>
    <row r="220" spans="28:32" x14ac:dyDescent="0.2">
      <c r="AB220" s="188">
        <f>_xll.qlCalendarAdvance(Calendar,AB219,"1d","mf",,Trigger)</f>
        <v>42381</v>
      </c>
      <c r="AC220" s="210">
        <f>_xll.qlDayCounterYearFraction(DayCounter,SettlementDate,AB220,,,Trigger)</f>
        <v>0.86301369863013699</v>
      </c>
      <c r="AD220" s="189">
        <f t="shared" si="24"/>
        <v>4.5532856454536591E-3</v>
      </c>
      <c r="AE220" s="189">
        <f t="shared" si="22"/>
        <v>4.935612343143647E-3</v>
      </c>
      <c r="AF220" s="161">
        <f t="shared" si="23"/>
        <v>5.2036484835704024E-3</v>
      </c>
    </row>
    <row r="221" spans="28:32" x14ac:dyDescent="0.2">
      <c r="AB221" s="188">
        <f>_xll.qlCalendarAdvance(Calendar,AB220,"1d","mf",,Trigger)</f>
        <v>42382</v>
      </c>
      <c r="AC221" s="210">
        <f>_xll.qlDayCounterYearFraction(DayCounter,SettlementDate,AB221,,,Trigger)</f>
        <v>0.86575342465753424</v>
      </c>
      <c r="AD221" s="189">
        <f t="shared" si="24"/>
        <v>4.5532856454536591E-3</v>
      </c>
      <c r="AE221" s="189">
        <f t="shared" si="22"/>
        <v>4.938508757520086E-3</v>
      </c>
      <c r="AF221" s="161">
        <f t="shared" si="23"/>
        <v>5.1986628220852356E-3</v>
      </c>
    </row>
    <row r="222" spans="28:32" x14ac:dyDescent="0.2">
      <c r="AB222" s="188">
        <f>_xll.qlCalendarAdvance(Calendar,AB221,"1d","mf",,Trigger)</f>
        <v>42383</v>
      </c>
      <c r="AC222" s="210">
        <f>_xll.qlDayCounterYearFraction(DayCounter,SettlementDate,AB222,,,Trigger)</f>
        <v>0.86849315068493149</v>
      </c>
      <c r="AD222" s="189">
        <f t="shared" si="24"/>
        <v>4.5532856454536591E-3</v>
      </c>
      <c r="AE222" s="189">
        <f t="shared" si="22"/>
        <v>4.9414051718965251E-3</v>
      </c>
      <c r="AF222" s="161">
        <f t="shared" si="23"/>
        <v>5.1935860383357721E-3</v>
      </c>
    </row>
    <row r="223" spans="28:32" x14ac:dyDescent="0.2">
      <c r="AB223" s="188">
        <f>_xll.qlCalendarAdvance(Calendar,AB222,"1d","mf",,Trigger)</f>
        <v>42384</v>
      </c>
      <c r="AC223" s="210">
        <f>_xll.qlDayCounterYearFraction(DayCounter,SettlementDate,AB223,,,Trigger)</f>
        <v>0.87123287671232874</v>
      </c>
      <c r="AD223" s="189">
        <f t="shared" si="24"/>
        <v>4.5532856454536591E-3</v>
      </c>
      <c r="AE223" s="189">
        <f t="shared" si="22"/>
        <v>4.944301586272965E-3</v>
      </c>
      <c r="AF223" s="161">
        <f t="shared" si="23"/>
        <v>5.1884181323220138E-3</v>
      </c>
    </row>
    <row r="224" spans="28:32" x14ac:dyDescent="0.2">
      <c r="AB224" s="188">
        <f>_xll.qlCalendarAdvance(Calendar,AB223,"1d","mf",,Trigger)</f>
        <v>42387</v>
      </c>
      <c r="AC224" s="210">
        <f>_xll.qlDayCounterYearFraction(DayCounter,SettlementDate,AB224,,,Trigger)</f>
        <v>0.8794520547945206</v>
      </c>
      <c r="AD224" s="189">
        <f t="shared" si="24"/>
        <v>4.5532856454536591E-3</v>
      </c>
      <c r="AE224" s="189">
        <f t="shared" si="22"/>
        <v>4.952990829402283E-3</v>
      </c>
      <c r="AF224" s="161">
        <f t="shared" si="23"/>
        <v>5.172367680694962E-3</v>
      </c>
    </row>
    <row r="225" spans="28:32" x14ac:dyDescent="0.2">
      <c r="AB225" s="188">
        <f>_xll.qlCalendarAdvance(Calendar,AB224,"1d","mf",,Trigger)</f>
        <v>42388</v>
      </c>
      <c r="AC225" s="210">
        <f>_xll.qlDayCounterYearFraction(DayCounter,SettlementDate,AB225,,,Trigger)</f>
        <v>0.88219178082191785</v>
      </c>
      <c r="AD225" s="189">
        <f t="shared" si="24"/>
        <v>4.5532856454536591E-3</v>
      </c>
      <c r="AE225" s="189">
        <f t="shared" si="22"/>
        <v>4.955887243778722E-3</v>
      </c>
      <c r="AF225" s="161">
        <f t="shared" si="23"/>
        <v>5.1668352856240182E-3</v>
      </c>
    </row>
    <row r="226" spans="28:32" x14ac:dyDescent="0.2">
      <c r="AB226" s="188">
        <f>_xll.qlCalendarAdvance(Calendar,AB225,"1d","mf",,Trigger)</f>
        <v>42389</v>
      </c>
      <c r="AC226" s="210">
        <f>_xll.qlDayCounterYearFraction(DayCounter,SettlementDate,AB226,,,Trigger)</f>
        <v>0.8849315068493151</v>
      </c>
      <c r="AD226" s="189">
        <f t="shared" si="24"/>
        <v>4.5532856454536591E-3</v>
      </c>
      <c r="AE226" s="189">
        <f t="shared" si="22"/>
        <v>4.958783658155161E-3</v>
      </c>
      <c r="AF226" s="161">
        <f t="shared" si="23"/>
        <v>5.1612117682887804E-3</v>
      </c>
    </row>
    <row r="227" spans="28:32" x14ac:dyDescent="0.2">
      <c r="AB227" s="188">
        <f>_xll.qlCalendarAdvance(Calendar,AB226,"1d","mf",,Trigger)</f>
        <v>42390</v>
      </c>
      <c r="AC227" s="210">
        <f>_xll.qlDayCounterYearFraction(DayCounter,SettlementDate,AB227,,,Trigger)</f>
        <v>0.88767123287671235</v>
      </c>
      <c r="AD227" s="189">
        <f t="shared" si="24"/>
        <v>4.5532856454536591E-3</v>
      </c>
      <c r="AE227" s="189">
        <f t="shared" si="22"/>
        <v>4.9616800725316001E-3</v>
      </c>
      <c r="AF227" s="161">
        <f t="shared" si="23"/>
        <v>5.1554971286892461E-3</v>
      </c>
    </row>
    <row r="228" spans="28:32" x14ac:dyDescent="0.2">
      <c r="AB228" s="188">
        <f>_xll.qlCalendarAdvance(Calendar,AB227,"1d","mf",,Trigger)</f>
        <v>42391</v>
      </c>
      <c r="AC228" s="210">
        <f>_xll.qlDayCounterYearFraction(DayCounter,SettlementDate,AB228,,,Trigger)</f>
        <v>0.8904109589041096</v>
      </c>
      <c r="AD228" s="189">
        <f t="shared" si="24"/>
        <v>4.5532856454536591E-3</v>
      </c>
      <c r="AE228" s="189">
        <f t="shared" si="22"/>
        <v>4.96457648690804E-3</v>
      </c>
      <c r="AF228" s="161">
        <f t="shared" si="23"/>
        <v>5.1496913668254152E-3</v>
      </c>
    </row>
    <row r="229" spans="28:32" x14ac:dyDescent="0.2">
      <c r="AB229" s="188">
        <f>_xll.qlCalendarAdvance(Calendar,AB228,"1d","mf",,Trigger)</f>
        <v>42394</v>
      </c>
      <c r="AC229" s="210">
        <f>_xll.qlDayCounterYearFraction(DayCounter,SettlementDate,AB229,,,Trigger)</f>
        <v>0.89863013698630134</v>
      </c>
      <c r="AD229" s="189">
        <f t="shared" si="24"/>
        <v>4.5532856454536591E-3</v>
      </c>
      <c r="AE229" s="189">
        <f t="shared" si="22"/>
        <v>4.973265730037358E-3</v>
      </c>
      <c r="AF229" s="161">
        <f t="shared" si="23"/>
        <v>5.1317273476481464E-3</v>
      </c>
    </row>
    <row r="230" spans="28:32" x14ac:dyDescent="0.2">
      <c r="AB230" s="188">
        <f>_xll.qlCalendarAdvance(Calendar,AB229,"1d","mf",,Trigger)</f>
        <v>42395</v>
      </c>
      <c r="AC230" s="210">
        <f>_xll.qlDayCounterYearFraction(DayCounter,SettlementDate,AB230,,,Trigger)</f>
        <v>0.90136986301369859</v>
      </c>
      <c r="AD230" s="189">
        <f t="shared" si="24"/>
        <v>4.5532856454536591E-3</v>
      </c>
      <c r="AE230" s="189">
        <f t="shared" si="22"/>
        <v>4.976162144413797E-3</v>
      </c>
      <c r="AF230" s="161">
        <f t="shared" si="23"/>
        <v>5.12555709672713E-3</v>
      </c>
    </row>
    <row r="231" spans="28:32" x14ac:dyDescent="0.2">
      <c r="AB231" s="188">
        <f>_xll.qlCalendarAdvance(Calendar,AB230,"1d","mf",,Trigger)</f>
        <v>42396</v>
      </c>
      <c r="AC231" s="210">
        <f>_xll.qlDayCounterYearFraction(DayCounter,SettlementDate,AB231,,,Trigger)</f>
        <v>0.90410958904109584</v>
      </c>
      <c r="AD231" s="189">
        <f t="shared" si="24"/>
        <v>4.5532856454536591E-3</v>
      </c>
      <c r="AE231" s="189">
        <f t="shared" si="22"/>
        <v>4.9790585587902361E-3</v>
      </c>
      <c r="AF231" s="161">
        <f t="shared" si="23"/>
        <v>5.1192957235418196E-3</v>
      </c>
    </row>
    <row r="232" spans="28:32" x14ac:dyDescent="0.2">
      <c r="AB232" s="188">
        <f>_xll.qlCalendarAdvance(Calendar,AB231,"1d","mf",,Trigger)</f>
        <v>42397</v>
      </c>
      <c r="AC232" s="210">
        <f>_xll.qlDayCounterYearFraction(DayCounter,SettlementDate,AB232,,,Trigger)</f>
        <v>0.9068493150684932</v>
      </c>
      <c r="AD232" s="189">
        <f t="shared" si="24"/>
        <v>4.5532856454536591E-3</v>
      </c>
      <c r="AE232" s="189">
        <f t="shared" si="22"/>
        <v>4.981954973166676E-3</v>
      </c>
      <c r="AF232" s="161">
        <f t="shared" si="23"/>
        <v>5.1129432280922127E-3</v>
      </c>
    </row>
    <row r="233" spans="28:32" x14ac:dyDescent="0.2">
      <c r="AB233" s="188">
        <f>_xll.qlCalendarAdvance(Calendar,AB232,"1d","mf",,Trigger)</f>
        <v>42398</v>
      </c>
      <c r="AC233" s="210">
        <f>_xll.qlDayCounterYearFraction(DayCounter,SettlementDate,AB233,,,Trigger)</f>
        <v>0.90958904109589045</v>
      </c>
      <c r="AD233" s="189">
        <f t="shared" si="24"/>
        <v>4.5532856454536591E-3</v>
      </c>
      <c r="AE233" s="189">
        <f t="shared" si="22"/>
        <v>4.984851387543115E-3</v>
      </c>
      <c r="AF233" s="161">
        <f t="shared" si="23"/>
        <v>5.1064996103783108E-3</v>
      </c>
    </row>
    <row r="234" spans="28:32" x14ac:dyDescent="0.2">
      <c r="AB234" s="188">
        <f>_xll.qlCalendarAdvance(Calendar,AB233,"1d","mf",,Trigger)</f>
        <v>42401</v>
      </c>
      <c r="AC234" s="210">
        <f>_xll.qlDayCounterYearFraction(DayCounter,SettlementDate,AB234,,,Trigger)</f>
        <v>0.9178082191780822</v>
      </c>
      <c r="AD234" s="189">
        <f t="shared" si="24"/>
        <v>4.5532856454536591E-3</v>
      </c>
      <c r="AE234" s="189">
        <f t="shared" si="22"/>
        <v>4.993540630672433E-3</v>
      </c>
      <c r="AF234" s="161">
        <f t="shared" si="23"/>
        <v>5.0866220236508242E-3</v>
      </c>
    </row>
    <row r="235" spans="28:32" x14ac:dyDescent="0.2">
      <c r="AB235" s="188">
        <f>_xll.qlCalendarAdvance(Calendar,AB234,"1d","mf",,Trigger)</f>
        <v>42402</v>
      </c>
      <c r="AC235" s="210">
        <f>_xll.qlDayCounterYearFraction(DayCounter,SettlementDate,AB235,,,Trigger)</f>
        <v>0.92054794520547945</v>
      </c>
      <c r="AD235" s="189">
        <f t="shared" si="24"/>
        <v>4.5532856454536591E-3</v>
      </c>
      <c r="AE235" s="189">
        <f t="shared" si="22"/>
        <v>4.996437045048872E-3</v>
      </c>
      <c r="AF235" s="161">
        <f t="shared" si="23"/>
        <v>5.0798139168797369E-3</v>
      </c>
    </row>
    <row r="236" spans="28:32" x14ac:dyDescent="0.2">
      <c r="AB236" s="188">
        <f>_xll.qlCalendarAdvance(Calendar,AB235,"1d","mf",,Trigger)</f>
        <v>42403</v>
      </c>
      <c r="AC236" s="210">
        <f>_xll.qlDayCounterYearFraction(DayCounter,SettlementDate,AB236,,,Trigger)</f>
        <v>0.92328767123287669</v>
      </c>
      <c r="AD236" s="189">
        <f t="shared" si="24"/>
        <v>4.5532856454536591E-3</v>
      </c>
      <c r="AE236" s="189">
        <f t="shared" si="22"/>
        <v>4.9993334594253119E-3</v>
      </c>
      <c r="AF236" s="161">
        <f t="shared" si="23"/>
        <v>5.0729146878443548E-3</v>
      </c>
    </row>
    <row r="237" spans="28:32" x14ac:dyDescent="0.2">
      <c r="AB237" s="188">
        <f>_xll.qlCalendarAdvance(Calendar,AB236,"1d","mf",,Trigger)</f>
        <v>42404</v>
      </c>
      <c r="AC237" s="210">
        <f>_xll.qlDayCounterYearFraction(DayCounter,SettlementDate,AB237,,,Trigger)</f>
        <v>0.92602739726027394</v>
      </c>
      <c r="AD237" s="189">
        <f t="shared" si="24"/>
        <v>4.5532856454536591E-3</v>
      </c>
      <c r="AE237" s="189">
        <f t="shared" si="22"/>
        <v>5.002229873801751E-3</v>
      </c>
      <c r="AF237" s="161">
        <f t="shared" si="23"/>
        <v>5.0659243365446744E-3</v>
      </c>
    </row>
    <row r="238" spans="28:32" x14ac:dyDescent="0.2">
      <c r="AB238" s="188">
        <f>_xll.qlCalendarAdvance(Calendar,AB237,"1d","mf",,Trigger)</f>
        <v>42405</v>
      </c>
      <c r="AC238" s="210">
        <f>_xll.qlDayCounterYearFraction(DayCounter,SettlementDate,AB238,,,Trigger)</f>
        <v>0.92876712328767119</v>
      </c>
      <c r="AD238" s="189">
        <f t="shared" si="24"/>
        <v>4.5532856454536591E-3</v>
      </c>
      <c r="AE238" s="189">
        <f t="shared" si="22"/>
        <v>5.00512628817819E-3</v>
      </c>
      <c r="AF238" s="161">
        <f t="shared" si="23"/>
        <v>5.0588428629806999E-3</v>
      </c>
    </row>
    <row r="239" spans="28:32" x14ac:dyDescent="0.2">
      <c r="AB239" s="188">
        <f>_xll.qlCalendarAdvance(Calendar,AB238,"1d","mf",,Trigger)</f>
        <v>42408</v>
      </c>
      <c r="AC239" s="210">
        <f>_xll.qlDayCounterYearFraction(DayCounter,SettlementDate,AB239,,,Trigger)</f>
        <v>0.93698630136986305</v>
      </c>
      <c r="AD239" s="189">
        <f t="shared" si="24"/>
        <v>4.5532856454536591E-3</v>
      </c>
      <c r="AE239" s="189">
        <f t="shared" si="22"/>
        <v>5.013815531307508E-3</v>
      </c>
      <c r="AF239" s="161">
        <f t="shared" si="23"/>
        <v>5.0370517087029981E-3</v>
      </c>
    </row>
    <row r="240" spans="28:32" x14ac:dyDescent="0.2">
      <c r="AB240" s="188">
        <f>_xll.qlCalendarAdvance(Calendar,AB239,"1d","mf",,Trigger)</f>
        <v>42409</v>
      </c>
      <c r="AC240" s="210">
        <f>_xll.qlDayCounterYearFraction(DayCounter,SettlementDate,AB240,,,Trigger)</f>
        <v>0.9397260273972603</v>
      </c>
      <c r="AD240" s="189">
        <f t="shared" si="24"/>
        <v>4.5532856454536591E-3</v>
      </c>
      <c r="AE240" s="189">
        <f t="shared" si="22"/>
        <v>5.016711945683947E-3</v>
      </c>
      <c r="AF240" s="161">
        <f t="shared" si="23"/>
        <v>5.029605746081839E-3</v>
      </c>
    </row>
    <row r="241" spans="28:32" x14ac:dyDescent="0.2">
      <c r="AB241" s="188">
        <f>_xll.qlCalendarAdvance(Calendar,AB240,"1d","mf",,Trigger)</f>
        <v>42410</v>
      </c>
      <c r="AC241" s="210">
        <f>_xll.qlDayCounterYearFraction(DayCounter,SettlementDate,AB241,,,Trigger)</f>
        <v>0.94246575342465755</v>
      </c>
      <c r="AD241" s="189">
        <f t="shared" si="24"/>
        <v>4.5532856454536591E-3</v>
      </c>
      <c r="AE241" s="189">
        <f t="shared" si="22"/>
        <v>5.0196083600603869E-3</v>
      </c>
      <c r="AF241" s="161">
        <f t="shared" si="23"/>
        <v>5.0220686611963826E-3</v>
      </c>
    </row>
    <row r="242" spans="28:32" x14ac:dyDescent="0.2">
      <c r="AB242" s="188">
        <f>_xll.qlCalendarAdvance(Calendar,AB241,"1d","mf",,Trigger)</f>
        <v>42411</v>
      </c>
      <c r="AC242" s="210">
        <f>_xll.qlDayCounterYearFraction(DayCounter,SettlementDate,AB242,,,Trigger)</f>
        <v>0.9452054794520548</v>
      </c>
      <c r="AD242" s="189">
        <f t="shared" si="24"/>
        <v>4.5532856454536591E-3</v>
      </c>
      <c r="AE242" s="189">
        <f t="shared" si="22"/>
        <v>5.022504774436826E-3</v>
      </c>
      <c r="AF242" s="161">
        <f t="shared" si="23"/>
        <v>5.0144404540466321E-3</v>
      </c>
    </row>
    <row r="243" spans="28:32" x14ac:dyDescent="0.2">
      <c r="AB243" s="188">
        <f>_xll.qlCalendarAdvance(Calendar,AB242,"1d","mf",,Trigger)</f>
        <v>42412</v>
      </c>
      <c r="AC243" s="210">
        <f>_xll.qlDayCounterYearFraction(DayCounter,SettlementDate,AB243,,,Trigger)</f>
        <v>0.94794520547945205</v>
      </c>
      <c r="AD243" s="189">
        <f t="shared" si="24"/>
        <v>4.5532856454536591E-3</v>
      </c>
      <c r="AE243" s="189">
        <f t="shared" si="22"/>
        <v>5.025401188813265E-3</v>
      </c>
      <c r="AF243" s="161">
        <f t="shared" si="23"/>
        <v>5.0067211246325859E-3</v>
      </c>
    </row>
    <row r="244" spans="28:32" x14ac:dyDescent="0.2">
      <c r="AB244" s="188">
        <f>_xll.qlCalendarAdvance(Calendar,AB243,"1d","mf",,Trigger)</f>
        <v>42415</v>
      </c>
      <c r="AC244" s="210">
        <f>_xll.qlDayCounterYearFraction(DayCounter,SettlementDate,AB244,,,Trigger)</f>
        <v>0.95616438356164379</v>
      </c>
      <c r="AD244" s="189">
        <f t="shared" si="24"/>
        <v>4.5532856454536591E-3</v>
      </c>
      <c r="AE244" s="189">
        <f t="shared" si="22"/>
        <v>5.034090431942583E-3</v>
      </c>
      <c r="AF244" s="161">
        <f t="shared" si="23"/>
        <v>4.9830164028046662E-3</v>
      </c>
    </row>
    <row r="245" spans="28:32" x14ac:dyDescent="0.2">
      <c r="AB245" s="188">
        <f>_xll.qlCalendarAdvance(Calendar,AB244,"1d","mf",,Trigger)</f>
        <v>42416</v>
      </c>
      <c r="AC245" s="210">
        <f>_xll.qlDayCounterYearFraction(DayCounter,SettlementDate,AB245,,,Trigger)</f>
        <v>0.95890410958904104</v>
      </c>
      <c r="AD245" s="189">
        <f t="shared" si="24"/>
        <v>4.5532856454536591E-3</v>
      </c>
      <c r="AE245" s="189">
        <f t="shared" si="22"/>
        <v>5.036986846319022E-3</v>
      </c>
      <c r="AF245" s="161">
        <f t="shared" si="23"/>
        <v>4.9749325843334354E-3</v>
      </c>
    </row>
    <row r="246" spans="28:32" x14ac:dyDescent="0.2">
      <c r="AB246" s="188">
        <f>_xll.qlCalendarAdvance(Calendar,AB245,"1d","mf",,Trigger)</f>
        <v>42417</v>
      </c>
      <c r="AC246" s="210">
        <f>_xll.qlDayCounterYearFraction(DayCounter,SettlementDate,AB246,,,Trigger)</f>
        <v>0.9616438356164384</v>
      </c>
      <c r="AD246" s="189">
        <f t="shared" si="24"/>
        <v>4.5532856454536591E-3</v>
      </c>
      <c r="AE246" s="189">
        <f t="shared" si="22"/>
        <v>5.039883260695462E-3</v>
      </c>
      <c r="AF246" s="161">
        <f t="shared" si="23"/>
        <v>4.9667576435979081E-3</v>
      </c>
    </row>
    <row r="247" spans="28:32" x14ac:dyDescent="0.2">
      <c r="AB247" s="188">
        <f>_xll.qlCalendarAdvance(Calendar,AB246,"1d","mf",,Trigger)</f>
        <v>42418</v>
      </c>
      <c r="AC247" s="210">
        <f>_xll.qlDayCounterYearFraction(DayCounter,SettlementDate,AB247,,,Trigger)</f>
        <v>0.96438356164383565</v>
      </c>
      <c r="AD247" s="189">
        <f t="shared" si="24"/>
        <v>4.5532856454536591E-3</v>
      </c>
      <c r="AE247" s="189">
        <f t="shared" si="22"/>
        <v>5.042779675071901E-3</v>
      </c>
      <c r="AF247" s="161">
        <f t="shared" si="23"/>
        <v>4.958491580598085E-3</v>
      </c>
    </row>
    <row r="248" spans="28:32" x14ac:dyDescent="0.2">
      <c r="AB248" s="188">
        <f>_xll.qlCalendarAdvance(Calendar,AB247,"1d","mf",,Trigger)</f>
        <v>42419</v>
      </c>
      <c r="AC248" s="210">
        <f>_xll.qlDayCounterYearFraction(DayCounter,SettlementDate,AB248,,,Trigger)</f>
        <v>0.9671232876712329</v>
      </c>
      <c r="AD248" s="189">
        <f t="shared" si="24"/>
        <v>4.5532856454536591E-3</v>
      </c>
      <c r="AE248" s="189">
        <f t="shared" si="22"/>
        <v>5.04567608944834E-3</v>
      </c>
      <c r="AF248" s="161">
        <f t="shared" si="23"/>
        <v>4.9501343953339645E-3</v>
      </c>
    </row>
    <row r="249" spans="28:32" x14ac:dyDescent="0.2">
      <c r="AB249" s="188">
        <f>_xll.qlCalendarAdvance(Calendar,AB248,"1d","mf",,Trigger)</f>
        <v>42422</v>
      </c>
      <c r="AC249" s="210">
        <f>_xll.qlDayCounterYearFraction(DayCounter,SettlementDate,AB249,,,Trigger)</f>
        <v>0.97534246575342465</v>
      </c>
      <c r="AD249" s="189">
        <f t="shared" si="24"/>
        <v>4.5532856454536591E-3</v>
      </c>
      <c r="AE249" s="189">
        <f t="shared" si="22"/>
        <v>5.054365332577658E-3</v>
      </c>
      <c r="AF249" s="161">
        <f t="shared" si="23"/>
        <v>4.9245161059558304E-3</v>
      </c>
    </row>
    <row r="250" spans="28:32" x14ac:dyDescent="0.2">
      <c r="AB250" s="188">
        <f>_xll.qlCalendarAdvance(Calendar,AB249,"1d","mf",,Trigger)</f>
        <v>42423</v>
      </c>
      <c r="AC250" s="210">
        <f>_xll.qlDayCounterYearFraction(DayCounter,SettlementDate,AB250,,,Trigger)</f>
        <v>0.9780821917808219</v>
      </c>
      <c r="AD250" s="189">
        <f t="shared" si="24"/>
        <v>4.5532856454536591E-3</v>
      </c>
      <c r="AE250" s="189">
        <f t="shared" si="22"/>
        <v>5.0572617469540979E-3</v>
      </c>
      <c r="AF250" s="161">
        <f t="shared" si="23"/>
        <v>4.9157944316345278E-3</v>
      </c>
    </row>
    <row r="251" spans="28:32" x14ac:dyDescent="0.2">
      <c r="AB251" s="188">
        <f>_xll.qlCalendarAdvance(Calendar,AB250,"1d","mf",,Trigger)</f>
        <v>42424</v>
      </c>
      <c r="AC251" s="210">
        <f>_xll.qlDayCounterYearFraction(DayCounter,SettlementDate,AB251,,,Trigger)</f>
        <v>0.98082191780821915</v>
      </c>
      <c r="AD251" s="189">
        <f t="shared" si="24"/>
        <v>4.5532856454536591E-3</v>
      </c>
      <c r="AE251" s="189">
        <f t="shared" si="22"/>
        <v>5.060158161330537E-3</v>
      </c>
      <c r="AF251" s="161">
        <f t="shared" si="23"/>
        <v>4.906981635048927E-3</v>
      </c>
    </row>
    <row r="252" spans="28:32" x14ac:dyDescent="0.2">
      <c r="AB252" s="188">
        <f>_xll.qlCalendarAdvance(Calendar,AB251,"1d","mf",,Trigger)</f>
        <v>42425</v>
      </c>
      <c r="AC252" s="210">
        <f>_xll.qlDayCounterYearFraction(DayCounter,SettlementDate,AB252,,,Trigger)</f>
        <v>0.98356164383561639</v>
      </c>
      <c r="AD252" s="189">
        <f t="shared" si="24"/>
        <v>4.5532856454536591E-3</v>
      </c>
      <c r="AE252" s="189">
        <f t="shared" ref="AE252:AE257" si="25">$S$10+$S$9*AC252</f>
        <v>5.063054575706976E-3</v>
      </c>
      <c r="AF252" s="161">
        <f t="shared" ref="AF252:AF257" si="26">($S$5+$S$4*AC252+$S$3*AC252^2)</f>
        <v>4.8980777161990322E-3</v>
      </c>
    </row>
    <row r="253" spans="28:32" x14ac:dyDescent="0.2">
      <c r="AB253" s="188">
        <f>_xll.qlCalendarAdvance(Calendar,AB252,"1d","mf",,Trigger)</f>
        <v>42426</v>
      </c>
      <c r="AC253" s="210">
        <f>_xll.qlDayCounterYearFraction(DayCounter,SettlementDate,AB253,,,Trigger)</f>
        <v>0.98630136986301364</v>
      </c>
      <c r="AD253" s="189">
        <f t="shared" si="24"/>
        <v>4.5532856454536591E-3</v>
      </c>
      <c r="AE253" s="189">
        <f t="shared" si="25"/>
        <v>5.0659509900834159E-3</v>
      </c>
      <c r="AF253" s="161">
        <f t="shared" si="26"/>
        <v>4.889082675084839E-3</v>
      </c>
    </row>
    <row r="254" spans="28:32" x14ac:dyDescent="0.2">
      <c r="AB254" s="188">
        <f>_xll.qlCalendarAdvance(Calendar,AB253,"1d","mf",,Trigger)</f>
        <v>42429</v>
      </c>
      <c r="AC254" s="210">
        <f>_xll.qlDayCounterYearFraction(DayCounter,SettlementDate,AB254,,,Trigger)</f>
        <v>0.9945205479452055</v>
      </c>
      <c r="AD254" s="189">
        <f t="shared" si="24"/>
        <v>4.5532856454536591E-3</v>
      </c>
      <c r="AE254" s="189">
        <f t="shared" si="25"/>
        <v>5.0746402332127339E-3</v>
      </c>
      <c r="AF254" s="161">
        <f t="shared" si="26"/>
        <v>4.8615508181564888E-3</v>
      </c>
    </row>
    <row r="255" spans="28:32" x14ac:dyDescent="0.2">
      <c r="AB255" s="188">
        <f>_xll.qlCalendarAdvance(Calendar,AB254,"1d","mf",,Trigger)</f>
        <v>42430</v>
      </c>
      <c r="AC255" s="210">
        <f>_xll.qlDayCounterYearFraction(DayCounter,SettlementDate,AB255,,,Trigger)</f>
        <v>0.99726027397260275</v>
      </c>
      <c r="AD255" s="189">
        <f t="shared" si="24"/>
        <v>4.5532856454536591E-3</v>
      </c>
      <c r="AE255" s="189">
        <f t="shared" si="25"/>
        <v>5.0775366475891729E-3</v>
      </c>
      <c r="AF255" s="161">
        <f t="shared" si="26"/>
        <v>4.8521912879851128E-3</v>
      </c>
    </row>
    <row r="256" spans="28:32" x14ac:dyDescent="0.2">
      <c r="AB256" s="188">
        <f>_xll.qlCalendarAdvance(Calendar,AB255,"1d","mf",,Trigger)</f>
        <v>42431</v>
      </c>
      <c r="AC256" s="210">
        <f>_xll.qlDayCounterYearFraction(DayCounter,SettlementDate,AB256,,,Trigger)</f>
        <v>1</v>
      </c>
      <c r="AD256" s="189">
        <f t="shared" si="24"/>
        <v>4.5532856454536591E-3</v>
      </c>
      <c r="AE256" s="189">
        <f t="shared" si="25"/>
        <v>5.080433061965612E-3</v>
      </c>
      <c r="AF256" s="161">
        <f t="shared" si="26"/>
        <v>4.8427406355494411E-3</v>
      </c>
    </row>
    <row r="257" spans="28:32" ht="12" thickBot="1" x14ac:dyDescent="0.25">
      <c r="AB257" s="190">
        <f>_xll.qlCalendarAdvance(Calendar,AB256,"1d","mf",,Trigger)</f>
        <v>42432</v>
      </c>
      <c r="AC257" s="211">
        <f>_xll.qlDayCounterYearFraction(DayCounter,SettlementDate,AB257,,,Trigger)</f>
        <v>1.0027397260273974</v>
      </c>
      <c r="AD257" s="191">
        <f t="shared" si="24"/>
        <v>4.5532856454536591E-3</v>
      </c>
      <c r="AE257" s="191">
        <f t="shared" si="25"/>
        <v>5.0833294763420519E-3</v>
      </c>
      <c r="AF257" s="164">
        <f t="shared" si="26"/>
        <v>4.8331988608494719E-3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86</v>
      </c>
      <c r="C1" s="310"/>
      <c r="D1" s="310" t="s">
        <v>87</v>
      </c>
      <c r="E1" s="310" t="s">
        <v>88</v>
      </c>
      <c r="F1" s="310" t="s">
        <v>32</v>
      </c>
      <c r="G1" s="310" t="s">
        <v>89</v>
      </c>
      <c r="H1" s="310" t="s">
        <v>90</v>
      </c>
    </row>
    <row r="2" spans="1:29" x14ac:dyDescent="0.2">
      <c r="A2" s="407">
        <v>0</v>
      </c>
      <c r="B2" s="408">
        <f>_xll.qlInterestRateIndexFixingDate(IborIndex1Y,D2)</f>
        <v>42066</v>
      </c>
      <c r="C2" s="407" t="str">
        <f>_xll.qlMakeDatedOIS(,D2,E2,OvernightIndex,0,DayCounter,0)</f>
        <v>obj_0044b#0000</v>
      </c>
      <c r="D2" s="408">
        <f>_xll.qlCalendarAdvance(Calendar,SettlementDate,A2&amp;"M","mf")</f>
        <v>42066</v>
      </c>
      <c r="E2" s="408">
        <f>_xll.qlInterestRateIndexMaturity(IborIndex1Y,D2)</f>
        <v>42432</v>
      </c>
      <c r="F2" s="409">
        <f>_xll.qlOvernightIndexedSwapFairRate(C2,_xll.ohTrigger(InterestRatesTrigger))</f>
        <v>5.1999999994680581E-3</v>
      </c>
      <c r="G2" s="410">
        <f>_xll.qlInterpolationInterpolate(BasisInterpolator,D2,TRUE,F2)</f>
        <v>4.5874896273836079E-3</v>
      </c>
      <c r="H2" s="409">
        <f t="shared" ref="H2:H33" si="0">F2+G2</f>
        <v>9.787489626851666E-3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42101</v>
      </c>
      <c r="C3" s="411" t="str">
        <f>_xll.qlMakeDatedOIS(,D3,E3,OvernightIndex,0,DayCounter,0)</f>
        <v>obj_0044e#0000</v>
      </c>
      <c r="D3" s="412">
        <f>_xll.qlCalendarAdvance(Calendar,SettlementDate,A3&amp;"M","mf")</f>
        <v>42101</v>
      </c>
      <c r="E3" s="412">
        <f>_xll.qlInterestRateIndexMaturity(IborIndex1Y,D3)</f>
        <v>42467</v>
      </c>
      <c r="F3" s="413">
        <f>_xll.qlOvernightIndexedSwapFairRate(C3,_xll.ohTrigger(InterestRatesTrigger))</f>
        <v>5.4873899498290545E-3</v>
      </c>
      <c r="G3" s="414">
        <f>_xll.qlInterpolationInterpolate(BasisInterpolator,D3,TRUE,F3)</f>
        <v>4.6416822956294674E-3</v>
      </c>
      <c r="H3" s="413">
        <f t="shared" si="0"/>
        <v>1.0129072245458521E-2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42129</v>
      </c>
      <c r="C4" s="411" t="str">
        <f>_xll.qlMakeDatedOIS(,D4,E4,OvernightIndex,0,DayCounter,0)</f>
        <v>obj_0044c#0000</v>
      </c>
      <c r="D4" s="412">
        <f>_xll.qlCalendarAdvance(Calendar,SettlementDate,A4&amp;"M","mf")</f>
        <v>42129</v>
      </c>
      <c r="E4" s="412">
        <f>_xll.qlInterestRateIndexMaturity(IborIndex1Y,D4)</f>
        <v>42495</v>
      </c>
      <c r="F4" s="413">
        <f>_xll.qlOvernightIndexedSwapFairRate(C4,_xll.ohTrigger(InterestRatesTrigger))</f>
        <v>5.7483979788161537E-3</v>
      </c>
      <c r="G4" s="414">
        <f>_xll.qlInterpolationInterpolate(BasisInterpolator,D4,TRUE,F4)</f>
        <v>4.6841091829264575E-3</v>
      </c>
      <c r="H4" s="413">
        <f t="shared" si="0"/>
        <v>1.0432507161742611E-2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42158</v>
      </c>
      <c r="C5" s="411" t="str">
        <f>_xll.qlMakeDatedOIS(,D5,E5,OvernightIndex,0,DayCounter,0)</f>
        <v>obj_0045a#0000</v>
      </c>
      <c r="D5" s="412">
        <f>_xll.qlCalendarAdvance(Calendar,SettlementDate,A5&amp;"M","mf")</f>
        <v>42158</v>
      </c>
      <c r="E5" s="412">
        <f>_xll.qlInterestRateIndexMaturity(IborIndex1Y,D5)</f>
        <v>42524</v>
      </c>
      <c r="F5" s="413">
        <f>_xll.qlOvernightIndexedSwapFairRate(C5,_xll.ohTrigger(InterestRatesTrigger))</f>
        <v>6.0530473379396673E-3</v>
      </c>
      <c r="G5" s="414">
        <f>_xll.qlInterpolationInterpolate(BasisInterpolator,D5,TRUE,F5)</f>
        <v>4.7263667139526566E-3</v>
      </c>
      <c r="H5" s="413">
        <f t="shared" si="0"/>
        <v>1.0779414051892325E-2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42188</v>
      </c>
      <c r="C6" s="411" t="str">
        <f>_xll.qlMakeDatedOIS(,D6,E6,OvernightIndex,0,DayCounter,0)</f>
        <v>obj_0044a#0000</v>
      </c>
      <c r="D6" s="412">
        <f>_xll.qlCalendarAdvance(Calendar,SettlementDate,A6&amp;"M","mf")</f>
        <v>42188</v>
      </c>
      <c r="E6" s="412">
        <f>_xll.qlInterestRateIndexMaturity(IborIndex1Y,D6)</f>
        <v>42555</v>
      </c>
      <c r="F6" s="413">
        <f>_xll.qlOvernightIndexedSwapFairRate(C6,_xll.ohTrigger(InterestRatesTrigger))</f>
        <v>6.4125520922679599E-3</v>
      </c>
      <c r="G6" s="414">
        <f>_xll.qlInterpolationInterpolate(BasisInterpolator,D6,TRUE,F6)</f>
        <v>4.7674515937417977E-3</v>
      </c>
      <c r="H6" s="413">
        <f t="shared" si="0"/>
        <v>1.1180003686009757E-2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42219</v>
      </c>
      <c r="C7" s="411" t="str">
        <f>_xll.qlMakeDatedOIS(,D7,E7,OvernightIndex,0,DayCounter,0)</f>
        <v>obj_00450#0000</v>
      </c>
      <c r="D7" s="412">
        <f>_xll.qlCalendarAdvance(Calendar,SettlementDate,A7&amp;"M","mf")</f>
        <v>42219</v>
      </c>
      <c r="E7" s="412">
        <f>_xll.qlInterestRateIndexMaturity(IborIndex1Y,D7)</f>
        <v>42585</v>
      </c>
      <c r="F7" s="413">
        <f>_xll.qlOvernightIndexedSwapFairRate(C7,_xll.ohTrigger(InterestRatesTrigger))</f>
        <v>6.8157380817430741E-3</v>
      </c>
      <c r="G7" s="414">
        <f>_xll.qlInterpolationInterpolate(BasisInterpolator,D7,TRUE,F7)</f>
        <v>4.8061835226022118E-3</v>
      </c>
      <c r="H7" s="413">
        <f t="shared" si="0"/>
        <v>1.1621921604345286E-2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42250</v>
      </c>
      <c r="C8" s="411" t="str">
        <f>_xll.qlMakeDatedOIS(,D8,E8,OvernightIndex,0,DayCounter,0)</f>
        <v>obj_00461#0000</v>
      </c>
      <c r="D8" s="412">
        <f>_xll.qlCalendarAdvance(Calendar,SettlementDate,A8&amp;"M","mf")</f>
        <v>42250</v>
      </c>
      <c r="E8" s="412">
        <f>_xll.qlInterestRateIndexMaturity(IborIndex1Y,D8)</f>
        <v>42618</v>
      </c>
      <c r="F8" s="413">
        <f>_xll.qlOvernightIndexedSwapFairRate(C8,_xll.ohTrigger(InterestRatesTrigger))</f>
        <v>7.2674525768929793E-3</v>
      </c>
      <c r="G8" s="414">
        <f>_xll.qlInterpolationInterpolate(BasisInterpolator,D8,TRUE,F8)</f>
        <v>4.8401835358643898E-3</v>
      </c>
      <c r="H8" s="413">
        <f t="shared" si="0"/>
        <v>1.2107636112757369E-2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42282</v>
      </c>
      <c r="C9" s="411" t="str">
        <f>_xll.qlMakeDatedOIS(,D9,E9,OvernightIndex,0,DayCounter,0)</f>
        <v>obj_0045b#0000</v>
      </c>
      <c r="D9" s="412">
        <f>_xll.qlCalendarAdvance(Calendar,SettlementDate,A9&amp;"M","mf")</f>
        <v>42282</v>
      </c>
      <c r="E9" s="412">
        <f>_xll.qlInterestRateIndexMaturity(IborIndex1Y,D9)</f>
        <v>42648</v>
      </c>
      <c r="F9" s="413">
        <f>_xll.qlOvernightIndexedSwapFairRate(C9,_xll.ohTrigger(InterestRatesTrigger))</f>
        <v>7.7394900456154775E-3</v>
      </c>
      <c r="G9" s="414">
        <f>_xll.qlInterpolationInterpolate(BasisInterpolator,D9,TRUE,F9)</f>
        <v>4.869300524835596E-3</v>
      </c>
      <c r="H9" s="413">
        <f t="shared" si="0"/>
        <v>1.2608790570451073E-2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42311</v>
      </c>
      <c r="C10" s="411" t="str">
        <f>_xll.qlMakeDatedOIS(,D10,E10,OvernightIndex,0,DayCounter,0)</f>
        <v>obj_0044f#0000</v>
      </c>
      <c r="D10" s="412">
        <f>_xll.qlCalendarAdvance(Calendar,SettlementDate,A10&amp;"M","mf")</f>
        <v>42311</v>
      </c>
      <c r="E10" s="412">
        <f>_xll.qlInterestRateIndexMaturity(IborIndex1Y,D10)</f>
        <v>42677</v>
      </c>
      <c r="F10" s="413">
        <f>_xll.qlOvernightIndexedSwapFairRate(C10,_xll.ohTrigger(InterestRatesTrigger))</f>
        <v>8.2032300802357284E-3</v>
      </c>
      <c r="G10" s="414">
        <f>_xll.qlInterpolationInterpolate(BasisInterpolator,D10,TRUE,F10)</f>
        <v>4.8895676967965285E-3</v>
      </c>
      <c r="H10" s="413">
        <f t="shared" si="0"/>
        <v>1.3092797777032258E-2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42341</v>
      </c>
      <c r="C11" s="411" t="str">
        <f>_xll.qlMakeDatedOIS(,D11,E11,OvernightIndex,0,DayCounter,0)</f>
        <v>obj_00453#0000</v>
      </c>
      <c r="D11" s="412">
        <f>_xll.qlCalendarAdvance(Calendar,SettlementDate,A11&amp;"M","mf")</f>
        <v>42341</v>
      </c>
      <c r="E11" s="412">
        <f>_xll.qlInterestRateIndexMaturity(IborIndex1Y,D11)</f>
        <v>42709</v>
      </c>
      <c r="F11" s="413">
        <f>_xll.qlOvernightIndexedSwapFairRate(C11,_xll.ohTrigger(InterestRatesTrigger))</f>
        <v>8.6809293999217923E-3</v>
      </c>
      <c r="G11" s="414">
        <f>_xll.qlInterpolationInterpolate(BasisInterpolator,D11,TRUE,F11)</f>
        <v>4.9035462338507191E-3</v>
      </c>
      <c r="H11" s="413">
        <f t="shared" si="0"/>
        <v>1.3584475633772512E-2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42373</v>
      </c>
      <c r="C12" s="411" t="str">
        <f>_xll.qlMakeDatedOIS(,D12,E12,OvernightIndex,0,DayCounter,0)</f>
        <v>obj_00452#0000</v>
      </c>
      <c r="D12" s="412">
        <f>_xll.qlCalendarAdvance(Calendar,SettlementDate,A12&amp;"M","mf")</f>
        <v>42373</v>
      </c>
      <c r="E12" s="412">
        <f>_xll.qlInterestRateIndexMaturity(IborIndex1Y,D12)</f>
        <v>42739</v>
      </c>
      <c r="F12" s="413">
        <f>_xll.qlOvernightIndexedSwapFairRate(C12,_xll.ohTrigger(InterestRatesTrigger))</f>
        <v>9.1818694977543296E-3</v>
      </c>
      <c r="G12" s="414">
        <f>_xll.qlInterpolationInterpolate(BasisInterpolator,D12,TRUE,F12)</f>
        <v>4.9096559555178746E-3</v>
      </c>
      <c r="H12" s="413">
        <f t="shared" si="0"/>
        <v>1.4091525453272205E-2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42403</v>
      </c>
      <c r="C13" s="415" t="str">
        <f>_xll.qlMakeDatedOIS(,D13,E13,OvernightIndex,0,DayCounter,0)</f>
        <v>obj_00464#0000</v>
      </c>
      <c r="D13" s="416">
        <f>_xll.qlCalendarAdvance(Calendar,SettlementDate,A13&amp;"M","mf")</f>
        <v>42403</v>
      </c>
      <c r="E13" s="416">
        <f>_xll.qlInterestRateIndexMaturity(IborIndex1Y,D13)</f>
        <v>42769</v>
      </c>
      <c r="F13" s="417">
        <f>_xll.qlOvernightIndexedSwapFairRate(C13,_xll.ohTrigger(InterestRatesTrigger))</f>
        <v>9.6767383980292596E-3</v>
      </c>
      <c r="G13" s="418">
        <f>_xll.qlInterpolationInterpolate(BasisInterpolator,D13,TRUE,F13)</f>
        <v>4.9062152966316908E-3</v>
      </c>
      <c r="H13" s="417">
        <f t="shared" si="0"/>
        <v>1.4582953694660949E-2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42432</v>
      </c>
      <c r="C14" s="407" t="str">
        <f>_xll.qlMakeDatedOIS(,D14,E14,OvernightIndex,0,DayCounter,0)</f>
        <v>obj_00443#0000</v>
      </c>
      <c r="D14" s="408">
        <f>_xll.qlCalendarAdvance(Calendar,SettlementDate,A14&amp;"M","mf")</f>
        <v>42432</v>
      </c>
      <c r="E14" s="408">
        <f>_xll.qlInterestRateIndexMaturity(IborIndex1Y,D14)</f>
        <v>42797</v>
      </c>
      <c r="F14" s="409">
        <f>_xll.qlOvernightIndexedSwapFairRate(C14,_xll.ohTrigger(InterestRatesTrigger))</f>
        <v>1.010637987487728E-2</v>
      </c>
      <c r="G14" s="410">
        <f>_xll.qlInterpolationInterpolate(BasisInterpolator,D14,TRUE,F14)</f>
        <v>4.8936201252836042E-3</v>
      </c>
      <c r="H14" s="409">
        <f t="shared" si="0"/>
        <v>1.5000000000160885E-2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42464</v>
      </c>
      <c r="C15" s="411" t="str">
        <f>_xll.qlMakeDatedOIS(,D15,E15,OvernightIndex,0,DayCounter,0)</f>
        <v>obj_00459#0000</v>
      </c>
      <c r="D15" s="412">
        <f>_xll.qlCalendarAdvance(Calendar,SettlementDate,A15&amp;"M","mf")</f>
        <v>42464</v>
      </c>
      <c r="E15" s="412">
        <f>_xll.qlInterestRateIndexMaturity(IborIndex1Y,D15)</f>
        <v>42829</v>
      </c>
      <c r="F15" s="413">
        <f>_xll.qlOvernightIndexedSwapFairRate(C15,_xll.ohTrigger(InterestRatesTrigger))</f>
        <v>1.0579108015652094E-2</v>
      </c>
      <c r="G15" s="414">
        <f>_xll.qlInterpolationInterpolate(BasisInterpolator,D15,TRUE,F15)</f>
        <v>4.8671789267259683E-3</v>
      </c>
      <c r="H15" s="413">
        <f t="shared" si="0"/>
        <v>1.5446286942378063E-2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42493</v>
      </c>
      <c r="C16" s="411" t="str">
        <f>_xll.qlMakeDatedOIS(,D16,E16,OvernightIndex,0,DayCounter,0)</f>
        <v>obj_0046a#0000</v>
      </c>
      <c r="D16" s="412">
        <f>_xll.qlCalendarAdvance(Calendar,SettlementDate,A16&amp;"M","mf")</f>
        <v>42493</v>
      </c>
      <c r="E16" s="412">
        <f>_xll.qlInterestRateIndexMaturity(IborIndex1Y,D16)</f>
        <v>42858</v>
      </c>
      <c r="F16" s="413">
        <f>_xll.qlOvernightIndexedSwapFairRate(C16,_xll.ohTrigger(InterestRatesTrigger))</f>
        <v>1.1005150817057441E-2</v>
      </c>
      <c r="G16" s="414">
        <f>_xll.qlInterpolationInterpolate(BasisInterpolator,D16,TRUE,F16)</f>
        <v>4.8323206592976072E-3</v>
      </c>
      <c r="H16" s="413">
        <f t="shared" si="0"/>
        <v>1.5837471476355048E-2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42524</v>
      </c>
      <c r="C17" s="411" t="str">
        <f>_xll.qlMakeDatedOIS(,D17,E17,OvernightIndex,0,DayCounter,0)</f>
        <v>obj_00446#0000</v>
      </c>
      <c r="D17" s="412">
        <f>_xll.qlCalendarAdvance(Calendar,SettlementDate,A17&amp;"M","mf")</f>
        <v>42524</v>
      </c>
      <c r="E17" s="412">
        <f>_xll.qlInterestRateIndexMaturity(IborIndex1Y,D17)</f>
        <v>42891</v>
      </c>
      <c r="F17" s="413">
        <f>_xll.qlOvernightIndexedSwapFairRate(C17,_xll.ohTrigger(InterestRatesTrigger))</f>
        <v>1.1464485382804453E-2</v>
      </c>
      <c r="G17" s="414">
        <f>_xll.qlInterpolationInterpolate(BasisInterpolator,D17,TRUE,F17)</f>
        <v>4.786108139627052E-3</v>
      </c>
      <c r="H17" s="413">
        <f t="shared" si="0"/>
        <v>1.6250593522431505E-2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42555</v>
      </c>
      <c r="C18" s="411" t="str">
        <f>_xll.qlMakeDatedOIS(,D18,E18,OvernightIndex,0,DayCounter,0)</f>
        <v>obj_00457#0000</v>
      </c>
      <c r="D18" s="412">
        <f>_xll.qlCalendarAdvance(Calendar,SettlementDate,A18&amp;"M","mf")</f>
        <v>42555</v>
      </c>
      <c r="E18" s="412">
        <f>_xll.qlInterestRateIndexMaturity(IborIndex1Y,D18)</f>
        <v>42920</v>
      </c>
      <c r="F18" s="413">
        <f>_xll.qlOvernightIndexedSwapFairRate(C18,_xll.ohTrigger(InterestRatesTrigger))</f>
        <v>1.1881558312615503E-2</v>
      </c>
      <c r="G18" s="414">
        <f>_xll.qlInterpolationInterpolate(BasisInterpolator,D18,TRUE,F18)</f>
        <v>4.7332086360921712E-3</v>
      </c>
      <c r="H18" s="413">
        <f t="shared" si="0"/>
        <v>1.6614766948707674E-2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42585</v>
      </c>
      <c r="C19" s="411" t="str">
        <f>_xll.qlMakeDatedOIS(,D19,E19,OvernightIndex,0,DayCounter,0)</f>
        <v>obj_00444#0000</v>
      </c>
      <c r="D19" s="412">
        <f>_xll.qlCalendarAdvance(Calendar,SettlementDate,A19&amp;"M","mf")</f>
        <v>42585</v>
      </c>
      <c r="E19" s="412">
        <f>_xll.qlInterestRateIndexMaturity(IborIndex1Y,D19)</f>
        <v>42950</v>
      </c>
      <c r="F19" s="413">
        <f>_xll.qlOvernightIndexedSwapFairRate(C19,_xll.ohTrigger(InterestRatesTrigger))</f>
        <v>1.2281945410168138E-2</v>
      </c>
      <c r="G19" s="414">
        <f>_xll.qlInterpolationInterpolate(BasisInterpolator,D19,TRUE,F19)</f>
        <v>4.6781144466593316E-3</v>
      </c>
      <c r="H19" s="413">
        <f t="shared" si="0"/>
        <v>1.696005985682747E-2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42618</v>
      </c>
      <c r="C20" s="411" t="str">
        <f>_xll.qlMakeDatedOIS(,D20,E20,OvernightIndex,0,DayCounter,0)</f>
        <v>obj_00469#0000</v>
      </c>
      <c r="D20" s="412">
        <f>_xll.qlCalendarAdvance(Calendar,SettlementDate,A20&amp;"M","mf")</f>
        <v>42618</v>
      </c>
      <c r="E20" s="412">
        <f>_xll.qlInterestRateIndexMaturity(IborIndex1Y,D20)</f>
        <v>42983</v>
      </c>
      <c r="F20" s="413">
        <f>_xll.qlOvernightIndexedSwapFairRate(C20,_xll.ohTrigger(InterestRatesTrigger))</f>
        <v>1.2703920430975346E-2</v>
      </c>
      <c r="G20" s="414">
        <f>_xll.qlInterpolationInterpolate(BasisInterpolator,D20,TRUE,F20)</f>
        <v>4.6159410912448521E-3</v>
      </c>
      <c r="H20" s="413">
        <f t="shared" si="0"/>
        <v>1.7319861522220197E-2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42646</v>
      </c>
      <c r="C21" s="411" t="str">
        <f>_xll.qlMakeDatedOIS(,D21,E21,OvernightIndex,0,DayCounter,0)</f>
        <v>obj_0045f#0000</v>
      </c>
      <c r="D21" s="412">
        <f>_xll.qlCalendarAdvance(Calendar,SettlementDate,A21&amp;"M","mf")</f>
        <v>42646</v>
      </c>
      <c r="E21" s="412">
        <f>_xll.qlInterestRateIndexMaturity(IborIndex1Y,D21)</f>
        <v>43011</v>
      </c>
      <c r="F21" s="413">
        <f>_xll.qlOvernightIndexedSwapFairRate(C21,_xll.ohTrigger(InterestRatesTrigger))</f>
        <v>1.3046795777391207E-2</v>
      </c>
      <c r="G21" s="414">
        <f>_xll.qlInterpolationInterpolate(BasisInterpolator,D21,TRUE,F21)</f>
        <v>4.5641746948549859E-3</v>
      </c>
      <c r="H21" s="413">
        <f t="shared" si="0"/>
        <v>1.7610970472246194E-2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42677</v>
      </c>
      <c r="C22" s="411" t="str">
        <f>_xll.qlMakeDatedOIS(,D22,E22,OvernightIndex,0,DayCounter,0)</f>
        <v>obj_0045e#0000</v>
      </c>
      <c r="D22" s="412">
        <f>_xll.qlCalendarAdvance(Calendar,SettlementDate,A22&amp;"M","mf")</f>
        <v>42677</v>
      </c>
      <c r="E22" s="412">
        <f>_xll.qlInterestRateIndexMaturity(IborIndex1Y,D22)</f>
        <v>43042</v>
      </c>
      <c r="F22" s="413">
        <f>_xll.qlOvernightIndexedSwapFairRate(C22,_xll.ohTrigger(InterestRatesTrigger))</f>
        <v>1.3410679867399411E-2</v>
      </c>
      <c r="G22" s="414">
        <f>_xll.qlInterpolationInterpolate(BasisInterpolator,D22,TRUE,F22)</f>
        <v>4.5103829875837546E-3</v>
      </c>
      <c r="H22" s="413">
        <f t="shared" si="0"/>
        <v>1.7921062854983166E-2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42709</v>
      </c>
      <c r="C23" s="411" t="str">
        <f>_xll.qlMakeDatedOIS(,D23,E23,OvernightIndex,0,DayCounter,0)</f>
        <v>obj_00455#0000</v>
      </c>
      <c r="D23" s="412">
        <f>_xll.qlCalendarAdvance(Calendar,SettlementDate,A23&amp;"M","mf")</f>
        <v>42709</v>
      </c>
      <c r="E23" s="412">
        <f>_xll.qlInterestRateIndexMaturity(IborIndex1Y,D23)</f>
        <v>43074</v>
      </c>
      <c r="F23" s="413">
        <f>_xll.qlOvernightIndexedSwapFairRate(C23,_xll.ohTrigger(InterestRatesTrigger))</f>
        <v>1.3769688658628043E-2</v>
      </c>
      <c r="G23" s="414">
        <f>_xll.qlInterpolationInterpolate(BasisInterpolator,D23,TRUE,F23)</f>
        <v>4.4614240264345901E-3</v>
      </c>
      <c r="H23" s="413">
        <f t="shared" si="0"/>
        <v>1.8231112685062632E-2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42738</v>
      </c>
      <c r="C24" s="411" t="str">
        <f>_xll.qlMakeDatedOIS(,D24,E24,OvernightIndex,0,DayCounter,0)</f>
        <v>obj_00454#0000</v>
      </c>
      <c r="D24" s="412">
        <f>_xll.qlCalendarAdvance(Calendar,SettlementDate,A24&amp;"M","mf")</f>
        <v>42738</v>
      </c>
      <c r="E24" s="412">
        <f>_xll.qlInterestRateIndexMaturity(IborIndex1Y,D24)</f>
        <v>43103</v>
      </c>
      <c r="F24" s="413">
        <f>_xll.qlOvernightIndexedSwapFairRate(C24,_xll.ohTrigger(InterestRatesTrigger))</f>
        <v>1.4081104813721712E-2</v>
      </c>
      <c r="G24" s="414">
        <f>_xll.qlInterpolationInterpolate(BasisInterpolator,D24,TRUE,F24)</f>
        <v>4.4252018098768844E-3</v>
      </c>
      <c r="H24" s="413">
        <f t="shared" si="0"/>
        <v>1.8506306623598597E-2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42769</v>
      </c>
      <c r="C25" s="415" t="str">
        <f>_xll.qlMakeDatedOIS(,D25,E25,OvernightIndex,0,DayCounter,0)</f>
        <v>obj_0045c#0000</v>
      </c>
      <c r="D25" s="416">
        <f>_xll.qlCalendarAdvance(Calendar,SettlementDate,A25&amp;"M","mf")</f>
        <v>42769</v>
      </c>
      <c r="E25" s="416">
        <f>_xll.qlInterestRateIndexMaturity(IborIndex1Y,D25)</f>
        <v>43136</v>
      </c>
      <c r="F25" s="417">
        <f>_xll.qlOvernightIndexedSwapFairRate(C25,_xll.ohTrigger(InterestRatesTrigger))</f>
        <v>1.4409797670002404E-2</v>
      </c>
      <c r="G25" s="418">
        <f>_xll.qlInterpolationInterpolate(BasisInterpolator,D25,TRUE,F25)</f>
        <v>4.3975536375122481E-3</v>
      </c>
      <c r="H25" s="417">
        <f t="shared" si="0"/>
        <v>1.8807351307514653E-2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42797</v>
      </c>
      <c r="C26" s="407" t="str">
        <f>_xll.qlMakeDatedOIS(,D26,E26,OvernightIndex,0,DayCounter,0)</f>
        <v>obj_0044d#0000</v>
      </c>
      <c r="D26" s="408">
        <f>_xll.qlCalendarAdvance(Calendar,SettlementDate,A26&amp;"M","mf")</f>
        <v>42797</v>
      </c>
      <c r="E26" s="408">
        <f>_xll.qlInterestRateIndexMaturity(IborIndex1Y,D26)</f>
        <v>43164</v>
      </c>
      <c r="F26" s="409">
        <f>_xll.qlOvernightIndexedSwapFairRate(C26,_xll.ohTrigger(InterestRatesTrigger))</f>
        <v>1.4685655722096706E-2</v>
      </c>
      <c r="G26" s="410">
        <f>_xll.qlInterpolationInterpolate(BasisInterpolator,D26,TRUE,F26)</f>
        <v>4.3845442066150504E-3</v>
      </c>
      <c r="H26" s="409">
        <f t="shared" si="0"/>
        <v>1.9070199928711756E-2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42828</v>
      </c>
      <c r="C27" s="411" t="str">
        <f>_xll.qlMakeDatedOIS(,D27,E27,OvernightIndex,0,DayCounter,0)</f>
        <v>obj_00451#0000</v>
      </c>
      <c r="D27" s="412">
        <f>_xll.qlCalendarAdvance(Calendar,SettlementDate,A27&amp;"M","mf")</f>
        <v>42828</v>
      </c>
      <c r="E27" s="412">
        <f>_xll.qlInterestRateIndexMaturity(IborIndex1Y,D27)</f>
        <v>43193</v>
      </c>
      <c r="F27" s="413">
        <f>_xll.qlOvernightIndexedSwapFairRate(C27,_xll.ohTrigger(InterestRatesTrigger))</f>
        <v>1.4969512937493379E-2</v>
      </c>
      <c r="G27" s="414">
        <f>_xll.qlInterpolationInterpolate(BasisInterpolator,D27,TRUE,F27)</f>
        <v>4.3790112666022033E-3</v>
      </c>
      <c r="H27" s="413">
        <f t="shared" si="0"/>
        <v>1.9348524204095583E-2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42858</v>
      </c>
      <c r="C28" s="411" t="str">
        <f>_xll.qlMakeDatedOIS(,D28,E28,OvernightIndex,0,DayCounter,0)</f>
        <v>obj_00468#0000</v>
      </c>
      <c r="D28" s="412">
        <f>_xll.qlCalendarAdvance(Calendar,SettlementDate,A28&amp;"M","mf")</f>
        <v>42858</v>
      </c>
      <c r="E28" s="412">
        <f>_xll.qlInterestRateIndexMaturity(IborIndex1Y,D28)</f>
        <v>43223</v>
      </c>
      <c r="F28" s="413">
        <f>_xll.qlOvernightIndexedSwapFairRate(C28,_xll.ohTrigger(InterestRatesTrigger))</f>
        <v>1.52410212130627E-2</v>
      </c>
      <c r="G28" s="414">
        <f>_xll.qlInterpolationInterpolate(BasisInterpolator,D28,TRUE,F28)</f>
        <v>4.3768030087628952E-3</v>
      </c>
      <c r="H28" s="413">
        <f t="shared" si="0"/>
        <v>1.9617824221825595E-2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42891</v>
      </c>
      <c r="C29" s="411" t="str">
        <f>_xll.qlMakeDatedOIS(,D29,E29,OvernightIndex,0,DayCounter,0)</f>
        <v>obj_0046e#0000</v>
      </c>
      <c r="D29" s="412">
        <f>_xll.qlCalendarAdvance(Calendar,SettlementDate,A29&amp;"M","mf")</f>
        <v>42891</v>
      </c>
      <c r="E29" s="412">
        <f>_xll.qlInterestRateIndexMaturity(IborIndex1Y,D29)</f>
        <v>43256</v>
      </c>
      <c r="F29" s="413">
        <f>_xll.qlOvernightIndexedSwapFairRate(C29,_xll.ohTrigger(InterestRatesTrigger))</f>
        <v>1.5525923340783621E-2</v>
      </c>
      <c r="G29" s="414">
        <f>_xll.qlInterpolationInterpolate(BasisInterpolator,D29,TRUE,F29)</f>
        <v>4.3773400555133435E-3</v>
      </c>
      <c r="H29" s="413">
        <f t="shared" si="0"/>
        <v>1.9903263396296965E-2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42919</v>
      </c>
      <c r="C30" s="411" t="str">
        <f>_xll.qlMakeDatedOIS(,D30,E30,OvernightIndex,0,DayCounter,0)</f>
        <v>obj_00462#0000</v>
      </c>
      <c r="D30" s="412">
        <f>_xll.qlCalendarAdvance(Calendar,SettlementDate,A30&amp;"M","mf")</f>
        <v>42919</v>
      </c>
      <c r="E30" s="412">
        <f>_xll.qlInterestRateIndexMaturity(IborIndex1Y,D30)</f>
        <v>43284</v>
      </c>
      <c r="F30" s="413">
        <f>_xll.qlOvernightIndexedSwapFairRate(C30,_xll.ohTrigger(InterestRatesTrigger))</f>
        <v>1.5756532112665811E-2</v>
      </c>
      <c r="G30" s="414">
        <f>_xll.qlInterpolationInterpolate(BasisInterpolator,D30,TRUE,F30)</f>
        <v>4.3797488655376417E-3</v>
      </c>
      <c r="H30" s="413">
        <f t="shared" si="0"/>
        <v>2.0136280978203452E-2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42950</v>
      </c>
      <c r="C31" s="411" t="str">
        <f>_xll.qlMakeDatedOIS(,D31,E31,OvernightIndex,0,DayCounter,0)</f>
        <v>obj_00440#0000</v>
      </c>
      <c r="D31" s="412">
        <f>_xll.qlCalendarAdvance(Calendar,SettlementDate,A31&amp;"M","mf")</f>
        <v>42950</v>
      </c>
      <c r="E31" s="412">
        <f>_xll.qlInterestRateIndexMaturity(IborIndex1Y,D31)</f>
        <v>43315</v>
      </c>
      <c r="F31" s="413">
        <f>_xll.qlOvernightIndexedSwapFairRate(C31,_xll.ohTrigger(InterestRatesTrigger))</f>
        <v>1.6000125177246138E-2</v>
      </c>
      <c r="G31" s="414">
        <f>_xll.qlInterpolationInterpolate(BasisInterpolator,D31,TRUE,F31)</f>
        <v>4.3839836178087418E-3</v>
      </c>
      <c r="H31" s="413">
        <f t="shared" si="0"/>
        <v>2.0384108795054881E-2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42982</v>
      </c>
      <c r="C32" s="411" t="str">
        <f>_xll.qlMakeDatedOIS(,D32,E32,OvernightIndex,0,DayCounter,0)</f>
        <v>obj_0045d#0000</v>
      </c>
      <c r="D32" s="412">
        <f>_xll.qlCalendarAdvance(Calendar,SettlementDate,A32&amp;"M","mf")</f>
        <v>42982</v>
      </c>
      <c r="E32" s="412">
        <f>_xll.qlInterestRateIndexMaturity(IborIndex1Y,D32)</f>
        <v>43347</v>
      </c>
      <c r="F32" s="413">
        <f>_xll.qlOvernightIndexedSwapFairRate(C32,_xll.ohTrigger(InterestRatesTrigger))</f>
        <v>1.6238862331770409E-2</v>
      </c>
      <c r="G32" s="414">
        <f>_xll.qlInterpolationInterpolate(BasisInterpolator,D32,TRUE,F32)</f>
        <v>4.3895122214474974E-3</v>
      </c>
      <c r="H32" s="413">
        <f t="shared" si="0"/>
        <v>2.0628374553217907E-2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43011</v>
      </c>
      <c r="C33" s="411" t="str">
        <f>_xll.qlMakeDatedOIS(,D33,E33,OvernightIndex,0,DayCounter,0)</f>
        <v>obj_00445#0000</v>
      </c>
      <c r="D33" s="412">
        <f>_xll.qlCalendarAdvance(Calendar,SettlementDate,A33&amp;"M","mf")</f>
        <v>43011</v>
      </c>
      <c r="E33" s="412">
        <f>_xll.qlInterestRateIndexMaturity(IborIndex1Y,D33)</f>
        <v>43376</v>
      </c>
      <c r="F33" s="413">
        <f>_xll.qlOvernightIndexedSwapFairRate(C33,_xll.ohTrigger(InterestRatesTrigger))</f>
        <v>1.6444247512336974E-2</v>
      </c>
      <c r="G33" s="414">
        <f>_xll.qlInterpolationInterpolate(BasisInterpolator,D33,TRUE,F33)</f>
        <v>4.3950315127755518E-3</v>
      </c>
      <c r="H33" s="413">
        <f t="shared" si="0"/>
        <v>2.0839279025112525E-2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43042</v>
      </c>
      <c r="C34" s="411" t="str">
        <f>_xll.qlMakeDatedOIS(,D34,E34,OvernightIndex,0,DayCounter,0)</f>
        <v>obj_00466#0000</v>
      </c>
      <c r="D34" s="412">
        <f>_xll.qlCalendarAdvance(Calendar,SettlementDate,A34&amp;"M","mf")</f>
        <v>43042</v>
      </c>
      <c r="E34" s="412">
        <f>_xll.qlInterestRateIndexMaturity(IborIndex1Y,D34)</f>
        <v>43409</v>
      </c>
      <c r="F34" s="413">
        <f>_xll.qlOvernightIndexedSwapFairRate(C34,_xll.ohTrigger(InterestRatesTrigger))</f>
        <v>1.665901669158935E-2</v>
      </c>
      <c r="G34" s="414">
        <f>_xll.qlInterpolationInterpolate(BasisInterpolator,D34,TRUE,F34)</f>
        <v>4.400934102673699E-3</v>
      </c>
      <c r="H34" s="413">
        <f t="shared" ref="H34:H50" si="1">F34+G34</f>
        <v>2.1059950794263049E-2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43073</v>
      </c>
      <c r="C35" s="411" t="str">
        <f>_xll.qlMakeDatedOIS(,D35,E35,OvernightIndex,0,DayCounter,0)</f>
        <v>obj_0046c#0000</v>
      </c>
      <c r="D35" s="412">
        <f>_xll.qlCalendarAdvance(Calendar,SettlementDate,A35&amp;"M","mf")</f>
        <v>43073</v>
      </c>
      <c r="E35" s="412">
        <f>_xll.qlInterestRateIndexMaturity(IborIndex1Y,D35)</f>
        <v>43438</v>
      </c>
      <c r="F35" s="413">
        <f>_xll.qlOvernightIndexedSwapFairRate(C35,_xll.ohTrigger(InterestRatesTrigger))</f>
        <v>1.6849153016546214E-2</v>
      </c>
      <c r="G35" s="414">
        <f>_xll.qlInterpolationInterpolate(BasisInterpolator,D35,TRUE,F35)</f>
        <v>4.4062951495747434E-3</v>
      </c>
      <c r="H35" s="413">
        <f t="shared" si="1"/>
        <v>2.1255448166120957E-2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43103</v>
      </c>
      <c r="C36" s="411" t="str">
        <f>_xll.qlMakeDatedOIS(,D36,E36,OvernightIndex,0,DayCounter,0)</f>
        <v>obj_00463#0000</v>
      </c>
      <c r="D36" s="412">
        <f>_xll.qlCalendarAdvance(Calendar,SettlementDate,A36&amp;"M","mf")</f>
        <v>43103</v>
      </c>
      <c r="E36" s="412">
        <f>_xll.qlInterestRateIndexMaturity(IborIndex1Y,D36)</f>
        <v>43468</v>
      </c>
      <c r="F36" s="413">
        <f>_xll.qlOvernightIndexedSwapFairRate(C36,_xll.ohTrigger(InterestRatesTrigger))</f>
        <v>1.7028731585192691E-2</v>
      </c>
      <c r="G36" s="414">
        <f>_xll.qlInterpolationInterpolate(BasisInterpolator,D36,TRUE,F36)</f>
        <v>4.4104437075290813E-3</v>
      </c>
      <c r="H36" s="413">
        <f t="shared" si="1"/>
        <v>2.1439175292721772E-2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43136</v>
      </c>
      <c r="C37" s="415" t="str">
        <f>_xll.qlMakeDatedOIS(,D37,E37,OvernightIndex,0,DayCounter,0)</f>
        <v>obj_0043f#0000</v>
      </c>
      <c r="D37" s="416">
        <f>_xll.qlCalendarAdvance(Calendar,SettlementDate,A37&amp;"M","mf")</f>
        <v>43136</v>
      </c>
      <c r="E37" s="416">
        <f>_xll.qlInterestRateIndexMaturity(IborIndex1Y,D37)</f>
        <v>43501</v>
      </c>
      <c r="F37" s="417">
        <f>_xll.qlOvernightIndexedSwapFairRate(C37,_xll.ohTrigger(InterestRatesTrigger))</f>
        <v>1.7214256757400737E-2</v>
      </c>
      <c r="G37" s="418">
        <f>_xll.qlInterpolationInterpolate(BasisInterpolator,D37,TRUE,F37)</f>
        <v>4.4132179626919441E-3</v>
      </c>
      <c r="H37" s="417">
        <f t="shared" si="1"/>
        <v>2.1627474720092681E-2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43164</v>
      </c>
      <c r="C38" s="407" t="str">
        <f>_xll.qlMakeDatedOIS(,D38,E38,OvernightIndex,0,DayCounter,0)</f>
        <v>obj_00460#0000</v>
      </c>
      <c r="D38" s="408">
        <f>_xll.qlCalendarAdvance(Calendar,SettlementDate,A38&amp;"M","mf")</f>
        <v>43164</v>
      </c>
      <c r="E38" s="408">
        <f>_xll.qlInterestRateIndexMaturity(IborIndex1Y,D38)</f>
        <v>43529</v>
      </c>
      <c r="F38" s="409">
        <f>_xll.qlOvernightIndexedSwapFairRate(C38,_xll.ohTrigger(InterestRatesTrigger))</f>
        <v>1.7361983988384289E-2</v>
      </c>
      <c r="G38" s="410">
        <f>_xll.qlInterpolationInterpolate(BasisInterpolator,D38,TRUE,F38)</f>
        <v>4.4136183081153746E-3</v>
      </c>
      <c r="H38" s="409">
        <f t="shared" si="1"/>
        <v>2.1775602296499663E-2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43193</v>
      </c>
      <c r="C39" s="411" t="str">
        <f>_xll.qlMakeDatedOIS(,D39,E39,OvernightIndex,0,DayCounter,0)</f>
        <v>obj_00456#0000</v>
      </c>
      <c r="D39" s="412">
        <f>_xll.qlCalendarAdvance(Calendar,SettlementDate,A39&amp;"M","mf")</f>
        <v>43193</v>
      </c>
      <c r="E39" s="412">
        <f>_xll.qlInterestRateIndexMaturity(IborIndex1Y,D39)</f>
        <v>43558</v>
      </c>
      <c r="F39" s="413">
        <f>_xll.qlOvernightIndexedSwapFairRate(C39,_xll.ohTrigger(InterestRatesTrigger))</f>
        <v>1.7505863943405808E-2</v>
      </c>
      <c r="G39" s="414">
        <f>_xll.qlInterpolationInterpolate(BasisInterpolator,D39,TRUE,F39)</f>
        <v>4.410506827613573E-3</v>
      </c>
      <c r="H39" s="413">
        <f t="shared" si="1"/>
        <v>2.1916370771019381E-2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43223</v>
      </c>
      <c r="C40" s="411" t="str">
        <f>_xll.qlMakeDatedOIS(,D40,E40,OvernightIndex,0,DayCounter,0)</f>
        <v>obj_00441#0000</v>
      </c>
      <c r="D40" s="412">
        <f>_xll.qlCalendarAdvance(Calendar,SettlementDate,A40&amp;"M","mf")</f>
        <v>43223</v>
      </c>
      <c r="E40" s="412">
        <f>_xll.qlInterestRateIndexMaturity(IborIndex1Y,D40)</f>
        <v>43588</v>
      </c>
      <c r="F40" s="413">
        <f>_xll.qlOvernightIndexedSwapFairRate(C40,_xll.ohTrigger(InterestRatesTrigger))</f>
        <v>1.764549663405357E-2</v>
      </c>
      <c r="G40" s="414">
        <f>_xll.qlInterpolationInterpolate(BasisInterpolator,D40,TRUE,F40)</f>
        <v>4.4026453872636987E-3</v>
      </c>
      <c r="H40" s="413">
        <f t="shared" si="1"/>
        <v>2.2048142021317267E-2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43255</v>
      </c>
      <c r="C41" s="411" t="str">
        <f>_xll.qlMakeDatedOIS(,D41,E41,OvernightIndex,0,DayCounter,0)</f>
        <v>obj_00442#0000</v>
      </c>
      <c r="D41" s="412">
        <f>_xll.qlCalendarAdvance(Calendar,SettlementDate,A41&amp;"M","mf")</f>
        <v>43255</v>
      </c>
      <c r="E41" s="412">
        <f>_xll.qlInterestRateIndexMaturity(IborIndex1Y,D41)</f>
        <v>43620</v>
      </c>
      <c r="F41" s="413">
        <f>_xll.qlOvernightIndexedSwapFairRate(C41,_xll.ohTrigger(InterestRatesTrigger))</f>
        <v>1.7784843589195409E-2</v>
      </c>
      <c r="G41" s="414">
        <f>_xll.qlInterpolationInterpolate(BasisInterpolator,D41,TRUE,F41)</f>
        <v>4.389919357929005E-3</v>
      </c>
      <c r="H41" s="413">
        <f t="shared" si="1"/>
        <v>2.2174762947124414E-2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43284</v>
      </c>
      <c r="C42" s="411" t="str">
        <f>_xll.qlMakeDatedOIS(,D42,E42,OvernightIndex,0,DayCounter,0)</f>
        <v>obj_00458#0000</v>
      </c>
      <c r="D42" s="412">
        <f>_xll.qlCalendarAdvance(Calendar,SettlementDate,A42&amp;"M","mf")</f>
        <v>43284</v>
      </c>
      <c r="E42" s="412">
        <f>_xll.qlInterestRateIndexMaturity(IborIndex1Y,D42)</f>
        <v>43649</v>
      </c>
      <c r="F42" s="413">
        <f>_xll.qlOvernightIndexedSwapFairRate(C42,_xll.ohTrigger(InterestRatesTrigger))</f>
        <v>1.7903221083008125E-2</v>
      </c>
      <c r="G42" s="414">
        <f>_xll.qlInterpolationInterpolate(BasisInterpolator,D42,TRUE,F42)</f>
        <v>4.3752861842039376E-3</v>
      </c>
      <c r="H42" s="413">
        <f t="shared" si="1"/>
        <v>2.2278507267212061E-2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43315</v>
      </c>
      <c r="C43" s="411" t="str">
        <f>_xll.qlMakeDatedOIS(,D43,E43,OvernightIndex,0,DayCounter,0)</f>
        <v>obj_00467#0000</v>
      </c>
      <c r="D43" s="412">
        <f>_xll.qlCalendarAdvance(Calendar,SettlementDate,A43&amp;"M","mf")</f>
        <v>43315</v>
      </c>
      <c r="E43" s="412">
        <f>_xll.qlInterestRateIndexMaturity(IborIndex1Y,D43)</f>
        <v>43682</v>
      </c>
      <c r="F43" s="413">
        <f>_xll.qlOvernightIndexedSwapFairRate(C43,_xll.ohTrigger(InterestRatesTrigger))</f>
        <v>1.8026263000315023E-2</v>
      </c>
      <c r="G43" s="414">
        <f>_xll.qlInterpolationInterpolate(BasisInterpolator,D43,TRUE,F43)</f>
        <v>4.3572025559915567E-3</v>
      </c>
      <c r="H43" s="413">
        <f t="shared" si="1"/>
        <v>2.2383465556306579E-2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43346</v>
      </c>
      <c r="C44" s="411" t="str">
        <f>_xll.qlMakeDatedOIS(,D44,E44,OvernightIndex,0,DayCounter,0)</f>
        <v>obj_00449#0000</v>
      </c>
      <c r="D44" s="412">
        <f>_xll.qlCalendarAdvance(Calendar,SettlementDate,A44&amp;"M","mf")</f>
        <v>43346</v>
      </c>
      <c r="E44" s="412">
        <f>_xll.qlInterestRateIndexMaturity(IborIndex1Y,D44)</f>
        <v>43711</v>
      </c>
      <c r="F44" s="413">
        <f>_xll.qlOvernightIndexedSwapFairRate(C44,_xll.ohTrigger(InterestRatesTrigger))</f>
        <v>1.8133891079539888E-2</v>
      </c>
      <c r="G44" s="414">
        <f>_xll.qlInterpolationInterpolate(BasisInterpolator,D44,TRUE,F44)</f>
        <v>4.3374327892206285E-3</v>
      </c>
      <c r="H44" s="413">
        <f t="shared" si="1"/>
        <v>2.2471323868760516E-2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43376</v>
      </c>
      <c r="C45" s="411" t="str">
        <f>_xll.qlMakeDatedOIS(,D45,E45,OvernightIndex,0,DayCounter,0)</f>
        <v>obj_00447#0000</v>
      </c>
      <c r="D45" s="412">
        <f>_xll.qlCalendarAdvance(Calendar,SettlementDate,A45&amp;"M","mf")</f>
        <v>43376</v>
      </c>
      <c r="E45" s="412">
        <f>_xll.qlInterestRateIndexMaturity(IborIndex1Y,D45)</f>
        <v>43741</v>
      </c>
      <c r="F45" s="413">
        <f>_xll.qlOvernightIndexedSwapFairRate(C45,_xll.ohTrigger(InterestRatesTrigger))</f>
        <v>1.8235890693413026E-2</v>
      </c>
      <c r="G45" s="414">
        <f>_xll.qlInterpolationInterpolate(BasisInterpolator,D45,TRUE,F45)</f>
        <v>4.3175005470221951E-3</v>
      </c>
      <c r="H45" s="413">
        <f t="shared" si="1"/>
        <v>2.2553391240435219E-2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43409</v>
      </c>
      <c r="C46" s="411" t="str">
        <f>_xll.qlMakeDatedOIS(,D46,E46,OvernightIndex,0,DayCounter,0)</f>
        <v>obj_00448#0000</v>
      </c>
      <c r="D46" s="412">
        <f>_xll.qlCalendarAdvance(Calendar,SettlementDate,A46&amp;"M","mf")</f>
        <v>43409</v>
      </c>
      <c r="E46" s="412">
        <f>_xll.qlInterestRateIndexMaturity(IborIndex1Y,D46)</f>
        <v>43774</v>
      </c>
      <c r="F46" s="413">
        <f>_xll.qlOvernightIndexedSwapFairRate(C46,_xll.ohTrigger(InterestRatesTrigger))</f>
        <v>1.8341898478897667E-2</v>
      </c>
      <c r="G46" s="414">
        <f>_xll.qlInterpolationInterpolate(BasisInterpolator,D46,TRUE,F46)</f>
        <v>4.2956006574919317E-3</v>
      </c>
      <c r="H46" s="413">
        <f t="shared" si="1"/>
        <v>2.2637499136389599E-2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43437</v>
      </c>
      <c r="C47" s="411" t="str">
        <f>_xll.qlMakeDatedOIS(,D47,E47,OvernightIndex,0,DayCounter,0)</f>
        <v>obj_0046b#0000</v>
      </c>
      <c r="D47" s="412">
        <f>_xll.qlCalendarAdvance(Calendar,SettlementDate,A47&amp;"M","mf")</f>
        <v>43437</v>
      </c>
      <c r="E47" s="412">
        <f>_xll.qlInterestRateIndexMaturity(IborIndex1Y,D47)</f>
        <v>43802</v>
      </c>
      <c r="F47" s="413">
        <f>_xll.qlOvernightIndexedSwapFairRate(C47,_xll.ohTrigger(InterestRatesTrigger))</f>
        <v>1.8427386481664424E-2</v>
      </c>
      <c r="G47" s="414">
        <f>_xll.qlInterpolationInterpolate(BasisInterpolator,D47,TRUE,F47)</f>
        <v>4.2777833142286139E-3</v>
      </c>
      <c r="H47" s="413">
        <f t="shared" si="1"/>
        <v>2.2705169795893036E-2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43468</v>
      </c>
      <c r="C48" s="411" t="str">
        <f>_xll.qlMakeDatedOIS(,D48,E48,OvernightIndex,0,DayCounter,0)</f>
        <v>obj_0046d#0000</v>
      </c>
      <c r="D48" s="412">
        <f>_xll.qlCalendarAdvance(Calendar,SettlementDate,A48&amp;"M","mf")</f>
        <v>43468</v>
      </c>
      <c r="E48" s="412">
        <f>_xll.qlInterestRateIndexMaturity(IborIndex1Y,D48)</f>
        <v>43833</v>
      </c>
      <c r="F48" s="413">
        <f>_xll.qlOvernightIndexedSwapFairRate(C48,_xll.ohTrigger(InterestRatesTrigger))</f>
        <v>1.8517941234606816E-2</v>
      </c>
      <c r="G48" s="414">
        <f>_xll.qlInterpolationInterpolate(BasisInterpolator,D48,TRUE,F48)</f>
        <v>4.2596802808567953E-3</v>
      </c>
      <c r="H48" s="413">
        <f t="shared" si="1"/>
        <v>2.2777621515463611E-2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43500</v>
      </c>
      <c r="C49" s="415" t="str">
        <f>_xll.qlMakeDatedOIS(,D49,E49,OvernightIndex,0,DayCounter,0)</f>
        <v>obj_0046f#0000</v>
      </c>
      <c r="D49" s="416">
        <f>_xll.qlCalendarAdvance(Calendar,SettlementDate,A49&amp;"M","mf")</f>
        <v>43500</v>
      </c>
      <c r="E49" s="416">
        <f>_xll.qlInterestRateIndexMaturity(IborIndex1Y,D49)</f>
        <v>43865</v>
      </c>
      <c r="F49" s="417">
        <f>_xll.qlOvernightIndexedSwapFairRate(C49,_xll.ohTrigger(InterestRatesTrigger))</f>
        <v>1.8607648931160625E-2</v>
      </c>
      <c r="G49" s="418">
        <f>_xll.qlInterpolationInterpolate(BasisInterpolator,D49,TRUE,F49)</f>
        <v>4.2436599782183339E-3</v>
      </c>
      <c r="H49" s="417">
        <f t="shared" si="1"/>
        <v>2.2851308909378958E-2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43528</v>
      </c>
      <c r="C50" s="415" t="str">
        <f>_xll.qlMakeDatedOIS(,D50,E50,OvernightIndex,0,DayCounter,0)</f>
        <v>obj_00465#0000</v>
      </c>
      <c r="D50" s="416">
        <f>_xll.qlCalendarAdvance(Calendar,SettlementDate,A50&amp;"M","mf")</f>
        <v>43528</v>
      </c>
      <c r="E50" s="416">
        <f>_xll.qlInterestRateIndexMaturity(IborIndex1Y,D50)</f>
        <v>43894</v>
      </c>
      <c r="F50" s="417">
        <f>_xll.qlOvernightIndexedSwapFairRate(C50,_xll.ohTrigger(InterestRatesTrigger))</f>
        <v>1.8685366573911826E-2</v>
      </c>
      <c r="G50" s="418">
        <f>_xll.qlInterpolationInterpolate(BasisInterpolator,D50,TRUE,F50)</f>
        <v>4.2325956451913262E-3</v>
      </c>
      <c r="H50" s="417">
        <f t="shared" si="1"/>
        <v>2.2917962219103152E-2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GBP_015_SyntheticQuotes.xml</v>
      </c>
      <c r="D2" s="318" t="str">
        <f>IF(Serialize,_xll.ohObjectSave(D3:D84,SerializationPath&amp;C2,FileOverwrite,Serialize),"---")</f>
        <v>---</v>
      </c>
      <c r="E2" s="318" t="s">
        <v>98</v>
      </c>
      <c r="F2" s="41"/>
      <c r="G2" s="322"/>
      <c r="H2" s="323" t="s">
        <v>54</v>
      </c>
      <c r="I2" s="42"/>
      <c r="J2" s="324" t="s">
        <v>55</v>
      </c>
      <c r="K2" s="42"/>
      <c r="L2" s="322" t="s">
        <v>56</v>
      </c>
      <c r="M2" s="325" t="s">
        <v>57</v>
      </c>
      <c r="N2" s="142">
        <f>_xll.ohTrigger(M3:M7)</f>
        <v>1</v>
      </c>
    </row>
    <row r="3" spans="1:14" x14ac:dyDescent="0.2">
      <c r="A3" s="314">
        <v>1</v>
      </c>
      <c r="B3" s="119" t="s">
        <v>58</v>
      </c>
      <c r="C3" s="120" t="str">
        <f t="shared" ref="C3" si="0">Currency&amp;$B3&amp;"_SYNTH"&amp;Tenor1M&amp;QuoteSuffix</f>
        <v>GBPSND_SYNTH1M_Quote</v>
      </c>
      <c r="D3" s="121" t="str">
        <f>_xll.qlSimpleQuote(C3,,RateTickValue,Permanent,EvaluationDate,ObjectOverwrite)</f>
        <v>GBPSND_SYNTH1M_Quote#0000</v>
      </c>
      <c r="E3" s="319" t="str">
        <f>_xll.ohRangeRetrieveError(D3)</f>
        <v/>
      </c>
      <c r="F3" s="41"/>
      <c r="G3" s="83" t="s">
        <v>58</v>
      </c>
      <c r="H3" s="84">
        <f>'1MSynthDepo'!C23</f>
        <v>4.9117204138182657E-3</v>
      </c>
      <c r="I3" s="44" t="s">
        <v>59</v>
      </c>
      <c r="J3" s="89">
        <v>-7.2268146798837307E-4</v>
      </c>
      <c r="K3" s="42"/>
      <c r="L3" s="92">
        <f t="array" ref="L3:L84">QuoteLive</f>
        <v>4.9117204138182657E-3</v>
      </c>
      <c r="M3" s="93">
        <f>_xll.qlSimpleQuoteSetValue(D3,ROUND($L3,6),EvaluationDate)</f>
        <v>0</v>
      </c>
      <c r="N3" s="43"/>
    </row>
    <row r="4" spans="1:14" x14ac:dyDescent="0.2">
      <c r="A4" s="315" t="str">
        <f>_xll.qlPeriodEquivalent(Months1M&amp;"M")</f>
        <v>1M</v>
      </c>
      <c r="B4" s="122" t="s">
        <v>60</v>
      </c>
      <c r="C4" s="45" t="str">
        <f t="shared" ref="C4:C7" si="1">Currency&amp;$B4&amp;"_SYNTH"&amp;Tenor1M&amp;QuoteSuffix</f>
        <v>GBPSWD_SYNTH1M_Quote</v>
      </c>
      <c r="D4" s="123" t="str">
        <f>_xll.qlSimpleQuote(C4,,RateTickValue,Permanent,EvaluationDate,ObjectOverwrite)</f>
        <v>GBPSWD_SYNTH1M_Quote#0000</v>
      </c>
      <c r="E4" s="320" t="str">
        <f>_xll.ohRangeRetrieveError(D4)</f>
        <v/>
      </c>
      <c r="F4" s="41"/>
      <c r="G4" s="83" t="s">
        <v>60</v>
      </c>
      <c r="H4" s="84">
        <f>'1MSynthDepo'!C24</f>
        <v>4.9352627188700305E-3</v>
      </c>
      <c r="I4" s="44" t="s">
        <v>59</v>
      </c>
      <c r="J4" s="89">
        <v>3.8879337395262124E-5</v>
      </c>
      <c r="K4" s="42"/>
      <c r="L4" s="92">
        <v>4.9352627188700305E-3</v>
      </c>
      <c r="M4" s="93">
        <f>_xll.qlSimpleQuoteSetValue(D4,ROUND($L4,6),EvaluationDate)</f>
        <v>0</v>
      </c>
      <c r="N4" s="43"/>
    </row>
    <row r="5" spans="1:14" x14ac:dyDescent="0.2">
      <c r="A5" s="128"/>
      <c r="B5" s="122" t="s">
        <v>61</v>
      </c>
      <c r="C5" s="45" t="str">
        <f t="shared" si="1"/>
        <v>GBP2WD_SYNTH1M_Quote</v>
      </c>
      <c r="D5" s="123" t="str">
        <f>_xll.qlSimpleQuote(C5,,RateTickValue,Permanent,EvaluationDate,ObjectOverwrite)</f>
        <v>GBP2WD_SYNTH1M_Quote#0000</v>
      </c>
      <c r="E5" s="320" t="str">
        <f>_xll.ohRangeRetrieveError(D5)</f>
        <v/>
      </c>
      <c r="F5" s="41"/>
      <c r="G5" s="83" t="s">
        <v>61</v>
      </c>
      <c r="H5" s="84">
        <f>'1MSynthDepo'!C25</f>
        <v>4.9608963932453887E-3</v>
      </c>
      <c r="I5" s="44" t="s">
        <v>59</v>
      </c>
      <c r="J5" s="89">
        <v>-6.441524711345688E-5</v>
      </c>
      <c r="K5" s="42"/>
      <c r="L5" s="92">
        <v>4.9608963932453887E-3</v>
      </c>
      <c r="M5" s="93">
        <f>_xll.qlSimpleQuoteSetValue(D5,ROUND($L5,6),EvaluationDate)</f>
        <v>0</v>
      </c>
      <c r="N5" s="43"/>
    </row>
    <row r="6" spans="1:14" x14ac:dyDescent="0.2">
      <c r="A6" s="128"/>
      <c r="B6" s="122" t="s">
        <v>62</v>
      </c>
      <c r="C6" s="45" t="str">
        <f t="shared" si="1"/>
        <v>GBP3WD_SYNTH1M_Quote</v>
      </c>
      <c r="D6" s="123" t="str">
        <f>_xll.qlSimpleQuote(C6,,RateTickValue,Permanent,EvaluationDate,ObjectOverwrite)</f>
        <v>GBP3WD_SYNTH1M_Quote#0000</v>
      </c>
      <c r="E6" s="320" t="str">
        <f>_xll.ohRangeRetrieveError(D6)</f>
        <v/>
      </c>
      <c r="F6" s="41"/>
      <c r="G6" s="85" t="s">
        <v>62</v>
      </c>
      <c r="H6" s="84">
        <f>'1MSynthDepo'!C26</f>
        <v>4.9763725845446737E-3</v>
      </c>
      <c r="I6" s="44" t="s">
        <v>59</v>
      </c>
      <c r="J6" s="90">
        <v>3.1675359980657246E-5</v>
      </c>
      <c r="K6" s="42"/>
      <c r="L6" s="94">
        <v>4.9763725845446737E-3</v>
      </c>
      <c r="M6" s="95">
        <f>_xll.qlSimpleQuoteSetValue(D6,ROUND($L6,6),EvaluationDate)</f>
        <v>0</v>
      </c>
      <c r="N6" s="43"/>
    </row>
    <row r="7" spans="1:14" ht="12" thickBot="1" x14ac:dyDescent="0.25">
      <c r="A7" s="129"/>
      <c r="B7" s="127" t="s">
        <v>63</v>
      </c>
      <c r="C7" s="82" t="str">
        <f t="shared" si="1"/>
        <v>GBP1MD_SYNTH1M_Quote</v>
      </c>
      <c r="D7" s="126" t="str">
        <f>_xll.qlSimpleQuote(C7,,RateTickValue,Permanent,EvaluationDate,ObjectOverwrite)</f>
        <v>GBP1MD_SYNTH1M_Quote#0000</v>
      </c>
      <c r="E7" s="321" t="str">
        <f>_xll.ohRangeRetrieveError(D7)</f>
        <v/>
      </c>
      <c r="F7" s="101"/>
      <c r="G7" s="87" t="s">
        <v>63</v>
      </c>
      <c r="H7" s="393">
        <f>'1MSynthDepo'!C27</f>
        <v>5.0037999953918E-3</v>
      </c>
      <c r="I7" s="102" t="s">
        <v>59</v>
      </c>
      <c r="J7" s="91">
        <v>1.1971529473624584E-5</v>
      </c>
      <c r="K7" s="101"/>
      <c r="L7" s="96">
        <v>5.0037999953918E-3</v>
      </c>
      <c r="M7" s="97">
        <f>_xll.qlSimpleQuoteSetValue(D7,ROUND($L7,6),EvaluationDate)</f>
        <v>0</v>
      </c>
      <c r="N7" s="101"/>
    </row>
    <row r="8" spans="1:14" x14ac:dyDescent="0.2">
      <c r="A8" s="314">
        <v>3</v>
      </c>
      <c r="B8" s="119" t="s">
        <v>58</v>
      </c>
      <c r="C8" s="120" t="str">
        <f t="shared" ref="C8:C14" si="2">Currency&amp;$B8&amp;"_SYNTH"&amp;Tenor3M&amp;QuoteSuffix</f>
        <v>GBPSND_SYNTH3M_Quote</v>
      </c>
      <c r="D8" s="121" t="str">
        <f>_xll.qlSimpleQuote(C8,,RateTickValue,Permanent,EvaluationDate,ObjectOverwrite)</f>
        <v>GBPSND_SYNTH3M_Quote#0000</v>
      </c>
      <c r="E8" s="319"/>
      <c r="F8" s="49"/>
      <c r="G8" s="103" t="s">
        <v>58</v>
      </c>
      <c r="H8" s="104">
        <f>'3MSynthDepo'!C25</f>
        <v>5.6161174486291099E-3</v>
      </c>
      <c r="I8" s="50"/>
      <c r="J8" s="105">
        <v>4.1468384102572031E-4</v>
      </c>
      <c r="K8" s="48"/>
      <c r="L8" s="106">
        <v>5.6161174486291099E-3</v>
      </c>
      <c r="M8" s="107">
        <f>_xll.qlSimpleQuoteSetValue(D8,ROUND($L8,6),EvaluationDate)</f>
        <v>0</v>
      </c>
      <c r="N8" s="143">
        <f>_xll.ohTrigger(M8:M14)</f>
        <v>1</v>
      </c>
    </row>
    <row r="9" spans="1:14" x14ac:dyDescent="0.2">
      <c r="A9" s="315" t="str">
        <f>_xll.qlPeriodEquivalent(Months3M&amp;"M")</f>
        <v>3M</v>
      </c>
      <c r="B9" s="122" t="s">
        <v>60</v>
      </c>
      <c r="C9" s="45" t="str">
        <f t="shared" si="2"/>
        <v>GBPSWD_SYNTH3M_Quote</v>
      </c>
      <c r="D9" s="123" t="str">
        <f>_xll.qlSimpleQuote(C9,,RateTickValue,Permanent,EvaluationDate,ObjectOverwrite)</f>
        <v>GBPSWD_SYNTH3M_Quote#0000</v>
      </c>
      <c r="E9" s="320"/>
      <c r="F9" s="49"/>
      <c r="G9" s="98" t="s">
        <v>60</v>
      </c>
      <c r="H9" s="84">
        <f>'3MSynthDepo'!C26</f>
        <v>5.6259178877799644E-3</v>
      </c>
      <c r="I9" s="50"/>
      <c r="J9" s="89">
        <v>1.089294466741616E-3</v>
      </c>
      <c r="K9" s="48"/>
      <c r="L9" s="92">
        <v>5.6259178877799644E-3</v>
      </c>
      <c r="M9" s="93">
        <f>_xll.qlSimpleQuoteSetValue(D9,ROUND($L9,6),EvaluationDate)</f>
        <v>0</v>
      </c>
      <c r="N9" s="43"/>
    </row>
    <row r="10" spans="1:14" x14ac:dyDescent="0.2">
      <c r="A10" s="46"/>
      <c r="B10" s="122" t="s">
        <v>61</v>
      </c>
      <c r="C10" s="45" t="str">
        <f t="shared" si="2"/>
        <v>GBP2WD_SYNTH3M_Quote</v>
      </c>
      <c r="D10" s="123" t="str">
        <f>_xll.qlSimpleQuote(C10,,RateTickValue,Permanent,EvaluationDate,ObjectOverwrite)</f>
        <v>GBP2WD_SYNTH3M_Quote#0000</v>
      </c>
      <c r="E10" s="320"/>
      <c r="F10" s="49"/>
      <c r="G10" s="98" t="s">
        <v>61</v>
      </c>
      <c r="H10" s="84">
        <f>'3MSynthDepo'!C27</f>
        <v>5.6369601145138983E-3</v>
      </c>
      <c r="I10" s="50"/>
      <c r="J10" s="89">
        <v>8.9421415957627705E-4</v>
      </c>
      <c r="K10" s="48"/>
      <c r="L10" s="92">
        <v>5.6369601145138983E-3</v>
      </c>
      <c r="M10" s="93">
        <f>_xll.qlSimpleQuoteSetValue(D10,ROUND($L10,6),EvaluationDate)</f>
        <v>0</v>
      </c>
      <c r="N10" s="43"/>
    </row>
    <row r="11" spans="1:14" x14ac:dyDescent="0.2">
      <c r="A11" s="46"/>
      <c r="B11" s="122" t="s">
        <v>62</v>
      </c>
      <c r="C11" s="45" t="str">
        <f t="shared" si="2"/>
        <v>GBP3WD_SYNTH3M_Quote</v>
      </c>
      <c r="D11" s="123" t="str">
        <f>_xll.qlSimpleQuote(C11,,RateTickValue,Permanent,EvaluationDate,ObjectOverwrite)</f>
        <v>GBP3WD_SYNTH3M_Quote#0000</v>
      </c>
      <c r="E11" s="320"/>
      <c r="F11" s="49"/>
      <c r="G11" s="99" t="s">
        <v>62</v>
      </c>
      <c r="H11" s="86">
        <f>'3MSynthDepo'!C28</f>
        <v>5.6393964807849575E-3</v>
      </c>
      <c r="I11" s="50"/>
      <c r="J11" s="90">
        <v>9.0893346892098993E-4</v>
      </c>
      <c r="K11" s="48"/>
      <c r="L11" s="94">
        <v>5.6393964807849575E-3</v>
      </c>
      <c r="M11" s="95">
        <f>_xll.qlSimpleQuoteSetValue(D11,ROUND($L11,6),EvaluationDate)</f>
        <v>0</v>
      </c>
      <c r="N11" s="43"/>
    </row>
    <row r="12" spans="1:14" x14ac:dyDescent="0.2">
      <c r="A12" s="46"/>
      <c r="B12" s="122" t="s">
        <v>63</v>
      </c>
      <c r="C12" s="45" t="str">
        <f t="shared" si="2"/>
        <v>GBP1MD_SYNTH3M_Quote</v>
      </c>
      <c r="D12" s="124" t="str">
        <f>_xll.qlSimpleQuote(C12,,RateTickValue,Permanent,EvaluationDate,ObjectOverwrite)</f>
        <v>GBP1MD_SYNTH3M_Quote#0000</v>
      </c>
      <c r="E12" s="320"/>
      <c r="F12" s="49"/>
      <c r="G12" s="98" t="s">
        <v>63</v>
      </c>
      <c r="H12" s="84">
        <f>'3MSynthDepo'!C29</f>
        <v>5.645401262562506E-3</v>
      </c>
      <c r="I12" s="50"/>
      <c r="J12" s="89">
        <v>7.6571691908287973E-4</v>
      </c>
      <c r="K12" s="48"/>
      <c r="L12" s="92">
        <v>5.645401262562506E-3</v>
      </c>
      <c r="M12" s="93">
        <f>_xll.qlSimpleQuoteSetValue(D12,ROUND($L12,6),EvaluationDate)</f>
        <v>0</v>
      </c>
      <c r="N12" s="43"/>
    </row>
    <row r="13" spans="1:14" x14ac:dyDescent="0.2">
      <c r="A13" s="46"/>
      <c r="B13" s="122" t="s">
        <v>64</v>
      </c>
      <c r="C13" s="45" t="str">
        <f t="shared" si="2"/>
        <v>GBP2MD_SYNTH3M_Quote</v>
      </c>
      <c r="D13" s="124" t="str">
        <f>_xll.qlSimpleQuote(C13,,RateTickValue,Permanent,EvaluationDate,ObjectOverwrite)</f>
        <v>GBP2MD_SYNTH3M_Quote#0000</v>
      </c>
      <c r="E13" s="320"/>
      <c r="F13" s="49"/>
      <c r="G13" s="98" t="s">
        <v>64</v>
      </c>
      <c r="H13" s="84">
        <f>'3MSynthDepo'!C30</f>
        <v>5.6795603538837731E-3</v>
      </c>
      <c r="I13" s="50"/>
      <c r="J13" s="89">
        <v>7.4085490671904261E-4</v>
      </c>
      <c r="K13" s="48"/>
      <c r="L13" s="92">
        <v>5.6795603538837731E-3</v>
      </c>
      <c r="M13" s="93">
        <f>_xll.qlSimpleQuoteSetValue(D13,ROUND($L13,6),EvaluationDate)</f>
        <v>0</v>
      </c>
      <c r="N13" s="43"/>
    </row>
    <row r="14" spans="1:14" ht="12" thickBot="1" x14ac:dyDescent="0.25">
      <c r="A14" s="46"/>
      <c r="B14" s="125" t="s">
        <v>65</v>
      </c>
      <c r="C14" s="82" t="str">
        <f t="shared" si="2"/>
        <v>GBP3MD_SYNTH3M_Quote</v>
      </c>
      <c r="D14" s="126" t="str">
        <f>_xll.qlSimpleQuote(C14,,RateTickValue,Permanent,EvaluationDate,ObjectOverwrite)</f>
        <v>GBP3MD_SYNTH3M_Quote#0000</v>
      </c>
      <c r="E14" s="321"/>
      <c r="F14" s="49"/>
      <c r="G14" s="100" t="s">
        <v>65</v>
      </c>
      <c r="H14" s="88">
        <f>'3MSynthDepo'!C31</f>
        <v>5.7121179460363431E-3</v>
      </c>
      <c r="I14" s="50"/>
      <c r="J14" s="91">
        <v>8.2668403181896809E-4</v>
      </c>
      <c r="K14" s="48"/>
      <c r="L14" s="96">
        <v>5.7121179460363431E-3</v>
      </c>
      <c r="M14" s="97">
        <f>_xll.qlSimpleQuoteSetValue(D14,ROUND($L14,6),EvaluationDate)</f>
        <v>0</v>
      </c>
      <c r="N14" s="43"/>
    </row>
    <row r="15" spans="1:14" x14ac:dyDescent="0.2">
      <c r="A15" s="314">
        <v>6</v>
      </c>
      <c r="B15" s="130" t="s">
        <v>58</v>
      </c>
      <c r="C15" s="120" t="str">
        <f t="shared" ref="C15:C24" si="3">Currency&amp;$B15&amp;"_SYNTH"&amp;Tenor6M&amp;QuoteSuffix</f>
        <v>GBPSND_SYNTH6M_Quote</v>
      </c>
      <c r="D15" s="121" t="str">
        <f>_xll.qlSimpleQuote(C15,,RateTickValue,Permanent,EvaluationDate,ObjectOverwrite)</f>
        <v>GBPSND_SYNTH6M_Quote#0000</v>
      </c>
      <c r="E15" s="319" t="str">
        <f>_xll.ohRangeRetrieveError(D15)</f>
        <v/>
      </c>
      <c r="F15" s="49"/>
      <c r="G15" s="103" t="s">
        <v>58</v>
      </c>
      <c r="H15" s="104">
        <f>'6MSynthDepo'!C28</f>
        <v>6.6062659585697237E-3</v>
      </c>
      <c r="I15" s="50"/>
      <c r="J15" s="105">
        <v>-3.0034421194091721E-4</v>
      </c>
      <c r="K15" s="48"/>
      <c r="L15" s="106">
        <v>6.6062659585697237E-3</v>
      </c>
      <c r="M15" s="107">
        <f>_xll.qlSimpleQuoteSetValue(D15,ROUND($L15,6),EvaluationDate)</f>
        <v>0</v>
      </c>
      <c r="N15" s="144">
        <f>_xll.ohTrigger(M15:M24)</f>
        <v>1</v>
      </c>
    </row>
    <row r="16" spans="1:14" x14ac:dyDescent="0.2">
      <c r="A16" s="315" t="str">
        <f>_xll.qlPeriodEquivalent(Months6M&amp;"M")</f>
        <v>6M</v>
      </c>
      <c r="B16" s="131" t="s">
        <v>60</v>
      </c>
      <c r="C16" s="45" t="str">
        <f t="shared" si="3"/>
        <v>GBPSWD_SYNTH6M_Quote</v>
      </c>
      <c r="D16" s="123" t="str">
        <f>_xll.qlSimpleQuote(C16,,RateTickValue,Permanent,EvaluationDate,ObjectOverwrite)</f>
        <v>GBPSWD_SYNTH6M_Quote#0000</v>
      </c>
      <c r="E16" s="320" t="str">
        <f>_xll.ohRangeRetrieveError(D16)</f>
        <v/>
      </c>
      <c r="F16" s="49"/>
      <c r="G16" s="98" t="s">
        <v>60</v>
      </c>
      <c r="H16" s="84">
        <f>'6MSynthDepo'!C29</f>
        <v>6.6127359414728084E-3</v>
      </c>
      <c r="I16" s="50"/>
      <c r="J16" s="89">
        <v>4.6464757071643499E-4</v>
      </c>
      <c r="K16" s="48"/>
      <c r="L16" s="92">
        <v>6.6127359414728084E-3</v>
      </c>
      <c r="M16" s="93">
        <f>_xll.qlSimpleQuoteSetValue(D16,ROUND($L16,6),EvaluationDate)</f>
        <v>0</v>
      </c>
      <c r="N16" s="51"/>
    </row>
    <row r="17" spans="1:14" x14ac:dyDescent="0.2">
      <c r="A17" s="133"/>
      <c r="B17" s="131" t="s">
        <v>61</v>
      </c>
      <c r="C17" s="45" t="str">
        <f t="shared" si="3"/>
        <v>GBP2WD_SYNTH6M_Quote</v>
      </c>
      <c r="D17" s="123" t="str">
        <f>_xll.qlSimpleQuote(C17,,RateTickValue,Permanent,EvaluationDate,ObjectOverwrite)</f>
        <v>GBP2WD_SYNTH6M_Quote#0000</v>
      </c>
      <c r="E17" s="320" t="str">
        <f>_xll.ohRangeRetrieveError(D17)</f>
        <v/>
      </c>
      <c r="F17" s="47"/>
      <c r="G17" s="98" t="s">
        <v>61</v>
      </c>
      <c r="H17" s="84">
        <f>'6MSynthDepo'!C30</f>
        <v>6.6200976024056403E-3</v>
      </c>
      <c r="I17" s="50"/>
      <c r="J17" s="89">
        <v>3.7158652098158635E-4</v>
      </c>
      <c r="K17" s="48"/>
      <c r="L17" s="92">
        <v>6.6200976024056403E-3</v>
      </c>
      <c r="M17" s="93">
        <f>_xll.qlSimpleQuoteSetValue(D17,ROUND($L17,6),EvaluationDate)</f>
        <v>0</v>
      </c>
      <c r="N17" s="51"/>
    </row>
    <row r="18" spans="1:14" x14ac:dyDescent="0.2">
      <c r="A18" s="134"/>
      <c r="B18" s="131" t="s">
        <v>62</v>
      </c>
      <c r="C18" s="45" t="str">
        <f t="shared" si="3"/>
        <v>GBP3WD_SYNTH6M_Quote</v>
      </c>
      <c r="D18" s="123" t="str">
        <f>_xll.qlSimpleQuote(C18,,RateTickValue,Permanent,EvaluationDate,ObjectOverwrite)</f>
        <v>GBP3WD_SYNTH6M_Quote#0000</v>
      </c>
      <c r="E18" s="320" t="str">
        <f>_xll.ohRangeRetrieveError(D18)</f>
        <v/>
      </c>
      <c r="F18" s="47"/>
      <c r="G18" s="98" t="s">
        <v>62</v>
      </c>
      <c r="H18" s="84">
        <f>'6MSynthDepo'!C31</f>
        <v>6.619073728826308E-3</v>
      </c>
      <c r="I18" s="50"/>
      <c r="J18" s="89">
        <v>4.8462718726811308E-4</v>
      </c>
      <c r="K18" s="48"/>
      <c r="L18" s="92">
        <v>6.619073728826308E-3</v>
      </c>
      <c r="M18" s="93">
        <f>_xll.qlSimpleQuoteSetValue(D18,ROUND($L18,6),EvaluationDate)</f>
        <v>0</v>
      </c>
      <c r="N18" s="51"/>
    </row>
    <row r="19" spans="1:14" x14ac:dyDescent="0.2">
      <c r="A19" s="134"/>
      <c r="B19" s="131" t="s">
        <v>63</v>
      </c>
      <c r="C19" s="45" t="str">
        <f t="shared" si="3"/>
        <v>GBP1MD_SYNTH6M_Quote</v>
      </c>
      <c r="D19" s="123" t="str">
        <f>_xll.qlSimpleQuote(C19,,RateTickValue,Permanent,EvaluationDate,ObjectOverwrite)</f>
        <v>GBP1MD_SYNTH6M_Quote#0000</v>
      </c>
      <c r="E19" s="320" t="str">
        <f>_xll.ohRangeRetrieveError(D19)</f>
        <v/>
      </c>
      <c r="F19" s="47"/>
      <c r="G19" s="388" t="s">
        <v>63</v>
      </c>
      <c r="H19" s="389">
        <f>'6MSynthDepo'!C32</f>
        <v>6.6188199385644551E-3</v>
      </c>
      <c r="I19" s="386"/>
      <c r="J19" s="390">
        <v>5.1420940780660626E-4</v>
      </c>
      <c r="K19" s="387"/>
      <c r="L19" s="391">
        <v>6.6188199385644551E-3</v>
      </c>
      <c r="M19" s="392">
        <f>_xll.qlSimpleQuoteSetValue(D19,ROUND($L19,6),EvaluationDate)</f>
        <v>0</v>
      </c>
      <c r="N19" s="51"/>
    </row>
    <row r="20" spans="1:14" x14ac:dyDescent="0.2">
      <c r="A20" s="134"/>
      <c r="B20" s="131" t="s">
        <v>64</v>
      </c>
      <c r="C20" s="45" t="str">
        <f t="shared" si="3"/>
        <v>GBP2MD_SYNTH6M_Quote</v>
      </c>
      <c r="D20" s="123" t="str">
        <f>_xll.qlSimpleQuote(C20,,RateTickValue,Permanent,EvaluationDate,ObjectOverwrite)</f>
        <v>GBP2MD_SYNTH6M_Quote#0000</v>
      </c>
      <c r="E20" s="320" t="str">
        <f>_xll.ohRangeRetrieveError(D20)</f>
        <v/>
      </c>
      <c r="F20" s="47"/>
      <c r="G20" s="98" t="s">
        <v>64</v>
      </c>
      <c r="H20" s="84">
        <f>'6MSynthDepo'!C33</f>
        <v>6.6431153700342175E-3</v>
      </c>
      <c r="I20" s="50"/>
      <c r="J20" s="89">
        <v>8.1824348655893634E-4</v>
      </c>
      <c r="K20" s="48"/>
      <c r="L20" s="92">
        <v>6.6431153700342175E-3</v>
      </c>
      <c r="M20" s="93">
        <f>_xll.qlSimpleQuoteSetValue(D20,ROUND($L20,6),EvaluationDate)</f>
        <v>0</v>
      </c>
      <c r="N20" s="51"/>
    </row>
    <row r="21" spans="1:14" x14ac:dyDescent="0.2">
      <c r="A21" s="134"/>
      <c r="B21" s="131" t="s">
        <v>65</v>
      </c>
      <c r="C21" s="45" t="str">
        <f t="shared" si="3"/>
        <v>GBP3MD_SYNTH6M_Quote</v>
      </c>
      <c r="D21" s="123" t="str">
        <f>_xll.qlSimpleQuote(C21,,RateTickValue,Permanent,EvaluationDate,ObjectOverwrite)</f>
        <v>GBP3MD_SYNTH6M_Quote#0000</v>
      </c>
      <c r="E21" s="320" t="str">
        <f>_xll.ohRangeRetrieveError(D21)</f>
        <v/>
      </c>
      <c r="F21" s="47"/>
      <c r="G21" s="98" t="s">
        <v>65</v>
      </c>
      <c r="H21" s="84">
        <f>'6MSynthDepo'!C34</f>
        <v>6.6691890967464414E-3</v>
      </c>
      <c r="I21" s="50"/>
      <c r="J21" s="89">
        <v>1.1908777193457023E-3</v>
      </c>
      <c r="K21" s="48"/>
      <c r="L21" s="92">
        <v>6.6691890967464414E-3</v>
      </c>
      <c r="M21" s="93">
        <f>_xll.qlSimpleQuoteSetValue(D21,ROUND($L21,6),EvaluationDate)</f>
        <v>0</v>
      </c>
      <c r="N21" s="51"/>
    </row>
    <row r="22" spans="1:14" x14ac:dyDescent="0.2">
      <c r="A22" s="134"/>
      <c r="B22" s="131" t="s">
        <v>66</v>
      </c>
      <c r="C22" s="45" t="str">
        <f t="shared" si="3"/>
        <v>GBP4MD_SYNTH6M_Quote</v>
      </c>
      <c r="D22" s="123" t="str">
        <f>_xll.qlSimpleQuote(C22,,RateTickValue,Permanent,EvaluationDate,ObjectOverwrite)</f>
        <v>GBP4MD_SYNTH6M_Quote#0000</v>
      </c>
      <c r="E22" s="320" t="str">
        <f>_xll.ohRangeRetrieveError(D22)</f>
        <v/>
      </c>
      <c r="F22" s="47"/>
      <c r="G22" s="98" t="s">
        <v>66</v>
      </c>
      <c r="H22" s="84">
        <f>'6MSynthDepo'!C35</f>
        <v>6.7109863440680687E-3</v>
      </c>
      <c r="I22" s="50"/>
      <c r="J22" s="89">
        <v>1.4859395290376387E-3</v>
      </c>
      <c r="K22" s="48"/>
      <c r="L22" s="92">
        <v>6.7109863440680687E-3</v>
      </c>
      <c r="M22" s="93">
        <f>_xll.qlSimpleQuoteSetValue(D22,ROUND($L22,6),EvaluationDate)</f>
        <v>0</v>
      </c>
      <c r="N22" s="51"/>
    </row>
    <row r="23" spans="1:14" x14ac:dyDescent="0.2">
      <c r="A23" s="134"/>
      <c r="B23" s="131" t="s">
        <v>67</v>
      </c>
      <c r="C23" s="45" t="str">
        <f t="shared" si="3"/>
        <v>GBP5MD_SYNTH6M_Quote</v>
      </c>
      <c r="D23" s="123" t="str">
        <f>_xll.qlSimpleQuote(C23,,RateTickValue,Permanent,EvaluationDate,ObjectOverwrite)</f>
        <v>GBP5MD_SYNTH6M_Quote#0000</v>
      </c>
      <c r="E23" s="320" t="str">
        <f>_xll.ohRangeRetrieveError(D23)</f>
        <v/>
      </c>
      <c r="F23" s="47"/>
      <c r="G23" s="98" t="s">
        <v>67</v>
      </c>
      <c r="H23" s="84">
        <f>'6MSynthDepo'!C36</f>
        <v>6.7440701757011563E-3</v>
      </c>
      <c r="I23" s="50"/>
      <c r="J23" s="89">
        <v>1.666421336793596E-3</v>
      </c>
      <c r="K23" s="48"/>
      <c r="L23" s="92">
        <v>6.7440701757011563E-3</v>
      </c>
      <c r="M23" s="93">
        <f>_xll.qlSimpleQuoteSetValue(D23,ROUND($L23,6),EvaluationDate)</f>
        <v>0</v>
      </c>
      <c r="N23" s="51"/>
    </row>
    <row r="24" spans="1:14" ht="12" thickBot="1" x14ac:dyDescent="0.25">
      <c r="A24" s="135"/>
      <c r="B24" s="127" t="s">
        <v>68</v>
      </c>
      <c r="C24" s="82" t="str">
        <f t="shared" si="3"/>
        <v>GBP6MD_SYNTH6M_Quote</v>
      </c>
      <c r="D24" s="132" t="str">
        <f>_xll.qlSimpleQuote(C24,,RateTickValue,Permanent,EvaluationDate,ObjectOverwrite)</f>
        <v>GBP6MD_SYNTH6M_Quote#0000</v>
      </c>
      <c r="E24" s="321" t="str">
        <f>_xll.ohRangeRetrieveError(D24)</f>
        <v/>
      </c>
      <c r="F24" s="47"/>
      <c r="G24" s="100" t="s">
        <v>68</v>
      </c>
      <c r="H24" s="88">
        <f>'6MSynthDepo'!C37</f>
        <v>6.8176843517052318E-3</v>
      </c>
      <c r="I24" s="50"/>
      <c r="J24" s="91">
        <v>1.7354869612805641E-3</v>
      </c>
      <c r="K24" s="48"/>
      <c r="L24" s="96">
        <v>6.8176843517052318E-3</v>
      </c>
      <c r="M24" s="97">
        <f>_xll.qlSimpleQuoteSetValue(D24,ROUND($L24,6),EvaluationDate)</f>
        <v>0</v>
      </c>
      <c r="N24" s="51"/>
    </row>
    <row r="25" spans="1:14" x14ac:dyDescent="0.2">
      <c r="A25" s="314">
        <v>12</v>
      </c>
      <c r="B25" s="119" t="s">
        <v>58</v>
      </c>
      <c r="C25" s="120" t="str">
        <f t="shared" ref="C25:C40" si="4">Currency&amp;$B25&amp;"_SYNTH"&amp;Tenor12M&amp;QuoteSuffix</f>
        <v>GBPSND_SYNTH1Y_Quote</v>
      </c>
      <c r="D25" s="121" t="str">
        <f>_xll.qlSimpleQuote(C25,,RateTickValue,Permanent,EvaluationDate,ObjectOverwrite)</f>
        <v>GBPSND_SYNTH1Y_Quote#0000</v>
      </c>
      <c r="E25" s="319" t="str">
        <f>_xll.ohRangeRetrieveError(D25)</f>
        <v/>
      </c>
      <c r="F25" s="49"/>
      <c r="G25" s="108" t="s">
        <v>58</v>
      </c>
      <c r="H25" s="104">
        <f>'1YSynthDepo'!C34</f>
        <v>8.5913757408284663E-3</v>
      </c>
      <c r="I25" s="50"/>
      <c r="J25" s="105">
        <v>3.2741444829742505E-3</v>
      </c>
      <c r="K25" s="48"/>
      <c r="L25" s="106">
        <v>8.5913757408284663E-3</v>
      </c>
      <c r="M25" s="107">
        <f>_xll.qlSimpleQuoteSetValue(D25,ROUND($L25,6),EvaluationDate)</f>
        <v>0</v>
      </c>
      <c r="N25" s="144">
        <f>_xll.ohTrigger(M25:M40)</f>
        <v>1</v>
      </c>
    </row>
    <row r="26" spans="1:14" x14ac:dyDescent="0.2">
      <c r="A26" s="315" t="str">
        <f>_xll.qlPeriodEquivalent(Months12M&amp;"M")</f>
        <v>1Y</v>
      </c>
      <c r="B26" s="122" t="s">
        <v>60</v>
      </c>
      <c r="C26" s="45" t="str">
        <f t="shared" si="4"/>
        <v>GBPSWD_SYNTH1Y_Quote</v>
      </c>
      <c r="D26" s="123" t="str">
        <f>_xll.qlSimpleQuote(C26,,RateTickValue,Permanent,EvaluationDate,ObjectOverwrite)</f>
        <v>GBPSWD_SYNTH1Y_Quote#0000</v>
      </c>
      <c r="E26" s="320" t="str">
        <f>_xll.ohRangeRetrieveError(D26)</f>
        <v/>
      </c>
      <c r="F26" s="49"/>
      <c r="G26" s="109" t="s">
        <v>60</v>
      </c>
      <c r="H26" s="84">
        <f>'1YSynthDepo'!C35</f>
        <v>8.6032168491347229E-3</v>
      </c>
      <c r="I26" s="50"/>
      <c r="J26" s="89">
        <v>3.9376267112637264E-3</v>
      </c>
      <c r="K26" s="48"/>
      <c r="L26" s="92">
        <v>8.6032168491347229E-3</v>
      </c>
      <c r="M26" s="93">
        <f>_xll.qlSimpleQuoteSetValue(D26,ROUND($L26,6),EvaluationDate)</f>
        <v>0</v>
      </c>
      <c r="N26" s="51"/>
    </row>
    <row r="27" spans="1:14" x14ac:dyDescent="0.2">
      <c r="A27" s="134"/>
      <c r="B27" s="122" t="s">
        <v>61</v>
      </c>
      <c r="C27" s="45" t="str">
        <f t="shared" si="4"/>
        <v>GBP2WD_SYNTH1Y_Quote</v>
      </c>
      <c r="D27" s="123" t="str">
        <f>_xll.qlSimpleQuote(C27,,RateTickValue,Permanent,EvaluationDate,ObjectOverwrite)</f>
        <v>GBP2WD_SYNTH1Y_Quote#0000</v>
      </c>
      <c r="E27" s="320" t="str">
        <f>_xll.ohRangeRetrieveError(D27)</f>
        <v/>
      </c>
      <c r="F27" s="47"/>
      <c r="G27" s="109" t="s">
        <v>61</v>
      </c>
      <c r="H27" s="84">
        <f>'1YSynthDepo'!C36</f>
        <v>8.616702184418408E-3</v>
      </c>
      <c r="I27" s="50"/>
      <c r="J27" s="89">
        <v>3.7298706984018842E-3</v>
      </c>
      <c r="K27" s="48"/>
      <c r="L27" s="92">
        <v>8.616702184418408E-3</v>
      </c>
      <c r="M27" s="93">
        <f>_xll.qlSimpleQuoteSetValue(D27,ROUND($L27,6),EvaluationDate)</f>
        <v>0</v>
      </c>
      <c r="N27" s="51"/>
    </row>
    <row r="28" spans="1:14" x14ac:dyDescent="0.2">
      <c r="A28" s="134"/>
      <c r="B28" s="122" t="s">
        <v>62</v>
      </c>
      <c r="C28" s="45" t="str">
        <f t="shared" si="4"/>
        <v>GBP3WD_SYNTH1Y_Quote</v>
      </c>
      <c r="D28" s="123" t="str">
        <f>_xll.qlSimpleQuote(C28,,RateTickValue,Permanent,EvaluationDate,ObjectOverwrite)</f>
        <v>GBP3WD_SYNTH1Y_Quote#0000</v>
      </c>
      <c r="E28" s="320" t="str">
        <f>_xll.ohRangeRetrieveError(D28)</f>
        <v/>
      </c>
      <c r="F28" s="47"/>
      <c r="G28" s="109" t="s">
        <v>62</v>
      </c>
      <c r="H28" s="84">
        <f>'1YSynthDepo'!C37</f>
        <v>8.6216473425259656E-3</v>
      </c>
      <c r="I28" s="50"/>
      <c r="J28" s="89">
        <v>3.7322886820057022E-3</v>
      </c>
      <c r="K28" s="48"/>
      <c r="L28" s="92">
        <v>8.6216473425259656E-3</v>
      </c>
      <c r="M28" s="93">
        <f>_xll.qlSimpleQuoteSetValue(D28,ROUND($L28,6),EvaluationDate)</f>
        <v>0</v>
      </c>
      <c r="N28" s="51"/>
    </row>
    <row r="29" spans="1:14" x14ac:dyDescent="0.2">
      <c r="A29" s="134"/>
      <c r="B29" s="122" t="s">
        <v>63</v>
      </c>
      <c r="C29" s="45" t="str">
        <f t="shared" si="4"/>
        <v>GBP1MD_SYNTH1Y_Quote</v>
      </c>
      <c r="D29" s="123" t="str">
        <f>_xll.qlSimpleQuote(C29,,RateTickValue,Permanent,EvaluationDate,ObjectOverwrite)</f>
        <v>GBP1MD_SYNTH1Y_Quote#0000</v>
      </c>
      <c r="E29" s="320" t="str">
        <f>_xll.ohRangeRetrieveError(D29)</f>
        <v/>
      </c>
      <c r="F29" s="47"/>
      <c r="G29" s="110" t="s">
        <v>63</v>
      </c>
      <c r="H29" s="86">
        <f>'1YSynthDepo'!C38</f>
        <v>8.6328686893479209E-3</v>
      </c>
      <c r="I29" s="50"/>
      <c r="J29" s="90">
        <v>3.5671443455276941E-3</v>
      </c>
      <c r="K29" s="48"/>
      <c r="L29" s="94">
        <v>8.6328686893479209E-3</v>
      </c>
      <c r="M29" s="95">
        <f>_xll.qlSimpleQuoteSetValue(D29,ROUND($L29,6),EvaluationDate)</f>
        <v>0</v>
      </c>
      <c r="N29" s="51"/>
    </row>
    <row r="30" spans="1:14" x14ac:dyDescent="0.2">
      <c r="A30" s="134"/>
      <c r="B30" s="122" t="s">
        <v>64</v>
      </c>
      <c r="C30" s="45" t="str">
        <f t="shared" si="4"/>
        <v>GBP2MD_SYNTH1Y_Quote</v>
      </c>
      <c r="D30" s="123" t="str">
        <f>_xll.qlSimpleQuote(C30,,RateTickValue,Permanent,EvaluationDate,ObjectOverwrite)</f>
        <v>GBP2MD_SYNTH1Y_Quote#0000</v>
      </c>
      <c r="E30" s="320" t="str">
        <f>_xll.ohRangeRetrieveError(D30)</f>
        <v/>
      </c>
      <c r="F30" s="47"/>
      <c r="G30" s="109" t="s">
        <v>64</v>
      </c>
      <c r="H30" s="84">
        <f>'1YSynthDepo'!C39</f>
        <v>8.6782687146191497E-3</v>
      </c>
      <c r="I30" s="50"/>
      <c r="J30" s="89">
        <v>3.4993270593571572E-3</v>
      </c>
      <c r="K30" s="48"/>
      <c r="L30" s="92">
        <v>8.6782687146191497E-3</v>
      </c>
      <c r="M30" s="93">
        <f>_xll.qlSimpleQuoteSetValue(D30,ROUND($L30,6),EvaluationDate)</f>
        <v>0</v>
      </c>
      <c r="N30" s="144"/>
    </row>
    <row r="31" spans="1:14" x14ac:dyDescent="0.2">
      <c r="A31" s="134"/>
      <c r="B31" s="122" t="s">
        <v>65</v>
      </c>
      <c r="C31" s="45" t="str">
        <f t="shared" si="4"/>
        <v>GBP3MD_SYNTH1Y_Quote</v>
      </c>
      <c r="D31" s="123" t="str">
        <f>_xll.qlSimpleQuote(C31,,RateTickValue,Permanent,EvaluationDate,ObjectOverwrite)</f>
        <v>GBP3MD_SYNTH1Y_Quote#0000</v>
      </c>
      <c r="E31" s="320" t="str">
        <f>_xll.ohRangeRetrieveError(D31)</f>
        <v/>
      </c>
      <c r="F31" s="47"/>
      <c r="G31" s="109" t="s">
        <v>65</v>
      </c>
      <c r="H31" s="84">
        <f>'1YSynthDepo'!C40</f>
        <v>8.7235987203575279E-3</v>
      </c>
      <c r="I31" s="50"/>
      <c r="J31" s="89">
        <v>3.5456229020878484E-3</v>
      </c>
      <c r="K31" s="48"/>
      <c r="L31" s="92">
        <v>8.7235987203575279E-3</v>
      </c>
      <c r="M31" s="93">
        <f>_xll.qlSimpleQuoteSetValue(D31,ROUND($L31,6),EvaluationDate)</f>
        <v>0</v>
      </c>
      <c r="N31" s="51"/>
    </row>
    <row r="32" spans="1:14" x14ac:dyDescent="0.2">
      <c r="A32" s="134"/>
      <c r="B32" s="122" t="s">
        <v>66</v>
      </c>
      <c r="C32" s="45" t="str">
        <f t="shared" si="4"/>
        <v>GBP4MD_SYNTH1Y_Quote</v>
      </c>
      <c r="D32" s="123" t="str">
        <f>_xll.qlSimpleQuote(C32,,RateTickValue,Permanent,EvaluationDate,ObjectOverwrite)</f>
        <v>GBP4MD_SYNTH1Y_Quote#0000</v>
      </c>
      <c r="E32" s="320" t="str">
        <f>_xll.ohRangeRetrieveError(D32)</f>
        <v/>
      </c>
      <c r="F32" s="47"/>
      <c r="G32" s="109" t="s">
        <v>66</v>
      </c>
      <c r="H32" s="84">
        <f>'1YSynthDepo'!C41</f>
        <v>8.7825344853097558E-3</v>
      </c>
      <c r="I32" s="50"/>
      <c r="J32" s="89">
        <v>3.6033508135462355E-3</v>
      </c>
      <c r="K32" s="48"/>
      <c r="L32" s="92">
        <v>8.7825344853097558E-3</v>
      </c>
      <c r="M32" s="93">
        <f>_xll.qlSimpleQuoteSetValue(D32,ROUND($L32,6),EvaluationDate)</f>
        <v>0</v>
      </c>
      <c r="N32" s="51"/>
    </row>
    <row r="33" spans="1:14" x14ac:dyDescent="0.2">
      <c r="A33" s="134"/>
      <c r="B33" s="122" t="s">
        <v>67</v>
      </c>
      <c r="C33" s="45" t="str">
        <f t="shared" si="4"/>
        <v>GBP5MD_SYNTH1Y_Quote</v>
      </c>
      <c r="D33" s="123" t="str">
        <f>_xll.qlSimpleQuote(C33,,RateTickValue,Permanent,EvaluationDate,ObjectOverwrite)</f>
        <v>GBP5MD_SYNTH1Y_Quote#0000</v>
      </c>
      <c r="E33" s="320" t="str">
        <f>_xll.ohRangeRetrieveError(D33)</f>
        <v/>
      </c>
      <c r="F33" s="49"/>
      <c r="G33" s="109" t="s">
        <v>67</v>
      </c>
      <c r="H33" s="84">
        <f>'1YSynthDepo'!C42</f>
        <v>8.8303355726057145E-3</v>
      </c>
      <c r="I33" s="50"/>
      <c r="J33" s="89">
        <v>3.5874219876094902E-3</v>
      </c>
      <c r="K33" s="48"/>
      <c r="L33" s="92">
        <v>8.8303355726057145E-3</v>
      </c>
      <c r="M33" s="93">
        <f>_xll.qlSimpleQuoteSetValue(D33,ROUND($L33,6),EvaluationDate)</f>
        <v>0</v>
      </c>
      <c r="N33" s="51"/>
    </row>
    <row r="34" spans="1:14" x14ac:dyDescent="0.2">
      <c r="A34" s="134"/>
      <c r="B34" s="122" t="s">
        <v>68</v>
      </c>
      <c r="C34" s="45" t="str">
        <f t="shared" si="4"/>
        <v>GBP6MD_SYNTH1Y_Quote</v>
      </c>
      <c r="D34" s="123" t="str">
        <f>_xll.qlSimpleQuote(C34,,RateTickValue,Permanent,EvaluationDate,ObjectOverwrite)</f>
        <v>GBP6MD_SYNTH1Y_Quote#0000</v>
      </c>
      <c r="E34" s="320" t="str">
        <f>_xll.ohRangeRetrieveError(D34)</f>
        <v/>
      </c>
      <c r="F34" s="49"/>
      <c r="G34" s="109" t="s">
        <v>68</v>
      </c>
      <c r="H34" s="84">
        <f>'1YSynthDepo'!C43</f>
        <v>8.9156667486204356E-3</v>
      </c>
      <c r="I34" s="50"/>
      <c r="J34" s="89">
        <v>3.5605829939326472E-3</v>
      </c>
      <c r="K34" s="48"/>
      <c r="L34" s="92">
        <v>8.9156667486204356E-3</v>
      </c>
      <c r="M34" s="93">
        <f>_xll.qlSimpleQuoteSetValue(D34,ROUND($L34,6),EvaluationDate)</f>
        <v>0</v>
      </c>
      <c r="N34" s="51"/>
    </row>
    <row r="35" spans="1:14" x14ac:dyDescent="0.2">
      <c r="A35" s="134"/>
      <c r="B35" s="122" t="s">
        <v>69</v>
      </c>
      <c r="C35" s="45" t="str">
        <f t="shared" si="4"/>
        <v>GBP7MD_SYNTH1Y_Quote</v>
      </c>
      <c r="D35" s="123" t="str">
        <f>_xll.qlSimpleQuote(C35,,RateTickValue,Permanent,EvaluationDate,ObjectOverwrite)</f>
        <v>GBP7MD_SYNTH1Y_Quote#0000</v>
      </c>
      <c r="E35" s="320" t="str">
        <f>_xll.ohRangeRetrieveError(D35)</f>
        <v/>
      </c>
      <c r="F35" s="49"/>
      <c r="G35" s="109" t="s">
        <v>69</v>
      </c>
      <c r="H35" s="84">
        <f>'1YSynthDepo'!C44</f>
        <v>9.0025704627947709E-3</v>
      </c>
      <c r="I35" s="50"/>
      <c r="J35" s="89">
        <v>3.5391910896233206E-3</v>
      </c>
      <c r="K35" s="48"/>
      <c r="L35" s="92">
        <v>9.0025704627947709E-3</v>
      </c>
      <c r="M35" s="93">
        <f>_xll.qlSimpleQuoteSetValue(D35,ROUND($L35,6),EvaluationDate)</f>
        <v>0</v>
      </c>
      <c r="N35" s="51"/>
    </row>
    <row r="36" spans="1:14" x14ac:dyDescent="0.2">
      <c r="A36" s="134"/>
      <c r="B36" s="122" t="s">
        <v>70</v>
      </c>
      <c r="C36" s="45" t="str">
        <f t="shared" si="4"/>
        <v>GBP8MD_SYNTH1Y_Quote</v>
      </c>
      <c r="D36" s="123" t="str">
        <f>_xll.qlSimpleQuote(C36,,RateTickValue,Permanent,EvaluationDate,ObjectOverwrite)</f>
        <v>GBP8MD_SYNTH1Y_Quote#0000</v>
      </c>
      <c r="E36" s="320" t="str">
        <f>_xll.ohRangeRetrieveError(D36)</f>
        <v/>
      </c>
      <c r="F36" s="49"/>
      <c r="G36" s="109" t="s">
        <v>70</v>
      </c>
      <c r="H36" s="84">
        <f>'1YSynthDepo'!C45</f>
        <v>9.097442314666011E-3</v>
      </c>
      <c r="I36" s="50"/>
      <c r="J36" s="89">
        <v>3.5320133927629347E-3</v>
      </c>
      <c r="K36" s="48"/>
      <c r="L36" s="92">
        <v>9.097442314666011E-3</v>
      </c>
      <c r="M36" s="93">
        <f>_xll.qlSimpleQuoteSetValue(D36,ROUND($L36,6),EvaluationDate)</f>
        <v>0</v>
      </c>
      <c r="N36" s="51"/>
    </row>
    <row r="37" spans="1:14" x14ac:dyDescent="0.2">
      <c r="A37" s="136"/>
      <c r="B37" s="122" t="s">
        <v>71</v>
      </c>
      <c r="C37" s="45" t="str">
        <f t="shared" si="4"/>
        <v>GBP9MD_SYNTH1Y_Quote</v>
      </c>
      <c r="D37" s="123" t="str">
        <f>_xll.qlSimpleQuote(C37,,RateTickValue,Permanent,EvaluationDate,ObjectOverwrite)</f>
        <v>GBP9MD_SYNTH1Y_Quote#0000</v>
      </c>
      <c r="E37" s="320" t="str">
        <f>_xll.ohRangeRetrieveError(D37)</f>
        <v/>
      </c>
      <c r="F37" s="49"/>
      <c r="G37" s="109" t="s">
        <v>71</v>
      </c>
      <c r="H37" s="84">
        <f>'1YSynthDepo'!C46</f>
        <v>9.2566439071420266E-3</v>
      </c>
      <c r="I37" s="50"/>
      <c r="J37" s="89">
        <v>3.5246192513979009E-3</v>
      </c>
      <c r="K37" s="48"/>
      <c r="L37" s="92">
        <v>9.2566439071420266E-3</v>
      </c>
      <c r="M37" s="93">
        <f>_xll.qlSimpleQuoteSetValue(D37,ROUND($L37,6),EvaluationDate)</f>
        <v>0</v>
      </c>
      <c r="N37" s="51"/>
    </row>
    <row r="38" spans="1:14" x14ac:dyDescent="0.2">
      <c r="A38" s="137"/>
      <c r="B38" s="122" t="s">
        <v>72</v>
      </c>
      <c r="C38" s="45" t="str">
        <f t="shared" si="4"/>
        <v>GBP10MD_SYNTH1Y_Quote</v>
      </c>
      <c r="D38" s="123" t="str">
        <f>_xll.qlSimpleQuote(C38,,RateTickValue,Permanent,EvaluationDate,ObjectOverwrite)</f>
        <v>GBP10MD_SYNTH1Y_Quote#0000</v>
      </c>
      <c r="E38" s="320" t="str">
        <f>_xll.ohRangeRetrieveError(D38)</f>
        <v/>
      </c>
      <c r="F38" s="49"/>
      <c r="G38" s="109" t="s">
        <v>72</v>
      </c>
      <c r="H38" s="84">
        <f>'1YSynthDepo'!C47</f>
        <v>9.4190843142719569E-3</v>
      </c>
      <c r="I38" s="50"/>
      <c r="J38" s="89">
        <v>3.5124690786614873E-3</v>
      </c>
      <c r="K38" s="48"/>
      <c r="L38" s="92">
        <v>9.4190843142719569E-3</v>
      </c>
      <c r="M38" s="93">
        <f>_xll.qlSimpleQuoteSetValue(D38,ROUND($L38,6),EvaluationDate)</f>
        <v>0</v>
      </c>
      <c r="N38" s="51"/>
    </row>
    <row r="39" spans="1:14" x14ac:dyDescent="0.2">
      <c r="A39" s="134"/>
      <c r="B39" s="122" t="s">
        <v>73</v>
      </c>
      <c r="C39" s="45" t="str">
        <f t="shared" si="4"/>
        <v>GBP11MD_SYNTH1Y_Quote</v>
      </c>
      <c r="D39" s="123" t="str">
        <f>_xll.qlSimpleQuote(C39,,RateTickValue,Permanent,EvaluationDate,ObjectOverwrite)</f>
        <v>GBP11MD_SYNTH1Y_Quote#0000</v>
      </c>
      <c r="E39" s="320" t="str">
        <f>_xll.ohRangeRetrieveError(D39)</f>
        <v/>
      </c>
      <c r="F39" s="49"/>
      <c r="G39" s="109" t="s">
        <v>73</v>
      </c>
      <c r="H39" s="84">
        <f>'1YSynthDepo'!C48</f>
        <v>9.5785792959769585E-3</v>
      </c>
      <c r="I39" s="50"/>
      <c r="J39" s="89">
        <v>3.526495177091726E-3</v>
      </c>
      <c r="K39" s="48"/>
      <c r="L39" s="92">
        <v>9.5785792959769585E-3</v>
      </c>
      <c r="M39" s="93">
        <f>_xll.qlSimpleQuoteSetValue(D39,ROUND($L39,6),EvaluationDate)</f>
        <v>0</v>
      </c>
      <c r="N39" s="51"/>
    </row>
    <row r="40" spans="1:14" ht="12" thickBot="1" x14ac:dyDescent="0.25">
      <c r="A40" s="138"/>
      <c r="B40" s="127" t="s">
        <v>74</v>
      </c>
      <c r="C40" s="82" t="str">
        <f t="shared" si="4"/>
        <v>GBP1YD_SYNTH1Y_Quote</v>
      </c>
      <c r="D40" s="132" t="str">
        <f>_xll.qlSimpleQuote(C40,,RateTickValue,Permanent,EvaluationDate,ObjectOverwrite)</f>
        <v>GBP1YD_SYNTH1Y_Quote#0000</v>
      </c>
      <c r="E40" s="321" t="str">
        <f>_xll.ohRangeRetrieveError(D40)</f>
        <v/>
      </c>
      <c r="F40" s="49"/>
      <c r="G40" s="139" t="s">
        <v>74</v>
      </c>
      <c r="H40" s="88">
        <f>'1YSynthDepo'!C49</f>
        <v>9.7869000000001087E-3</v>
      </c>
      <c r="I40" s="50"/>
      <c r="J40" s="91">
        <v>3.5462405279165373E-3</v>
      </c>
      <c r="K40" s="48"/>
      <c r="L40" s="96">
        <v>9.7869000000001087E-3</v>
      </c>
      <c r="M40" s="97">
        <f>_xll.qlSimpleQuoteSetValue(D40,ROUND($L40,6),EvaluationDate)</f>
        <v>0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GBP1x13F_SYNTH1Y_Quote</v>
      </c>
      <c r="D41" s="123" t="str">
        <f>_xll.qlSimpleQuote(C41,,RateTickValue,Permanent,Trigger,ObjectOverwrite)</f>
        <v>GBP1x13F_SYNTH1Y_Quote#0000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1.0129072245458521E-2</v>
      </c>
      <c r="I41" s="58"/>
      <c r="J41" s="115">
        <v>3.5154655213764001E-3</v>
      </c>
      <c r="K41" s="59"/>
      <c r="L41" s="117">
        <v>1.0129072245458521E-2</v>
      </c>
      <c r="M41" s="118">
        <f>_xll.qlSimpleQuoteSetValue(D41,ROUND(L41,6),EvaluationDate)</f>
        <v>0</v>
      </c>
      <c r="N41" s="144">
        <f>_xll.ohTrigger(M41:M84)</f>
        <v>1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GBP2x14F_SYNTH1Y_Quote</v>
      </c>
      <c r="D42" s="123" t="str">
        <f>_xll.qlSimpleQuote(C42,,RateTickValue,Permanent,Trigger,ObjectOverwrite)</f>
        <v>GBP2x14F_SYNTH1Y_Quote#0000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1.0432507161742611E-2</v>
      </c>
      <c r="I42" s="59"/>
      <c r="J42" s="115">
        <v>3.532295049804414E-3</v>
      </c>
      <c r="K42" s="59"/>
      <c r="L42" s="117">
        <v>1.0432507161742611E-2</v>
      </c>
      <c r="M42" s="118">
        <f>_xll.qlSimpleQuoteSetValue(D42,ROUND(L42,6),EvaluationDate)</f>
        <v>0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GBP3x15F_SYNTH1Y_Quote</v>
      </c>
      <c r="D43" s="123" t="str">
        <f>_xll.qlSimpleQuote(C43,,RateTickValue,Permanent,Trigger,ObjectOverwrite)</f>
        <v>GBP3x15F_SYNTH1Y_Quote#0000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1.0779414051892325E-2</v>
      </c>
      <c r="I43" s="59"/>
      <c r="J43" s="115">
        <v>3.4850405815286247E-3</v>
      </c>
      <c r="K43" s="59"/>
      <c r="L43" s="117">
        <v>1.0779414051892325E-2</v>
      </c>
      <c r="M43" s="118">
        <f>_xll.qlSimpleQuoteSetValue(D43,ROUND(L43,6),EvaluationDate)</f>
        <v>0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GBP4x16F_SYNTH1Y_Quote</v>
      </c>
      <c r="D44" s="123" t="str">
        <f>_xll.qlSimpleQuote(C44,,RateTickValue,Permanent,Trigger,ObjectOverwrite)</f>
        <v>GBP4x16F_SYNTH1Y_Quote#0000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1.1180003686009757E-2</v>
      </c>
      <c r="I44" s="59"/>
      <c r="J44" s="115">
        <v>3.4415012724434762E-3</v>
      </c>
      <c r="K44" s="59"/>
      <c r="L44" s="117">
        <v>1.1180003686009757E-2</v>
      </c>
      <c r="M44" s="118">
        <f>_xll.qlSimpleQuoteSetValue(D44,ROUND(L44,6),EvaluationDate)</f>
        <v>0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GBP5x17F_SYNTH1Y_Quote</v>
      </c>
      <c r="D45" s="123" t="str">
        <f>_xll.qlSimpleQuote(C45,,RateTickValue,Permanent,Trigger,ObjectOverwrite)</f>
        <v>GBP5x17F_SYNTH1Y_Quote#0000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1.1621921604345286E-2</v>
      </c>
      <c r="I45" s="59"/>
      <c r="J45" s="115">
        <v>3.4396668017846748E-3</v>
      </c>
      <c r="K45" s="59"/>
      <c r="L45" s="117">
        <v>1.1621921604345286E-2</v>
      </c>
      <c r="M45" s="118">
        <f>_xll.qlSimpleQuoteSetValue(D45,ROUND(L45,6),EvaluationDate)</f>
        <v>0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GBP6x18F_SYNTH1Y_Quote</v>
      </c>
      <c r="D46" s="123" t="str">
        <f>_xll.qlSimpleQuote(C46,,RateTickValue,Permanent,Trigger,ObjectOverwrite)</f>
        <v>GBP6x18F_SYNTH1Y_Quote#0000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1.2107636112757369E-2</v>
      </c>
      <c r="I46" s="59"/>
      <c r="J46" s="115">
        <v>3.4605640887299519E-3</v>
      </c>
      <c r="K46" s="59"/>
      <c r="L46" s="117">
        <v>1.2107636112757369E-2</v>
      </c>
      <c r="M46" s="118">
        <f>_xll.qlSimpleQuoteSetValue(D46,ROUND(L46,6),EvaluationDate)</f>
        <v>0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GBP7x19F_SYNTH1Y_Quote</v>
      </c>
      <c r="D47" s="123" t="str">
        <f>_xll.qlSimpleQuote(C47,,RateTickValue,Permanent,Trigger,ObjectOverwrite)</f>
        <v>GBP7x19F_SYNTH1Y_Quote#0000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1.2608790570451073E-2</v>
      </c>
      <c r="I47" s="59"/>
      <c r="J47" s="115">
        <v>3.4944777323652411E-3</v>
      </c>
      <c r="K47" s="59"/>
      <c r="L47" s="117">
        <v>1.2608790570451073E-2</v>
      </c>
      <c r="M47" s="118">
        <f>_xll.qlSimpleQuoteSetValue(D47,ROUND(L47,6),EvaluationDate)</f>
        <v>0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GBP8x20F_SYNTH1Y_Quote</v>
      </c>
      <c r="D48" s="123" t="str">
        <f>_xll.qlSimpleQuote(C48,,RateTickValue,Permanent,Trigger,ObjectOverwrite)</f>
        <v>GBP8x20F_SYNTH1Y_Quote#0000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1.3092797777032258E-2</v>
      </c>
      <c r="I48" s="59"/>
      <c r="J48" s="115">
        <v>3.5321172705571544E-3</v>
      </c>
      <c r="K48" s="59"/>
      <c r="L48" s="117">
        <v>1.3092797777032258E-2</v>
      </c>
      <c r="M48" s="118">
        <f>_xll.qlSimpleQuoteSetValue(D48,ROUND(L48,6),EvaluationDate)</f>
        <v>0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GBP9x21F_SYNTH1Y_Quote</v>
      </c>
      <c r="D49" s="123" t="str">
        <f>_xll.qlSimpleQuote(C49,,RateTickValue,Permanent,Trigger,ObjectOverwrite)</f>
        <v>GBP9x21F_SYNTH1Y_Quote#0000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1.3584475633772512E-2</v>
      </c>
      <c r="I49" s="59"/>
      <c r="J49" s="115">
        <v>3.5813365788215775E-3</v>
      </c>
      <c r="K49" s="59"/>
      <c r="L49" s="117">
        <v>1.3584475633772512E-2</v>
      </c>
      <c r="M49" s="118">
        <f>_xll.qlSimpleQuoteSetValue(D49,ROUND(L49,6),EvaluationDate)</f>
        <v>0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GBP10x22F_SYNTH1Y_Quote</v>
      </c>
      <c r="D50" s="123" t="str">
        <f>_xll.qlSimpleQuote(C50,,RateTickValue,Permanent,Trigger,ObjectOverwrite)</f>
        <v>GBP10x22F_SYNTH1Y_Quote#0000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1.4091525453272205E-2</v>
      </c>
      <c r="I50" s="59"/>
      <c r="J50" s="115">
        <v>3.6543872266933592E-3</v>
      </c>
      <c r="K50" s="59"/>
      <c r="L50" s="117">
        <v>1.4091525453272205E-2</v>
      </c>
      <c r="M50" s="118">
        <f>_xll.qlSimpleQuoteSetValue(D50,ROUND(L50,6),EvaluationDate)</f>
        <v>0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GBP11x23F_SYNTH1Y_Quote</v>
      </c>
      <c r="D51" s="123" t="str">
        <f>_xll.qlSimpleQuote(C51,,RateTickValue,Permanent,Trigger,ObjectOverwrite)</f>
        <v>GBP11x23F_SYNTH1Y_Quote#0000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1.4582953694660949E-2</v>
      </c>
      <c r="I51" s="59"/>
      <c r="J51" s="115">
        <v>3.7194370522021635E-3</v>
      </c>
      <c r="K51" s="59"/>
      <c r="L51" s="117">
        <v>1.4582953694660949E-2</v>
      </c>
      <c r="M51" s="118">
        <f>_xll.qlSimpleQuoteSetValue(D51,ROUND(L51,6),EvaluationDate)</f>
        <v>0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GBP13x25F_SYNTH1Y_Quote</v>
      </c>
      <c r="D52" s="123" t="str">
        <f>_xll.qlSimpleQuote(C52,,RateTickValue,Permanent,Trigger,ObjectOverwrite)</f>
        <v>GBP13x25F_SYNTH1Y_Quote#0000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1.5446286942378063E-2</v>
      </c>
      <c r="I52" s="59"/>
      <c r="J52" s="115">
        <v>3.8720283583146007E-3</v>
      </c>
      <c r="K52" s="59"/>
      <c r="L52" s="117">
        <v>1.5446286942378063E-2</v>
      </c>
      <c r="M52" s="118">
        <f>_xll.qlSimpleQuoteSetValue(D52,ROUND(L52,6),EvaluationDate)</f>
        <v>0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GBP14x26F_SYNTH1Y_Quote</v>
      </c>
      <c r="D53" s="123" t="str">
        <f>_xll.qlSimpleQuote(C53,,RateTickValue,Permanent,Trigger,ObjectOverwrite)</f>
        <v>GBP14x26F_SYNTH1Y_Quote#0000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1.5837471476355048E-2</v>
      </c>
      <c r="I53" s="59"/>
      <c r="J53" s="115">
        <v>3.9171599819746638E-3</v>
      </c>
      <c r="K53" s="59"/>
      <c r="L53" s="117">
        <v>1.5837471476355048E-2</v>
      </c>
      <c r="M53" s="118">
        <f>_xll.qlSimpleQuoteSetValue(D53,ROUND(L53,6),EvaluationDate)</f>
        <v>0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GBP15x27F_SYNTH1Y_Quote</v>
      </c>
      <c r="D54" s="123" t="str">
        <f>_xll.qlSimpleQuote(C54,,RateTickValue,Permanent,Trigger,ObjectOverwrite)</f>
        <v>GBP15x27F_SYNTH1Y_Quote#0000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1.6250593522431505E-2</v>
      </c>
      <c r="I54" s="59"/>
      <c r="J54" s="115">
        <v>4.0267198538210588E-3</v>
      </c>
      <c r="K54" s="59"/>
      <c r="L54" s="117">
        <v>1.6250593522431505E-2</v>
      </c>
      <c r="M54" s="118">
        <f>_xll.qlSimpleQuoteSetValue(D54,ROUND(L54,6),EvaluationDate)</f>
        <v>0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GBP16x28F_SYNTH1Y_Quote</v>
      </c>
      <c r="D55" s="123" t="str">
        <f>_xll.qlSimpleQuote(C55,,RateTickValue,Permanent,Trigger,ObjectOverwrite)</f>
        <v>GBP16x28F_SYNTH1Y_Quote#0000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1.6614766948707674E-2</v>
      </c>
      <c r="I55" s="59"/>
      <c r="J55" s="115">
        <v>4.1329970922189185E-3</v>
      </c>
      <c r="K55" s="59"/>
      <c r="L55" s="117">
        <v>1.6614766948707674E-2</v>
      </c>
      <c r="M55" s="118">
        <f>_xll.qlSimpleQuoteSetValue(D55,ROUND(L55,6),EvaluationDate)</f>
        <v>0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GBP17x29F_SYNTH1Y_Quote</v>
      </c>
      <c r="D56" s="123" t="str">
        <f>_xll.qlSimpleQuote(C56,,RateTickValue,Permanent,Trigger,ObjectOverwrite)</f>
        <v>GBP17x29F_SYNTH1Y_Quote#0000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1.696005985682747E-2</v>
      </c>
      <c r="I56" s="59"/>
      <c r="J56" s="115">
        <v>4.2134721254825282E-3</v>
      </c>
      <c r="K56" s="59"/>
      <c r="L56" s="117">
        <v>1.696005985682747E-2</v>
      </c>
      <c r="M56" s="118">
        <f>_xll.qlSimpleQuoteSetValue(D56,ROUND(L56,6),EvaluationDate)</f>
        <v>0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GBP18x30F_SYNTH1Y_Quote</v>
      </c>
      <c r="D57" s="123" t="str">
        <f>_xll.qlSimpleQuote(C57,,RateTickValue,Permanent,Trigger,ObjectOverwrite)</f>
        <v>GBP18x30F_SYNTH1Y_Quote#0000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1.7319861522220197E-2</v>
      </c>
      <c r="I57" s="59"/>
      <c r="J57" s="115">
        <v>4.3008791705088749E-3</v>
      </c>
      <c r="K57" s="59"/>
      <c r="L57" s="117">
        <v>1.7319861522220197E-2</v>
      </c>
      <c r="M57" s="118">
        <f>_xll.qlSimpleQuoteSetValue(D57,ROUND(L57,6),EvaluationDate)</f>
        <v>0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GBP19x31F_SYNTH1Y_Quote</v>
      </c>
      <c r="D58" s="123" t="str">
        <f>_xll.qlSimpleQuote(C58,,RateTickValue,Permanent,Trigger,ObjectOverwrite)</f>
        <v>GBP19x31F_SYNTH1Y_Quote#0000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1.7610970472246194E-2</v>
      </c>
      <c r="I58" s="59"/>
      <c r="J58" s="115">
        <v>4.4018605292064873E-3</v>
      </c>
      <c r="K58" s="59"/>
      <c r="L58" s="117">
        <v>1.7610970472246194E-2</v>
      </c>
      <c r="M58" s="118">
        <f>_xll.qlSimpleQuoteSetValue(D58,ROUND(L58,6),EvaluationDate)</f>
        <v>0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GBP20x32F_SYNTH1Y_Quote</v>
      </c>
      <c r="D59" s="123" t="str">
        <f>_xll.qlSimpleQuote(C59,,RateTickValue,Permanent,Trigger,ObjectOverwrite)</f>
        <v>GBP20x32F_SYNTH1Y_Quote#0000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1.7921062854983166E-2</v>
      </c>
      <c r="I59" s="59"/>
      <c r="J59" s="115">
        <v>4.4919660238962921E-3</v>
      </c>
      <c r="K59" s="59"/>
      <c r="L59" s="117">
        <v>1.7921062854983166E-2</v>
      </c>
      <c r="M59" s="118">
        <f>_xll.qlSimpleQuoteSetValue(D59,ROUND(L59,6),EvaluationDate)</f>
        <v>0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GBP21x33F_SYNTH1Y_Quote</v>
      </c>
      <c r="D60" s="123" t="str">
        <f>_xll.qlSimpleQuote(C60,,RateTickValue,Permanent,Trigger,ObjectOverwrite)</f>
        <v>GBP21x33F_SYNTH1Y_Quote#0000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1.8231112685062632E-2</v>
      </c>
      <c r="I60" s="59"/>
      <c r="J60" s="115">
        <v>4.5954939536650523E-3</v>
      </c>
      <c r="K60" s="59"/>
      <c r="L60" s="117">
        <v>1.8231112685062632E-2</v>
      </c>
      <c r="M60" s="118">
        <f>_xll.qlSimpleQuoteSetValue(D60,ROUND(L60,6),EvaluationDate)</f>
        <v>0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GBP22x34F_SYNTH1Y_Quote</v>
      </c>
      <c r="D61" s="123" t="str">
        <f>_xll.qlSimpleQuote(C61,,RateTickValue,Permanent,Trigger,ObjectOverwrite)</f>
        <v>GBP22x34F_SYNTH1Y_Quote#0000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1.8506306623598597E-2</v>
      </c>
      <c r="I61" s="59"/>
      <c r="J61" s="115">
        <v>4.7058631429596973E-3</v>
      </c>
      <c r="K61" s="59"/>
      <c r="L61" s="117">
        <v>1.8506306623598597E-2</v>
      </c>
      <c r="M61" s="118">
        <f>_xll.qlSimpleQuoteSetValue(D61,ROUND(L61,6),EvaluationDate)</f>
        <v>0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GBP23x35F_SYNTH1Y_Quote</v>
      </c>
      <c r="D62" s="123" t="str">
        <f>_xll.qlSimpleQuote(C62,,RateTickValue,Permanent,Trigger,ObjectOverwrite)</f>
        <v>GBP23x35F_SYNTH1Y_Quote#0000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1.8807351307514653E-2</v>
      </c>
      <c r="I62" s="59"/>
      <c r="J62" s="115">
        <v>4.8096995743170268E-3</v>
      </c>
      <c r="K62" s="59"/>
      <c r="L62" s="117">
        <v>1.8807351307514653E-2</v>
      </c>
      <c r="M62" s="118">
        <f>_xll.qlSimpleQuoteSetValue(D62,ROUND(L62,6),EvaluationDate)</f>
        <v>0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GBP25x37F_SYNTH1Y_Quote</v>
      </c>
      <c r="D63" s="123" t="str">
        <f>_xll.qlSimpleQuote(C63,,RateTickValue,Permanent,Trigger,ObjectOverwrite)</f>
        <v>GBP25x37F_SYNTH1Y_Quote#0000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1.9348524204095583E-2</v>
      </c>
      <c r="I63" s="59"/>
      <c r="J63" s="115">
        <v>5.0522302397286488E-3</v>
      </c>
      <c r="K63" s="59"/>
      <c r="L63" s="117">
        <v>1.9348524204095583E-2</v>
      </c>
      <c r="M63" s="118">
        <f>_xll.qlSimpleQuoteSetValue(D63,ROUND(L63,6),EvaluationDate)</f>
        <v>0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GBP26x38F_SYNTH1Y_Quote</v>
      </c>
      <c r="D64" s="123" t="str">
        <f>_xll.qlSimpleQuote(C64,,RateTickValue,Permanent,Trigger,ObjectOverwrite)</f>
        <v>GBP26x38F_SYNTH1Y_Quote#0000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1.9617824221825595E-2</v>
      </c>
      <c r="I64" s="59"/>
      <c r="J64" s="115">
        <v>5.1723447587727405E-3</v>
      </c>
      <c r="K64" s="59"/>
      <c r="L64" s="117">
        <v>1.9617824221825595E-2</v>
      </c>
      <c r="M64" s="118">
        <f>_xll.qlSimpleQuoteSetValue(D64,ROUND(L64,6),EvaluationDate)</f>
        <v>0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GBP27x39F_SYNTH1Y_Quote</v>
      </c>
      <c r="D65" s="123" t="str">
        <f>_xll.qlSimpleQuote(C65,,RateTickValue,Permanent,Trigger,ObjectOverwrite)</f>
        <v>GBP27x39F_SYNTH1Y_Quote#0000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1.9903263396296965E-2</v>
      </c>
      <c r="I65" s="59"/>
      <c r="J65" s="115">
        <v>5.3150282994908178E-3</v>
      </c>
      <c r="K65" s="59"/>
      <c r="L65" s="117">
        <v>1.9903263396296965E-2</v>
      </c>
      <c r="M65" s="118">
        <f>_xll.qlSimpleQuoteSetValue(D65,ROUND(L65,6),EvaluationDate)</f>
        <v>0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GBP28x40F_SYNTH1Y_Quote</v>
      </c>
      <c r="D66" s="123" t="str">
        <f>_xll.qlSimpleQuote(C66,,RateTickValue,Permanent,Trigger,ObjectOverwrite)</f>
        <v>GBP28x40F_SYNTH1Y_Quote#0000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2.0136280978203452E-2</v>
      </c>
      <c r="I66" s="59"/>
      <c r="J66" s="115">
        <v>5.4407488203351683E-3</v>
      </c>
      <c r="K66" s="59"/>
      <c r="L66" s="117">
        <v>2.0136280978203452E-2</v>
      </c>
      <c r="M66" s="118">
        <f>_xll.qlSimpleQuoteSetValue(D66,ROUND(L66,6),EvaluationDate)</f>
        <v>0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GBP29x41F_SYNTH1Y_Quote</v>
      </c>
      <c r="D67" s="123" t="str">
        <f>_xll.qlSimpleQuote(C67,,RateTickValue,Permanent,Trigger,ObjectOverwrite)</f>
        <v>GBP29x41F_SYNTH1Y_Quote#0000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2.0384108795054881E-2</v>
      </c>
      <c r="I67" s="59"/>
      <c r="J67" s="115">
        <v>5.5751222575614514E-3</v>
      </c>
      <c r="K67" s="59"/>
      <c r="L67" s="117">
        <v>2.0384108795054881E-2</v>
      </c>
      <c r="M67" s="118">
        <f>_xll.qlSimpleQuoteSetValue(D67,ROUND(L67,6),EvaluationDate)</f>
        <v>0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GBP30x42F_SYNTH1Y_Quote</v>
      </c>
      <c r="D68" s="123" t="str">
        <f>_xll.qlSimpleQuote(C68,,RateTickValue,Permanent,Trigger,ObjectOverwrite)</f>
        <v>GBP30x42F_SYNTH1Y_Quote#0000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2.0628374553217907E-2</v>
      </c>
      <c r="I68" s="59"/>
      <c r="J68" s="115">
        <v>5.718231965587536E-3</v>
      </c>
      <c r="K68" s="59"/>
      <c r="L68" s="117">
        <v>2.0628374553217907E-2</v>
      </c>
      <c r="M68" s="118">
        <f>_xll.qlSimpleQuoteSetValue(D68,ROUND(L68,6),EvaluationDate)</f>
        <v>0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GBP31x43F_SYNTH1Y_Quote</v>
      </c>
      <c r="D69" s="123" t="str">
        <f>_xll.qlSimpleQuote(C69,,RateTickValue,Permanent,Trigger,ObjectOverwrite)</f>
        <v>GBP31x43F_SYNTH1Y_Quote#0000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2.0839279025112525E-2</v>
      </c>
      <c r="I69" s="59"/>
      <c r="J69" s="115">
        <v>5.8750651022078052E-3</v>
      </c>
      <c r="K69" s="59"/>
      <c r="L69" s="117">
        <v>2.0839279025112525E-2</v>
      </c>
      <c r="M69" s="118">
        <f>_xll.qlSimpleQuoteSetValue(D69,ROUND(L69,6),EvaluationDate)</f>
        <v>0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GBP32x44F_SYNTH1Y_Quote</v>
      </c>
      <c r="D70" s="123" t="str">
        <f>_xll.qlSimpleQuote(C70,,RateTickValue,Permanent,Trigger,ObjectOverwrite)</f>
        <v>GBP32x44F_SYNTH1Y_Quote#0000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2.1059950794263049E-2</v>
      </c>
      <c r="I70" s="59"/>
      <c r="J70" s="115">
        <v>6.0205538315344842E-3</v>
      </c>
      <c r="K70" s="59"/>
      <c r="L70" s="117">
        <v>2.1059950794263049E-2</v>
      </c>
      <c r="M70" s="118">
        <f>_xll.qlSimpleQuoteSetValue(D70,ROUND(L70,6),EvaluationDate)</f>
        <v>0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GBP33x45F_SYNTH1Y_Quote</v>
      </c>
      <c r="D71" s="123" t="str">
        <f>_xll.qlSimpleQuote(C71,,RateTickValue,Permanent,Trigger,ObjectOverwrite)</f>
        <v>GBP33x45F_SYNTH1Y_Quote#0000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2.1255448166120957E-2</v>
      </c>
      <c r="I71" s="59"/>
      <c r="J71" s="115">
        <v>6.1834206352431283E-3</v>
      </c>
      <c r="K71" s="59"/>
      <c r="L71" s="117">
        <v>2.1255448166120957E-2</v>
      </c>
      <c r="M71" s="118">
        <f>_xll.qlSimpleQuoteSetValue(D71,ROUND(L71,6),EvaluationDate)</f>
        <v>0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GBP34x46F_SYNTH1Y_Quote</v>
      </c>
      <c r="D72" s="123" t="str">
        <f>_xll.qlSimpleQuote(C72,,RateTickValue,Permanent,Trigger,ObjectOverwrite)</f>
        <v>GBP34x46F_SYNTH1Y_Quote#0000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2.1439175292721772E-2</v>
      </c>
      <c r="I72" s="59"/>
      <c r="J72" s="115">
        <v>6.3407127429901894E-3</v>
      </c>
      <c r="K72" s="59"/>
      <c r="L72" s="117">
        <v>2.1439175292721772E-2</v>
      </c>
      <c r="M72" s="118">
        <f>_xll.qlSimpleQuoteSetValue(D72,ROUND(L72,6),EvaluationDate)</f>
        <v>0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GBP35x47F_SYNTH1Y_Quote</v>
      </c>
      <c r="D73" s="123" t="str">
        <f>_xll.qlSimpleQuote(C73,,RateTickValue,Permanent,Trigger,ObjectOverwrite)</f>
        <v>GBP35x47F_SYNTH1Y_Quote#0000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2.1627474720092681E-2</v>
      </c>
      <c r="I73" s="59"/>
      <c r="J73" s="115">
        <v>6.4993179723235994E-3</v>
      </c>
      <c r="K73" s="59"/>
      <c r="L73" s="117">
        <v>2.1627474720092681E-2</v>
      </c>
      <c r="M73" s="118">
        <f>_xll.qlSimpleQuoteSetValue(D73,ROUND(L73,6),EvaluationDate)</f>
        <v>0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GBP37x49F_SYNTH1Y_Quote</v>
      </c>
      <c r="D74" s="123" t="str">
        <f>_xll.qlSimpleQuote(C74,,RateTickValue,Permanent,Trigger,ObjectOverwrite)</f>
        <v>GBP37x49F_SYNTH1Y_Quote#0000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2.1916370771019381E-2</v>
      </c>
      <c r="I74" s="59"/>
      <c r="J74" s="115">
        <v>6.8382405101225429E-3</v>
      </c>
      <c r="K74" s="59"/>
      <c r="L74" s="117">
        <v>2.1916370771019381E-2</v>
      </c>
      <c r="M74" s="118">
        <f>_xll.qlSimpleQuoteSetValue(D74,ROUND(L74,6),EvaluationDate)</f>
        <v>0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GBP38x50F_SYNTH1Y_Quote</v>
      </c>
      <c r="D75" s="123" t="str">
        <f>_xll.qlSimpleQuote(C75,,RateTickValue,Permanent,Trigger,ObjectOverwrite)</f>
        <v>GBP38x50F_SYNTH1Y_Quote#0000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2.2048142021317267E-2</v>
      </c>
      <c r="I75" s="59"/>
      <c r="J75" s="115">
        <v>6.9968675313510668E-3</v>
      </c>
      <c r="K75" s="59"/>
      <c r="L75" s="117">
        <v>2.2048142021317267E-2</v>
      </c>
      <c r="M75" s="118">
        <f>_xll.qlSimpleQuoteSetValue(D75,ROUND(L75,6),EvaluationDate)</f>
        <v>0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GBP39x51F_SYNTH1Y_Quote</v>
      </c>
      <c r="D76" s="123" t="str">
        <f>_xll.qlSimpleQuote(C76,,RateTickValue,Permanent,Trigger,ObjectOverwrite)</f>
        <v>GBP39x51F_SYNTH1Y_Quote#0000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2.2174762947124414E-2</v>
      </c>
      <c r="I76" s="59"/>
      <c r="J76" s="115">
        <v>7.1743604365316314E-3</v>
      </c>
      <c r="K76" s="59"/>
      <c r="L76" s="117">
        <v>2.2174762947124414E-2</v>
      </c>
      <c r="M76" s="118">
        <f>_xll.qlSimpleQuoteSetValue(D76,ROUND(L76,6),EvaluationDate)</f>
        <v>0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GBP40x52F_SYNTH1Y_Quote</v>
      </c>
      <c r="D77" s="123" t="str">
        <f>_xll.qlSimpleQuote(C77,,RateTickValue,Permanent,Trigger,ObjectOverwrite)</f>
        <v>GBP40x52F_SYNTH1Y_Quote#0000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2.2278507267212061E-2</v>
      </c>
      <c r="I77" s="59"/>
      <c r="J77" s="115">
        <v>7.332157716471617E-3</v>
      </c>
      <c r="K77" s="59"/>
      <c r="L77" s="117">
        <v>2.2278507267212061E-2</v>
      </c>
      <c r="M77" s="118">
        <f>_xll.qlSimpleQuoteSetValue(D77,ROUND(L77,6),EvaluationDate)</f>
        <v>0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GBP41x53F_SYNTH1Y_Quote</v>
      </c>
      <c r="D78" s="123" t="str">
        <f>_xll.qlSimpleQuote(C78,,RateTickValue,Permanent,Trigger,ObjectOverwrite)</f>
        <v>GBP41x53F_SYNTH1Y_Quote#0000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2.2383465556306579E-2</v>
      </c>
      <c r="I78" s="59"/>
      <c r="J78" s="115">
        <v>7.5042013523346496E-3</v>
      </c>
      <c r="K78" s="59"/>
      <c r="L78" s="117">
        <v>2.2383465556306579E-2</v>
      </c>
      <c r="M78" s="118">
        <f>_xll.qlSimpleQuoteSetValue(D78,ROUND(L78,6),EvaluationDate)</f>
        <v>0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GBP42x54F_SYNTH1Y_Quote</v>
      </c>
      <c r="D79" s="123" t="str">
        <f>_xll.qlSimpleQuote(C79,,RateTickValue,Permanent,Trigger,ObjectOverwrite)</f>
        <v>GBP42x54F_SYNTH1Y_Quote#0000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2.2471323868760516E-2</v>
      </c>
      <c r="I79" s="59"/>
      <c r="J79" s="115">
        <v>7.6856320593296189E-3</v>
      </c>
      <c r="K79" s="59"/>
      <c r="L79" s="117">
        <v>2.2471323868760516E-2</v>
      </c>
      <c r="M79" s="118">
        <f>_xll.qlSimpleQuoteSetValue(D79,ROUND(L79,6),EvaluationDate)</f>
        <v>0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GBP43x55F_SYNTH1Y_Quote</v>
      </c>
      <c r="D80" s="123" t="str">
        <f>_xll.qlSimpleQuote(C80,,RateTickValue,Permanent,Trigger,ObjectOverwrite)</f>
        <v>GBP43x55F_SYNTH1Y_Quote#0000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2.2553391240435219E-2</v>
      </c>
      <c r="I80" s="59"/>
      <c r="J80" s="115">
        <v>7.8651831595265478E-3</v>
      </c>
      <c r="K80" s="59"/>
      <c r="L80" s="117">
        <v>2.2553391240435219E-2</v>
      </c>
      <c r="M80" s="118">
        <f>_xll.qlSimpleQuoteSetValue(D80,ROUND(L80,6),EvaluationDate)</f>
        <v>0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GBP44x56F_SYNTH1Y_Quote</v>
      </c>
      <c r="D81" s="123" t="str">
        <f>_xll.qlSimpleQuote(C81,,RateTickValue,Permanent,Trigger,ObjectOverwrite)</f>
        <v>GBP44x56F_SYNTH1Y_Quote#0000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2.2637499136389599E-2</v>
      </c>
      <c r="I81" s="59"/>
      <c r="J81" s="115">
        <v>8.0490387340789171E-3</v>
      </c>
      <c r="K81" s="59"/>
      <c r="L81" s="117">
        <v>2.2637499136389599E-2</v>
      </c>
      <c r="M81" s="118">
        <f>_xll.qlSimpleQuoteSetValue(D81,ROUND(L81,6),EvaluationDate)</f>
        <v>0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GBP45x57F_SYNTH1Y_Quote</v>
      </c>
      <c r="D82" s="123" t="str">
        <f>_xll.qlSimpleQuote(C82,,RateTickValue,Permanent,Trigger,ObjectOverwrite)</f>
        <v>GBP45x57F_SYNTH1Y_Quote#0000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2.2705169795893036E-2</v>
      </c>
      <c r="I82" s="59"/>
      <c r="J82" s="115">
        <v>8.2567479453787476E-3</v>
      </c>
      <c r="K82" s="59"/>
      <c r="L82" s="117">
        <v>2.2705169795893036E-2</v>
      </c>
      <c r="M82" s="118">
        <f>_xll.qlSimpleQuoteSetValue(D82,ROUND(L82,6),EvaluationDate)</f>
        <v>0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GBP46x58F_SYNTH1Y_Quote</v>
      </c>
      <c r="D83" s="123" t="str">
        <f>_xll.qlSimpleQuote(C83,,RateTickValue,Permanent,Trigger,ObjectOverwrite)</f>
        <v>GBP46x58F_SYNTH1Y_Quote#0000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2.2777621515463611E-2</v>
      </c>
      <c r="I83" s="59"/>
      <c r="J83" s="115">
        <v>8.4444284280895728E-3</v>
      </c>
      <c r="K83" s="59"/>
      <c r="L83" s="117">
        <v>2.2777621515463611E-2</v>
      </c>
      <c r="M83" s="118">
        <f>_xll.qlSimpleQuoteSetValue(D83,ROUND(L83,6),EvaluationDate)</f>
        <v>0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GBP47x59F_SYNTH1Y_Quote</v>
      </c>
      <c r="D84" s="132" t="str">
        <f>_xll.qlSimpleQuote(C84,,RateTickValue,Permanent,Trigger,ObjectOverwrite)</f>
        <v>GBP47x59F_SYNTH1Y_Quote#0000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2.2851308909378958E-2</v>
      </c>
      <c r="I84" s="59"/>
      <c r="J84" s="116">
        <v>8.6440616440412316E-3</v>
      </c>
      <c r="K84" s="59"/>
      <c r="L84" s="140">
        <v>2.2851308909378958E-2</v>
      </c>
      <c r="M84" s="141">
        <f>_xll.qlSimpleQuoteSetValue(D84,ROUND(L84,6),EvaluationDate)</f>
        <v>0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22.66406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1.8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38</v>
      </c>
      <c r="K1" s="36" t="str">
        <f>_xll.qlLibor(,Currency,J1,,,Trigger)</f>
        <v>obj_003ba#0000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GbpLibor1MLastFixing_Quote</v>
      </c>
      <c r="K3" s="276" t="str">
        <f>_xll.qlDepositRateHelper(,J3,K1,,Trigger)</f>
        <v>obj_00439#0000</v>
      </c>
      <c r="L3" s="287" t="str">
        <f>_xll.ohRangeRetrieveError(K3)</f>
        <v/>
      </c>
      <c r="M3" s="241"/>
      <c r="N3" s="241"/>
      <c r="O3" s="240" t="str">
        <f>_xll.qlRateHelperQuoteName(K3,Trigger)</f>
        <v>GbpLibor1MLastFixing_Quote</v>
      </c>
      <c r="P3" s="242">
        <f>_xll.qlQuoteValue(J3,AllTriggers)</f>
        <v>5.0038000000000001E-3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42066</v>
      </c>
      <c r="T3" s="243">
        <f>_xll.qlRateHelperLatestDate(K3,Trigger)</f>
        <v>42101</v>
      </c>
    </row>
    <row r="4" spans="1:20" ht="11.25" customHeight="1" x14ac:dyDescent="0.2">
      <c r="A4" s="232"/>
      <c r="B4" s="280" t="s">
        <v>127</v>
      </c>
      <c r="C4" s="281" t="s">
        <v>45</v>
      </c>
      <c r="D4" s="282">
        <v>2</v>
      </c>
      <c r="E4" s="282" t="s">
        <v>128</v>
      </c>
      <c r="F4" s="280" t="s">
        <v>129</v>
      </c>
      <c r="G4" s="283" t="s">
        <v>125</v>
      </c>
      <c r="H4" s="283" t="s">
        <v>159</v>
      </c>
      <c r="I4" s="284">
        <v>0</v>
      </c>
      <c r="J4" s="285" t="str">
        <f t="shared" ref="J4:J9" si="0">Currency&amp;$D4&amp;$E4&amp;"_Quote"</f>
        <v>GBP2X1S_Quote</v>
      </c>
      <c r="K4" s="286" t="str">
        <f>_xll.qlSwapRateHelper2(,$J4,C4,Calendar,$F4,$G4,$H4,$K$1,$I4,B4,Discounting,Permanent,Trigger,ObjectOverwrite)</f>
        <v>obj_003e0#0000</v>
      </c>
      <c r="L4" s="287" t="str">
        <f>_xll.ohRangeRetrieveError(K4)</f>
        <v/>
      </c>
      <c r="M4" s="241"/>
      <c r="N4" s="241"/>
      <c r="O4" s="240" t="str">
        <f>_xll.qlRateHelperQuoteName(K4,Trigger)</f>
        <v>GBP2X1S_Quote</v>
      </c>
      <c r="P4" s="242">
        <f>_xll.qlQuoteValue(J4,AllTriggers)</f>
        <v>5.0625000000000002E-3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42066</v>
      </c>
      <c r="T4" s="243">
        <f>_xll.qlRateHelperLatestDate(K4,Trigger)</f>
        <v>42129</v>
      </c>
    </row>
    <row r="5" spans="1:20" ht="11.25" customHeight="1" x14ac:dyDescent="0.2">
      <c r="A5" s="232"/>
      <c r="B5" s="233" t="s">
        <v>127</v>
      </c>
      <c r="C5" s="234" t="s">
        <v>39</v>
      </c>
      <c r="D5" s="235">
        <v>3</v>
      </c>
      <c r="E5" s="235" t="s">
        <v>128</v>
      </c>
      <c r="F5" s="233" t="s">
        <v>129</v>
      </c>
      <c r="G5" s="236" t="s">
        <v>125</v>
      </c>
      <c r="H5" s="236" t="s">
        <v>159</v>
      </c>
      <c r="I5" s="237">
        <v>0</v>
      </c>
      <c r="J5" s="238" t="str">
        <f t="shared" si="0"/>
        <v>GBP3X1S_Quote</v>
      </c>
      <c r="K5" s="239" t="str">
        <f>_xll.qlSwapRateHelper2(,$J5,C5,Calendar,$F5,$G5,$H5,$K$1,$I5,B5,Discounting,Permanent,Trigger,ObjectOverwrite)</f>
        <v>obj_003e4#0000</v>
      </c>
      <c r="L5" s="240" t="str">
        <f>_xll.ohRangeRetrieveError(K5)</f>
        <v/>
      </c>
      <c r="M5" s="241"/>
      <c r="N5" s="241"/>
      <c r="O5" s="240" t="str">
        <f>_xll.qlRateHelperQuoteName(K5,Trigger)</f>
        <v>GBP3X1S_Quote</v>
      </c>
      <c r="P5" s="242">
        <f>_xll.qlQuoteValue(J5,AllTriggers)</f>
        <v>5.0875E-3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42066</v>
      </c>
      <c r="T5" s="243">
        <f>_xll.qlRateHelperLatestDate(K5,Trigger)</f>
        <v>42158</v>
      </c>
    </row>
    <row r="6" spans="1:20" ht="11.25" customHeight="1" x14ac:dyDescent="0.2">
      <c r="A6" s="226"/>
      <c r="B6" s="233" t="s">
        <v>127</v>
      </c>
      <c r="C6" s="234" t="s">
        <v>46</v>
      </c>
      <c r="D6" s="235">
        <v>4</v>
      </c>
      <c r="E6" s="235" t="s">
        <v>128</v>
      </c>
      <c r="F6" s="233" t="s">
        <v>129</v>
      </c>
      <c r="G6" s="236" t="s">
        <v>125</v>
      </c>
      <c r="H6" s="236" t="s">
        <v>159</v>
      </c>
      <c r="I6" s="237">
        <v>0</v>
      </c>
      <c r="J6" s="238" t="str">
        <f t="shared" si="0"/>
        <v>GBP4X1S_Quote</v>
      </c>
      <c r="K6" s="239" t="str">
        <f>_xll.qlSwapRateHelper2(,$J6,C6,Calendar,$F6,$G6,$H6,$K$1,$I6,B6,Discounting,Permanent,Trigger,ObjectOverwrite)</f>
        <v>obj_003e2#0000</v>
      </c>
      <c r="L6" s="240" t="str">
        <f>_xll.ohRangeRetrieveError(K6)</f>
        <v/>
      </c>
      <c r="M6" s="241"/>
      <c r="N6" s="241"/>
      <c r="O6" s="240" t="str">
        <f>_xll.qlRateHelperQuoteName(K6,Trigger)</f>
        <v>GBP4X1S_Quote</v>
      </c>
      <c r="P6" s="242">
        <f>_xll.qlQuoteValue(J6,AllTriggers)</f>
        <v>5.1124999999999999E-3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42066</v>
      </c>
      <c r="T6" s="243">
        <f>_xll.qlRateHelperLatestDate(K6,Trigger)</f>
        <v>42188</v>
      </c>
    </row>
    <row r="7" spans="1:20" ht="11.25" customHeight="1" x14ac:dyDescent="0.2">
      <c r="A7" s="226"/>
      <c r="B7" s="233" t="s">
        <v>127</v>
      </c>
      <c r="C7" s="234" t="s">
        <v>47</v>
      </c>
      <c r="D7" s="235">
        <v>5</v>
      </c>
      <c r="E7" s="235" t="s">
        <v>128</v>
      </c>
      <c r="F7" s="233" t="s">
        <v>129</v>
      </c>
      <c r="G7" s="236" t="s">
        <v>125</v>
      </c>
      <c r="H7" s="236" t="s">
        <v>159</v>
      </c>
      <c r="I7" s="237">
        <v>0</v>
      </c>
      <c r="J7" s="238" t="str">
        <f t="shared" si="0"/>
        <v>GBP5X1S_Quote</v>
      </c>
      <c r="K7" s="239" t="str">
        <f>_xll.qlSwapRateHelper2(,$J7,C7,Calendar,$F7,$G7,$H7,$K$1,$I7,B7,Discounting,Permanent,Trigger,ObjectOverwrite)</f>
        <v>obj_003e1#0000</v>
      </c>
      <c r="L7" s="240" t="str">
        <f>_xll.ohRangeRetrieveError(K7)</f>
        <v/>
      </c>
      <c r="M7" s="241"/>
      <c r="N7" s="241"/>
      <c r="O7" s="240" t="str">
        <f>_xll.qlRateHelperQuoteName(K7,Trigger)</f>
        <v>GBP5X1S_Quote</v>
      </c>
      <c r="P7" s="242">
        <f>_xll.qlQuoteValue(J7,AllTriggers)</f>
        <v>5.1374999999999997E-3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42066</v>
      </c>
      <c r="T7" s="243">
        <f>_xll.qlRateHelperLatestDate(K7,Trigger)</f>
        <v>42219</v>
      </c>
    </row>
    <row r="8" spans="1:20" ht="11.25" customHeight="1" x14ac:dyDescent="0.2">
      <c r="A8" s="226"/>
      <c r="B8" s="233" t="s">
        <v>127</v>
      </c>
      <c r="C8" s="234" t="s">
        <v>40</v>
      </c>
      <c r="D8" s="235">
        <v>6</v>
      </c>
      <c r="E8" s="235" t="s">
        <v>128</v>
      </c>
      <c r="F8" s="233" t="s">
        <v>129</v>
      </c>
      <c r="G8" s="236" t="s">
        <v>125</v>
      </c>
      <c r="H8" s="236" t="s">
        <v>159</v>
      </c>
      <c r="I8" s="237">
        <v>0</v>
      </c>
      <c r="J8" s="238" t="str">
        <f t="shared" si="0"/>
        <v>GBP6X1S_Quote</v>
      </c>
      <c r="K8" s="239" t="str">
        <f>_xll.qlSwapRateHelper2(,$J8,C8,Calendar,$F8,$G8,$H8,$K$1,$I8,B8,Discounting,Permanent,Trigger,ObjectOverwrite)</f>
        <v>obj_003df#0000</v>
      </c>
      <c r="L8" s="240" t="str">
        <f>_xll.ohRangeRetrieveError(K8)</f>
        <v/>
      </c>
      <c r="M8" s="241"/>
      <c r="N8" s="241"/>
      <c r="O8" s="240" t="str">
        <f>_xll.qlRateHelperQuoteName(K8,Trigger)</f>
        <v>GBP6X1S_Quote</v>
      </c>
      <c r="P8" s="242">
        <f>_xll.qlQuoteValue(J8,AllTriggers)</f>
        <v>5.1999999999999998E-3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42066</v>
      </c>
      <c r="T8" s="243">
        <f>_xll.qlRateHelperLatestDate(K8,Trigger)</f>
        <v>42250</v>
      </c>
    </row>
    <row r="9" spans="1:20" ht="11.25" customHeight="1" x14ac:dyDescent="0.2">
      <c r="B9" s="244" t="s">
        <v>127</v>
      </c>
      <c r="C9" s="245" t="s">
        <v>48</v>
      </c>
      <c r="D9" s="246">
        <v>7</v>
      </c>
      <c r="E9" s="246" t="s">
        <v>128</v>
      </c>
      <c r="F9" s="244" t="s">
        <v>129</v>
      </c>
      <c r="G9" s="247" t="s">
        <v>125</v>
      </c>
      <c r="H9" s="247" t="s">
        <v>159</v>
      </c>
      <c r="I9" s="248">
        <v>0</v>
      </c>
      <c r="J9" s="273" t="str">
        <f t="shared" si="0"/>
        <v>GBP7X1S_Quote</v>
      </c>
      <c r="K9" s="274" t="str">
        <f>_xll.qlSwapRateHelper2(,$J9,C9,Calendar,$F9,$G9,$H9,$K$1,$I9,B9,Discounting,Permanent,Trigger,ObjectOverwrite)</f>
        <v>obj_003e5#0000</v>
      </c>
      <c r="L9" s="249" t="str">
        <f>_xll.ohRangeRetrieveError(K9)</f>
        <v/>
      </c>
      <c r="O9" s="249" t="str">
        <f>_xll.qlRateHelperQuoteName(K9,Trigger)</f>
        <v>GBP7X1S_Quote</v>
      </c>
      <c r="P9" s="250">
        <f>_xll.qlQuoteValue(J9,AllTriggers)</f>
        <v>5.2499999999999995E-3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42066</v>
      </c>
      <c r="T9" s="251">
        <f>_xll.qlRateHelperLatestDate(K9,Trigger)</f>
        <v>42282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GbpLibor Curve</v>
      </c>
      <c r="P11" s="253"/>
      <c r="Q11" s="253"/>
      <c r="R11" s="253"/>
      <c r="S11" s="253"/>
      <c r="T11" s="254" t="s">
        <v>152</v>
      </c>
    </row>
    <row r="12" spans="1:20" ht="11.25" customHeight="1" x14ac:dyDescent="0.2">
      <c r="L12" s="231" t="s">
        <v>126</v>
      </c>
      <c r="O12" s="231" t="s">
        <v>84</v>
      </c>
      <c r="P12" s="231" t="s">
        <v>85</v>
      </c>
      <c r="Q12" s="231" t="s">
        <v>123</v>
      </c>
      <c r="R12" s="231" t="s">
        <v>79</v>
      </c>
      <c r="S12" s="231" t="s">
        <v>80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obj_00439#0000</v>
      </c>
      <c r="O13" s="261" t="str">
        <f t="array" ref="O13:O21">_xll.ohFilter(O3:O8,R3:R8)</f>
        <v>GbpLibor1MLastFixing_Quote</v>
      </c>
      <c r="P13" s="242">
        <f t="array" ref="P13:P21">_xll.ohFilter(P3:P8,R3:R8)</f>
        <v>5.0038000000000001E-3</v>
      </c>
      <c r="Q13" s="293" t="str">
        <f t="array" ref="Q13:Q21">_xll.ohFilter(Q3:Q8,R3:R8)</f>
        <v>--</v>
      </c>
      <c r="R13" s="243">
        <f t="array" ref="R13:R21">_xll.ohFilter(S3:S8,R3:R8)</f>
        <v>42066</v>
      </c>
      <c r="S13" s="243">
        <f t="array" ref="S13:S21">_xll.ohFilter(T3:T8,R3:R8)</f>
        <v>42101</v>
      </c>
      <c r="T13" s="259">
        <v>0.99952041367548761</v>
      </c>
    </row>
    <row r="14" spans="1:20" x14ac:dyDescent="0.2">
      <c r="L14" s="264" t="str">
        <v>obj_003e0#0000</v>
      </c>
      <c r="O14" s="261" t="str">
        <v>GBP2X1S_Quote</v>
      </c>
      <c r="P14" s="242">
        <v>5.0625000000000002E-3</v>
      </c>
      <c r="Q14" s="293">
        <v>0</v>
      </c>
      <c r="R14" s="243">
        <v>42066</v>
      </c>
      <c r="S14" s="243">
        <v>42129</v>
      </c>
      <c r="T14" s="259">
        <v>0.99912694043205463</v>
      </c>
    </row>
    <row r="15" spans="1:20" x14ac:dyDescent="0.2">
      <c r="I15" s="256"/>
      <c r="J15" s="256"/>
      <c r="L15" s="264" t="str">
        <v>obj_003e4#0000</v>
      </c>
      <c r="O15" s="261" t="str">
        <v>GBP3X1S_Quote</v>
      </c>
      <c r="P15" s="242">
        <v>5.0875E-3</v>
      </c>
      <c r="Q15" s="293">
        <v>0</v>
      </c>
      <c r="R15" s="243">
        <v>42066</v>
      </c>
      <c r="S15" s="243">
        <v>42158</v>
      </c>
      <c r="T15" s="259">
        <v>0.99871925235368542</v>
      </c>
    </row>
    <row r="16" spans="1:20" x14ac:dyDescent="0.2">
      <c r="L16" s="264" t="str">
        <v>obj_003e2#0000</v>
      </c>
      <c r="O16" s="261" t="str">
        <v>GBP4X1S_Quote</v>
      </c>
      <c r="P16" s="242">
        <v>5.1124999999999999E-3</v>
      </c>
      <c r="Q16" s="293">
        <v>0</v>
      </c>
      <c r="R16" s="243">
        <v>42066</v>
      </c>
      <c r="S16" s="243">
        <v>42188</v>
      </c>
      <c r="T16" s="259">
        <v>0.99829395798683562</v>
      </c>
    </row>
    <row r="17" spans="9:23" x14ac:dyDescent="0.2">
      <c r="I17" s="256"/>
      <c r="J17" s="256"/>
      <c r="L17" s="264" t="str">
        <v>obj_003e1#0000</v>
      </c>
      <c r="O17" s="261" t="str">
        <v>GBP5X1S_Quote</v>
      </c>
      <c r="P17" s="242">
        <v>5.1374999999999997E-3</v>
      </c>
      <c r="Q17" s="293">
        <v>0</v>
      </c>
      <c r="R17" s="243">
        <v>42066</v>
      </c>
      <c r="S17" s="243">
        <v>42219</v>
      </c>
      <c r="T17" s="259">
        <v>0.99785088344984119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113</v>
      </c>
      <c r="Q25" s="338" t="s">
        <v>114</v>
      </c>
      <c r="R25" s="338" t="s">
        <v>137</v>
      </c>
      <c r="S25" s="338" t="str">
        <f>"F "&amp;J1</f>
        <v>F 1M</v>
      </c>
      <c r="T25" s="338" t="s">
        <v>140</v>
      </c>
      <c r="U25" s="338" t="s">
        <v>138</v>
      </c>
      <c r="V25" s="338" t="s">
        <v>139</v>
      </c>
      <c r="W25" s="339" t="s">
        <v>141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42066</v>
      </c>
      <c r="Q26" s="269">
        <f>_xll.qlInterestRateIndexMaturity(iborindex1M,P26,Trigger)</f>
        <v>42101</v>
      </c>
      <c r="R26" s="372">
        <f>_xll.qlDayCounterYearFraction(DayCounter,P26,Q26,,,Trigger)</f>
        <v>9.5890410958904104E-2</v>
      </c>
      <c r="S26" s="373">
        <f>_xll.qlIndexFixing(iborindex1M,_xll.qlInterestRateIndexFixingDate(iborindex1M,P26,Trigger),TRUE,AllTriggers)</f>
        <v>5.0037999953918E-3</v>
      </c>
      <c r="T26" s="373">
        <f>(U26/V26-1)/R26</f>
        <v>4.5563634834327226E-3</v>
      </c>
      <c r="U26" s="374">
        <f>_xll.qlYieldTSDiscount(Discounting,P26,,AllTriggers)</f>
        <v>1</v>
      </c>
      <c r="V26" s="374">
        <f>_xll.qlYieldTSDiscount(Discounting,Q26,,AllTriggers)</f>
        <v>0.9995632792414465</v>
      </c>
      <c r="W26" s="427">
        <f>LN((1+S26*R26)/(1+T26*R26))</f>
        <v>4.288521397802459E-5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42101</v>
      </c>
      <c r="Q27" s="270">
        <f>_xll.qlInterestRateIndexMaturity(iborindex1M,P27,Trigger)</f>
        <v>42131</v>
      </c>
      <c r="R27" s="342">
        <f>_xll.qlDayCounterYearFraction(DayCounter,P27,Q27,,,Trigger)</f>
        <v>8.2191780821917804E-2</v>
      </c>
      <c r="S27" s="32">
        <f>_xll.qlIndexFixing(iborindex1M,_xll.qlInterestRateIndexFixingDate(iborindex1M,P27,Trigger),TRUE,AllTriggers)</f>
        <v>5.1340325859804414E-3</v>
      </c>
      <c r="T27" s="32">
        <f>(U27/V27-1)/R27</f>
        <v>4.5600596677598526E-3</v>
      </c>
      <c r="U27" s="345">
        <f>_xll.qlYieldTSDiscount(Discounting,P27,,AllTriggers)</f>
        <v>0.9995632792414465</v>
      </c>
      <c r="V27" s="345">
        <f>_xll.qlYieldTSDiscount(Discounting,Q27,,AllTriggers)</f>
        <v>0.99918878386004173</v>
      </c>
      <c r="W27" s="428">
        <f>LN((1+S27*R27)/(1+T27*R27))</f>
        <v>4.7157069520668311E-5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42131</v>
      </c>
      <c r="Q28" s="270">
        <f>_xll.qlInterestRateIndexMaturity(iborindex1M,P28,Trigger)</f>
        <v>42163</v>
      </c>
      <c r="R28" s="342">
        <f>_xll.qlDayCounterYearFraction(DayCounter,P28,Q28,,,Trigger)</f>
        <v>8.7671232876712329E-2</v>
      </c>
      <c r="S28" s="32">
        <f>_xll.qlIndexFixing(iborindex1M,_xll.qlInterestRateIndexFixingDate(iborindex1M,P28,Trigger),TRUE,AllTriggers)</f>
        <v>5.1450283474690009E-3</v>
      </c>
      <c r="T28" s="32">
        <f>(U28/V28-1)/R28</f>
        <v>4.5663565827199978E-3</v>
      </c>
      <c r="U28" s="345">
        <f>_xll.qlYieldTSDiscount(Discounting,P28,,AllTriggers)</f>
        <v>0.99918878386004173</v>
      </c>
      <c r="V28" s="345">
        <f>_xll.qlYieldTSDiscount(Discounting,Q28,,AllTriggers)</f>
        <v>0.99878893058592189</v>
      </c>
      <c r="W28" s="428">
        <f>LN((1+S28*R28)/(1+T28*R28))</f>
        <v>5.0711279035454129E-5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42163</v>
      </c>
      <c r="Q29" s="271">
        <f>_xll.qlInterestRateIndexMaturity(iborindex1M,P29,Trigger)</f>
        <v>42193</v>
      </c>
      <c r="R29" s="343">
        <f>_xll.qlDayCounterYearFraction(DayCounter,P29,Q29,,,Trigger)</f>
        <v>8.2191780821917804E-2</v>
      </c>
      <c r="S29" s="224">
        <f>_xll.qlIndexFixing(iborindex1M,_xll.qlInterestRateIndexFixingDate(iborindex1M,P29,Trigger),TRUE,AllTriggers)</f>
        <v>5.1907219775586544E-3</v>
      </c>
      <c r="T29" s="224">
        <f>(U29/V29-1)/R29</f>
        <v>4.5999925777261419E-3</v>
      </c>
      <c r="U29" s="346">
        <f>_xll.qlYieldTSDiscount(Discounting,P29,,AllTriggers)</f>
        <v>0.99878893058592189</v>
      </c>
      <c r="V29" s="346">
        <f>_xll.qlYieldTSDiscount(Discounting,Q29,,AllTriggers)</f>
        <v>0.99841144960583672</v>
      </c>
      <c r="W29" s="429">
        <f>LN((1+S29*R29)/(1+T29*R29))</f>
        <v>4.8533573487722254E-5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97" t="s">
        <v>112</v>
      </c>
      <c r="F1" s="398" t="s">
        <v>39</v>
      </c>
      <c r="N1" s="434" t="str">
        <f>_xll.qlInterpolation(,interpolator3M,_xll.ohFilter(E3:E15,M3:M15),_xll.ohFilter(L3:L15,M3:M15))</f>
        <v>obj_00626#0031</v>
      </c>
    </row>
    <row r="2" spans="1:31" ht="26.25" customHeight="1" thickBot="1" x14ac:dyDescent="0.25">
      <c r="D2" s="213" t="str">
        <f>F1&amp;" Instruments"</f>
        <v>3M Instruments</v>
      </c>
      <c r="E2" s="338" t="s">
        <v>113</v>
      </c>
      <c r="F2" s="338" t="s">
        <v>114</v>
      </c>
      <c r="G2" s="338" t="s">
        <v>137</v>
      </c>
      <c r="H2" s="338" t="str">
        <f>F1&amp;" Market quote"</f>
        <v>3M Market quote</v>
      </c>
      <c r="I2" s="338" t="s">
        <v>138</v>
      </c>
      <c r="J2" s="338" t="s">
        <v>139</v>
      </c>
      <c r="K2" s="338" t="s">
        <v>140</v>
      </c>
      <c r="L2" s="338" t="s">
        <v>151</v>
      </c>
      <c r="M2" s="338" t="s">
        <v>84</v>
      </c>
      <c r="N2" s="338" t="s">
        <v>144</v>
      </c>
      <c r="O2" s="338" t="s">
        <v>155</v>
      </c>
      <c r="P2" s="339" t="s">
        <v>141</v>
      </c>
      <c r="R2" s="213" t="s">
        <v>113</v>
      </c>
      <c r="S2" s="448" t="s">
        <v>114</v>
      </c>
      <c r="T2" s="448" t="s">
        <v>137</v>
      </c>
      <c r="U2" s="448" t="s">
        <v>144</v>
      </c>
      <c r="V2" s="448" t="s">
        <v>138</v>
      </c>
      <c r="W2" s="448" t="s">
        <v>139</v>
      </c>
      <c r="X2" s="338" t="s">
        <v>140</v>
      </c>
      <c r="Y2" s="339" t="s">
        <v>154</v>
      </c>
    </row>
    <row r="3" spans="1:31" ht="11.25" customHeight="1" x14ac:dyDescent="0.2">
      <c r="D3" s="334" t="str">
        <f>PROPER(Currency&amp;IborType)&amp;F1&amp;"LastFixing"&amp;QuoteSuffix</f>
        <v>Gbplibor3MLastFixing_Quote</v>
      </c>
      <c r="E3" s="335">
        <f>_xll.qlCalendarAdvance(Calendar,_xll.qlLastFixingQuoteReferenceDate(D3),_xll.qlInterestRateIndexFixingDays(PROPER(Currency)&amp;IborType&amp;$F$1)&amp;"D","f",,LastFixingsTrigger)</f>
        <v>42066</v>
      </c>
      <c r="F3" s="335">
        <f>_xll.qlCalendarAdvance(Calendar,E3,F1,"mf",,Trigger)</f>
        <v>42158</v>
      </c>
      <c r="G3" s="341">
        <f>_xll.qlDayCounterYearFraction(DayCounter,E3,F3,,,Trigger)</f>
        <v>0.25205479452054796</v>
      </c>
      <c r="H3" s="336">
        <f>_xll.qlQuoteValue(D3,LastFixingsTrigger)</f>
        <v>5.6256000000000006E-3</v>
      </c>
      <c r="I3" s="344">
        <f>_xll.qlYieldTSDiscount(Discounting,E3,,AllTriggers)</f>
        <v>1</v>
      </c>
      <c r="J3" s="344">
        <f>_xll.qlYieldTSDiscount(Discounting,F3,,AllTriggers)</f>
        <v>0.99885190848149896</v>
      </c>
      <c r="K3" s="336">
        <f>(I3/J3-1)/G3</f>
        <v>4.5601637924700079E-3</v>
      </c>
      <c r="L3" s="336">
        <f>H3-K3</f>
        <v>1.0654362075299927E-3</v>
      </c>
      <c r="M3" s="337" t="b">
        <v>0</v>
      </c>
      <c r="N3" s="433">
        <f>_xll.qlInterpolationInterpolate(B3Minterpolation,E3,TRUE,Trigger)</f>
        <v>1.1519541535660646E-3</v>
      </c>
      <c r="O3" s="467">
        <f>(L3-N3)*10000</f>
        <v>-0.86517946036071891</v>
      </c>
      <c r="P3" s="471">
        <f>LN((1+H3*G3)/(1+K3*G3))</f>
        <v>2.6820401642028676E-4</v>
      </c>
      <c r="R3" s="472">
        <f>E3</f>
        <v>42066</v>
      </c>
      <c r="S3" s="473">
        <f>_xll.qlCalendarAdvance(Calendar,R3,$F$1,"mf",,Trigger)</f>
        <v>42158</v>
      </c>
      <c r="T3" s="372">
        <f>_xll.qlDayCounterYearFraction(DayCounter,R3,S3,,,Trigger)</f>
        <v>0.25205479452054796</v>
      </c>
      <c r="U3" s="373">
        <f>_xll.qlInterpolationInterpolate(B3Minterpolation,R3,TRUE)</f>
        <v>1.1519541535660646E-3</v>
      </c>
      <c r="V3" s="374">
        <f>_xll.qlYieldTSDiscount(Discounting,R3,,AllTriggers)</f>
        <v>1</v>
      </c>
      <c r="W3" s="374">
        <f>_xll.qlYieldTSDiscount(Discounting,S3,,AllTriggers)</f>
        <v>0.99885190848149896</v>
      </c>
      <c r="X3" s="373">
        <f>(V3/W3-1)/T3</f>
        <v>4.5601637924700079E-3</v>
      </c>
      <c r="Y3" s="451">
        <f>LN((1+(U3+X3)*T3)/(1+X3*T3))</f>
        <v>2.8998016439762915E-4</v>
      </c>
      <c r="AD3" s="33"/>
      <c r="AE3" s="33"/>
    </row>
    <row r="4" spans="1:31" ht="11.25" customHeight="1" x14ac:dyDescent="0.2">
      <c r="A4" s="30">
        <v>1</v>
      </c>
      <c r="B4" s="30" t="s">
        <v>35</v>
      </c>
      <c r="C4" s="30">
        <f>A4+SUBSTITUTE($F$1,"M","")</f>
        <v>4</v>
      </c>
      <c r="D4" s="220" t="str">
        <f>Currency&amp;A4&amp;B4&amp;C4&amp;"F"&amp;QuoteSuffix</f>
        <v>GBP1x4F_Quote</v>
      </c>
      <c r="E4" s="221">
        <f>_xll.qlCalendarAdvance("target",$E$3,A4&amp;"M","mf",,Trigger)</f>
        <v>42101</v>
      </c>
      <c r="F4" s="221">
        <f>_xll.qlCalendarAdvance(Calendar,E4,$F$1,"mf",,Trigger)</f>
        <v>42192</v>
      </c>
      <c r="G4" s="342">
        <f>_xll.qlDayCounterYearFraction(DayCounter,E4,F4,,,Trigger)</f>
        <v>0.24931506849315069</v>
      </c>
      <c r="H4" s="32">
        <f>_xll.qlQuoteValue(D4,AllTriggers)</f>
        <v>5.7999999999999996E-3</v>
      </c>
      <c r="I4" s="345">
        <f>_xll.qlYieldTSDiscount(Discounting,E4,,AllTriggers)</f>
        <v>0.9995632792414465</v>
      </c>
      <c r="J4" s="345">
        <f>_xll.qlYieldTSDiscount(Discounting,F4,,AllTriggers)</f>
        <v>0.9984238839940095</v>
      </c>
      <c r="K4" s="32">
        <f t="shared" ref="K4:K6" si="0">(I4/J4-1)/G4</f>
        <v>4.5773161979671424E-3</v>
      </c>
      <c r="L4" s="32">
        <f t="shared" ref="L4:L15" si="1">H4-K4</f>
        <v>1.2226838020328572E-3</v>
      </c>
      <c r="M4" s="332" t="b">
        <v>0</v>
      </c>
      <c r="N4" s="32">
        <f>_xll.qlInterpolationInterpolate(B3Minterpolation,E4,TRUE,Trigger)</f>
        <v>1.2242012852569503E-3</v>
      </c>
      <c r="O4" s="447">
        <f t="shared" ref="O4:O15" si="2">(L4-N4)*10000</f>
        <v>-1.5174832240930428E-2</v>
      </c>
      <c r="P4" s="452">
        <f t="shared" ref="P4:P15" si="3">LN((1+H4*G4)/(1+K4*G4))</f>
        <v>3.044396718021644E-4</v>
      </c>
      <c r="R4" s="422">
        <f>_xll.qlCalendarAdvance(Calendar,R3,"1D","f")</f>
        <v>42067</v>
      </c>
      <c r="S4" s="221">
        <f>_xll.qlCalendarAdvance(Calendar,R4,$F$1,"mf",,Trigger)</f>
        <v>42159</v>
      </c>
      <c r="T4" s="342">
        <f>_xll.qlDayCounterYearFraction(DayCounter,R4,S4,,,Trigger)</f>
        <v>0.25205479452054796</v>
      </c>
      <c r="U4" s="32">
        <f>_xll.qlInterpolationInterpolate(B3Minterpolation,R4,TRUE)</f>
        <v>1.1540127017259621E-3</v>
      </c>
      <c r="V4" s="345">
        <f>_xll.qlYieldTSDiscount(Discounting,R4,,AllTriggers)</f>
        <v>0.99998748888755595</v>
      </c>
      <c r="W4" s="345">
        <f>_xll.qlYieldTSDiscount(Discounting,S4,,AllTriggers)</f>
        <v>0.99883933342680598</v>
      </c>
      <c r="X4" s="32">
        <f t="shared" ref="X4:X67" si="4">(V4/W4-1)/T4</f>
        <v>4.5604751821209082E-3</v>
      </c>
      <c r="Y4" s="452">
        <f t="shared" ref="Y4:Y67" si="5">LN((1+(U4+X4)*T4)/(1+X4*T4))</f>
        <v>2.9049826245269915E-4</v>
      </c>
      <c r="AD4" s="33"/>
      <c r="AE4" s="33"/>
    </row>
    <row r="5" spans="1:31" ht="11.25" customHeight="1" x14ac:dyDescent="0.2">
      <c r="A5" s="30">
        <v>2</v>
      </c>
      <c r="B5" s="30" t="s">
        <v>35</v>
      </c>
      <c r="C5" s="30">
        <f t="shared" ref="C5:C6" si="6">A5+SUBSTITUTE($F$1,"M","")</f>
        <v>5</v>
      </c>
      <c r="D5" s="220" t="str">
        <f>Currency&amp;A5&amp;B5&amp;C5&amp;"F"&amp;QuoteSuffix</f>
        <v>GBP2x5F_Quote</v>
      </c>
      <c r="E5" s="221">
        <f>_xll.qlCalendarAdvance("target",$E$3,A5&amp;"M","mf",,Trigger)</f>
        <v>42128</v>
      </c>
      <c r="F5" s="221">
        <f>_xll.qlCalendarAdvance(Calendar,E5,$F$1,"mf",,Trigger)</f>
        <v>42220</v>
      </c>
      <c r="G5" s="342">
        <f>_xll.qlDayCounterYearFraction(DayCounter,E5,F5,,,Trigger)</f>
        <v>0.25205479452054796</v>
      </c>
      <c r="H5" s="32">
        <f>_xll.qlQuoteValue(D5,AllTriggers)</f>
        <v>5.8499999999999993E-3</v>
      </c>
      <c r="I5" s="345">
        <f>_xll.qlYieldTSDiscount(Discounting,E5,,AllTriggers)</f>
        <v>0.99922617640052713</v>
      </c>
      <c r="J5" s="345">
        <f>_xll.qlYieldTSDiscount(Discounting,F5,,AllTriggers)</f>
        <v>0.99807375199076132</v>
      </c>
      <c r="K5" s="32">
        <f t="shared" si="0"/>
        <v>4.5809426138130977E-3</v>
      </c>
      <c r="L5" s="32">
        <f t="shared" si="1"/>
        <v>1.2690573861869016E-3</v>
      </c>
      <c r="M5" s="332" t="b">
        <v>0</v>
      </c>
      <c r="N5" s="32">
        <f>_xll.qlInterpolationInterpolate(B3Minterpolation,E5,TRUE,Trigger)</f>
        <v>1.2783259342203667E-3</v>
      </c>
      <c r="O5" s="447">
        <f t="shared" si="2"/>
        <v>-9.2685480334651738E-2</v>
      </c>
      <c r="P5" s="452">
        <f t="shared" si="3"/>
        <v>3.1945205469517159E-4</v>
      </c>
      <c r="R5" s="422">
        <f>_xll.qlCalendarAdvance(Calendar,R4,"1D","f")</f>
        <v>42068</v>
      </c>
      <c r="S5" s="221">
        <f>_xll.qlCalendarAdvance(Calendar,R5,$F$1,"mf",,Trigger)</f>
        <v>42160</v>
      </c>
      <c r="T5" s="342">
        <f>_xll.qlDayCounterYearFraction(DayCounter,R5,S5,,,Trigger)</f>
        <v>0.25205479452054796</v>
      </c>
      <c r="U5" s="32">
        <f>_xll.qlInterpolationInterpolate(B3Minterpolation,R5,TRUE)</f>
        <v>1.1560728024042476E-3</v>
      </c>
      <c r="V5" s="345">
        <f>_xll.qlYieldTSDiscount(Discounting,R5,,AllTriggers)</f>
        <v>0.99997497706066252</v>
      </c>
      <c r="W5" s="345">
        <f>_xll.qlYieldTSDiscount(Discounting,S5,,AllTriggers)</f>
        <v>0.9988267471299056</v>
      </c>
      <c r="X5" s="32">
        <f t="shared" si="4"/>
        <v>4.5608284477428934E-3</v>
      </c>
      <c r="Y5" s="452">
        <f t="shared" si="5"/>
        <v>2.9101674784682739E-4</v>
      </c>
      <c r="AD5" s="33"/>
      <c r="AE5" s="33"/>
    </row>
    <row r="6" spans="1:31" ht="11.25" customHeight="1" x14ac:dyDescent="0.2">
      <c r="A6" s="30">
        <v>3</v>
      </c>
      <c r="B6" s="30" t="s">
        <v>35</v>
      </c>
      <c r="C6" s="30">
        <f t="shared" si="6"/>
        <v>6</v>
      </c>
      <c r="D6" s="435" t="str">
        <f>Currency&amp;A6&amp;B6&amp;C6&amp;"F"&amp;QuoteSuffix</f>
        <v>GBP3x6F_Quote</v>
      </c>
      <c r="E6" s="436">
        <f>_xll.qlCalendarAdvance("target",$E$3,A6&amp;"M","mf",,Trigger)</f>
        <v>42158</v>
      </c>
      <c r="F6" s="436">
        <f>_xll.qlCalendarAdvance(Calendar,E6,$F$1,"mf",,Trigger)</f>
        <v>42250</v>
      </c>
      <c r="G6" s="437">
        <f>_xll.qlDayCounterYearFraction(DayCounter,E6,F6,,,Trigger)</f>
        <v>0.25205479452054796</v>
      </c>
      <c r="H6" s="384">
        <f>_xll.qlQuoteValue(D6,AllTriggers)</f>
        <v>5.9499999999999996E-3</v>
      </c>
      <c r="I6" s="385">
        <f>_xll.qlYieldTSDiscount(Discounting,E6,,AllTriggers)</f>
        <v>0.99885190848149896</v>
      </c>
      <c r="J6" s="385">
        <f>_xll.qlYieldTSDiscount(Discounting,F6,,AllTriggers)</f>
        <v>0.99768077537065136</v>
      </c>
      <c r="K6" s="384">
        <f t="shared" si="0"/>
        <v>4.6571442839361031E-3</v>
      </c>
      <c r="L6" s="384">
        <f t="shared" si="1"/>
        <v>1.2928557160638964E-3</v>
      </c>
      <c r="M6" s="438" t="b">
        <v>0</v>
      </c>
      <c r="N6" s="384">
        <f>_xll.qlInterpolationInterpolate(B3Minterpolation,E6,TRUE,Trigger)</f>
        <v>1.3339133363082277E-3</v>
      </c>
      <c r="O6" s="468">
        <f t="shared" si="2"/>
        <v>-0.41057620244331317</v>
      </c>
      <c r="P6" s="470">
        <f t="shared" si="3"/>
        <v>3.2543544562781048E-4</v>
      </c>
      <c r="R6" s="422">
        <f>_xll.qlCalendarAdvance(Calendar,R5,"1D","f")</f>
        <v>42069</v>
      </c>
      <c r="S6" s="221">
        <f>_xll.qlCalendarAdvance(Calendar,R6,$F$1,"mf",,Trigger)</f>
        <v>42163</v>
      </c>
      <c r="T6" s="342">
        <f>_xll.qlDayCounterYearFraction(DayCounter,R6,S6,,,Trigger)</f>
        <v>0.25753424657534246</v>
      </c>
      <c r="U6" s="32">
        <f>_xll.qlInterpolationInterpolate(B3Minterpolation,R6,TRUE)</f>
        <v>1.1581343447067505E-3</v>
      </c>
      <c r="V6" s="345">
        <f>_xll.qlYieldTSDiscount(Discounting,R6,,AllTriggers)</f>
        <v>0.99996246364838381</v>
      </c>
      <c r="W6" s="345">
        <f>_xll.qlYieldTSDiscount(Discounting,S6,,AllTriggers)</f>
        <v>0.99878893058592189</v>
      </c>
      <c r="X6" s="32">
        <f t="shared" si="4"/>
        <v>4.5623292101142753E-3</v>
      </c>
      <c r="Y6" s="452">
        <f t="shared" si="5"/>
        <v>2.9786485951811207E-4</v>
      </c>
      <c r="AD6" s="33"/>
      <c r="AE6" s="33"/>
    </row>
    <row r="7" spans="1:31" ht="11.25" customHeight="1" x14ac:dyDescent="0.2">
      <c r="C7" s="30" t="str">
        <f>_xll.qlIMMNextCode(SettlementDate,TRUE)</f>
        <v>H5</v>
      </c>
      <c r="D7" s="220" t="str">
        <f t="shared" ref="D7:D15" si="7">Currency&amp;"FUT"&amp;"3M"&amp;C7&amp;QuoteSuffix</f>
        <v>GBPFUT3MH5_Quote</v>
      </c>
      <c r="E7" s="221">
        <f>_xll.qlIMMdate(C7,$E$3,Trigger)</f>
        <v>42081</v>
      </c>
      <c r="F7" s="221">
        <f>_xll.qlCalendarAdvance(Calendar,E7,$F$1,"mf",,Trigger)</f>
        <v>42173</v>
      </c>
      <c r="G7" s="342">
        <f>_xll.qlDayCounterYearFraction(DayCounter,E7,F7,,,Trigger)</f>
        <v>0.25205479452054796</v>
      </c>
      <c r="H7" s="32">
        <f>1-_xll.qlQuoteValue(D7,AllTriggers)/100</f>
        <v>5.7499999999999218E-3</v>
      </c>
      <c r="I7" s="345">
        <f>_xll.qlYieldTSDiscount(Discounting,E7,,AllTriggers)</f>
        <v>0.99981215659254585</v>
      </c>
      <c r="J7" s="345">
        <f>_xll.qlYieldTSDiscount(Discounting,F7,,AllTriggers)</f>
        <v>0.99866254807148869</v>
      </c>
      <c r="K7" s="32">
        <f t="shared" ref="K7:K15" si="8">(I7/J7-1)/G7</f>
        <v>4.5670550664522625E-3</v>
      </c>
      <c r="L7" s="32">
        <f t="shared" si="1"/>
        <v>1.1829449335476593E-3</v>
      </c>
      <c r="M7" s="332" t="b">
        <v>1</v>
      </c>
      <c r="N7" s="32">
        <f>_xll.qlInterpolationInterpolate(B3Minterpolation,E7,TRUE,Trigger)</f>
        <v>1.1829449335476593E-3</v>
      </c>
      <c r="O7" s="447">
        <f t="shared" si="2"/>
        <v>0</v>
      </c>
      <c r="P7" s="452">
        <f t="shared" si="3"/>
        <v>2.9777976170250762E-4</v>
      </c>
      <c r="R7" s="422">
        <f>_xll.qlCalendarAdvance(Calendar,R6,"1D","f")</f>
        <v>42072</v>
      </c>
      <c r="S7" s="221">
        <f>_xll.qlCalendarAdvance(Calendar,R7,$F$1,"mf",,Trigger)</f>
        <v>42164</v>
      </c>
      <c r="T7" s="342">
        <f>_xll.qlDayCounterYearFraction(DayCounter,R7,S7,,,Trigger)</f>
        <v>0.25205479452054796</v>
      </c>
      <c r="U7" s="32">
        <f>_xll.qlInterpolationInterpolate(B3Minterpolation,R7,TRUE)</f>
        <v>1.1643265124178584E-3</v>
      </c>
      <c r="V7" s="345">
        <f>_xll.qlYieldTSDiscount(Discounting,R7,,AllTriggers)</f>
        <v>0.99992490519053412</v>
      </c>
      <c r="W7" s="345">
        <f>_xll.qlYieldTSDiscount(Discounting,S7,,AllTriggers)</f>
        <v>0.99877630911990745</v>
      </c>
      <c r="X7" s="32">
        <f t="shared" si="4"/>
        <v>4.5625131685670195E-3</v>
      </c>
      <c r="Y7" s="452">
        <f t="shared" si="5"/>
        <v>2.9309401510487675E-4</v>
      </c>
      <c r="AD7" s="33"/>
      <c r="AE7" s="33"/>
    </row>
    <row r="8" spans="1:31" ht="11.25" customHeight="1" x14ac:dyDescent="0.2">
      <c r="C8" s="30" t="str">
        <f>_xll.qlIMMNextCode($E$7,TRUE)</f>
        <v>M5</v>
      </c>
      <c r="D8" s="220" t="str">
        <f t="shared" si="7"/>
        <v>GBPFUT3MM5_Quote</v>
      </c>
      <c r="E8" s="221">
        <f>_xll.qlIMMdate(C8,$E$3,Trigger)</f>
        <v>42172</v>
      </c>
      <c r="F8" s="221">
        <f>_xll.qlCalendarAdvance(Calendar,E8,$F$1,"mf",,Trigger)</f>
        <v>42264</v>
      </c>
      <c r="G8" s="342">
        <f>_xll.qlDayCounterYearFraction(DayCounter,E8,F8,,,Trigger)</f>
        <v>0.25205479452054796</v>
      </c>
      <c r="H8" s="32">
        <f>1-_xll.qlQuoteValue(D8,AllTriggers)/100</f>
        <v>6.0499999999998888E-3</v>
      </c>
      <c r="I8" s="345">
        <f>_xll.qlYieldTSDiscount(Discounting,E8,,AllTriggers)</f>
        <v>0.99867519135314886</v>
      </c>
      <c r="J8" s="345">
        <f>_xll.qlYieldTSDiscount(Discounting,F8,,AllTriggers)</f>
        <v>0.99749536307870446</v>
      </c>
      <c r="K8" s="32">
        <f t="shared" si="8"/>
        <v>4.6925936800424747E-3</v>
      </c>
      <c r="L8" s="32">
        <f t="shared" si="1"/>
        <v>1.3574063199574141E-3</v>
      </c>
      <c r="M8" s="332" t="b">
        <v>1</v>
      </c>
      <c r="N8" s="32">
        <f>_xll.qlInterpolationInterpolate(B3Minterpolation,E8,TRUE,Trigger)</f>
        <v>1.3574063199574141E-3</v>
      </c>
      <c r="O8" s="447">
        <f t="shared" si="2"/>
        <v>0</v>
      </c>
      <c r="P8" s="452">
        <f t="shared" si="3"/>
        <v>3.4167818956946591E-4</v>
      </c>
      <c r="R8" s="422">
        <f>_xll.qlCalendarAdvance(Calendar,R7,"1D","f")</f>
        <v>42073</v>
      </c>
      <c r="S8" s="221">
        <f>_xll.qlCalendarAdvance(Calendar,R8,$F$1,"mf",,Trigger)</f>
        <v>42165</v>
      </c>
      <c r="T8" s="342">
        <f>_xll.qlDayCounterYearFraction(DayCounter,R8,S8,,,Trigger)</f>
        <v>0.25205479452054796</v>
      </c>
      <c r="U8" s="32">
        <f>_xll.qlInterpolationInterpolate(B3Minterpolation,R8,TRUE)</f>
        <v>1.1663927122755255E-3</v>
      </c>
      <c r="V8" s="345">
        <f>_xll.qlYieldTSDiscount(Discounting,R8,,AllTriggers)</f>
        <v>0.99991237672823008</v>
      </c>
      <c r="W8" s="345">
        <f>_xll.qlYieldTSDiscount(Discounting,S8,,AllTriggers)</f>
        <v>0.99876368131129711</v>
      </c>
      <c r="X8" s="32">
        <f t="shared" si="4"/>
        <v>4.5629654879931732E-3</v>
      </c>
      <c r="Y8" s="452">
        <f t="shared" si="5"/>
        <v>2.9361402644569284E-4</v>
      </c>
      <c r="AD8" s="33"/>
      <c r="AE8" s="33"/>
    </row>
    <row r="9" spans="1:31" ht="11.25" customHeight="1" x14ac:dyDescent="0.2">
      <c r="C9" s="30" t="str">
        <f>_xll.qlIMMNextCode($E8,TRUE)</f>
        <v>U5</v>
      </c>
      <c r="D9" s="220" t="str">
        <f t="shared" si="7"/>
        <v>GBPFUT3MU5_Quote</v>
      </c>
      <c r="E9" s="221">
        <f>_xll.qlIMMdate(C9,$E$3,Trigger)</f>
        <v>42263</v>
      </c>
      <c r="F9" s="221">
        <f>_xll.qlCalendarAdvance(Calendar,E9,$F$1,"mf",,Trigger)</f>
        <v>42354</v>
      </c>
      <c r="G9" s="342">
        <f>_xll.qlDayCounterYearFraction(DayCounter,E9,F9,,,Trigger)</f>
        <v>0.24931506849315069</v>
      </c>
      <c r="H9" s="32">
        <f>1-_xll.qlQuoteValue(D9,AllTriggers)/100</f>
        <v>6.8500000000000227E-3</v>
      </c>
      <c r="I9" s="345">
        <f>_xll.qlYieldTSDiscount(Discounting,E9,,AllTriggers)</f>
        <v>0.99750861101148391</v>
      </c>
      <c r="J9" s="345">
        <f>_xll.qlYieldTSDiscount(Discounting,F9,,AllTriggers)</f>
        <v>0.9961800012355001</v>
      </c>
      <c r="K9" s="32">
        <f t="shared" si="8"/>
        <v>5.34947419618365E-3</v>
      </c>
      <c r="L9" s="32">
        <f t="shared" si="1"/>
        <v>1.5005258038163728E-3</v>
      </c>
      <c r="M9" s="332" t="b">
        <v>1</v>
      </c>
      <c r="N9" s="32">
        <f>_xll.qlInterpolationInterpolate(B3Minterpolation,E9,TRUE,Trigger)</f>
        <v>1.5005258038163728E-3</v>
      </c>
      <c r="O9" s="447">
        <f t="shared" si="2"/>
        <v>0</v>
      </c>
      <c r="P9" s="452">
        <f t="shared" si="3"/>
        <v>3.7353564119747384E-4</v>
      </c>
      <c r="R9" s="422">
        <f>_xll.qlCalendarAdvance(Calendar,R8,"1D","f")</f>
        <v>42074</v>
      </c>
      <c r="S9" s="221">
        <f>_xll.qlCalendarAdvance(Calendar,R9,$F$1,"mf",,Trigger)</f>
        <v>42166</v>
      </c>
      <c r="T9" s="342">
        <f>_xll.qlDayCounterYearFraction(DayCounter,R9,S9,,,Trigger)</f>
        <v>0.25205479452054796</v>
      </c>
      <c r="U9" s="32">
        <f>_xll.qlInterpolationInterpolate(B3Minterpolation,R9,TRUE)</f>
        <v>1.1684597992865572E-3</v>
      </c>
      <c r="V9" s="345">
        <f>_xll.qlYieldTSDiscount(Discounting,R9,,AllTriggers)</f>
        <v>0.99989984290291745</v>
      </c>
      <c r="W9" s="345">
        <f>_xll.qlYieldTSDiscount(Discounting,S9,,AllTriggers)</f>
        <v>0.99875104813986526</v>
      </c>
      <c r="X9" s="32">
        <f t="shared" si="4"/>
        <v>4.5634178426163163E-3</v>
      </c>
      <c r="Y9" s="452">
        <f t="shared" si="5"/>
        <v>2.9413426068365607E-4</v>
      </c>
      <c r="AD9" s="33"/>
      <c r="AE9" s="33"/>
    </row>
    <row r="10" spans="1:31" ht="11.25" customHeight="1" x14ac:dyDescent="0.2">
      <c r="C10" s="30" t="str">
        <f>_xll.qlIMMNextCode($E9,TRUE)</f>
        <v>Z5</v>
      </c>
      <c r="D10" s="220" t="str">
        <f t="shared" si="7"/>
        <v>GBPFUT3MZ5_Quote</v>
      </c>
      <c r="E10" s="221">
        <f>_xll.qlIMMdate(C10,$E$3,Trigger)</f>
        <v>42354</v>
      </c>
      <c r="F10" s="221">
        <f>_xll.qlCalendarAdvance(Calendar,E10,$F$1,"mf",,Trigger)</f>
        <v>42445</v>
      </c>
      <c r="G10" s="342">
        <f>_xll.qlDayCounterYearFraction(DayCounter,E10,F10,,,Trigger)</f>
        <v>0.24931506849315069</v>
      </c>
      <c r="H10" s="32">
        <f>1-_xll.qlQuoteValue(D10,AllTriggers)/100</f>
        <v>8.2499999999998685E-3</v>
      </c>
      <c r="I10" s="345">
        <f>_xll.qlYieldTSDiscount(Discounting,E10,,AllTriggers)</f>
        <v>0.9961800012355001</v>
      </c>
      <c r="J10" s="345">
        <f>_xll.qlYieldTSDiscount(Discounting,F10,,AllTriggers)</f>
        <v>0.99455037230001708</v>
      </c>
      <c r="K10" s="32">
        <f t="shared" si="8"/>
        <v>6.5722400134404172E-3</v>
      </c>
      <c r="L10" s="32">
        <f t="shared" si="1"/>
        <v>1.6777599865594513E-3</v>
      </c>
      <c r="M10" s="332" t="b">
        <v>1</v>
      </c>
      <c r="N10" s="32">
        <f>_xll.qlInterpolationInterpolate(B3Minterpolation,E10,TRUE,Trigger)</f>
        <v>1.6777599865594513E-3</v>
      </c>
      <c r="O10" s="447">
        <f t="shared" si="2"/>
        <v>0</v>
      </c>
      <c r="P10" s="452">
        <f t="shared" si="3"/>
        <v>4.1751939982052937E-4</v>
      </c>
      <c r="R10" s="422">
        <f>_xll.qlCalendarAdvance(Calendar,R9,"1D","f")</f>
        <v>42075</v>
      </c>
      <c r="S10" s="221">
        <f>_xll.qlCalendarAdvance(Calendar,R10,$F$1,"mf",,Trigger)</f>
        <v>42167</v>
      </c>
      <c r="T10" s="342">
        <f>_xll.qlDayCounterYearFraction(DayCounter,R10,S10,,,Trigger)</f>
        <v>0.25205479452054796</v>
      </c>
      <c r="U10" s="32">
        <f>_xll.qlInterpolationInterpolate(B3Minterpolation,R10,TRUE)</f>
        <v>1.1705276625567829E-3</v>
      </c>
      <c r="V10" s="345">
        <f>_xll.qlYieldTSDiscount(Discounting,R10,,AllTriggers)</f>
        <v>0.99988730572586781</v>
      </c>
      <c r="W10" s="345">
        <f>_xll.qlYieldTSDiscount(Discounting,S10,,AllTriggers)</f>
        <v>0.99873841058533686</v>
      </c>
      <c r="X10" s="32">
        <f t="shared" si="4"/>
        <v>4.5638743256894328E-3</v>
      </c>
      <c r="Y10" s="452">
        <f t="shared" si="5"/>
        <v>2.946546896039758E-4</v>
      </c>
      <c r="AD10" s="33"/>
      <c r="AE10" s="33"/>
    </row>
    <row r="11" spans="1:31" ht="11.25" customHeight="1" x14ac:dyDescent="0.2">
      <c r="C11" s="30" t="str">
        <f>_xll.qlIMMNextCode($E10,TRUE)</f>
        <v>H6</v>
      </c>
      <c r="D11" s="220" t="str">
        <f t="shared" si="7"/>
        <v>GBPFUT3MH6_Quote</v>
      </c>
      <c r="E11" s="221">
        <f>_xll.qlIMMdate(C11,$E$3,Trigger)</f>
        <v>42445</v>
      </c>
      <c r="F11" s="221">
        <f>_xll.qlCalendarAdvance(Calendar,E11,$F$1,"mf",,Trigger)</f>
        <v>42537</v>
      </c>
      <c r="G11" s="342">
        <f>_xll.qlDayCounterYearFraction(DayCounter,E11,F11,,,Trigger)</f>
        <v>0.25205479452054796</v>
      </c>
      <c r="H11" s="32">
        <f>1-_xll.qlQuoteValue(D11,AllTriggers)/100</f>
        <v>9.8500000000000254E-3</v>
      </c>
      <c r="I11" s="345">
        <f>_xll.qlYieldTSDiscount(Discounting,E11,,AllTriggers)</f>
        <v>0.99455037230001708</v>
      </c>
      <c r="J11" s="345">
        <f>_xll.qlYieldTSDiscount(Discounting,F11,,AllTriggers)</f>
        <v>0.99251718482940499</v>
      </c>
      <c r="K11" s="32">
        <f t="shared" si="8"/>
        <v>8.1272651137038222E-3</v>
      </c>
      <c r="L11" s="32">
        <f t="shared" si="1"/>
        <v>1.7227348862962032E-3</v>
      </c>
      <c r="M11" s="332" t="b">
        <v>1</v>
      </c>
      <c r="N11" s="32">
        <f>_xll.qlInterpolationInterpolate(B3Minterpolation,E11,TRUE,Trigger)</f>
        <v>1.7227348862962032E-3</v>
      </c>
      <c r="O11" s="447">
        <f t="shared" si="2"/>
        <v>0</v>
      </c>
      <c r="P11" s="452">
        <f t="shared" si="3"/>
        <v>4.3324202932778193E-4</v>
      </c>
      <c r="R11" s="422">
        <f>_xll.qlCalendarAdvance(Calendar,R10,"1D","f")</f>
        <v>42076</v>
      </c>
      <c r="S11" s="221">
        <f>_xll.qlCalendarAdvance(Calendar,R11,$F$1,"mf",,Trigger)</f>
        <v>42170</v>
      </c>
      <c r="T11" s="342">
        <f>_xll.qlDayCounterYearFraction(DayCounter,R11,S11,,,Trigger)</f>
        <v>0.25753424657534246</v>
      </c>
      <c r="U11" s="32">
        <f>_xll.qlInterpolationInterpolate(B3Minterpolation,R11,TRUE)</f>
        <v>1.172596191192032E-3</v>
      </c>
      <c r="V11" s="345">
        <f>_xll.qlYieldTSDiscount(Discounting,R11,,AllTriggers)</f>
        <v>0.99987476778463813</v>
      </c>
      <c r="W11" s="345">
        <f>_xll.qlYieldTSDiscount(Discounting,S11,,AllTriggers)</f>
        <v>0.99870048141967771</v>
      </c>
      <c r="X11" s="32">
        <f t="shared" si="4"/>
        <v>4.5656621330984722E-3</v>
      </c>
      <c r="Y11" s="452">
        <f t="shared" si="5"/>
        <v>3.0158353602053234E-4</v>
      </c>
      <c r="AD11" s="33"/>
      <c r="AE11" s="33"/>
    </row>
    <row r="12" spans="1:31" ht="11.25" customHeight="1" x14ac:dyDescent="0.2">
      <c r="C12" s="30" t="str">
        <f>_xll.qlIMMNextCode($E11,TRUE)</f>
        <v>M6</v>
      </c>
      <c r="D12" s="220" t="str">
        <f t="shared" si="7"/>
        <v>GBPFUT3MM6_Quote</v>
      </c>
      <c r="E12" s="221">
        <f>_xll.qlIMMdate(C12,$E$3,Trigger)</f>
        <v>42536</v>
      </c>
      <c r="F12" s="221">
        <f>_xll.qlCalendarAdvance(Calendar,E12,$F$1,"mf",,Trigger)</f>
        <v>42628</v>
      </c>
      <c r="G12" s="342">
        <f>_xll.qlDayCounterYearFraction(DayCounter,E12,F12,,,Trigger)</f>
        <v>0.25205479452054796</v>
      </c>
      <c r="H12" s="32">
        <f>1-_xll.qlQuoteValue(D12,AllTriggers)/100</f>
        <v>1.1450000000000071E-2</v>
      </c>
      <c r="I12" s="345">
        <f>_xll.qlYieldTSDiscount(Discounting,E12,,AllTriggers)</f>
        <v>0.9925412007168205</v>
      </c>
      <c r="J12" s="345">
        <f>_xll.qlYieldTSDiscount(Discounting,F12,,AllTriggers)</f>
        <v>0.99014553192897281</v>
      </c>
      <c r="K12" s="32">
        <f t="shared" si="8"/>
        <v>9.5991500345291372E-3</v>
      </c>
      <c r="L12" s="32">
        <f t="shared" si="1"/>
        <v>1.850849965470934E-3</v>
      </c>
      <c r="M12" s="332" t="b">
        <v>1</v>
      </c>
      <c r="N12" s="32">
        <f>_xll.qlInterpolationInterpolate(B3Minterpolation,E12,TRUE,Trigger)</f>
        <v>1.850849965470934E-3</v>
      </c>
      <c r="O12" s="447">
        <f t="shared" si="2"/>
        <v>0</v>
      </c>
      <c r="P12" s="452">
        <f t="shared" si="3"/>
        <v>4.6528133198128042E-4</v>
      </c>
      <c r="R12" s="422">
        <f>_xll.qlCalendarAdvance(Calendar,R11,"1D","f")</f>
        <v>42079</v>
      </c>
      <c r="S12" s="221">
        <f>_xll.qlCalendarAdvance(Calendar,R12,$F$1,"mf",,Trigger)</f>
        <v>42171</v>
      </c>
      <c r="T12" s="342">
        <f>_xll.qlDayCounterYearFraction(DayCounter,R12,S12,,,Trigger)</f>
        <v>0.25205479452054796</v>
      </c>
      <c r="U12" s="32">
        <f>_xll.qlInterpolationInterpolate(B3Minterpolation,R12,TRUE)</f>
        <v>1.1788046603462144E-3</v>
      </c>
      <c r="V12" s="345">
        <f>_xll.qlYieldTSDiscount(Discounting,R12,,AllTriggers)</f>
        <v>0.99983717524949267</v>
      </c>
      <c r="W12" s="345">
        <f>_xll.qlYieldTSDiscount(Discounting,S12,,AllTriggers)</f>
        <v>0.99868783612902101</v>
      </c>
      <c r="X12" s="32">
        <f t="shared" si="4"/>
        <v>4.5658692009107856E-3</v>
      </c>
      <c r="Y12" s="452">
        <f t="shared" si="5"/>
        <v>2.9673778431045668E-4</v>
      </c>
      <c r="AD12" s="33"/>
      <c r="AE12" s="33"/>
    </row>
    <row r="13" spans="1:31" ht="11.25" customHeight="1" x14ac:dyDescent="0.2">
      <c r="C13" s="30" t="str">
        <f>_xll.qlIMMNextCode($E12,TRUE)</f>
        <v>U6</v>
      </c>
      <c r="D13" s="220" t="str">
        <f t="shared" si="7"/>
        <v>GBPFUT3MU6_Quote</v>
      </c>
      <c r="E13" s="221">
        <f>_xll.qlIMMdate(C13,$E$3,Trigger)</f>
        <v>42634</v>
      </c>
      <c r="F13" s="221">
        <f>_xll.qlCalendarAdvance(Calendar,E13,$F$1,"mf",,Trigger)</f>
        <v>42725</v>
      </c>
      <c r="G13" s="342">
        <f>_xll.qlDayCounterYearFraction(DayCounter,E13,F13,,,Trigger)</f>
        <v>0.24931506849315069</v>
      </c>
      <c r="H13" s="32">
        <f>1-_xll.qlQuoteValue(D13,AllTriggers)/100</f>
        <v>1.3050000000000117E-2</v>
      </c>
      <c r="I13" s="345">
        <f>_xll.qlYieldTSDiscount(Discounting,E13,,AllTriggers)</f>
        <v>0.98997657841746101</v>
      </c>
      <c r="J13" s="345">
        <f>_xll.qlYieldTSDiscount(Discounting,F13,,AllTriggers)</f>
        <v>0.98723859865318697</v>
      </c>
      <c r="K13" s="32">
        <f t="shared" si="8"/>
        <v>1.1123964117484567E-2</v>
      </c>
      <c r="L13" s="32">
        <f t="shared" si="1"/>
        <v>1.9260358825155498E-3</v>
      </c>
      <c r="M13" s="332" t="b">
        <v>1</v>
      </c>
      <c r="N13" s="32">
        <f>_xll.qlInterpolationInterpolate(B3Minterpolation,E13,TRUE,Trigger)</f>
        <v>1.9260358825155498E-3</v>
      </c>
      <c r="O13" s="447">
        <f t="shared" si="2"/>
        <v>0</v>
      </c>
      <c r="P13" s="452">
        <f t="shared" si="3"/>
        <v>4.7874708870297239E-4</v>
      </c>
      <c r="R13" s="422">
        <f>_xll.qlCalendarAdvance(Calendar,R12,"1D","f")</f>
        <v>42080</v>
      </c>
      <c r="S13" s="221">
        <f>_xll.qlCalendarAdvance(Calendar,R13,$F$1,"mf",,Trigger)</f>
        <v>42172</v>
      </c>
      <c r="T13" s="342">
        <f>_xll.qlDayCounterYearFraction(DayCounter,R13,S13,,,Trigger)</f>
        <v>0.25205479452054796</v>
      </c>
      <c r="U13" s="32">
        <f>_xll.qlInterpolationInterpolate(B3Minterpolation,R13,TRUE)</f>
        <v>1.1808747414998515E-3</v>
      </c>
      <c r="V13" s="345">
        <f>_xll.qlYieldTSDiscount(Discounting,R13,,AllTriggers)</f>
        <v>0.99982466012451821</v>
      </c>
      <c r="W13" s="345">
        <f>_xll.qlYieldTSDiscount(Discounting,S13,,AllTriggers)</f>
        <v>0.99867519135314886</v>
      </c>
      <c r="X13" s="32">
        <f t="shared" si="4"/>
        <v>4.5664420700902101E-3</v>
      </c>
      <c r="Y13" s="452">
        <f t="shared" si="5"/>
        <v>2.9725876076566835E-4</v>
      </c>
      <c r="AD13" s="33"/>
      <c r="AE13" s="33"/>
    </row>
    <row r="14" spans="1:31" ht="11.25" customHeight="1" x14ac:dyDescent="0.2">
      <c r="C14" s="30" t="str">
        <f>_xll.qlIMMNextCode($E13,TRUE)</f>
        <v>Z6</v>
      </c>
      <c r="D14" s="220" t="str">
        <f t="shared" si="7"/>
        <v>GBPFUT3MZ6_Quote</v>
      </c>
      <c r="E14" s="221">
        <f>_xll.qlIMMdate(C14,$E$3,Trigger)</f>
        <v>42725</v>
      </c>
      <c r="F14" s="221">
        <f>_xll.qlCalendarAdvance(Calendar,E14,$F$1,"mf",,Trigger)</f>
        <v>42815</v>
      </c>
      <c r="G14" s="342">
        <f>_xll.qlDayCounterYearFraction(DayCounter,E14,F14,,,Trigger)</f>
        <v>0.24657534246575341</v>
      </c>
      <c r="H14" s="32">
        <f>1-_xll.qlQuoteValue(D14,AllTriggers)/100</f>
        <v>1.4449999999999963E-2</v>
      </c>
      <c r="I14" s="345">
        <f>_xll.qlYieldTSDiscount(Discounting,E14,,AllTriggers)</f>
        <v>0.98723859865318697</v>
      </c>
      <c r="J14" s="345">
        <f>_xll.qlYieldTSDiscount(Discounting,F14,,AllTriggers)</f>
        <v>0.98423915694697905</v>
      </c>
      <c r="K14" s="32">
        <f t="shared" si="8"/>
        <v>1.2359193788742728E-2</v>
      </c>
      <c r="L14" s="32">
        <f t="shared" si="1"/>
        <v>2.0908062112572345E-3</v>
      </c>
      <c r="M14" s="332" t="b">
        <v>1</v>
      </c>
      <c r="N14" s="32">
        <f>_xll.qlInterpolationInterpolate(B3Minterpolation,E14,TRUE,Trigger)</f>
        <v>2.0908062112572345E-3</v>
      </c>
      <c r="O14" s="447">
        <f t="shared" si="2"/>
        <v>0</v>
      </c>
      <c r="P14" s="452">
        <f t="shared" si="3"/>
        <v>5.1384289325179429E-4</v>
      </c>
      <c r="R14" s="422">
        <f>_xll.qlCalendarAdvance(Calendar,R13,"1D","f")</f>
        <v>42081</v>
      </c>
      <c r="S14" s="221">
        <f>_xll.qlCalendarAdvance(Calendar,R14,$F$1,"mf",,Trigger)</f>
        <v>42173</v>
      </c>
      <c r="T14" s="342">
        <f>_xll.qlDayCounterYearFraction(DayCounter,R14,S14,,,Trigger)</f>
        <v>0.25205479452054796</v>
      </c>
      <c r="U14" s="32">
        <f>_xll.qlInterpolationInterpolate(B3Minterpolation,R14,TRUE)</f>
        <v>1.1829449335476593E-3</v>
      </c>
      <c r="V14" s="345">
        <f>_xll.qlYieldTSDiscount(Discounting,R14,,AllTriggers)</f>
        <v>0.99981215659254585</v>
      </c>
      <c r="W14" s="345">
        <f>_xll.qlYieldTSDiscount(Discounting,S14,,AllTriggers)</f>
        <v>0.99866254807148869</v>
      </c>
      <c r="X14" s="32">
        <f t="shared" si="4"/>
        <v>4.5670550664522625E-3</v>
      </c>
      <c r="Y14" s="452">
        <f t="shared" si="5"/>
        <v>2.9777976170250762E-4</v>
      </c>
      <c r="AD14" s="33"/>
      <c r="AE14" s="33"/>
    </row>
    <row r="15" spans="1:31" ht="11.25" customHeight="1" thickBot="1" x14ac:dyDescent="0.25">
      <c r="C15" s="30" t="str">
        <f>_xll.qlIMMNextCode($E14,TRUE)</f>
        <v>H7</v>
      </c>
      <c r="D15" s="222" t="str">
        <f t="shared" si="7"/>
        <v>GBPFUT3MH7_Quote</v>
      </c>
      <c r="E15" s="223">
        <f>_xll.qlIMMdate(C15,$E$3,Trigger)</f>
        <v>42809</v>
      </c>
      <c r="F15" s="223">
        <f>_xll.qlCalendarAdvance(Calendar,E15,$F$1,"mf",,Trigger)</f>
        <v>42901</v>
      </c>
      <c r="G15" s="343">
        <f>_xll.qlDayCounterYearFraction(DayCounter,E15,F15,,,Trigger)</f>
        <v>0.25205479452054796</v>
      </c>
      <c r="H15" s="224">
        <f>1-_xll.qlQuoteValue(D15,AllTriggers)/100</f>
        <v>1.5649999999999942E-2</v>
      </c>
      <c r="I15" s="346">
        <f>_xll.qlYieldTSDiscount(Discounting,E15,,AllTriggers)</f>
        <v>0.98444721868090701</v>
      </c>
      <c r="J15" s="346">
        <f>_xll.qlYieldTSDiscount(Discounting,F15,,AllTriggers)</f>
        <v>0.98114057273059041</v>
      </c>
      <c r="K15" s="224">
        <f t="shared" si="8"/>
        <v>1.3370926403881746E-2</v>
      </c>
      <c r="L15" s="224">
        <f t="shared" si="1"/>
        <v>2.279073596118196E-3</v>
      </c>
      <c r="M15" s="333" t="b">
        <v>1</v>
      </c>
      <c r="N15" s="224">
        <f>_xll.qlInterpolationInterpolate(B3Minterpolation,E15,TRUE,Trigger)</f>
        <v>2.279073596118196E-3</v>
      </c>
      <c r="O15" s="469">
        <f t="shared" si="2"/>
        <v>0</v>
      </c>
      <c r="P15" s="453">
        <f t="shared" si="3"/>
        <v>5.7235808198704977E-4</v>
      </c>
      <c r="R15" s="422">
        <f>_xll.qlCalendarAdvance(Calendar,R14,"1D","f")</f>
        <v>42082</v>
      </c>
      <c r="S15" s="221">
        <f>_xll.qlCalendarAdvance(Calendar,R15,$F$1,"mf",,Trigger)</f>
        <v>42174</v>
      </c>
      <c r="T15" s="342">
        <f>_xll.qlDayCounterYearFraction(DayCounter,R15,S15,,,Trigger)</f>
        <v>0.25205479452054796</v>
      </c>
      <c r="U15" s="32">
        <f>_xll.qlInterpolationInterpolate(B3Minterpolation,R15,TRUE)</f>
        <v>1.1850151255954672E-3</v>
      </c>
      <c r="V15" s="345">
        <f>_xll.qlYieldTSDiscount(Discounting,R15,,AllTriggers)</f>
        <v>0.99979966434712586</v>
      </c>
      <c r="W15" s="345">
        <f>_xll.qlYieldTSDiscount(Discounting,S15,,AllTriggers)</f>
        <v>0.9986499072634184</v>
      </c>
      <c r="X15" s="32">
        <f t="shared" si="4"/>
        <v>4.5677030787630302E-3</v>
      </c>
      <c r="Y15" s="452">
        <f t="shared" si="5"/>
        <v>2.9830075957763683E-4</v>
      </c>
      <c r="AD15" s="33"/>
      <c r="AE15" s="33"/>
    </row>
    <row r="16" spans="1:31" ht="11.25" customHeight="1" x14ac:dyDescent="0.2">
      <c r="E16" s="155"/>
      <c r="F16" s="155"/>
      <c r="G16" s="33"/>
      <c r="K16" s="33"/>
      <c r="L16" s="33"/>
      <c r="R16" s="422">
        <f>_xll.qlCalendarAdvance(Calendar,R15,"1D","f")</f>
        <v>42083</v>
      </c>
      <c r="S16" s="221">
        <f>_xll.qlCalendarAdvance(Calendar,R16,$F$1,"mf",,Trigger)</f>
        <v>42177</v>
      </c>
      <c r="T16" s="342">
        <f>_xll.qlDayCounterYearFraction(DayCounter,R16,S16,,,Trigger)</f>
        <v>0.25753424657534246</v>
      </c>
      <c r="U16" s="32">
        <f>_xll.qlInterpolationInterpolate(B3Minterpolation,R16,TRUE)</f>
        <v>1.1870852067491042E-3</v>
      </c>
      <c r="V16" s="345">
        <f>_xll.qlYieldTSDiscount(Discounting,R16,,AllTriggers)</f>
        <v>0.99978718250318099</v>
      </c>
      <c r="W16" s="345">
        <f>_xll.qlYieldTSDiscount(Discounting,S16,,AllTriggers)</f>
        <v>0.99861200947378215</v>
      </c>
      <c r="X16" s="32">
        <f t="shared" si="4"/>
        <v>4.5695143120491905E-3</v>
      </c>
      <c r="Y16" s="452">
        <f t="shared" si="5"/>
        <v>3.0530913815411453E-4</v>
      </c>
      <c r="AD16" s="33"/>
      <c r="AE16" s="33"/>
    </row>
    <row r="17" spans="5:31" ht="11.25" customHeight="1" x14ac:dyDescent="0.2">
      <c r="E17" s="155"/>
      <c r="F17" s="155"/>
      <c r="G17" s="33"/>
      <c r="K17" s="33"/>
      <c r="L17" s="33"/>
      <c r="R17" s="422">
        <f>_xll.qlCalendarAdvance(Calendar,R16,"1D","f")</f>
        <v>42086</v>
      </c>
      <c r="S17" s="221">
        <f>_xll.qlCalendarAdvance(Calendar,R17,$F$1,"mf",,Trigger)</f>
        <v>42178</v>
      </c>
      <c r="T17" s="342">
        <f>_xll.qlDayCounterYearFraction(DayCounter,R17,S17,,,Trigger)</f>
        <v>0.25205479452054796</v>
      </c>
      <c r="U17" s="32">
        <f>_xll.qlInterpolationInterpolate(B3Minterpolation,R17,TRUE)</f>
        <v>1.1932936759032867E-3</v>
      </c>
      <c r="V17" s="345">
        <f>_xll.qlYieldTSDiscount(Discounting,R17,,AllTriggers)</f>
        <v>0.99974979053009161</v>
      </c>
      <c r="W17" s="345">
        <f>_xll.qlYieldTSDiscount(Discounting,S17,,AllTriggers)</f>
        <v>0.998599388352859</v>
      </c>
      <c r="X17" s="32">
        <f t="shared" si="4"/>
        <v>4.5704970859074085E-3</v>
      </c>
      <c r="Y17" s="452">
        <f t="shared" si="5"/>
        <v>3.0038417317570349E-4</v>
      </c>
      <c r="AD17" s="33"/>
      <c r="AE17" s="33"/>
    </row>
    <row r="18" spans="5:31" ht="11.25" customHeight="1" x14ac:dyDescent="0.2">
      <c r="E18" s="155"/>
      <c r="F18" s="155"/>
      <c r="G18" s="33"/>
      <c r="K18" s="33"/>
      <c r="L18" s="33"/>
      <c r="R18" s="422">
        <f>_xll.qlCalendarAdvance(Calendar,R17,"1D","f")</f>
        <v>42087</v>
      </c>
      <c r="S18" s="221">
        <f>_xll.qlCalendarAdvance(Calendar,R18,$F$1,"mf",,Trigger)</f>
        <v>42179</v>
      </c>
      <c r="T18" s="342">
        <f>_xll.qlDayCounterYearFraction(DayCounter,R18,S18,,,Trigger)</f>
        <v>0.25205479452054796</v>
      </c>
      <c r="U18" s="32">
        <f>_xll.qlInterpolationInterpolate(B3Minterpolation,R18,TRUE)</f>
        <v>1.1953622045385358E-3</v>
      </c>
      <c r="V18" s="345">
        <f>_xll.qlYieldTSDiscount(Discounting,R18,,AllTriggers)</f>
        <v>0.99973734144216364</v>
      </c>
      <c r="W18" s="345">
        <f>_xll.qlYieldTSDiscount(Discounting,S18,,AllTriggers)</f>
        <v>0.99858677460167222</v>
      </c>
      <c r="X18" s="32">
        <f t="shared" si="4"/>
        <v>4.5712090267342681E-3</v>
      </c>
      <c r="Y18" s="452">
        <f t="shared" si="5"/>
        <v>3.0090474531256514E-4</v>
      </c>
      <c r="AD18" s="33"/>
      <c r="AE18" s="33"/>
    </row>
    <row r="19" spans="5:31" ht="11.25" customHeight="1" x14ac:dyDescent="0.2">
      <c r="E19" s="155"/>
      <c r="F19" s="155"/>
      <c r="G19" s="33"/>
      <c r="K19" s="33"/>
      <c r="L19" s="33"/>
      <c r="R19" s="422">
        <f>_xll.qlCalendarAdvance(Calendar,R18,"1D","f")</f>
        <v>42088</v>
      </c>
      <c r="S19" s="221">
        <f>_xll.qlCalendarAdvance(Calendar,R19,$F$1,"mf",,Trigger)</f>
        <v>42180</v>
      </c>
      <c r="T19" s="342">
        <f>_xll.qlDayCounterYearFraction(DayCounter,R19,S19,,,Trigger)</f>
        <v>0.25205479452054796</v>
      </c>
      <c r="U19" s="32">
        <f>_xll.qlInterpolationInterpolate(B3Minterpolation,R19,TRUE)</f>
        <v>1.1974300678087614E-3</v>
      </c>
      <c r="V19" s="345">
        <f>_xll.qlYieldTSDiscount(Discounting,R19,,AllTriggers)</f>
        <v>0.99972489833099087</v>
      </c>
      <c r="W19" s="345">
        <f>_xll.qlYieldTSDiscount(Discounting,S19,,AllTriggers)</f>
        <v>0.99857416919930264</v>
      </c>
      <c r="X19" s="32">
        <f t="shared" si="4"/>
        <v>4.571911522986959E-3</v>
      </c>
      <c r="Y19" s="452">
        <f t="shared" si="5"/>
        <v>3.0142515024366508E-4</v>
      </c>
      <c r="AD19" s="33"/>
      <c r="AE19" s="33"/>
    </row>
    <row r="20" spans="5:31" ht="11.25" customHeight="1" x14ac:dyDescent="0.2">
      <c r="E20" s="155"/>
      <c r="F20" s="155"/>
      <c r="G20" s="33"/>
      <c r="K20" s="33"/>
      <c r="L20" s="33"/>
      <c r="R20" s="422">
        <f>_xll.qlCalendarAdvance(Calendar,R19,"1D","f")</f>
        <v>42089</v>
      </c>
      <c r="S20" s="221">
        <f>_xll.qlCalendarAdvance(Calendar,R20,$F$1,"mf",,Trigger)</f>
        <v>42181</v>
      </c>
      <c r="T20" s="342">
        <f>_xll.qlDayCounterYearFraction(DayCounter,R20,S20,,,Trigger)</f>
        <v>0.25205479452054796</v>
      </c>
      <c r="U20" s="32">
        <f>_xll.qlInterpolationInterpolate(B3Minterpolation,R20,TRUE)</f>
        <v>1.1994971548197932E-3</v>
      </c>
      <c r="V20" s="345">
        <f>_xll.qlYieldTSDiscount(Discounting,R20,,AllTriggers)</f>
        <v>0.99971246031176175</v>
      </c>
      <c r="W20" s="345">
        <f>_xll.qlYieldTSDiscount(Discounting,S20,,AllTriggers)</f>
        <v>0.99856157312478222</v>
      </c>
      <c r="X20" s="32">
        <f t="shared" si="4"/>
        <v>4.5725971645591001E-3</v>
      </c>
      <c r="Y20" s="452">
        <f t="shared" si="5"/>
        <v>3.0194536062517927E-4</v>
      </c>
      <c r="AD20" s="33"/>
      <c r="AE20" s="33"/>
    </row>
    <row r="21" spans="5:31" ht="11.25" customHeight="1" x14ac:dyDescent="0.2">
      <c r="E21" s="155"/>
      <c r="F21" s="155"/>
      <c r="G21" s="33"/>
      <c r="K21" s="33"/>
      <c r="L21" s="33"/>
      <c r="R21" s="422">
        <f>_xll.qlCalendarAdvance(Calendar,R20,"1D","f")</f>
        <v>42090</v>
      </c>
      <c r="S21" s="221">
        <f>_xll.qlCalendarAdvance(Calendar,R21,$F$1,"mf",,Trigger)</f>
        <v>42184</v>
      </c>
      <c r="T21" s="342">
        <f>_xll.qlDayCounterYearFraction(DayCounter,R21,S21,,,Trigger)</f>
        <v>0.25753424657534246</v>
      </c>
      <c r="U21" s="32">
        <f>_xll.qlInterpolationInterpolate(B3Minterpolation,R21,TRUE)</f>
        <v>1.2015633546774603E-3</v>
      </c>
      <c r="V21" s="345">
        <f>_xll.qlYieldTSDiscount(Discounting,R21,,AllTriggers)</f>
        <v>0.99970002649970924</v>
      </c>
      <c r="W21" s="345">
        <f>_xll.qlYieldTSDiscount(Discounting,S21,,AllTriggers)</f>
        <v>0.99852385065789606</v>
      </c>
      <c r="X21" s="32">
        <f t="shared" si="4"/>
        <v>4.5738174062981418E-3</v>
      </c>
      <c r="Y21" s="452">
        <f t="shared" si="5"/>
        <v>3.0903188855506782E-4</v>
      </c>
      <c r="AD21" s="33"/>
      <c r="AE21" s="33"/>
    </row>
    <row r="22" spans="5:31" ht="11.25" customHeight="1" x14ac:dyDescent="0.2">
      <c r="E22" s="155"/>
      <c r="F22" s="155"/>
      <c r="G22" s="33"/>
      <c r="K22" s="33"/>
      <c r="L22" s="33"/>
      <c r="R22" s="422">
        <f>_xll.qlCalendarAdvance(Calendar,R21,"1D","f")</f>
        <v>42093</v>
      </c>
      <c r="S22" s="221">
        <f>_xll.qlCalendarAdvance(Calendar,R22,$F$1,"mf",,Trigger)</f>
        <v>42185</v>
      </c>
      <c r="T22" s="342">
        <f>_xll.qlDayCounterYearFraction(DayCounter,R22,S22,,,Trigger)</f>
        <v>0.25205479452054796</v>
      </c>
      <c r="U22" s="32">
        <f>_xll.qlInterpolationInterpolate(B3Minterpolation,R22,TRUE)</f>
        <v>1.2077555223885682E-3</v>
      </c>
      <c r="V22" s="345">
        <f>_xll.qlYieldTSDiscount(Discounting,R22,,AllTriggers)</f>
        <v>0.99966274145960043</v>
      </c>
      <c r="W22" s="345">
        <f>_xll.qlYieldTSDiscount(Discounting,S22,,AllTriggers)</f>
        <v>0.99851130168410784</v>
      </c>
      <c r="X22" s="32">
        <f t="shared" si="4"/>
        <v>4.5750229817779981E-3</v>
      </c>
      <c r="Y22" s="452">
        <f t="shared" si="5"/>
        <v>3.0402370992539142E-4</v>
      </c>
      <c r="AD22" s="33"/>
      <c r="AE22" s="33"/>
    </row>
    <row r="23" spans="5:31" ht="11.25" customHeight="1" x14ac:dyDescent="0.2">
      <c r="E23" s="155"/>
      <c r="F23" s="155"/>
      <c r="G23" s="33"/>
      <c r="K23" s="33"/>
      <c r="L23" s="33"/>
      <c r="R23" s="422">
        <f>_xll.qlCalendarAdvance(Calendar,R22,"1D","f")</f>
        <v>42094</v>
      </c>
      <c r="S23" s="221">
        <f>_xll.qlCalendarAdvance(Calendar,R23,$F$1,"mf",,Trigger)</f>
        <v>42185</v>
      </c>
      <c r="T23" s="342">
        <f>_xll.qlDayCounterYearFraction(DayCounter,R23,S23,,,Trigger)</f>
        <v>0.24931506849315069</v>
      </c>
      <c r="U23" s="32">
        <f>_xll.qlInterpolationInterpolate(B3Minterpolation,R23,TRUE)</f>
        <v>1.209817064691071E-3</v>
      </c>
      <c r="V23" s="345">
        <f>_xll.qlYieldTSDiscount(Discounting,R23,,AllTriggers)</f>
        <v>0.99965031562946349</v>
      </c>
      <c r="W23" s="345">
        <f>_xll.qlYieldTSDiscount(Discounting,S23,,AllTriggers)</f>
        <v>0.99851130168410784</v>
      </c>
      <c r="X23" s="32">
        <f t="shared" si="4"/>
        <v>4.5753837843186427E-3</v>
      </c>
      <c r="Y23" s="452">
        <f t="shared" si="5"/>
        <v>3.0123657208457549E-4</v>
      </c>
      <c r="AD23" s="33"/>
      <c r="AE23" s="33"/>
    </row>
    <row r="24" spans="5:31" ht="11.25" customHeight="1" x14ac:dyDescent="0.2">
      <c r="E24" s="155"/>
      <c r="F24" s="155"/>
      <c r="G24" s="33"/>
      <c r="K24" s="33"/>
      <c r="L24" s="33"/>
      <c r="R24" s="422">
        <f>_xll.qlCalendarAdvance(Calendar,R23,"1D","f")</f>
        <v>42095</v>
      </c>
      <c r="S24" s="221">
        <f>_xll.qlCalendarAdvance(Calendar,R24,$F$1,"mf",,Trigger)</f>
        <v>42186</v>
      </c>
      <c r="T24" s="342">
        <f>_xll.qlDayCounterYearFraction(DayCounter,R24,S24,,,Trigger)</f>
        <v>0.24931506849315069</v>
      </c>
      <c r="U24" s="32">
        <f>_xll.qlInterpolationInterpolate(B3Minterpolation,R24,TRUE)</f>
        <v>1.2118771653693565E-3</v>
      </c>
      <c r="V24" s="345">
        <f>_xll.qlYieldTSDiscount(Discounting,R24,,AllTriggers)</f>
        <v>0.99963788958332789</v>
      </c>
      <c r="W24" s="345">
        <f>_xll.qlYieldTSDiscount(Discounting,S24,,AllTriggers)</f>
        <v>0.99849876693259199</v>
      </c>
      <c r="X24" s="32">
        <f t="shared" si="4"/>
        <v>4.5758778934761515E-3</v>
      </c>
      <c r="Y24" s="452">
        <f t="shared" si="5"/>
        <v>3.0174940923261934E-4</v>
      </c>
      <c r="AD24" s="33"/>
      <c r="AE24" s="33"/>
    </row>
    <row r="25" spans="5:31" ht="11.25" customHeight="1" x14ac:dyDescent="0.2">
      <c r="E25" s="155"/>
      <c r="F25" s="155"/>
      <c r="G25" s="33"/>
      <c r="K25" s="33"/>
      <c r="L25" s="33"/>
      <c r="R25" s="422">
        <f>_xll.qlCalendarAdvance(Calendar,R24,"1D","f")</f>
        <v>42096</v>
      </c>
      <c r="S25" s="221">
        <f>_xll.qlCalendarAdvance(Calendar,R25,$F$1,"mf",,Trigger)</f>
        <v>42187</v>
      </c>
      <c r="T25" s="342">
        <f>_xll.qlDayCounterYearFraction(DayCounter,R25,S25,,,Trigger)</f>
        <v>0.24931506849315069</v>
      </c>
      <c r="U25" s="32">
        <f>_xll.qlInterpolationInterpolate(B3Minterpolation,R25,TRUE)</f>
        <v>1.2139357135292541E-3</v>
      </c>
      <c r="V25" s="345">
        <f>_xll.qlYieldTSDiscount(Discounting,R25,,AllTriggers)</f>
        <v>0.99962546243669037</v>
      </c>
      <c r="W25" s="345">
        <f>_xll.qlYieldTSDiscount(Discounting,S25,,AllTriggers)</f>
        <v>0.99848624738208702</v>
      </c>
      <c r="X25" s="32">
        <f t="shared" si="4"/>
        <v>4.5763064610532195E-3</v>
      </c>
      <c r="Y25" s="452">
        <f t="shared" si="5"/>
        <v>3.0226186441580837E-4</v>
      </c>
      <c r="AD25" s="33"/>
      <c r="AE25" s="33"/>
    </row>
    <row r="26" spans="5:31" ht="11.25" customHeight="1" x14ac:dyDescent="0.2">
      <c r="E26" s="155"/>
      <c r="F26" s="155"/>
      <c r="G26" s="33"/>
      <c r="K26" s="33"/>
      <c r="L26" s="33"/>
      <c r="R26" s="422">
        <f>_xll.qlCalendarAdvance(Calendar,R25,"1D","f")</f>
        <v>42101</v>
      </c>
      <c r="S26" s="221">
        <f>_xll.qlCalendarAdvance(Calendar,R26,$F$1,"mf",,Trigger)</f>
        <v>42192</v>
      </c>
      <c r="T26" s="342">
        <f>_xll.qlDayCounterYearFraction(DayCounter,R26,S26,,,Trigger)</f>
        <v>0.24931506849315069</v>
      </c>
      <c r="U26" s="32">
        <f>_xll.qlInterpolationInterpolate(B3Minterpolation,R26,TRUE)</f>
        <v>1.2242012852569503E-3</v>
      </c>
      <c r="V26" s="345">
        <f>_xll.qlYieldTSDiscount(Discounting,R26,,AllTriggers)</f>
        <v>0.9995632792414465</v>
      </c>
      <c r="W26" s="345">
        <f>_xll.qlYieldTSDiscount(Discounting,S26,,AllTriggers)</f>
        <v>0.9984238839940095</v>
      </c>
      <c r="X26" s="32">
        <f t="shared" si="4"/>
        <v>4.5773161979671424E-3</v>
      </c>
      <c r="Y26" s="452">
        <f t="shared" si="5"/>
        <v>3.048174568772154E-4</v>
      </c>
      <c r="AA26" s="475"/>
      <c r="AB26" s="475"/>
      <c r="AD26" s="33"/>
      <c r="AE26" s="33"/>
    </row>
    <row r="27" spans="5:31" ht="11.25" customHeight="1" x14ac:dyDescent="0.2">
      <c r="E27" s="155"/>
      <c r="F27" s="155"/>
      <c r="G27" s="33"/>
      <c r="K27" s="33"/>
      <c r="L27" s="33"/>
      <c r="R27" s="422">
        <f>_xll.qlCalendarAdvance(Calendar,R26,"1D","f")</f>
        <v>42102</v>
      </c>
      <c r="S27" s="221">
        <f>_xll.qlCalendarAdvance(Calendar,R27,$F$1,"mf",,Trigger)</f>
        <v>42193</v>
      </c>
      <c r="T27" s="342">
        <f>_xll.qlDayCounterYearFraction(DayCounter,R27,S27,,,Trigger)</f>
        <v>0.24931506849315069</v>
      </c>
      <c r="U27" s="32">
        <f>_xll.qlInterpolationInterpolate(B3Minterpolation,R27,TRUE)</f>
        <v>1.2262481895289376E-3</v>
      </c>
      <c r="V27" s="345">
        <f>_xll.qlYieldTSDiscount(Discounting,R27,,AllTriggers)</f>
        <v>0.99955082713590737</v>
      </c>
      <c r="W27" s="345">
        <f>_xll.qlYieldTSDiscount(Discounting,S27,,AllTriggers)</f>
        <v>0.99841144960583672</v>
      </c>
      <c r="X27" s="32">
        <f t="shared" si="4"/>
        <v>4.5773020274212702E-3</v>
      </c>
      <c r="Y27" s="452">
        <f t="shared" si="5"/>
        <v>3.0532704483381156E-4</v>
      </c>
      <c r="AD27" s="33"/>
      <c r="AE27" s="33"/>
    </row>
    <row r="28" spans="5:31" ht="11.25" customHeight="1" x14ac:dyDescent="0.2">
      <c r="E28" s="155"/>
      <c r="F28" s="155"/>
      <c r="G28" s="33"/>
      <c r="K28" s="33"/>
      <c r="L28" s="33"/>
      <c r="R28" s="422">
        <f>_xll.qlCalendarAdvance(Calendar,R27,"1D","f")</f>
        <v>42103</v>
      </c>
      <c r="S28" s="221">
        <f>_xll.qlCalendarAdvance(Calendar,R28,$F$1,"mf",,Trigger)</f>
        <v>42194</v>
      </c>
      <c r="T28" s="342">
        <f>_xll.qlDayCounterYearFraction(DayCounter,R28,S28,,,Trigger)</f>
        <v>0.24931506849315069</v>
      </c>
      <c r="U28" s="32">
        <f>_xll.qlInterpolationInterpolate(B3Minterpolation,R28,TRUE)</f>
        <v>1.2282927650233426E-3</v>
      </c>
      <c r="V28" s="345">
        <f>_xll.qlYieldTSDiscount(Discounting,R28,,AllTriggers)</f>
        <v>0.99953836903681514</v>
      </c>
      <c r="W28" s="345">
        <f>_xll.qlYieldTSDiscount(Discounting,S28,,AllTriggers)</f>
        <v>0.99839902418986803</v>
      </c>
      <c r="X28" s="32">
        <f t="shared" si="4"/>
        <v>4.5772276916433829E-3</v>
      </c>
      <c r="Y28" s="455">
        <f t="shared" si="5"/>
        <v>3.0583605735578622E-4</v>
      </c>
      <c r="AD28" s="33"/>
      <c r="AE28" s="33"/>
    </row>
    <row r="29" spans="5:31" ht="11.25" customHeight="1" x14ac:dyDescent="0.2">
      <c r="E29" s="155"/>
      <c r="F29" s="155"/>
      <c r="G29" s="33"/>
      <c r="K29" s="33"/>
      <c r="L29" s="33"/>
      <c r="R29" s="422">
        <f>_xll.qlCalendarAdvance(Calendar,R28,"1D","f")</f>
        <v>42104</v>
      </c>
      <c r="S29" s="221">
        <f>_xll.qlCalendarAdvance(Calendar,R29,$F$1,"mf",,Trigger)</f>
        <v>42195</v>
      </c>
      <c r="T29" s="342">
        <f>_xll.qlDayCounterYearFraction(DayCounter,R29,S29,,,Trigger)</f>
        <v>0.24931506849315069</v>
      </c>
      <c r="U29" s="32">
        <f>_xll.qlInterpolationInterpolate(B3Minterpolation,R29,TRUE)</f>
        <v>1.2303349008459951E-3</v>
      </c>
      <c r="V29" s="345">
        <f>_xll.qlYieldTSDiscount(Discounting,R29,,AllTriggers)</f>
        <v>0.99952590535719799</v>
      </c>
      <c r="W29" s="345">
        <f>_xll.qlYieldTSDiscount(Discounting,S29,,AllTriggers)</f>
        <v>0.99838660610911933</v>
      </c>
      <c r="X29" s="32">
        <f t="shared" si="4"/>
        <v>4.5771014317595284E-3</v>
      </c>
      <c r="Y29" s="455">
        <f t="shared" si="5"/>
        <v>3.0634446623057098E-4</v>
      </c>
      <c r="AD29" s="33"/>
      <c r="AE29" s="33"/>
    </row>
    <row r="30" spans="5:31" ht="11.25" customHeight="1" x14ac:dyDescent="0.2">
      <c r="E30" s="155"/>
      <c r="F30" s="155"/>
      <c r="G30" s="33"/>
      <c r="K30" s="33"/>
      <c r="L30" s="33"/>
      <c r="R30" s="422">
        <f>_xll.qlCalendarAdvance(Calendar,R29,"1D","f")</f>
        <v>42107</v>
      </c>
      <c r="S30" s="221">
        <f>_xll.qlCalendarAdvance(Calendar,R30,$F$1,"mf",,Trigger)</f>
        <v>42198</v>
      </c>
      <c r="T30" s="342">
        <f>_xll.qlDayCounterYearFraction(DayCounter,R30,S30,,,Trigger)</f>
        <v>0.24931506849315069</v>
      </c>
      <c r="U30" s="32">
        <f>_xll.qlInterpolationInterpolate(B3Minterpolation,R30,TRUE)</f>
        <v>1.2364455613417306E-3</v>
      </c>
      <c r="V30" s="345">
        <f>_xll.qlYieldTSDiscount(Discounting,R30,,AllTriggers)</f>
        <v>0.99948848496516773</v>
      </c>
      <c r="W30" s="345">
        <f>_xll.qlYieldTSDiscount(Discounting,S30,,AllTriggers)</f>
        <v>0.99834937950957803</v>
      </c>
      <c r="X30" s="32">
        <f t="shared" si="4"/>
        <v>4.5764935187041387E-3</v>
      </c>
      <c r="Y30" s="455">
        <f t="shared" si="5"/>
        <v>3.0786578878523618E-4</v>
      </c>
      <c r="AD30" s="33"/>
      <c r="AE30" s="33"/>
    </row>
    <row r="31" spans="5:31" ht="11.25" customHeight="1" x14ac:dyDescent="0.2">
      <c r="E31" s="155"/>
      <c r="F31" s="155"/>
      <c r="G31" s="33"/>
      <c r="K31" s="33"/>
      <c r="L31" s="33"/>
      <c r="R31" s="422">
        <f>_xll.qlCalendarAdvance(Calendar,R30,"1D","f")</f>
        <v>42108</v>
      </c>
      <c r="S31" s="221">
        <f>_xll.qlCalendarAdvance(Calendar,R31,$F$1,"mf",,Trigger)</f>
        <v>42199</v>
      </c>
      <c r="T31" s="342">
        <f>_xll.qlDayCounterYearFraction(DayCounter,R31,S31,,,Trigger)</f>
        <v>0.24931506849315069</v>
      </c>
      <c r="U31" s="32">
        <f>_xll.qlInterpolationInterpolate(B3Minterpolation,R31,TRUE)</f>
        <v>1.2384768295356666E-3</v>
      </c>
      <c r="V31" s="345">
        <f>_xll.qlYieldTSDiscount(Discounting,R31,,AllTriggers)</f>
        <v>0.9994760030933193</v>
      </c>
      <c r="W31" s="345">
        <f>_xll.qlYieldTSDiscount(Discounting,S31,,AllTriggers)</f>
        <v>0.99833697440150126</v>
      </c>
      <c r="X31" s="32">
        <f t="shared" si="4"/>
        <v>4.5762419736301747E-3</v>
      </c>
      <c r="Y31" s="455">
        <f t="shared" si="5"/>
        <v>3.0837150086323803E-4</v>
      </c>
      <c r="AD31" s="33"/>
      <c r="AE31" s="33"/>
    </row>
    <row r="32" spans="5:31" ht="11.25" customHeight="1" x14ac:dyDescent="0.2">
      <c r="E32" s="155"/>
      <c r="F32" s="155"/>
      <c r="G32" s="33"/>
      <c r="K32" s="33"/>
      <c r="L32" s="33"/>
      <c r="R32" s="422">
        <f>_xll.qlCalendarAdvance(Calendar,R31,"1D","f")</f>
        <v>42109</v>
      </c>
      <c r="S32" s="221">
        <f>_xll.qlCalendarAdvance(Calendar,R32,$F$1,"mf",,Trigger)</f>
        <v>42200</v>
      </c>
      <c r="T32" s="342">
        <f>_xll.qlDayCounterYearFraction(DayCounter,R32,S32,,,Trigger)</f>
        <v>0.24931506849315069</v>
      </c>
      <c r="U32" s="32">
        <f>_xll.qlInterpolationInterpolate(B3Minterpolation,R32,TRUE)</f>
        <v>1.2405051035869973E-3</v>
      </c>
      <c r="V32" s="345">
        <f>_xll.qlYieldTSDiscount(Discounting,R32,,AllTriggers)</f>
        <v>0.99946351770577757</v>
      </c>
      <c r="W32" s="345">
        <f>_xll.qlYieldTSDiscount(Discounting,S32,,AllTriggers)</f>
        <v>0.99832456844494755</v>
      </c>
      <c r="X32" s="32">
        <f t="shared" si="4"/>
        <v>4.5759797100644499E-3</v>
      </c>
      <c r="Y32" s="455">
        <f t="shared" si="5"/>
        <v>3.0887646816945197E-4</v>
      </c>
      <c r="AD32" s="33"/>
      <c r="AE32" s="33"/>
    </row>
    <row r="33" spans="5:31" ht="11.25" customHeight="1" x14ac:dyDescent="0.2">
      <c r="E33" s="155"/>
      <c r="F33" s="155"/>
      <c r="G33" s="33"/>
      <c r="K33" s="33"/>
      <c r="L33" s="33"/>
      <c r="R33" s="422">
        <f>_xll.qlCalendarAdvance(Calendar,R32,"1D","f")</f>
        <v>42110</v>
      </c>
      <c r="S33" s="221">
        <f>_xll.qlCalendarAdvance(Calendar,R33,$F$1,"mf",,Trigger)</f>
        <v>42201</v>
      </c>
      <c r="T33" s="342">
        <f>_xll.qlDayCounterYearFraction(DayCounter,R33,S33,,,Trigger)</f>
        <v>0.24931506849315069</v>
      </c>
      <c r="U33" s="32">
        <f>_xll.qlInterpolationInterpolate(B3Minterpolation,R33,TRUE)</f>
        <v>1.2425302726015517E-3</v>
      </c>
      <c r="V33" s="345">
        <f>_xll.qlYieldTSDiscount(Discounting,R33,,AllTriggers)</f>
        <v>0.99945102921544715</v>
      </c>
      <c r="W33" s="345">
        <f>_xll.qlYieldTSDiscount(Discounting,S33,,AllTriggers)</f>
        <v>0.9983121600034216</v>
      </c>
      <c r="X33" s="32">
        <f t="shared" si="4"/>
        <v>4.5757149691258896E-3</v>
      </c>
      <c r="Y33" s="452">
        <f t="shared" si="5"/>
        <v>3.093806624661176E-4</v>
      </c>
      <c r="AD33" s="33"/>
      <c r="AE33" s="33"/>
    </row>
    <row r="34" spans="5:31" ht="11.25" customHeight="1" x14ac:dyDescent="0.2">
      <c r="E34" s="155"/>
      <c r="F34" s="155"/>
      <c r="G34" s="33"/>
      <c r="K34" s="33"/>
      <c r="L34" s="33"/>
      <c r="R34" s="422">
        <f>_xll.qlCalendarAdvance(Calendar,R33,"1D","f")</f>
        <v>42111</v>
      </c>
      <c r="S34" s="221">
        <f>_xll.qlCalendarAdvance(Calendar,R34,$F$1,"mf",,Trigger)</f>
        <v>42202</v>
      </c>
      <c r="T34" s="342">
        <f>_xll.qlDayCounterYearFraction(DayCounter,R34,S34,,,Trigger)</f>
        <v>0.24931506849315069</v>
      </c>
      <c r="U34" s="32">
        <f>_xll.qlInterpolationInterpolate(B3Minterpolation,R34,TRUE)</f>
        <v>1.2445522256851595E-3</v>
      </c>
      <c r="V34" s="345">
        <f>_xll.qlYieldTSDiscount(Discounting,R34,,AllTriggers)</f>
        <v>0.99943853803521232</v>
      </c>
      <c r="W34" s="345">
        <f>_xll.qlYieldTSDiscount(Discounting,S34,,AllTriggers)</f>
        <v>0.99829974744050953</v>
      </c>
      <c r="X34" s="32">
        <f t="shared" si="4"/>
        <v>4.5754559919316332E-3</v>
      </c>
      <c r="Y34" s="452">
        <f t="shared" si="5"/>
        <v>3.0988405551242204E-4</v>
      </c>
      <c r="AD34" s="33"/>
      <c r="AE34" s="33"/>
    </row>
    <row r="35" spans="5:31" ht="11.25" customHeight="1" x14ac:dyDescent="0.2">
      <c r="E35" s="155"/>
      <c r="F35" s="155"/>
      <c r="G35" s="33"/>
      <c r="K35" s="33"/>
      <c r="L35" s="33"/>
      <c r="R35" s="422">
        <f>_xll.qlCalendarAdvance(Calendar,R34,"1D","f")</f>
        <v>42114</v>
      </c>
      <c r="S35" s="221">
        <f>_xll.qlCalendarAdvance(Calendar,R35,$F$1,"mf",,Trigger)</f>
        <v>42205</v>
      </c>
      <c r="T35" s="342">
        <f>_xll.qlDayCounterYearFraction(DayCounter,R35,S35,,,Trigger)</f>
        <v>0.24931506849315069</v>
      </c>
      <c r="U35" s="32">
        <f>_xll.qlInterpolationInterpolate(B3Minterpolation,R35,TRUE)</f>
        <v>1.2505976804085973E-3</v>
      </c>
      <c r="V35" s="345">
        <f>_xll.qlYieldTSDiscount(Discounting,R35,,AllTriggers)</f>
        <v>0.99940105248361166</v>
      </c>
      <c r="W35" s="345">
        <f>_xll.qlYieldTSDiscount(Discounting,S35,,AllTriggers)</f>
        <v>0.99826246866053936</v>
      </c>
      <c r="X35" s="32">
        <f t="shared" si="4"/>
        <v>4.5747960539478123E-3</v>
      </c>
      <c r="Y35" s="452">
        <f t="shared" si="5"/>
        <v>3.1138914466994266E-4</v>
      </c>
      <c r="AD35" s="33"/>
      <c r="AE35" s="33"/>
    </row>
    <row r="36" spans="5:31" ht="11.25" customHeight="1" x14ac:dyDescent="0.2">
      <c r="E36" s="155"/>
      <c r="F36" s="155"/>
      <c r="G36" s="33"/>
      <c r="K36" s="33"/>
      <c r="L36" s="33"/>
      <c r="R36" s="422">
        <f>_xll.qlCalendarAdvance(Calendar,R35,"1D","f")</f>
        <v>42115</v>
      </c>
      <c r="S36" s="221">
        <f>_xll.qlCalendarAdvance(Calendar,R36,$F$1,"mf",,Trigger)</f>
        <v>42206</v>
      </c>
      <c r="T36" s="342">
        <f>_xll.qlDayCounterYearFraction(DayCounter,R36,S36,,,Trigger)</f>
        <v>0.24931506849315069</v>
      </c>
      <c r="U36" s="32">
        <f>_xll.qlInterpolationInterpolate(B3Minterpolation,R36,TRUE)</f>
        <v>1.2526056608267127E-3</v>
      </c>
      <c r="V36" s="345">
        <f>_xll.qlYieldTSDiscount(Discounting,R36,,AllTriggers)</f>
        <v>0.9993885546721869</v>
      </c>
      <c r="W36" s="345">
        <f>_xll.qlYieldTSDiscount(Discounting,S36,,AllTriggers)</f>
        <v>0.99825002324957357</v>
      </c>
      <c r="X36" s="32">
        <f t="shared" si="4"/>
        <v>4.5746425428594417E-3</v>
      </c>
      <c r="Y36" s="452">
        <f t="shared" si="5"/>
        <v>3.1188905021698187E-4</v>
      </c>
      <c r="AD36" s="33"/>
      <c r="AE36" s="33"/>
    </row>
    <row r="37" spans="5:31" ht="11.25" customHeight="1" x14ac:dyDescent="0.2">
      <c r="E37" s="155"/>
      <c r="F37" s="155"/>
      <c r="G37" s="33"/>
      <c r="K37" s="33"/>
      <c r="L37" s="33"/>
      <c r="R37" s="422">
        <f>_xll.qlCalendarAdvance(Calendar,R36,"1D","f")</f>
        <v>42116</v>
      </c>
      <c r="S37" s="221">
        <f>_xll.qlCalendarAdvance(Calendar,R37,$F$1,"mf",,Trigger)</f>
        <v>42207</v>
      </c>
      <c r="T37" s="342">
        <f>_xll.qlDayCounterYearFraction(DayCounter,R37,S37,,,Trigger)</f>
        <v>0.24931506849315069</v>
      </c>
      <c r="U37" s="32">
        <f>_xll.qlInterpolationInterpolate(B3Minterpolation,R37,TRUE)</f>
        <v>1.2546098708430286E-3</v>
      </c>
      <c r="V37" s="345">
        <f>_xll.qlYieldTSDiscount(Discounting,R37,,AllTriggers)</f>
        <v>0.9993760562349685</v>
      </c>
      <c r="W37" s="345">
        <f>_xll.qlYieldTSDiscount(Discounting,S37,,AllTriggers)</f>
        <v>0.99823756553637577</v>
      </c>
      <c r="X37" s="32">
        <f t="shared" si="4"/>
        <v>4.5745360010716928E-3</v>
      </c>
      <c r="Y37" s="452">
        <f t="shared" si="5"/>
        <v>3.1238801324515484E-4</v>
      </c>
      <c r="AD37" s="33"/>
      <c r="AE37" s="33"/>
    </row>
    <row r="38" spans="5:31" ht="11.25" customHeight="1" x14ac:dyDescent="0.2">
      <c r="E38" s="155"/>
      <c r="F38" s="155"/>
      <c r="G38" s="33"/>
      <c r="K38" s="33"/>
      <c r="L38" s="33"/>
      <c r="R38" s="422">
        <f>_xll.qlCalendarAdvance(Calendar,R37,"1D","f")</f>
        <v>42117</v>
      </c>
      <c r="S38" s="221">
        <f>_xll.qlCalendarAdvance(Calendar,R38,$F$1,"mf",,Trigger)</f>
        <v>42208</v>
      </c>
      <c r="T38" s="342">
        <f>_xll.qlDayCounterYearFraction(DayCounter,R38,S38,,,Trigger)</f>
        <v>0.24931506849315069</v>
      </c>
      <c r="U38" s="32">
        <f>_xll.qlInterpolationInterpolate(B3Minterpolation,R38,TRUE)</f>
        <v>1.2566101995633745E-3</v>
      </c>
      <c r="V38" s="345">
        <f>_xll.qlYieldTSDiscount(Discounting,R38,,AllTriggers)</f>
        <v>0.99936355758471673</v>
      </c>
      <c r="W38" s="345">
        <f>_xll.qlYieldTSDiscount(Discounting,S38,,AllTriggers)</f>
        <v>0.99822509388502223</v>
      </c>
      <c r="X38" s="32">
        <f t="shared" si="4"/>
        <v>4.5744846696972553E-3</v>
      </c>
      <c r="Y38" s="452">
        <f t="shared" si="5"/>
        <v>3.1288600548844803E-4</v>
      </c>
      <c r="AD38" s="33"/>
      <c r="AE38" s="33"/>
    </row>
    <row r="39" spans="5:31" ht="11.25" customHeight="1" x14ac:dyDescent="0.2">
      <c r="E39" s="155"/>
      <c r="F39" s="155"/>
      <c r="G39" s="33"/>
      <c r="K39" s="33"/>
      <c r="L39" s="33"/>
      <c r="R39" s="422">
        <f>_xll.qlCalendarAdvance(Calendar,R38,"1D","f")</f>
        <v>42118</v>
      </c>
      <c r="S39" s="221">
        <f>_xll.qlCalendarAdvance(Calendar,R39,$F$1,"mf",,Trigger)</f>
        <v>42209</v>
      </c>
      <c r="T39" s="342">
        <f>_xll.qlDayCounterYearFraction(DayCounter,R39,S39,,,Trigger)</f>
        <v>0.24931506849315069</v>
      </c>
      <c r="U39" s="32">
        <f>_xll.qlInterpolationInterpolate(B3Minterpolation,R39,TRUE)</f>
        <v>1.2586065360935797E-3</v>
      </c>
      <c r="V39" s="345">
        <f>_xll.qlYieldTSDiscount(Discounting,R39,,AllTriggers)</f>
        <v>0.99935105913417144</v>
      </c>
      <c r="W39" s="345">
        <f>_xll.qlYieldTSDiscount(Discounting,S39,,AllTriggers)</f>
        <v>0.99821260665967171</v>
      </c>
      <c r="X39" s="32">
        <f t="shared" si="4"/>
        <v>4.5744967898488165E-3</v>
      </c>
      <c r="Y39" s="452">
        <f t="shared" si="5"/>
        <v>3.1338299867779369E-4</v>
      </c>
      <c r="AD39" s="33"/>
      <c r="AE39" s="33"/>
    </row>
    <row r="40" spans="5:31" ht="11.25" customHeight="1" x14ac:dyDescent="0.2">
      <c r="E40" s="155"/>
      <c r="F40" s="155"/>
      <c r="G40" s="33"/>
      <c r="K40" s="33"/>
      <c r="L40" s="33"/>
      <c r="R40" s="422">
        <f>_xll.qlCalendarAdvance(Calendar,R39,"1D","f")</f>
        <v>42121</v>
      </c>
      <c r="S40" s="221">
        <f>_xll.qlCalendarAdvance(Calendar,R40,$F$1,"mf",,Trigger)</f>
        <v>42212</v>
      </c>
      <c r="T40" s="342">
        <f>_xll.qlDayCounterYearFraction(DayCounter,R40,S40,,,Trigger)</f>
        <v>0.24931506849315069</v>
      </c>
      <c r="U40" s="32">
        <f>_xll.qlInterpolationInterpolate(B3Minterpolation,R40,TRUE)</f>
        <v>1.2645704836016451E-3</v>
      </c>
      <c r="V40" s="345">
        <f>_xll.qlYieldTSDiscount(Discounting,R40,,AllTriggers)</f>
        <v>0.99931356910785984</v>
      </c>
      <c r="W40" s="345">
        <f>_xll.qlYieldTSDiscount(Discounting,S40,,AllTriggers)</f>
        <v>0.9981750351824662</v>
      </c>
      <c r="X40" s="32">
        <f t="shared" si="4"/>
        <v>4.5749962706264583E-3</v>
      </c>
      <c r="Y40" s="452">
        <f t="shared" si="5"/>
        <v>3.1486770116545071E-4</v>
      </c>
      <c r="AD40" s="33"/>
      <c r="AE40" s="33"/>
    </row>
    <row r="41" spans="5:31" ht="11.25" customHeight="1" x14ac:dyDescent="0.2">
      <c r="E41" s="155"/>
      <c r="F41" s="155"/>
      <c r="G41" s="33"/>
      <c r="K41" s="33"/>
      <c r="L41" s="33"/>
      <c r="R41" s="422">
        <f>_xll.qlCalendarAdvance(Calendar,R40,"1D","f")</f>
        <v>42122</v>
      </c>
      <c r="S41" s="221">
        <f>_xll.qlCalendarAdvance(Calendar,R41,$F$1,"mf",,Trigger)</f>
        <v>42213</v>
      </c>
      <c r="T41" s="342">
        <f>_xll.qlDayCounterYearFraction(DayCounter,R41,S41,,,Trigger)</f>
        <v>0.24931506849315069</v>
      </c>
      <c r="U41" s="32">
        <f>_xll.qlInterpolationInterpolate(B3Minterpolation,R41,TRUE)</f>
        <v>1.2665497424295818E-3</v>
      </c>
      <c r="V41" s="345">
        <f>_xll.qlYieldTSDiscount(Discounting,R41,,AllTriggers)</f>
        <v>0.9993010755831232</v>
      </c>
      <c r="W41" s="345">
        <f>_xll.qlYieldTSDiscount(Discounting,S41,,AllTriggers)</f>
        <v>0.99816246930437091</v>
      </c>
      <c r="X41" s="32">
        <f t="shared" si="4"/>
        <v>4.57534460807926E-3</v>
      </c>
      <c r="Y41" s="452">
        <f t="shared" si="5"/>
        <v>3.1536041536348551E-4</v>
      </c>
      <c r="AD41" s="33"/>
      <c r="AE41" s="33"/>
    </row>
    <row r="42" spans="5:31" ht="11.25" customHeight="1" x14ac:dyDescent="0.2">
      <c r="E42" s="155"/>
      <c r="F42" s="155"/>
      <c r="G42" s="33"/>
      <c r="K42" s="33"/>
      <c r="L42" s="33"/>
      <c r="R42" s="422">
        <f>_xll.qlCalendarAdvance(Calendar,R41,"1D","f")</f>
        <v>42123</v>
      </c>
      <c r="S42" s="221">
        <f>_xll.qlCalendarAdvance(Calendar,R42,$F$1,"mf",,Trigger)</f>
        <v>42214</v>
      </c>
      <c r="T42" s="342">
        <f>_xll.qlDayCounterYearFraction(DayCounter,R42,S42,,,Trigger)</f>
        <v>0.24931506849315069</v>
      </c>
      <c r="U42" s="32">
        <f>_xll.qlInterpolationInterpolate(B3Minterpolation,R42,TRUE)</f>
        <v>1.2685244545965247E-3</v>
      </c>
      <c r="V42" s="345">
        <f>_xll.qlYieldTSDiscount(Discounting,R42,,AllTriggers)</f>
        <v>0.99928858432148149</v>
      </c>
      <c r="W42" s="345">
        <f>_xll.qlYieldTSDiscount(Discounting,S42,,AllTriggers)</f>
        <v>0.99814987967431679</v>
      </c>
      <c r="X42" s="32">
        <f t="shared" si="4"/>
        <v>4.5757976026909713E-3</v>
      </c>
      <c r="Y42" s="452">
        <f t="shared" si="5"/>
        <v>3.1585198910065232E-4</v>
      </c>
      <c r="AD42" s="33"/>
      <c r="AE42" s="33"/>
    </row>
    <row r="43" spans="5:31" ht="11.25" customHeight="1" x14ac:dyDescent="0.2">
      <c r="E43" s="155"/>
      <c r="F43" s="155"/>
      <c r="G43" s="33"/>
      <c r="K43" s="33"/>
      <c r="L43" s="33"/>
      <c r="R43" s="422">
        <f>_xll.qlCalendarAdvance(Calendar,R42,"1D","f")</f>
        <v>42124</v>
      </c>
      <c r="S43" s="221">
        <f>_xll.qlCalendarAdvance(Calendar,R43,$F$1,"mf",,Trigger)</f>
        <v>42215</v>
      </c>
      <c r="T43" s="342">
        <f>_xll.qlDayCounterYearFraction(DayCounter,R43,S43,,,Trigger)</f>
        <v>0.24931506849315069</v>
      </c>
      <c r="U43" s="32">
        <f>_xll.qlInterpolationInterpolate(B3Minterpolation,R43,TRUE)</f>
        <v>1.2704945092083038E-3</v>
      </c>
      <c r="V43" s="345">
        <f>_xll.qlYieldTSDiscount(Discounting,R43,,AllTriggers)</f>
        <v>0.99927609573555032</v>
      </c>
      <c r="W43" s="345">
        <f>_xll.qlYieldTSDiscount(Discounting,S43,,AllTriggers)</f>
        <v>0.99813726465696229</v>
      </c>
      <c r="X43" s="32">
        <f t="shared" si="4"/>
        <v>4.5763634956152502E-3</v>
      </c>
      <c r="Y43" s="452">
        <f t="shared" si="5"/>
        <v>3.1634239408422538E-4</v>
      </c>
      <c r="AD43" s="33"/>
      <c r="AE43" s="33"/>
    </row>
    <row r="44" spans="5:31" ht="11.25" customHeight="1" x14ac:dyDescent="0.2">
      <c r="E44" s="155"/>
      <c r="F44" s="155"/>
      <c r="G44" s="33"/>
      <c r="K44" s="33"/>
      <c r="L44" s="33"/>
      <c r="R44" s="422">
        <f>_xll.qlCalendarAdvance(Calendar,R43,"1D","f")</f>
        <v>42125</v>
      </c>
      <c r="S44" s="221">
        <f>_xll.qlCalendarAdvance(Calendar,R44,$F$1,"mf",,Trigger)</f>
        <v>42219</v>
      </c>
      <c r="T44" s="342">
        <f>_xll.qlDayCounterYearFraction(DayCounter,R44,S44,,,Trigger)</f>
        <v>0.25753424657534246</v>
      </c>
      <c r="U44" s="32">
        <f>_xll.qlInterpolationInterpolate(B3Minterpolation,R44,TRUE)</f>
        <v>1.2724597953707481E-3</v>
      </c>
      <c r="V44" s="345">
        <f>_xll.qlYieldTSDiscount(Discounting,R44,,AllTriggers)</f>
        <v>0.99926361023792498</v>
      </c>
      <c r="W44" s="345">
        <f>_xll.qlYieldTSDiscount(Discounting,S44,,AllTriggers)</f>
        <v>0.99808651801068549</v>
      </c>
      <c r="X44" s="32">
        <f t="shared" si="4"/>
        <v>4.5793866477277165E-3</v>
      </c>
      <c r="Y44" s="452">
        <f t="shared" si="5"/>
        <v>3.2726239880892933E-4</v>
      </c>
      <c r="AD44" s="33"/>
      <c r="AE44" s="33"/>
    </row>
    <row r="45" spans="5:31" ht="11.25" customHeight="1" x14ac:dyDescent="0.2">
      <c r="E45" s="155"/>
      <c r="F45" s="155"/>
      <c r="G45" s="33"/>
      <c r="K45" s="33"/>
      <c r="L45" s="33"/>
      <c r="R45" s="422">
        <f>_xll.qlCalendarAdvance(Calendar,R44,"1D","f")</f>
        <v>42129</v>
      </c>
      <c r="S45" s="221">
        <f>_xll.qlCalendarAdvance(Calendar,R45,$F$1,"mf",,Trigger)</f>
        <v>42221</v>
      </c>
      <c r="T45" s="342">
        <f>_xll.qlDayCounterYearFraction(DayCounter,R45,S45,,,Trigger)</f>
        <v>0.25205479452054796</v>
      </c>
      <c r="U45" s="32">
        <f>_xll.qlInterpolationInterpolate(B3Minterpolation,R45,TRUE)</f>
        <v>1.2802710376437665E-3</v>
      </c>
      <c r="V45" s="345">
        <f>_xll.qlYieldTSDiscount(Discounting,R45,,AllTriggers)</f>
        <v>0.99921370738166537</v>
      </c>
      <c r="W45" s="345">
        <f>_xll.qlYieldTSDiscount(Discounting,S45,,AllTriggers)</f>
        <v>0.99806095353968527</v>
      </c>
      <c r="X45" s="32">
        <f t="shared" si="4"/>
        <v>4.5823108824224659E-3</v>
      </c>
      <c r="Y45" s="452">
        <f t="shared" si="5"/>
        <v>3.2227423279790806E-4</v>
      </c>
      <c r="AD45" s="33"/>
      <c r="AE45" s="33"/>
    </row>
    <row r="46" spans="5:31" ht="11.25" customHeight="1" x14ac:dyDescent="0.2">
      <c r="E46" s="155"/>
      <c r="F46" s="155"/>
      <c r="G46" s="33"/>
      <c r="K46" s="33"/>
      <c r="L46" s="33"/>
      <c r="R46" s="422">
        <f>_xll.qlCalendarAdvance(Calendar,R45,"1D","f")</f>
        <v>42130</v>
      </c>
      <c r="S46" s="221">
        <f>_xll.qlCalendarAdvance(Calendar,R46,$F$1,"mf",,Trigger)</f>
        <v>42222</v>
      </c>
      <c r="T46" s="342">
        <f>_xll.qlDayCounterYearFraction(DayCounter,R46,S46,,,Trigger)</f>
        <v>0.25205479452054796</v>
      </c>
      <c r="U46" s="32">
        <f>_xll.qlInterpolationInterpolate(B3Minterpolation,R46,TRUE)</f>
        <v>1.2822108181469785E-3</v>
      </c>
      <c r="V46" s="345">
        <f>_xll.qlYieldTSDiscount(Discounting,R46,,AllTriggers)</f>
        <v>0.99920124334511318</v>
      </c>
      <c r="W46" s="345">
        <f>_xll.qlYieldTSDiscount(Discounting,S46,,AllTriggers)</f>
        <v>0.99804812378899166</v>
      </c>
      <c r="X46" s="32">
        <f t="shared" si="4"/>
        <v>4.5838235559843947E-3</v>
      </c>
      <c r="Y46" s="452">
        <f t="shared" si="5"/>
        <v>3.2276231933160872E-4</v>
      </c>
      <c r="AD46" s="33"/>
      <c r="AE46" s="33"/>
    </row>
    <row r="47" spans="5:31" ht="11.25" customHeight="1" x14ac:dyDescent="0.2">
      <c r="E47" s="155"/>
      <c r="F47" s="155"/>
      <c r="G47" s="33"/>
      <c r="K47" s="33"/>
      <c r="L47" s="33"/>
      <c r="R47" s="422">
        <f>_xll.qlCalendarAdvance(Calendar,R46,"1D","f")</f>
        <v>42131</v>
      </c>
      <c r="S47" s="221">
        <f>_xll.qlCalendarAdvance(Calendar,R47,$F$1,"mf",,Trigger)</f>
        <v>42223</v>
      </c>
      <c r="T47" s="342">
        <f>_xll.qlDayCounterYearFraction(DayCounter,R47,S47,,,Trigger)</f>
        <v>0.25205479452054796</v>
      </c>
      <c r="U47" s="32">
        <f>_xll.qlInterpolationInterpolate(B3Minterpolation,R47,TRUE)</f>
        <v>1.2841451648358325E-3</v>
      </c>
      <c r="V47" s="345">
        <f>_xll.qlYieldTSDiscount(Discounting,R47,,AllTriggers)</f>
        <v>0.99918878386004173</v>
      </c>
      <c r="W47" s="345">
        <f>_xll.qlYieldTSDiscount(Discounting,S47,,AllTriggers)</f>
        <v>0.99803526387015973</v>
      </c>
      <c r="X47" s="32">
        <f t="shared" si="4"/>
        <v>4.5854744245231865E-3</v>
      </c>
      <c r="Y47" s="452">
        <f t="shared" si="5"/>
        <v>3.2324902641481761E-4</v>
      </c>
      <c r="AD47" s="33"/>
      <c r="AE47" s="33"/>
    </row>
    <row r="48" spans="5:31" ht="11.25" customHeight="1" x14ac:dyDescent="0.2">
      <c r="E48" s="155"/>
      <c r="F48" s="155"/>
      <c r="G48" s="33"/>
      <c r="K48" s="33"/>
      <c r="L48" s="33"/>
      <c r="R48" s="422">
        <f>_xll.qlCalendarAdvance(Calendar,R47,"1D","f")</f>
        <v>42132</v>
      </c>
      <c r="S48" s="221">
        <f>_xll.qlCalendarAdvance(Calendar,R48,$F$1,"mf",,Trigger)</f>
        <v>42226</v>
      </c>
      <c r="T48" s="342">
        <f>_xll.qlDayCounterYearFraction(DayCounter,R48,S48,,,Trigger)</f>
        <v>0.25753424657534246</v>
      </c>
      <c r="U48" s="32">
        <f>_xll.qlInterpolationInterpolate(B3Minterpolation,R48,TRUE)</f>
        <v>1.2860739668161577E-3</v>
      </c>
      <c r="V48" s="345">
        <f>_xll.qlYieldTSDiscount(Discounting,R48,,AllTriggers)</f>
        <v>0.99917632832698411</v>
      </c>
      <c r="W48" s="345">
        <f>_xll.qlYieldTSDiscount(Discounting,S48,,AllTriggers)</f>
        <v>0.99799651441879234</v>
      </c>
      <c r="X48" s="32">
        <f t="shared" si="4"/>
        <v>4.5903890814216223E-3</v>
      </c>
      <c r="Y48" s="452">
        <f t="shared" si="5"/>
        <v>3.307622961664732E-4</v>
      </c>
      <c r="AD48" s="33"/>
      <c r="AE48" s="33"/>
    </row>
    <row r="49" spans="5:31" ht="11.25" customHeight="1" x14ac:dyDescent="0.2">
      <c r="E49" s="155"/>
      <c r="F49" s="155"/>
      <c r="G49" s="33"/>
      <c r="K49" s="33"/>
      <c r="L49" s="33"/>
      <c r="R49" s="422">
        <f>_xll.qlCalendarAdvance(Calendar,R48,"1D","f")</f>
        <v>42135</v>
      </c>
      <c r="S49" s="221">
        <f>_xll.qlCalendarAdvance(Calendar,R49,$F$1,"mf",,Trigger)</f>
        <v>42227</v>
      </c>
      <c r="T49" s="342">
        <f>_xll.qlDayCounterYearFraction(DayCounter,R49,S49,,,Trigger)</f>
        <v>0.25205479452054796</v>
      </c>
      <c r="U49" s="32">
        <f>_xll.qlInterpolationInterpolate(B3Minterpolation,R49,TRUE)</f>
        <v>1.2918259955642553E-3</v>
      </c>
      <c r="V49" s="345">
        <f>_xll.qlYieldTSDiscount(Discounting,R49,,AllTriggers)</f>
        <v>0.99913897944567676</v>
      </c>
      <c r="W49" s="345">
        <f>_xll.qlYieldTSDiscount(Discounting,S49,,AllTriggers)</f>
        <v>0.99798354514108523</v>
      </c>
      <c r="X49" s="32">
        <f t="shared" si="4"/>
        <v>4.5933222397307261E-3</v>
      </c>
      <c r="Y49" s="452">
        <f t="shared" si="5"/>
        <v>3.2518151236955874E-4</v>
      </c>
      <c r="AD49" s="33"/>
      <c r="AE49" s="33"/>
    </row>
    <row r="50" spans="5:31" ht="11.25" customHeight="1" x14ac:dyDescent="0.2">
      <c r="E50" s="155"/>
      <c r="F50" s="155"/>
      <c r="G50" s="33"/>
      <c r="K50" s="33"/>
      <c r="L50" s="33"/>
      <c r="R50" s="422">
        <f>_xll.qlCalendarAdvance(Calendar,R49,"1D","f")</f>
        <v>42136</v>
      </c>
      <c r="S50" s="221">
        <f>_xll.qlCalendarAdvance(Calendar,R50,$F$1,"mf",,Trigger)</f>
        <v>42228</v>
      </c>
      <c r="T50" s="342">
        <f>_xll.qlDayCounterYearFraction(DayCounter,R50,S50,,,Trigger)</f>
        <v>0.25205479452054796</v>
      </c>
      <c r="U50" s="32">
        <f>_xll.qlInterpolationInterpolate(B3Minterpolation,R50,TRUE)</f>
        <v>1.2937315097687598E-3</v>
      </c>
      <c r="V50" s="345">
        <f>_xll.qlYieldTSDiscount(Discounting,R50,,AllTriggers)</f>
        <v>0.99912653372660609</v>
      </c>
      <c r="W50" s="345">
        <f>_xll.qlYieldTSDiscount(Discounting,S50,,AllTriggers)</f>
        <v>0.99797055135179757</v>
      </c>
      <c r="X50" s="32">
        <f t="shared" si="4"/>
        <v>4.5955608766034255E-3</v>
      </c>
      <c r="Y50" s="452">
        <f t="shared" si="5"/>
        <v>3.2566091132796667E-4</v>
      </c>
      <c r="AD50" s="33"/>
      <c r="AE50" s="33"/>
    </row>
    <row r="51" spans="5:31" ht="11.25" customHeight="1" x14ac:dyDescent="0.2">
      <c r="E51" s="155"/>
      <c r="F51" s="155"/>
      <c r="G51" s="33"/>
      <c r="K51" s="33"/>
      <c r="L51" s="33"/>
      <c r="R51" s="422">
        <f>_xll.qlCalendarAdvance(Calendar,R50,"1D","f")</f>
        <v>42137</v>
      </c>
      <c r="S51" s="221">
        <f>_xll.qlCalendarAdvance(Calendar,R51,$F$1,"mf",,Trigger)</f>
        <v>42229</v>
      </c>
      <c r="T51" s="342">
        <f>_xll.qlDayCounterYearFraction(DayCounter,R51,S51,,,Trigger)</f>
        <v>0.25205479452054796</v>
      </c>
      <c r="U51" s="32">
        <f>_xll.qlInterpolationInterpolate(B3Minterpolation,R51,TRUE)</f>
        <v>1.2956309247938828E-3</v>
      </c>
      <c r="V51" s="345">
        <f>_xll.qlYieldTSDiscount(Discounting,R51,,AllTriggers)</f>
        <v>0.99911408896266451</v>
      </c>
      <c r="W51" s="345">
        <f>_xll.qlYieldTSDiscount(Discounting,S51,,AllTriggers)</f>
        <v>0.99795753418207112</v>
      </c>
      <c r="X51" s="32">
        <f t="shared" si="4"/>
        <v>4.5978964258120347E-3</v>
      </c>
      <c r="Y51" s="452">
        <f t="shared" si="5"/>
        <v>3.2613876651270976E-4</v>
      </c>
      <c r="AD51" s="33"/>
      <c r="AE51" s="33"/>
    </row>
    <row r="52" spans="5:31" ht="11.25" customHeight="1" x14ac:dyDescent="0.2">
      <c r="E52" s="155"/>
      <c r="F52" s="155"/>
      <c r="G52" s="33"/>
      <c r="K52" s="33"/>
      <c r="L52" s="33"/>
      <c r="R52" s="422">
        <f>_xll.qlCalendarAdvance(Calendar,R51,"1D","f")</f>
        <v>42138</v>
      </c>
      <c r="S52" s="221">
        <f>_xll.qlCalendarAdvance(Calendar,R52,$F$1,"mf",,Trigger)</f>
        <v>42230</v>
      </c>
      <c r="T52" s="342">
        <f>_xll.qlDayCounterYearFraction(DayCounter,R52,S52,,,Trigger)</f>
        <v>0.25205479452054796</v>
      </c>
      <c r="U52" s="32">
        <f>_xll.qlInterpolationInterpolate(B3Minterpolation,R52,TRUE)</f>
        <v>1.2975241297454535E-3</v>
      </c>
      <c r="V52" s="345">
        <f>_xll.qlYieldTSDiscount(Discounting,R52,,AllTriggers)</f>
        <v>0.99910164455456441</v>
      </c>
      <c r="W52" s="345">
        <f>_xll.qlYieldTSDiscount(Discounting,S52,,AllTriggers)</f>
        <v>0.9979444947629903</v>
      </c>
      <c r="X52" s="32">
        <f t="shared" si="4"/>
        <v>4.6003220068964274E-3</v>
      </c>
      <c r="Y52" s="452">
        <f t="shared" si="5"/>
        <v>3.2661505054996064E-4</v>
      </c>
      <c r="AD52" s="33"/>
      <c r="AE52" s="33"/>
    </row>
    <row r="53" spans="5:31" ht="11.25" customHeight="1" x14ac:dyDescent="0.2">
      <c r="E53" s="155"/>
      <c r="F53" s="155"/>
      <c r="G53" s="33"/>
      <c r="K53" s="33"/>
      <c r="L53" s="33"/>
      <c r="R53" s="422">
        <f>_xll.qlCalendarAdvance(Calendar,R52,"1D","f")</f>
        <v>42139</v>
      </c>
      <c r="S53" s="221">
        <f>_xll.qlCalendarAdvance(Calendar,R53,$F$1,"mf",,Trigger)</f>
        <v>42233</v>
      </c>
      <c r="T53" s="342">
        <f>_xll.qlDayCounterYearFraction(DayCounter,R53,S53,,,Trigger)</f>
        <v>0.25753424657534246</v>
      </c>
      <c r="U53" s="32">
        <f>_xll.qlInterpolationInterpolate(B3Minterpolation,R53,TRUE)</f>
        <v>1.2994110137293016E-3</v>
      </c>
      <c r="V53" s="345">
        <f>_xll.qlYieldTSDiscount(Discounting,R53,,AllTriggers)</f>
        <v>0.99908919990304856</v>
      </c>
      <c r="W53" s="345">
        <f>_xll.qlYieldTSDiscount(Discounting,S53,,AllTriggers)</f>
        <v>0.99790525431960198</v>
      </c>
      <c r="X53" s="32">
        <f t="shared" si="4"/>
        <v>4.606885764246455E-3</v>
      </c>
      <c r="Y53" s="452">
        <f t="shared" si="5"/>
        <v>3.3419042847483357E-4</v>
      </c>
      <c r="AD53" s="33"/>
      <c r="AE53" s="33"/>
    </row>
    <row r="54" spans="5:31" ht="11.25" customHeight="1" x14ac:dyDescent="0.2">
      <c r="E54" s="155"/>
      <c r="F54" s="155"/>
      <c r="G54" s="33"/>
      <c r="K54" s="33"/>
      <c r="L54" s="33"/>
      <c r="R54" s="422">
        <f>_xll.qlCalendarAdvance(Calendar,R53,"1D","f")</f>
        <v>42142</v>
      </c>
      <c r="S54" s="221">
        <f>_xll.qlCalendarAdvance(Calendar,R54,$F$1,"mf",,Trigger)</f>
        <v>42234</v>
      </c>
      <c r="T54" s="342">
        <f>_xll.qlDayCounterYearFraction(DayCounter,R54,S54,,,Trigger)</f>
        <v>0.25205479452054796</v>
      </c>
      <c r="U54" s="32">
        <f>_xll.qlInterpolationInterpolate(B3Minterpolation,R54,TRUE)</f>
        <v>1.3050326309328034E-3</v>
      </c>
      <c r="V54" s="345">
        <f>_xll.qlYieldTSDiscount(Discounting,R54,,AllTriggers)</f>
        <v>0.99905185849587819</v>
      </c>
      <c r="W54" s="345">
        <f>_xll.qlYieldTSDiscount(Discounting,S54,,AllTriggers)</f>
        <v>0.99789213721279424</v>
      </c>
      <c r="X54" s="32">
        <f t="shared" si="4"/>
        <v>4.6107870403963936E-3</v>
      </c>
      <c r="Y54" s="452">
        <f t="shared" si="5"/>
        <v>3.2850392786181777E-4</v>
      </c>
      <c r="AD54" s="33"/>
      <c r="AE54" s="33"/>
    </row>
    <row r="55" spans="5:31" ht="11.25" customHeight="1" x14ac:dyDescent="0.2">
      <c r="E55" s="155"/>
      <c r="F55" s="155"/>
      <c r="G55" s="33"/>
      <c r="K55" s="33"/>
      <c r="L55" s="33"/>
      <c r="R55" s="422">
        <f>_xll.qlCalendarAdvance(Calendar,R54,"1D","f")</f>
        <v>42143</v>
      </c>
      <c r="S55" s="221">
        <f>_xll.qlCalendarAdvance(Calendar,R55,$F$1,"mf",,Trigger)</f>
        <v>42235</v>
      </c>
      <c r="T55" s="342">
        <f>_xll.qlDayCounterYearFraction(DayCounter,R55,S55,,,Trigger)</f>
        <v>0.25205479452054796</v>
      </c>
      <c r="U55" s="32">
        <f>_xll.qlInterpolationInterpolate(B3Minterpolation,R55,TRUE)</f>
        <v>1.3068931221040547E-3</v>
      </c>
      <c r="V55" s="345">
        <f>_xll.qlYieldTSDiscount(Discounting,R55,,AllTriggers)</f>
        <v>0.99903940687872084</v>
      </c>
      <c r="W55" s="345">
        <f>_xll.qlYieldTSDiscount(Discounting,S55,,AllTriggers)</f>
        <v>0.99787900351118686</v>
      </c>
      <c r="X55" s="32">
        <f t="shared" si="4"/>
        <v>4.6135595735464019E-3</v>
      </c>
      <c r="Y55" s="452">
        <f t="shared" si="5"/>
        <v>3.2897194567206508E-4</v>
      </c>
      <c r="AD55" s="33"/>
      <c r="AE55" s="33"/>
    </row>
    <row r="56" spans="5:31" ht="11.25" customHeight="1" x14ac:dyDescent="0.2">
      <c r="E56" s="155"/>
      <c r="F56" s="155"/>
      <c r="G56" s="33"/>
      <c r="K56" s="33"/>
      <c r="L56" s="33"/>
      <c r="R56" s="422">
        <f>_xll.qlCalendarAdvance(Calendar,R55,"1D","f")</f>
        <v>42144</v>
      </c>
      <c r="S56" s="221">
        <f>_xll.qlCalendarAdvance(Calendar,R56,$F$1,"mf",,Trigger)</f>
        <v>42236</v>
      </c>
      <c r="T56" s="342">
        <f>_xll.qlDayCounterYearFraction(DayCounter,R56,S56,,,Trigger)</f>
        <v>0.25205479452054796</v>
      </c>
      <c r="U56" s="32">
        <f>_xll.qlInterpolationInterpolate(B3Minterpolation,R56,TRUE)</f>
        <v>1.3087467378367305E-3</v>
      </c>
      <c r="V56" s="345">
        <f>_xll.qlYieldTSDiscount(Discounting,R56,,AllTriggers)</f>
        <v>0.99902695202230796</v>
      </c>
      <c r="W56" s="345">
        <f>_xll.qlYieldTSDiscount(Discounting,S56,,AllTriggers)</f>
        <v>0.99786585434551567</v>
      </c>
      <c r="X56" s="32">
        <f t="shared" si="4"/>
        <v>4.6163808555462708E-3</v>
      </c>
      <c r="Y56" s="452">
        <f t="shared" si="5"/>
        <v>3.2943822816470109E-4</v>
      </c>
      <c r="AD56" s="33"/>
      <c r="AE56" s="33"/>
    </row>
    <row r="57" spans="5:31" ht="11.25" customHeight="1" x14ac:dyDescent="0.2">
      <c r="E57" s="155"/>
      <c r="F57" s="155"/>
      <c r="G57" s="33"/>
      <c r="K57" s="33"/>
      <c r="L57" s="33"/>
      <c r="R57" s="422">
        <f>_xll.qlCalendarAdvance(Calendar,R56,"1D","f")</f>
        <v>42145</v>
      </c>
      <c r="S57" s="221">
        <f>_xll.qlCalendarAdvance(Calendar,R57,$F$1,"mf",,Trigger)</f>
        <v>42237</v>
      </c>
      <c r="T57" s="342">
        <f>_xll.qlDayCounterYearFraction(DayCounter,R57,S57,,,Trigger)</f>
        <v>0.25205479452054796</v>
      </c>
      <c r="U57" s="32">
        <f>_xll.qlInterpolationInterpolate(B3Minterpolation,R57,TRUE)</f>
        <v>1.3105933672366598E-3</v>
      </c>
      <c r="V57" s="345">
        <f>_xll.qlYieldTSDiscount(Discounting,R57,,AllTriggers)</f>
        <v>0.99901449332756143</v>
      </c>
      <c r="W57" s="345">
        <f>_xll.qlYieldTSDiscount(Discounting,S57,,AllTriggers)</f>
        <v>0.99785269084645778</v>
      </c>
      <c r="X57" s="32">
        <f t="shared" si="4"/>
        <v>4.6192440058363269E-3</v>
      </c>
      <c r="Y57" s="452">
        <f t="shared" si="5"/>
        <v>3.2990274798995386E-4</v>
      </c>
      <c r="AD57" s="33"/>
      <c r="AE57" s="33"/>
    </row>
    <row r="58" spans="5:31" ht="11.25" customHeight="1" x14ac:dyDescent="0.2">
      <c r="E58" s="155"/>
      <c r="F58" s="155"/>
      <c r="G58" s="33"/>
      <c r="K58" s="33"/>
      <c r="L58" s="33"/>
      <c r="R58" s="422">
        <f>_xll.qlCalendarAdvance(Calendar,R57,"1D","f")</f>
        <v>42146</v>
      </c>
      <c r="S58" s="221">
        <f>_xll.qlCalendarAdvance(Calendar,R58,$F$1,"mf",,Trigger)</f>
        <v>42240</v>
      </c>
      <c r="T58" s="342">
        <f>_xll.qlDayCounterYearFraction(DayCounter,R58,S58,,,Trigger)</f>
        <v>0.25753424657534246</v>
      </c>
      <c r="U58" s="32">
        <f>_xll.qlInterpolationInterpolate(B3Minterpolation,R58,TRUE)</f>
        <v>1.3124328994096727E-3</v>
      </c>
      <c r="V58" s="345">
        <f>_xll.qlYieldTSDiscount(Discounting,R58,,AllTriggers)</f>
        <v>0.99900203019543288</v>
      </c>
      <c r="W58" s="345">
        <f>_xll.qlYieldTSDiscount(Discounting,S58,,AllTriggers)</f>
        <v>0.99781312565484848</v>
      </c>
      <c r="X58" s="32">
        <f t="shared" si="4"/>
        <v>4.6266088474410548E-3</v>
      </c>
      <c r="Y58" s="452">
        <f t="shared" si="5"/>
        <v>3.375371989337511E-4</v>
      </c>
      <c r="AD58" s="33"/>
      <c r="AE58" s="33"/>
    </row>
    <row r="59" spans="5:31" ht="11.25" customHeight="1" x14ac:dyDescent="0.2">
      <c r="E59" s="155"/>
      <c r="F59" s="155"/>
      <c r="G59" s="33"/>
      <c r="K59" s="33"/>
      <c r="L59" s="33"/>
      <c r="R59" s="422">
        <f>_xll.qlCalendarAdvance(Calendar,R58,"1D","f")</f>
        <v>42150</v>
      </c>
      <c r="S59" s="221">
        <f>_xll.qlCalendarAdvance(Calendar,R59,$F$1,"mf",,Trigger)</f>
        <v>42242</v>
      </c>
      <c r="T59" s="342">
        <f>_xll.qlDayCounterYearFraction(DayCounter,R59,S59,,,Trigger)</f>
        <v>0.25205479452054796</v>
      </c>
      <c r="U59" s="32">
        <f>_xll.qlInterpolationInterpolate(B3Minterpolation,R59,TRUE)</f>
        <v>1.3197178379491443E-3</v>
      </c>
      <c r="V59" s="345">
        <f>_xll.qlYieldTSDiscount(Discounting,R59,,AllTriggers)</f>
        <v>0.99895212131318134</v>
      </c>
      <c r="W59" s="345">
        <f>_xll.qlYieldTSDiscount(Discounting,S59,,AllTriggers)</f>
        <v>0.99778669791992702</v>
      </c>
      <c r="X59" s="32">
        <f t="shared" si="4"/>
        <v>4.6339469607277048E-3</v>
      </c>
      <c r="Y59" s="452">
        <f t="shared" si="5"/>
        <v>3.3219795011893568E-4</v>
      </c>
      <c r="AD59" s="33"/>
      <c r="AE59" s="33"/>
    </row>
    <row r="60" spans="5:31" ht="11.25" customHeight="1" x14ac:dyDescent="0.2">
      <c r="E60" s="155"/>
      <c r="F60" s="155"/>
      <c r="G60" s="33"/>
      <c r="K60" s="33"/>
      <c r="L60" s="33"/>
      <c r="R60" s="422">
        <f>_xll.qlCalendarAdvance(Calendar,R59,"1D","f")</f>
        <v>42151</v>
      </c>
      <c r="S60" s="221">
        <f>_xll.qlCalendarAdvance(Calendar,R60,$F$1,"mf",,Trigger)</f>
        <v>42243</v>
      </c>
      <c r="T60" s="342">
        <f>_xll.qlDayCounterYearFraction(DayCounter,R60,S60,,,Trigger)</f>
        <v>0.25205479452054796</v>
      </c>
      <c r="U60" s="32">
        <f>_xll.qlInterpolationInterpolate(B3Minterpolation,R60,TRUE)</f>
        <v>1.3215202205750145E-3</v>
      </c>
      <c r="V60" s="345">
        <f>_xll.qlYieldTSDiscount(Discounting,R60,,AllTriggers)</f>
        <v>0.99893962700946748</v>
      </c>
      <c r="W60" s="345">
        <f>_xll.qlYieldTSDiscount(Discounting,S60,,AllTriggers)</f>
        <v>0.99777347216145373</v>
      </c>
      <c r="X60" s="32">
        <f t="shared" si="4"/>
        <v>4.6369168279354186E-3</v>
      </c>
      <c r="Y60" s="452">
        <f t="shared" si="5"/>
        <v>3.3265131979519146E-4</v>
      </c>
      <c r="AD60" s="33"/>
      <c r="AE60" s="33"/>
    </row>
    <row r="61" spans="5:31" ht="11.25" customHeight="1" x14ac:dyDescent="0.2">
      <c r="E61" s="155"/>
      <c r="F61" s="155"/>
      <c r="G61" s="33"/>
      <c r="K61" s="33"/>
      <c r="L61" s="33"/>
      <c r="R61" s="422">
        <f>_xll.qlCalendarAdvance(Calendar,R60,"1D","f")</f>
        <v>42152</v>
      </c>
      <c r="S61" s="221">
        <f>_xll.qlCalendarAdvance(Calendar,R61,$F$1,"mf",,Trigger)</f>
        <v>42244</v>
      </c>
      <c r="T61" s="342">
        <f>_xll.qlDayCounterYearFraction(DayCounter,R61,S61,,,Trigger)</f>
        <v>0.25205479452054796</v>
      </c>
      <c r="U61" s="32">
        <f>_xll.qlInterpolationInterpolate(B3Minterpolation,R61,TRUE)</f>
        <v>1.3233148406089443E-3</v>
      </c>
      <c r="V61" s="345">
        <f>_xll.qlYieldTSDiscount(Discounting,R61,,AllTriggers)</f>
        <v>0.9989271246747119</v>
      </c>
      <c r="W61" s="345">
        <f>_xll.qlYieldTSDiscount(Discounting,S61,,AllTriggers)</f>
        <v>0.99776023998267394</v>
      </c>
      <c r="X61" s="32">
        <f t="shared" si="4"/>
        <v>4.639880398971191E-3</v>
      </c>
      <c r="Y61" s="452">
        <f t="shared" si="5"/>
        <v>3.3310273545424183E-4</v>
      </c>
      <c r="AD61" s="33"/>
      <c r="AE61" s="33"/>
    </row>
    <row r="62" spans="5:31" ht="11.25" customHeight="1" x14ac:dyDescent="0.2">
      <c r="E62" s="155"/>
      <c r="F62" s="155"/>
      <c r="G62" s="33"/>
      <c r="K62" s="33"/>
      <c r="L62" s="33"/>
      <c r="R62" s="422">
        <f>_xll.qlCalendarAdvance(Calendar,R61,"1D","f")</f>
        <v>42153</v>
      </c>
      <c r="S62" s="221">
        <f>_xll.qlCalendarAdvance(Calendar,R62,$F$1,"mf",,Trigger)</f>
        <v>42244</v>
      </c>
      <c r="T62" s="342">
        <f>_xll.qlDayCounterYearFraction(DayCounter,R62,S62,,,Trigger)</f>
        <v>0.24931506849315069</v>
      </c>
      <c r="U62" s="32">
        <f>_xll.qlInterpolationInterpolate(B3Minterpolation,R62,TRUE)</f>
        <v>1.3251015871567637E-3</v>
      </c>
      <c r="V62" s="345">
        <f>_xll.qlYieldTSDiscount(Discounting,R62,,AllTriggers)</f>
        <v>0.99891461371007673</v>
      </c>
      <c r="W62" s="345">
        <f>_xll.qlYieldTSDiscount(Discounting,S62,,AllTriggers)</f>
        <v>0.99776023998267394</v>
      </c>
      <c r="X62" s="32">
        <f t="shared" si="4"/>
        <v>4.6405741075302744E-3</v>
      </c>
      <c r="Y62" s="452">
        <f t="shared" si="5"/>
        <v>3.2993157727157353E-4</v>
      </c>
      <c r="AD62" s="33"/>
      <c r="AE62" s="33"/>
    </row>
    <row r="63" spans="5:31" ht="11.25" customHeight="1" x14ac:dyDescent="0.2">
      <c r="E63" s="155"/>
      <c r="F63" s="155"/>
      <c r="G63" s="33"/>
      <c r="K63" s="33"/>
      <c r="L63" s="33"/>
      <c r="R63" s="422">
        <f>_xll.qlCalendarAdvance(Calendar,R62,"1D","f")</f>
        <v>42156</v>
      </c>
      <c r="S63" s="221">
        <f>_xll.qlCalendarAdvance(Calendar,R63,$F$1,"mf",,Trigger)</f>
        <v>42248</v>
      </c>
      <c r="T63" s="342">
        <f>_xll.qlDayCounterYearFraction(DayCounter,R63,S63,,,Trigger)</f>
        <v>0.25205479452054796</v>
      </c>
      <c r="U63" s="32">
        <f>_xll.qlInterpolationInterpolate(B3Minterpolation,R63,TRUE)</f>
        <v>1.3304134769418509E-3</v>
      </c>
      <c r="V63" s="345">
        <f>_xll.qlYieldTSDiscount(Discounting,R63,,AllTriggers)</f>
        <v>0.99887702304896819</v>
      </c>
      <c r="W63" s="345">
        <f>_xll.qlYieldTSDiscount(Discounting,S63,,AllTriggers)</f>
        <v>0.99770726966762191</v>
      </c>
      <c r="X63" s="32">
        <f t="shared" si="4"/>
        <v>4.6515341067234709E-3</v>
      </c>
      <c r="Y63" s="452">
        <f t="shared" si="5"/>
        <v>3.3488831150966673E-4</v>
      </c>
      <c r="AD63" s="33"/>
      <c r="AE63" s="33"/>
    </row>
    <row r="64" spans="5:31" ht="11.25" customHeight="1" x14ac:dyDescent="0.2">
      <c r="E64" s="155"/>
      <c r="F64" s="155"/>
      <c r="G64" s="33"/>
      <c r="K64" s="33"/>
      <c r="L64" s="33"/>
      <c r="R64" s="422">
        <f>_xll.qlCalendarAdvance(Calendar,R63,"1D","f")</f>
        <v>42157</v>
      </c>
      <c r="S64" s="221">
        <f>_xll.qlCalendarAdvance(Calendar,R64,$F$1,"mf",,Trigger)</f>
        <v>42249</v>
      </c>
      <c r="T64" s="342">
        <f>_xll.qlDayCounterYearFraction(DayCounter,R64,S64,,,Trigger)</f>
        <v>0.25205479452054796</v>
      </c>
      <c r="U64" s="32">
        <f>_xll.qlInterpolationInterpolate(B3Minterpolation,R64,TRUE)</f>
        <v>1.3321676206035213E-3</v>
      </c>
      <c r="V64" s="345">
        <f>_xll.qlYieldTSDiscount(Discounting,R64,,AllTriggers)</f>
        <v>0.99886447157704084</v>
      </c>
      <c r="W64" s="345">
        <f>_xll.qlYieldTSDiscount(Discounting,S64,,AllTriggers)</f>
        <v>0.99769402233913462</v>
      </c>
      <c r="X64" s="32">
        <f t="shared" si="4"/>
        <v>4.6543629857206826E-3</v>
      </c>
      <c r="Y64" s="452">
        <f t="shared" si="5"/>
        <v>3.3532954730577024E-4</v>
      </c>
      <c r="AD64" s="33"/>
      <c r="AE64" s="33"/>
    </row>
    <row r="65" spans="5:31" ht="11.25" customHeight="1" x14ac:dyDescent="0.2">
      <c r="E65" s="155"/>
      <c r="F65" s="155"/>
      <c r="G65" s="33"/>
      <c r="K65" s="33"/>
      <c r="L65" s="33"/>
      <c r="R65" s="422">
        <f>_xll.qlCalendarAdvance(Calendar,R64,"1D","f")</f>
        <v>42158</v>
      </c>
      <c r="S65" s="221">
        <f>_xll.qlCalendarAdvance(Calendar,R65,$F$1,"mf",,Trigger)</f>
        <v>42250</v>
      </c>
      <c r="T65" s="342">
        <f>_xll.qlDayCounterYearFraction(DayCounter,R65,S65,,,Trigger)</f>
        <v>0.25205479452054796</v>
      </c>
      <c r="U65" s="32">
        <f>_xll.qlInterpolationInterpolate(B3Minterpolation,R65,TRUE)</f>
        <v>1.3339133363082277E-3</v>
      </c>
      <c r="V65" s="345">
        <f>_xll.qlYieldTSDiscount(Discounting,R65,,AllTriggers)</f>
        <v>0.99885190848149896</v>
      </c>
      <c r="W65" s="345">
        <f>_xll.qlYieldTSDiscount(Discounting,S65,,AllTriggers)</f>
        <v>0.99768077537065136</v>
      </c>
      <c r="X65" s="32">
        <f t="shared" si="4"/>
        <v>4.6571442839361031E-3</v>
      </c>
      <c r="Y65" s="452">
        <f t="shared" si="5"/>
        <v>3.3576866519581902E-4</v>
      </c>
      <c r="AD65" s="33"/>
      <c r="AE65" s="33"/>
    </row>
    <row r="66" spans="5:31" ht="11.25" customHeight="1" x14ac:dyDescent="0.2">
      <c r="E66" s="155"/>
      <c r="F66" s="155"/>
      <c r="G66" s="33"/>
      <c r="K66" s="33"/>
      <c r="L66" s="33"/>
      <c r="R66" s="422">
        <f>_xll.qlCalendarAdvance(Calendar,R65,"1D","f")</f>
        <v>42159</v>
      </c>
      <c r="S66" s="221">
        <f>_xll.qlCalendarAdvance(Calendar,R66,$F$1,"mf",,Trigger)</f>
        <v>42251</v>
      </c>
      <c r="T66" s="342">
        <f>_xll.qlDayCounterYearFraction(DayCounter,R66,S66,,,Trigger)</f>
        <v>0.25205479452054796</v>
      </c>
      <c r="U66" s="32">
        <f>_xll.qlInterpolationInterpolate(B3Minterpolation,R66,TRUE)</f>
        <v>1.3356505131618002E-3</v>
      </c>
      <c r="V66" s="345">
        <f>_xll.qlYieldTSDiscount(Discounting,R66,,AllTriggers)</f>
        <v>0.99883933342680598</v>
      </c>
      <c r="W66" s="345">
        <f>_xll.qlYieldTSDiscount(Discounting,S66,,AllTriggers)</f>
        <v>0.99766752966415539</v>
      </c>
      <c r="X66" s="32">
        <f t="shared" si="4"/>
        <v>4.6598730740562613E-3</v>
      </c>
      <c r="Y66" s="452">
        <f t="shared" si="5"/>
        <v>3.362056377111563E-4</v>
      </c>
      <c r="AD66" s="33"/>
      <c r="AE66" s="33"/>
    </row>
    <row r="67" spans="5:31" ht="11.25" customHeight="1" x14ac:dyDescent="0.2">
      <c r="E67" s="155"/>
      <c r="F67" s="155"/>
      <c r="G67" s="33"/>
      <c r="K67" s="33"/>
      <c r="L67" s="33"/>
      <c r="R67" s="422">
        <f>_xll.qlCalendarAdvance(Calendar,R66,"1D","f")</f>
        <v>42160</v>
      </c>
      <c r="S67" s="221">
        <f>_xll.qlCalendarAdvance(Calendar,R67,$F$1,"mf",,Trigger)</f>
        <v>42254</v>
      </c>
      <c r="T67" s="342">
        <f>_xll.qlDayCounterYearFraction(DayCounter,R67,S67,,,Trigger)</f>
        <v>0.25753424657534246</v>
      </c>
      <c r="U67" s="32">
        <f>_xll.qlInterpolationInterpolate(B3Minterpolation,R67,TRUE)</f>
        <v>1.3373790402700677E-3</v>
      </c>
      <c r="V67" s="345">
        <f>_xll.qlYieldTSDiscount(Discounting,R67,,AllTriggers)</f>
        <v>0.9988267471299056</v>
      </c>
      <c r="W67" s="345">
        <f>_xll.qlYieldTSDiscount(Discounting,S67,,AllTriggers)</f>
        <v>0.99762779911033095</v>
      </c>
      <c r="X67" s="32">
        <f t="shared" si="4"/>
        <v>4.666559667471093E-3</v>
      </c>
      <c r="Y67" s="452">
        <f t="shared" si="5"/>
        <v>3.4394831870108447E-4</v>
      </c>
      <c r="AD67" s="33"/>
      <c r="AE67" s="33"/>
    </row>
    <row r="68" spans="5:31" ht="11.25" customHeight="1" x14ac:dyDescent="0.2">
      <c r="E68" s="155"/>
      <c r="F68" s="155"/>
      <c r="G68" s="33"/>
      <c r="K68" s="33"/>
      <c r="L68" s="33"/>
      <c r="R68" s="422">
        <f>_xll.qlCalendarAdvance(Calendar,R67,"1D","f")</f>
        <v>42163</v>
      </c>
      <c r="S68" s="221">
        <f>_xll.qlCalendarAdvance(Calendar,R68,$F$1,"mf",,Trigger)</f>
        <v>42255</v>
      </c>
      <c r="T68" s="342">
        <f>_xll.qlDayCounterYearFraction(DayCounter,R68,S68,,,Trigger)</f>
        <v>0.25205479452054796</v>
      </c>
      <c r="U68" s="32">
        <f>_xll.qlInterpolationInterpolate(B3Minterpolation,R68,TRUE)</f>
        <v>1.3425116141813358E-3</v>
      </c>
      <c r="V68" s="345">
        <f>_xll.qlYieldTSDiscount(Discounting,R68,,AllTriggers)</f>
        <v>0.99878893058592189</v>
      </c>
      <c r="W68" s="345">
        <f>_xll.qlYieldTSDiscount(Discounting,S68,,AllTriggers)</f>
        <v>0.9976145569898579</v>
      </c>
      <c r="X68" s="32">
        <f t="shared" ref="X68:X131" si="9">(V68/W68-1)/T68</f>
        <v>4.670340423999002E-3</v>
      </c>
      <c r="Y68" s="452">
        <f t="shared" ref="Y68:Y131" si="10">LN((1+(U68+X68)*T68)/(1+X68*T68))</f>
        <v>3.3793150975772944E-4</v>
      </c>
      <c r="AD68" s="33"/>
      <c r="AE68" s="33"/>
    </row>
    <row r="69" spans="5:31" ht="11.25" customHeight="1" x14ac:dyDescent="0.2">
      <c r="E69" s="155"/>
      <c r="F69" s="155"/>
      <c r="G69" s="33"/>
      <c r="K69" s="33"/>
      <c r="L69" s="33"/>
      <c r="R69" s="422">
        <f>_xll.qlCalendarAdvance(Calendar,R68,"1D","f")</f>
        <v>42164</v>
      </c>
      <c r="S69" s="221">
        <f>_xll.qlCalendarAdvance(Calendar,R69,$F$1,"mf",,Trigger)</f>
        <v>42256</v>
      </c>
      <c r="T69" s="342">
        <f>_xll.qlDayCounterYearFraction(DayCounter,R69,S69,,,Trigger)</f>
        <v>0.25205479452054796</v>
      </c>
      <c r="U69" s="32">
        <f>_xll.qlInterpolationInterpolate(B3Minterpolation,R69,TRUE)</f>
        <v>1.3442044333666786E-3</v>
      </c>
      <c r="V69" s="345">
        <f>_xll.qlYieldTSDiscount(Discounting,R69,,AllTriggers)</f>
        <v>0.99877630911990745</v>
      </c>
      <c r="W69" s="345">
        <f>_xll.qlYieldTSDiscount(Discounting,S69,,AllTriggers)</f>
        <v>0.99760131517260764</v>
      </c>
      <c r="X69" s="32">
        <f t="shared" si="9"/>
        <v>4.6728695103739164E-3</v>
      </c>
      <c r="Y69" s="452">
        <f t="shared" si="10"/>
        <v>3.3835733176827617E-4</v>
      </c>
      <c r="AD69" s="33"/>
      <c r="AE69" s="33"/>
    </row>
    <row r="70" spans="5:31" ht="11.25" customHeight="1" x14ac:dyDescent="0.2">
      <c r="E70" s="155"/>
      <c r="F70" s="155"/>
      <c r="G70" s="33"/>
      <c r="K70" s="33"/>
      <c r="L70" s="33"/>
      <c r="R70" s="422">
        <f>_xll.qlCalendarAdvance(Calendar,R69,"1D","f")</f>
        <v>42165</v>
      </c>
      <c r="S70" s="221">
        <f>_xll.qlCalendarAdvance(Calendar,R70,$F$1,"mf",,Trigger)</f>
        <v>42257</v>
      </c>
      <c r="T70" s="342">
        <f>_xll.qlDayCounterYearFraction(DayCounter,R70,S70,,,Trigger)</f>
        <v>0.25205479452054796</v>
      </c>
      <c r="U70" s="32">
        <f>_xll.qlInterpolationInterpolate(B3Minterpolation,R70,TRUE)</f>
        <v>1.3458880483358635E-3</v>
      </c>
      <c r="V70" s="345">
        <f>_xll.qlYieldTSDiscount(Discounting,R70,,AllTriggers)</f>
        <v>0.99876368131129711</v>
      </c>
      <c r="W70" s="345">
        <f>_xll.qlYieldTSDiscount(Discounting,S70,,AllTriggers)</f>
        <v>0.99758807342129197</v>
      </c>
      <c r="X70" s="32">
        <f t="shared" si="9"/>
        <v>4.6753731769598999E-3</v>
      </c>
      <c r="Y70" s="452">
        <f t="shared" si="10"/>
        <v>3.3878083877126073E-4</v>
      </c>
      <c r="AD70" s="33"/>
      <c r="AE70" s="33"/>
    </row>
    <row r="71" spans="5:31" ht="11.25" customHeight="1" x14ac:dyDescent="0.2">
      <c r="E71" s="155"/>
      <c r="F71" s="155"/>
      <c r="G71" s="33"/>
      <c r="K71" s="33"/>
      <c r="L71" s="33"/>
      <c r="R71" s="422">
        <f>_xll.qlCalendarAdvance(Calendar,R70,"1D","f")</f>
        <v>42166</v>
      </c>
      <c r="S71" s="221">
        <f>_xll.qlCalendarAdvance(Calendar,R71,$F$1,"mf",,Trigger)</f>
        <v>42258</v>
      </c>
      <c r="T71" s="342">
        <f>_xll.qlDayCounterYearFraction(DayCounter,R71,S71,,,Trigger)</f>
        <v>0.25205479452054796</v>
      </c>
      <c r="U71" s="32">
        <f>_xll.qlInterpolationInterpolate(B3Minterpolation,R71,TRUE)</f>
        <v>1.3475623481947201E-3</v>
      </c>
      <c r="V71" s="345">
        <f>_xll.qlYieldTSDiscount(Discounting,R71,,AllTriggers)</f>
        <v>0.99875104813986526</v>
      </c>
      <c r="W71" s="345">
        <f>_xll.qlYieldTSDiscount(Discounting,S71,,AllTriggers)</f>
        <v>0.99757483149863557</v>
      </c>
      <c r="X71" s="32">
        <f t="shared" si="9"/>
        <v>4.6778562641095279E-3</v>
      </c>
      <c r="Y71" s="452">
        <f t="shared" si="10"/>
        <v>3.3920200246076969E-4</v>
      </c>
      <c r="AD71" s="33"/>
      <c r="AE71" s="33"/>
    </row>
    <row r="72" spans="5:31" ht="11.25" customHeight="1" x14ac:dyDescent="0.2">
      <c r="E72" s="155"/>
      <c r="F72" s="155"/>
      <c r="G72" s="33"/>
      <c r="K72" s="33"/>
      <c r="L72" s="33"/>
      <c r="R72" s="422">
        <f>_xll.qlCalendarAdvance(Calendar,R71,"1D","f")</f>
        <v>42167</v>
      </c>
      <c r="S72" s="221">
        <f>_xll.qlCalendarAdvance(Calendar,R72,$F$1,"mf",,Trigger)</f>
        <v>42261</v>
      </c>
      <c r="T72" s="342">
        <f>_xll.qlDayCounterYearFraction(DayCounter,R72,S72,,,Trigger)</f>
        <v>0.25753424657534246</v>
      </c>
      <c r="U72" s="32">
        <f>_xll.qlInterpolationInterpolate(B3Minterpolation,R72,TRUE)</f>
        <v>1.3492272220490778E-3</v>
      </c>
      <c r="V72" s="345">
        <f>_xll.qlYieldTSDiscount(Discounting,R72,,AllTriggers)</f>
        <v>0.99873841058533686</v>
      </c>
      <c r="W72" s="345">
        <f>_xll.qlYieldTSDiscount(Discounting,S72,,AllTriggers)</f>
        <v>0.99753510233005638</v>
      </c>
      <c r="X72" s="32">
        <f t="shared" si="9"/>
        <v>4.6839658494595791E-3</v>
      </c>
      <c r="Y72" s="452">
        <f t="shared" si="10"/>
        <v>3.46993362585328E-4</v>
      </c>
      <c r="AD72" s="33"/>
      <c r="AE72" s="33"/>
    </row>
    <row r="73" spans="5:31" ht="11.25" customHeight="1" x14ac:dyDescent="0.2">
      <c r="E73" s="155"/>
      <c r="F73" s="155"/>
      <c r="G73" s="33"/>
      <c r="K73" s="33"/>
      <c r="L73" s="33"/>
      <c r="R73" s="422">
        <f>_xll.qlCalendarAdvance(Calendar,R72,"1D","f")</f>
        <v>42170</v>
      </c>
      <c r="S73" s="221">
        <f>_xll.qlCalendarAdvance(Calendar,R73,$F$1,"mf",,Trigger)</f>
        <v>42262</v>
      </c>
      <c r="T73" s="342">
        <f>_xll.qlDayCounterYearFraction(DayCounter,R73,S73,,,Trigger)</f>
        <v>0.25205479452054796</v>
      </c>
      <c r="U73" s="32">
        <f>_xll.qlInterpolationInterpolate(B3Minterpolation,R73,TRUE)</f>
        <v>1.3541641786434524E-3</v>
      </c>
      <c r="V73" s="345">
        <f>_xll.qlYieldTSDiscount(Discounting,R73,,AllTriggers)</f>
        <v>0.99870048141967771</v>
      </c>
      <c r="W73" s="345">
        <f>_xll.qlYieldTSDiscount(Discounting,S73,,AllTriggers)</f>
        <v>0.99752185734953458</v>
      </c>
      <c r="X73" s="32">
        <f t="shared" si="9"/>
        <v>4.6876796257932941E-3</v>
      </c>
      <c r="Y73" s="452">
        <f t="shared" si="10"/>
        <v>3.4086265787186066E-4</v>
      </c>
      <c r="AD73" s="33"/>
      <c r="AE73" s="33"/>
    </row>
    <row r="74" spans="5:31" ht="11.25" customHeight="1" x14ac:dyDescent="0.2">
      <c r="E74" s="155"/>
      <c r="F74" s="155"/>
      <c r="G74" s="33"/>
      <c r="K74" s="33"/>
      <c r="L74" s="33"/>
      <c r="R74" s="422">
        <f>_xll.qlCalendarAdvance(Calendar,R73,"1D","f")</f>
        <v>42171</v>
      </c>
      <c r="S74" s="221">
        <f>_xll.qlCalendarAdvance(Calendar,R74,$F$1,"mf",,Trigger)</f>
        <v>42263</v>
      </c>
      <c r="T74" s="342">
        <f>_xll.qlDayCounterYearFraction(DayCounter,R74,S74,,,Trigger)</f>
        <v>0.25205479452054796</v>
      </c>
      <c r="U74" s="32">
        <f>_xll.qlInterpolationInterpolate(B3Minterpolation,R74,TRUE)</f>
        <v>1.3557902395381091E-3</v>
      </c>
      <c r="V74" s="345">
        <f>_xll.qlYieldTSDiscount(Discounting,R74,,AllTriggers)</f>
        <v>0.99868783612902101</v>
      </c>
      <c r="W74" s="345">
        <f>_xll.qlYieldTSDiscount(Discounting,S74,,AllTriggers)</f>
        <v>0.99750861101148391</v>
      </c>
      <c r="X74" s="32">
        <f t="shared" si="9"/>
        <v>4.6901324214550051E-3</v>
      </c>
      <c r="Y74" s="452">
        <f t="shared" si="10"/>
        <v>3.4127168031912968E-4</v>
      </c>
      <c r="AD74" s="33"/>
      <c r="AE74" s="33"/>
    </row>
    <row r="75" spans="5:31" ht="11.25" customHeight="1" x14ac:dyDescent="0.2">
      <c r="E75" s="155"/>
      <c r="F75" s="155"/>
      <c r="G75" s="33"/>
      <c r="K75" s="33"/>
      <c r="L75" s="33"/>
      <c r="R75" s="422">
        <f>_xll.qlCalendarAdvance(Calendar,R74,"1D","f")</f>
        <v>42172</v>
      </c>
      <c r="S75" s="221">
        <f>_xll.qlCalendarAdvance(Calendar,R75,$F$1,"mf",,Trigger)</f>
        <v>42264</v>
      </c>
      <c r="T75" s="342">
        <f>_xll.qlDayCounterYearFraction(DayCounter,R75,S75,,,Trigger)</f>
        <v>0.25205479452054796</v>
      </c>
      <c r="U75" s="32">
        <f>_xll.qlInterpolationInterpolate(B3Minterpolation,R75,TRUE)</f>
        <v>1.3574063199574141E-3</v>
      </c>
      <c r="V75" s="345">
        <f>_xll.qlYieldTSDiscount(Discounting,R75,,AllTriggers)</f>
        <v>0.99867519135314886</v>
      </c>
      <c r="W75" s="345">
        <f>_xll.qlYieldTSDiscount(Discounting,S75,,AllTriggers)</f>
        <v>0.99749536307870446</v>
      </c>
      <c r="X75" s="32">
        <f t="shared" si="9"/>
        <v>4.6925936800424747E-3</v>
      </c>
      <c r="Y75" s="452">
        <f t="shared" si="10"/>
        <v>3.4167818956946591E-4</v>
      </c>
      <c r="AD75" s="33"/>
      <c r="AE75" s="33"/>
    </row>
    <row r="76" spans="5:31" ht="11.25" customHeight="1" x14ac:dyDescent="0.2">
      <c r="E76" s="155"/>
      <c r="F76" s="155"/>
      <c r="G76" s="33"/>
      <c r="K76" s="33"/>
      <c r="L76" s="33"/>
      <c r="R76" s="422">
        <f>_xll.qlCalendarAdvance(Calendar,R75,"1D","f")</f>
        <v>42173</v>
      </c>
      <c r="S76" s="221">
        <f>_xll.qlCalendarAdvance(Calendar,R76,$F$1,"mf",,Trigger)</f>
        <v>42265</v>
      </c>
      <c r="T76" s="342">
        <f>_xll.qlDayCounterYearFraction(DayCounter,R76,S76,,,Trigger)</f>
        <v>0.25205479452054796</v>
      </c>
      <c r="U76" s="32">
        <f>_xll.qlInterpolationInterpolate(B3Minterpolation,R76,TRUE)</f>
        <v>1.3590123783101934E-3</v>
      </c>
      <c r="V76" s="345">
        <f>_xll.qlYieldTSDiscount(Discounting,R76,,AllTriggers)</f>
        <v>0.99866254807148869</v>
      </c>
      <c r="W76" s="345">
        <f>_xll.qlYieldTSDiscount(Discounting,S76,,AllTriggers)</f>
        <v>0.99748211331400916</v>
      </c>
      <c r="X76" s="32">
        <f t="shared" si="9"/>
        <v>4.6950682419902058E-3</v>
      </c>
      <c r="Y76" s="452">
        <f t="shared" si="10"/>
        <v>3.4208217474436455E-4</v>
      </c>
      <c r="AD76" s="33"/>
      <c r="AE76" s="33"/>
    </row>
    <row r="77" spans="5:31" ht="11.25" customHeight="1" x14ac:dyDescent="0.2">
      <c r="E77" s="155"/>
      <c r="F77" s="155"/>
      <c r="G77" s="33"/>
      <c r="K77" s="33"/>
      <c r="L77" s="33"/>
      <c r="R77" s="422">
        <f>_xll.qlCalendarAdvance(Calendar,R76,"1D","f")</f>
        <v>42174</v>
      </c>
      <c r="S77" s="221">
        <f>_xll.qlCalendarAdvance(Calendar,R77,$F$1,"mf",,Trigger)</f>
        <v>42268</v>
      </c>
      <c r="T77" s="342">
        <f>_xll.qlDayCounterYearFraction(DayCounter,R77,S77,,,Trigger)</f>
        <v>0.25753424657534246</v>
      </c>
      <c r="U77" s="32">
        <f>_xll.qlInterpolationInterpolate(B3Minterpolation,R77,TRUE)</f>
        <v>1.3606086502172595E-3</v>
      </c>
      <c r="V77" s="345">
        <f>_xll.qlYieldTSDiscount(Discounting,R77,,AllTriggers)</f>
        <v>0.9986499072634184</v>
      </c>
      <c r="W77" s="345">
        <f>_xll.qlYieldTSDiscount(Discounting,S77,,AllTriggers)</f>
        <v>0.9974423506567448</v>
      </c>
      <c r="X77" s="32">
        <f t="shared" si="9"/>
        <v>4.7009399670388139E-3</v>
      </c>
      <c r="Y77" s="452">
        <f t="shared" si="10"/>
        <v>3.4991839114801974E-4</v>
      </c>
      <c r="AD77" s="33"/>
      <c r="AE77" s="33"/>
    </row>
    <row r="78" spans="5:31" ht="11.25" customHeight="1" x14ac:dyDescent="0.2">
      <c r="E78" s="155"/>
      <c r="F78" s="155"/>
      <c r="G78" s="33"/>
      <c r="K78" s="33"/>
      <c r="L78" s="33"/>
      <c r="R78" s="422">
        <f>_xll.qlCalendarAdvance(Calendar,R77,"1D","f")</f>
        <v>42177</v>
      </c>
      <c r="S78" s="221">
        <f>_xll.qlCalendarAdvance(Calendar,R78,$F$1,"mf",,Trigger)</f>
        <v>42269</v>
      </c>
      <c r="T78" s="342">
        <f>_xll.qlDayCounterYearFraction(DayCounter,R78,S78,,,Trigger)</f>
        <v>0.25205479452054796</v>
      </c>
      <c r="U78" s="32">
        <f>_xll.qlInterpolationInterpolate(B3Minterpolation,R78,TRUE)</f>
        <v>1.3653417965022703E-3</v>
      </c>
      <c r="V78" s="345">
        <f>_xll.qlYieldTSDiscount(Discounting,R78,,AllTriggers)</f>
        <v>0.99861200947378215</v>
      </c>
      <c r="W78" s="345">
        <f>_xll.qlYieldTSDiscount(Discounting,S78,,AllTriggers)</f>
        <v>0.99742909119276624</v>
      </c>
      <c r="X78" s="32">
        <f t="shared" si="9"/>
        <v>4.7051963325477359E-3</v>
      </c>
      <c r="Y78" s="452">
        <f t="shared" si="10"/>
        <v>3.436742267751956E-4</v>
      </c>
      <c r="AD78" s="33"/>
      <c r="AE78" s="33"/>
    </row>
    <row r="79" spans="5:31" ht="11.25" customHeight="1" x14ac:dyDescent="0.2">
      <c r="E79" s="155"/>
      <c r="F79" s="155"/>
      <c r="G79" s="33"/>
      <c r="K79" s="33"/>
      <c r="L79" s="33"/>
      <c r="R79" s="422">
        <f>_xll.qlCalendarAdvance(Calendar,R78,"1D","f")</f>
        <v>42178</v>
      </c>
      <c r="S79" s="221">
        <f>_xll.qlCalendarAdvance(Calendar,R79,$F$1,"mf",,Trigger)</f>
        <v>42270</v>
      </c>
      <c r="T79" s="342">
        <f>_xll.qlDayCounterYearFraction(DayCounter,R79,S79,,,Trigger)</f>
        <v>0.25205479452054796</v>
      </c>
      <c r="U79" s="32">
        <f>_xll.qlInterpolationInterpolate(B3Minterpolation,R79,TRUE)</f>
        <v>1.3669019718645752E-3</v>
      </c>
      <c r="V79" s="345">
        <f>_xll.qlYieldTSDiscount(Discounting,R79,,AllTriggers)</f>
        <v>0.998599388352859</v>
      </c>
      <c r="W79" s="345">
        <f>_xll.qlYieldTSDiscount(Discounting,S79,,AllTriggers)</f>
        <v>0.99741582871112489</v>
      </c>
      <c r="X79" s="32">
        <f t="shared" si="9"/>
        <v>4.7078100182759222E-3</v>
      </c>
      <c r="Y79" s="452">
        <f t="shared" si="10"/>
        <v>3.4406664922231113E-4</v>
      </c>
      <c r="AD79" s="33"/>
      <c r="AE79" s="33"/>
    </row>
    <row r="80" spans="5:31" ht="11.25" customHeight="1" x14ac:dyDescent="0.2">
      <c r="E80" s="155"/>
      <c r="F80" s="155"/>
      <c r="G80" s="33"/>
      <c r="K80" s="33"/>
      <c r="L80" s="33"/>
      <c r="R80" s="422">
        <f>_xll.qlCalendarAdvance(Calendar,R79,"1D","f")</f>
        <v>42179</v>
      </c>
      <c r="S80" s="221">
        <f>_xll.qlCalendarAdvance(Calendar,R80,$F$1,"mf",,Trigger)</f>
        <v>42271</v>
      </c>
      <c r="T80" s="342">
        <f>_xll.qlDayCounterYearFraction(DayCounter,R80,S80,,,Trigger)</f>
        <v>0.25205479452054796</v>
      </c>
      <c r="U80" s="32">
        <f>_xll.qlInterpolationInterpolate(B3Minterpolation,R80,TRUE)</f>
        <v>1.3684538854002123E-3</v>
      </c>
      <c r="V80" s="345">
        <f>_xll.qlYieldTSDiscount(Discounting,R80,,AllTriggers)</f>
        <v>0.99858677460167222</v>
      </c>
      <c r="W80" s="345">
        <f>_xll.qlYieldTSDiscount(Discounting,S80,,AllTriggers)</f>
        <v>0.99740256297470953</v>
      </c>
      <c r="X80" s="32">
        <f t="shared" si="9"/>
        <v>4.7104660502444752E-3</v>
      </c>
      <c r="Y80" s="452">
        <f t="shared" si="10"/>
        <v>3.4445698808013863E-4</v>
      </c>
      <c r="AD80" s="33"/>
      <c r="AE80" s="33"/>
    </row>
    <row r="81" spans="5:31" ht="11.25" customHeight="1" x14ac:dyDescent="0.2">
      <c r="E81" s="155"/>
      <c r="F81" s="155"/>
      <c r="G81" s="33"/>
      <c r="K81" s="33"/>
      <c r="L81" s="33"/>
      <c r="R81" s="422">
        <f>_xll.qlCalendarAdvance(Calendar,R80,"1D","f")</f>
        <v>42180</v>
      </c>
      <c r="S81" s="221">
        <f>_xll.qlCalendarAdvance(Calendar,R81,$F$1,"mf",,Trigger)</f>
        <v>42272</v>
      </c>
      <c r="T81" s="342">
        <f>_xll.qlDayCounterYearFraction(DayCounter,R81,S81,,,Trigger)</f>
        <v>0.25205479452054796</v>
      </c>
      <c r="U81" s="32">
        <f>_xll.qlInterpolationInterpolate(B3Minterpolation,R81,TRUE)</f>
        <v>1.3699978420329913E-3</v>
      </c>
      <c r="V81" s="345">
        <f>_xll.qlYieldTSDiscount(Discounting,R81,,AllTriggers)</f>
        <v>0.99857416919930264</v>
      </c>
      <c r="W81" s="345">
        <f>_xll.qlYieldTSDiscount(Discounting,S81,,AllTriggers)</f>
        <v>0.99738929374642149</v>
      </c>
      <c r="X81" s="32">
        <f t="shared" si="9"/>
        <v>4.7131692689803958E-3</v>
      </c>
      <c r="Y81" s="452">
        <f t="shared" si="10"/>
        <v>3.4484531966262269E-4</v>
      </c>
      <c r="AD81" s="33"/>
      <c r="AE81" s="33"/>
    </row>
    <row r="82" spans="5:31" ht="11.25" customHeight="1" x14ac:dyDescent="0.2">
      <c r="E82" s="155"/>
      <c r="F82" s="155"/>
      <c r="G82" s="33"/>
      <c r="K82" s="33"/>
      <c r="L82" s="33"/>
      <c r="R82" s="422">
        <f>_xll.qlCalendarAdvance(Calendar,R81,"1D","f")</f>
        <v>42181</v>
      </c>
      <c r="S82" s="221">
        <f>_xll.qlCalendarAdvance(Calendar,R82,$F$1,"mf",,Trigger)</f>
        <v>42275</v>
      </c>
      <c r="T82" s="342">
        <f>_xll.qlDayCounterYearFraction(DayCounter,R82,S82,,,Trigger)</f>
        <v>0.25753424657534246</v>
      </c>
      <c r="U82" s="32">
        <f>_xll.qlInterpolationInterpolate(B3Minterpolation,R82,TRUE)</f>
        <v>1.3715341466867207E-3</v>
      </c>
      <c r="V82" s="345">
        <f>_xll.qlYieldTSDiscount(Discounting,R82,,AllTriggers)</f>
        <v>0.99856157312478222</v>
      </c>
      <c r="W82" s="345">
        <f>_xll.qlYieldTSDiscount(Discounting,S82,,AllTriggers)</f>
        <v>0.9973494627395223</v>
      </c>
      <c r="X82" s="32">
        <f t="shared" si="9"/>
        <v>4.7191070053355291E-3</v>
      </c>
      <c r="Y82" s="452">
        <f t="shared" si="10"/>
        <v>3.5272604323160654E-4</v>
      </c>
      <c r="AD82" s="33"/>
      <c r="AE82" s="33"/>
    </row>
    <row r="83" spans="5:31" ht="11.25" customHeight="1" x14ac:dyDescent="0.2">
      <c r="E83" s="155"/>
      <c r="F83" s="155"/>
      <c r="G83" s="33"/>
      <c r="K83" s="33"/>
      <c r="L83" s="33"/>
      <c r="R83" s="422">
        <f>_xll.qlCalendarAdvance(Calendar,R82,"1D","f")</f>
        <v>42184</v>
      </c>
      <c r="S83" s="221">
        <f>_xll.qlCalendarAdvance(Calendar,R83,$F$1,"mf",,Trigger)</f>
        <v>42276</v>
      </c>
      <c r="T83" s="342">
        <f>_xll.qlDayCounterYearFraction(DayCounter,R83,S83,,,Trigger)</f>
        <v>0.25205479452054796</v>
      </c>
      <c r="U83" s="32">
        <f>_xll.qlInterpolationInterpolate(B3Minterpolation,R83,TRUE)</f>
        <v>1.3761001980117048E-3</v>
      </c>
      <c r="V83" s="345">
        <f>_xll.qlYieldTSDiscount(Discounting,R83,,AllTriggers)</f>
        <v>0.99852385065789606</v>
      </c>
      <c r="W83" s="345">
        <f>_xll.qlYieldTSDiscount(Discounting,S83,,AllTriggers)</f>
        <v>0.99733617717300838</v>
      </c>
      <c r="X83" s="32">
        <f t="shared" si="9"/>
        <v>4.7245508226769102E-3</v>
      </c>
      <c r="Y83" s="452">
        <f t="shared" si="10"/>
        <v>3.4638009944199151E-4</v>
      </c>
      <c r="AD83" s="33"/>
      <c r="AE83" s="33"/>
    </row>
    <row r="84" spans="5:31" ht="11.25" customHeight="1" x14ac:dyDescent="0.2">
      <c r="E84" s="155"/>
      <c r="F84" s="155"/>
      <c r="G84" s="33"/>
      <c r="K84" s="33"/>
      <c r="L84" s="33"/>
      <c r="R84" s="422">
        <f>_xll.qlCalendarAdvance(Calendar,R83,"1D","f")</f>
        <v>42185</v>
      </c>
      <c r="S84" s="221">
        <f>_xll.qlCalendarAdvance(Calendar,R84,$F$1,"mf",,Trigger)</f>
        <v>42277</v>
      </c>
      <c r="T84" s="342">
        <f>_xll.qlDayCounterYearFraction(DayCounter,R84,S84,,,Trigger)</f>
        <v>0.25205479452054796</v>
      </c>
      <c r="U84" s="32">
        <f>_xll.qlInterpolationInterpolate(B3Minterpolation,R84,TRUE)</f>
        <v>1.3776089439873284E-3</v>
      </c>
      <c r="V84" s="345">
        <f>_xll.qlYieldTSDiscount(Discounting,R84,,AllTriggers)</f>
        <v>0.99851130168410784</v>
      </c>
      <c r="W84" s="345">
        <f>_xll.qlYieldTSDiscount(Discounting,S84,,AllTriggers)</f>
        <v>0.99732288692931781</v>
      </c>
      <c r="X84" s="32">
        <f t="shared" si="9"/>
        <v>4.7275625836982237E-3</v>
      </c>
      <c r="Y84" s="452">
        <f t="shared" si="10"/>
        <v>3.4675953928181043E-4</v>
      </c>
      <c r="AD84" s="33"/>
      <c r="AE84" s="33"/>
    </row>
    <row r="85" spans="5:31" ht="11.25" customHeight="1" x14ac:dyDescent="0.2">
      <c r="E85" s="155"/>
      <c r="F85" s="155"/>
      <c r="G85" s="33"/>
      <c r="K85" s="33"/>
      <c r="L85" s="33"/>
      <c r="R85" s="422">
        <f>_xll.qlCalendarAdvance(Calendar,R84,"1D","f")</f>
        <v>42186</v>
      </c>
      <c r="S85" s="221">
        <f>_xll.qlCalendarAdvance(Calendar,R85,$F$1,"mf",,Trigger)</f>
        <v>42278</v>
      </c>
      <c r="T85" s="342">
        <f>_xll.qlDayCounterYearFraction(DayCounter,R85,S85,,,Trigger)</f>
        <v>0.25205479452054796</v>
      </c>
      <c r="U85" s="32">
        <f>_xll.qlInterpolationInterpolate(B3Minterpolation,R85,TRUE)</f>
        <v>1.3791115626029483E-3</v>
      </c>
      <c r="V85" s="345">
        <f>_xll.qlYieldTSDiscount(Discounting,R85,,AllTriggers)</f>
        <v>0.99849876693259199</v>
      </c>
      <c r="W85" s="345">
        <f>_xll.qlYieldTSDiscount(Discounting,S85,,AllTriggers)</f>
        <v>0.99730959177142797</v>
      </c>
      <c r="X85" s="32">
        <f t="shared" si="9"/>
        <v>4.7306505749819053E-3</v>
      </c>
      <c r="Y85" s="452">
        <f t="shared" si="10"/>
        <v>3.4713742968596847E-4</v>
      </c>
      <c r="AD85" s="33"/>
      <c r="AE85" s="33"/>
    </row>
    <row r="86" spans="5:31" ht="11.25" customHeight="1" x14ac:dyDescent="0.2">
      <c r="E86" s="155"/>
      <c r="F86" s="155"/>
      <c r="G86" s="33"/>
      <c r="K86" s="33"/>
      <c r="L86" s="33"/>
      <c r="R86" s="422">
        <f>_xll.qlCalendarAdvance(Calendar,R85,"1D","f")</f>
        <v>42187</v>
      </c>
      <c r="S86" s="221">
        <f>_xll.qlCalendarAdvance(Calendar,R86,$F$1,"mf",,Trigger)</f>
        <v>42279</v>
      </c>
      <c r="T86" s="342">
        <f>_xll.qlDayCounterYearFraction(DayCounter,R86,S86,,,Trigger)</f>
        <v>0.25205479452054796</v>
      </c>
      <c r="U86" s="32">
        <f>_xll.qlInterpolationInterpolate(B3Minterpolation,R86,TRUE)</f>
        <v>1.3806083587823738E-3</v>
      </c>
      <c r="V86" s="345">
        <f>_xll.qlYieldTSDiscount(Discounting,R86,,AllTriggers)</f>
        <v>0.99848624738208702</v>
      </c>
      <c r="W86" s="345">
        <f>_xll.qlYieldTSDiscount(Discounting,S86,,AllTriggers)</f>
        <v>0.9972962914623289</v>
      </c>
      <c r="X86" s="32">
        <f t="shared" si="9"/>
        <v>4.7338196371747637E-3</v>
      </c>
      <c r="Y86" s="452">
        <f t="shared" si="10"/>
        <v>3.4751384695309542E-4</v>
      </c>
      <c r="AD86" s="33"/>
      <c r="AE86" s="33"/>
    </row>
    <row r="87" spans="5:31" ht="11.25" customHeight="1" x14ac:dyDescent="0.2">
      <c r="E87" s="155"/>
      <c r="F87" s="155"/>
      <c r="G87" s="33"/>
      <c r="K87" s="33"/>
      <c r="L87" s="33"/>
      <c r="R87" s="422">
        <f>_xll.qlCalendarAdvance(Calendar,R86,"1D","f")</f>
        <v>42188</v>
      </c>
      <c r="S87" s="221">
        <f>_xll.qlCalendarAdvance(Calendar,R87,$F$1,"mf",,Trigger)</f>
        <v>42282</v>
      </c>
      <c r="T87" s="342">
        <f>_xll.qlDayCounterYearFraction(DayCounter,R87,S87,,,Trigger)</f>
        <v>0.25753424657534246</v>
      </c>
      <c r="U87" s="32">
        <f>_xll.qlInterpolationInterpolate(B3Minterpolation,R87,TRUE)</f>
        <v>1.3820996374494137E-3</v>
      </c>
      <c r="V87" s="345">
        <f>_xll.qlYieldTSDiscount(Discounting,R87,,AllTriggers)</f>
        <v>0.99847374401128286</v>
      </c>
      <c r="W87" s="345">
        <f>_xll.qlYieldTSDiscount(Discounting,S87,,AllTriggers)</f>
        <v>0.99725635725786721</v>
      </c>
      <c r="X87" s="32">
        <f t="shared" si="9"/>
        <v>4.7400919806266772E-3</v>
      </c>
      <c r="Y87" s="452">
        <f t="shared" si="10"/>
        <v>3.5544083569167336E-4</v>
      </c>
      <c r="AD87" s="33"/>
      <c r="AE87" s="33"/>
    </row>
    <row r="88" spans="5:31" ht="11.25" customHeight="1" x14ac:dyDescent="0.2">
      <c r="E88" s="155"/>
      <c r="F88" s="155"/>
      <c r="G88" s="33"/>
      <c r="K88" s="33"/>
      <c r="L88" s="33"/>
      <c r="R88" s="422">
        <f>_xll.qlCalendarAdvance(Calendar,R87,"1D","f")</f>
        <v>42191</v>
      </c>
      <c r="S88" s="221">
        <f>_xll.qlCalendarAdvance(Calendar,R88,$F$1,"mf",,Trigger)</f>
        <v>42283</v>
      </c>
      <c r="T88" s="342">
        <f>_xll.qlDayCounterYearFraction(DayCounter,R88,S88,,,Trigger)</f>
        <v>0.25205479452054796</v>
      </c>
      <c r="U88" s="32">
        <f>_xll.qlInterpolationInterpolate(B3Minterpolation,R88,TRUE)</f>
        <v>1.3865434176143121E-3</v>
      </c>
      <c r="V88" s="345">
        <f>_xll.qlYieldTSDiscount(Discounting,R88,,AllTriggers)</f>
        <v>0.99843632899145185</v>
      </c>
      <c r="W88" s="345">
        <f>_xll.qlYieldTSDiscount(Discounting,S88,,AllTriggers)</f>
        <v>0.99724303352982635</v>
      </c>
      <c r="X88" s="32">
        <f t="shared" si="9"/>
        <v>4.7473583457522074E-3</v>
      </c>
      <c r="Y88" s="452">
        <f t="shared" si="10"/>
        <v>3.4900631453404265E-4</v>
      </c>
      <c r="AD88" s="33"/>
      <c r="AE88" s="33"/>
    </row>
    <row r="89" spans="5:31" ht="11.25" customHeight="1" x14ac:dyDescent="0.2">
      <c r="E89" s="155"/>
      <c r="F89" s="155"/>
      <c r="G89" s="33"/>
      <c r="K89" s="33"/>
      <c r="L89" s="33"/>
      <c r="R89" s="422">
        <f>_xll.qlCalendarAdvance(Calendar,R88,"1D","f")</f>
        <v>42192</v>
      </c>
      <c r="S89" s="221">
        <f>_xll.qlCalendarAdvance(Calendar,R89,$F$1,"mf",,Trigger)</f>
        <v>42284</v>
      </c>
      <c r="T89" s="342">
        <f>_xll.qlDayCounterYearFraction(DayCounter,R89,S89,,,Trigger)</f>
        <v>0.25205479452054796</v>
      </c>
      <c r="U89" s="32">
        <f>_xll.qlInterpolationInterpolate(B3Minterpolation,R89,TRUE)</f>
        <v>1.3880156754699016E-3</v>
      </c>
      <c r="V89" s="345">
        <f>_xll.qlYieldTSDiscount(Discounting,R89,,AllTriggers)</f>
        <v>0.9984238839940095</v>
      </c>
      <c r="W89" s="345">
        <f>_xll.qlYieldTSDiscount(Discounting,S89,,AllTriggers)</f>
        <v>0.99722970080020645</v>
      </c>
      <c r="X89" s="32">
        <f t="shared" si="9"/>
        <v>4.7509535817987485E-3</v>
      </c>
      <c r="Y89" s="452">
        <f t="shared" si="10"/>
        <v>3.4937651509805762E-4</v>
      </c>
      <c r="AD89" s="33"/>
      <c r="AE89" s="33"/>
    </row>
    <row r="90" spans="5:31" ht="11.25" customHeight="1" x14ac:dyDescent="0.2">
      <c r="E90" s="155"/>
      <c r="F90" s="155"/>
      <c r="G90" s="33"/>
      <c r="K90" s="33"/>
      <c r="L90" s="33"/>
      <c r="R90" s="422">
        <f>_xll.qlCalendarAdvance(Calendar,R89,"1D","f")</f>
        <v>42193</v>
      </c>
      <c r="S90" s="221">
        <f>_xll.qlCalendarAdvance(Calendar,R90,$F$1,"mf",,Trigger)</f>
        <v>42285</v>
      </c>
      <c r="T90" s="342">
        <f>_xll.qlDayCounterYearFraction(DayCounter,R90,S90,,,Trigger)</f>
        <v>0.25205479452054796</v>
      </c>
      <c r="U90" s="32">
        <f>_xll.qlInterpolationInterpolate(B3Minterpolation,R90,TRUE)</f>
        <v>1.3894839404321514E-3</v>
      </c>
      <c r="V90" s="345">
        <f>_xll.qlYieldTSDiscount(Discounting,R90,,AllTriggers)</f>
        <v>0.99841144960583672</v>
      </c>
      <c r="W90" s="345">
        <f>_xll.qlYieldTSDiscount(Discounting,S90,,AllTriggers)</f>
        <v>0.99721635616669391</v>
      </c>
      <c r="X90" s="32">
        <f t="shared" si="9"/>
        <v>4.7546385385861629E-3</v>
      </c>
      <c r="Y90" s="452">
        <f t="shared" si="10"/>
        <v>3.497457020847072E-4</v>
      </c>
      <c r="AD90" s="33"/>
      <c r="AE90" s="33"/>
    </row>
    <row r="91" spans="5:31" ht="11.25" customHeight="1" x14ac:dyDescent="0.2">
      <c r="E91" s="155"/>
      <c r="F91" s="155"/>
      <c r="G91" s="33"/>
      <c r="K91" s="33"/>
      <c r="L91" s="33"/>
      <c r="R91" s="422">
        <f>_xll.qlCalendarAdvance(Calendar,R90,"1D","f")</f>
        <v>42194</v>
      </c>
      <c r="S91" s="221">
        <f>_xll.qlCalendarAdvance(Calendar,R91,$F$1,"mf",,Trigger)</f>
        <v>42286</v>
      </c>
      <c r="T91" s="342">
        <f>_xll.qlDayCounterYearFraction(DayCounter,R91,S91,,,Trigger)</f>
        <v>0.25205479452054796</v>
      </c>
      <c r="U91" s="32">
        <f>_xll.qlInterpolationInterpolate(B3Minterpolation,R91,TRUE)</f>
        <v>1.3909485174248705E-3</v>
      </c>
      <c r="V91" s="345">
        <f>_xll.qlYieldTSDiscount(Discounting,R91,,AllTriggers)</f>
        <v>0.99839902418986803</v>
      </c>
      <c r="W91" s="345">
        <f>_xll.qlYieldTSDiscount(Discounting,S91,,AllTriggers)</f>
        <v>0.99720299672713053</v>
      </c>
      <c r="X91" s="32">
        <f t="shared" si="9"/>
        <v>4.7584182668922404E-3</v>
      </c>
      <c r="Y91" s="452">
        <f t="shared" si="10"/>
        <v>3.5011395176648462E-4</v>
      </c>
      <c r="AD91" s="33"/>
      <c r="AE91" s="33"/>
    </row>
    <row r="92" spans="5:31" ht="11.25" customHeight="1" x14ac:dyDescent="0.2">
      <c r="E92" s="155"/>
      <c r="F92" s="155"/>
      <c r="G92" s="33"/>
      <c r="K92" s="33"/>
      <c r="L92" s="33"/>
      <c r="R92" s="422">
        <f>_xll.qlCalendarAdvance(Calendar,R91,"1D","f")</f>
        <v>42195</v>
      </c>
      <c r="S92" s="221">
        <f>_xll.qlCalendarAdvance(Calendar,R92,$F$1,"mf",,Trigger)</f>
        <v>42289</v>
      </c>
      <c r="T92" s="342">
        <f>_xll.qlDayCounterYearFraction(DayCounter,R92,S92,,,Trigger)</f>
        <v>0.25753424657534246</v>
      </c>
      <c r="U92" s="32">
        <f>_xll.qlInterpolationInterpolate(B3Minterpolation,R92,TRUE)</f>
        <v>1.3924097113718679E-3</v>
      </c>
      <c r="V92" s="345">
        <f>_xll.qlYieldTSDiscount(Discounting,R92,,AllTriggers)</f>
        <v>0.99838660610911933</v>
      </c>
      <c r="W92" s="345">
        <f>_xll.qlYieldTSDiscount(Discounting,S92,,AllTriggers)</f>
        <v>0.9971628005529003</v>
      </c>
      <c r="X92" s="32">
        <f t="shared" si="9"/>
        <v>4.7655317002875596E-3</v>
      </c>
      <c r="Y92" s="452">
        <f t="shared" si="10"/>
        <v>3.5808950672865824E-4</v>
      </c>
      <c r="AD92" s="33"/>
      <c r="AE92" s="33"/>
    </row>
    <row r="93" spans="5:31" ht="11.25" customHeight="1" x14ac:dyDescent="0.2">
      <c r="E93" s="155"/>
      <c r="F93" s="155"/>
      <c r="G93" s="33"/>
      <c r="K93" s="33"/>
      <c r="L93" s="33"/>
      <c r="R93" s="422">
        <f>_xll.qlCalendarAdvance(Calendar,R92,"1D","f")</f>
        <v>42198</v>
      </c>
      <c r="S93" s="221">
        <f>_xll.qlCalendarAdvance(Calendar,R93,$F$1,"mf",,Trigger)</f>
        <v>42290</v>
      </c>
      <c r="T93" s="342">
        <f>_xll.qlDayCounterYearFraction(DayCounter,R93,S93,,,Trigger)</f>
        <v>0.25205479452054796</v>
      </c>
      <c r="U93" s="32">
        <f>_xll.qlInterpolationInterpolate(B3Minterpolation,R93,TRUE)</f>
        <v>1.3967760441766222E-3</v>
      </c>
      <c r="V93" s="345">
        <f>_xll.qlYieldTSDiscount(Discounting,R93,,AllTriggers)</f>
        <v>0.99834937950957803</v>
      </c>
      <c r="W93" s="345">
        <f>_xll.qlYieldTSDiscount(Discounting,S93,,AllTriggers)</f>
        <v>0.99714935287068374</v>
      </c>
      <c r="X93" s="32">
        <f t="shared" si="9"/>
        <v>4.7745859117575753E-3</v>
      </c>
      <c r="Y93" s="452">
        <f t="shared" si="10"/>
        <v>3.5157910281502931E-4</v>
      </c>
      <c r="AD93" s="33"/>
      <c r="AE93" s="33"/>
    </row>
    <row r="94" spans="5:31" ht="11.25" customHeight="1" x14ac:dyDescent="0.2">
      <c r="E94" s="155"/>
      <c r="F94" s="155"/>
      <c r="G94" s="33"/>
      <c r="K94" s="33"/>
      <c r="L94" s="33"/>
      <c r="R94" s="422">
        <f>_xll.qlCalendarAdvance(Calendar,R93,"1D","f")</f>
        <v>42199</v>
      </c>
      <c r="S94" s="221">
        <f>_xll.qlCalendarAdvance(Calendar,R94,$F$1,"mf",,Trigger)</f>
        <v>42291</v>
      </c>
      <c r="T94" s="342">
        <f>_xll.qlDayCounterYearFraction(DayCounter,R94,S94,,,Trigger)</f>
        <v>0.25205479452054796</v>
      </c>
      <c r="U94" s="32">
        <f>_xll.qlInterpolationInterpolate(B3Minterpolation,R94,TRUE)</f>
        <v>1.3982267551788247E-3</v>
      </c>
      <c r="V94" s="345">
        <f>_xll.qlYieldTSDiscount(Discounting,R94,,AllTriggers)</f>
        <v>0.99833697440150126</v>
      </c>
      <c r="W94" s="345">
        <f>_xll.qlYieldTSDiscount(Discounting,S94,,AllTriggers)</f>
        <v>0.99713587587397901</v>
      </c>
      <c r="X94" s="32">
        <f t="shared" si="9"/>
        <v>4.7789152602497071E-3</v>
      </c>
      <c r="Y94" s="452">
        <f t="shared" si="10"/>
        <v>3.5194380998192156E-4</v>
      </c>
      <c r="AD94" s="33"/>
      <c r="AE94" s="33"/>
    </row>
    <row r="95" spans="5:31" ht="11.25" customHeight="1" x14ac:dyDescent="0.2">
      <c r="E95" s="155"/>
      <c r="F95" s="155"/>
      <c r="G95" s="33"/>
      <c r="K95" s="33"/>
      <c r="L95" s="33"/>
      <c r="R95" s="422">
        <f>_xll.qlCalendarAdvance(Calendar,R94,"1D","f")</f>
        <v>42200</v>
      </c>
      <c r="S95" s="221">
        <f>_xll.qlCalendarAdvance(Calendar,R95,$F$1,"mf",,Trigger)</f>
        <v>42292</v>
      </c>
      <c r="T95" s="342">
        <f>_xll.qlDayCounterYearFraction(DayCounter,R95,S95,,,Trigger)</f>
        <v>0.25205479452054796</v>
      </c>
      <c r="U95" s="32">
        <f>_xll.qlInterpolationInterpolate(B3Minterpolation,R95,TRUE)</f>
        <v>1.3996756077543511E-3</v>
      </c>
      <c r="V95" s="345">
        <f>_xll.qlYieldTSDiscount(Discounting,R95,,AllTriggers)</f>
        <v>0.99832456844494755</v>
      </c>
      <c r="W95" s="345">
        <f>_xll.qlYieldTSDiscount(Discounting,S95,,AllTriggers)</f>
        <v>0.99712236666157361</v>
      </c>
      <c r="X95" s="32">
        <f t="shared" si="9"/>
        <v>4.7833696855060269E-3</v>
      </c>
      <c r="Y95" s="452">
        <f t="shared" si="10"/>
        <v>3.5230803743277749E-4</v>
      </c>
      <c r="AD95" s="33"/>
      <c r="AE95" s="33"/>
    </row>
    <row r="96" spans="5:31" ht="11.25" customHeight="1" x14ac:dyDescent="0.2">
      <c r="E96" s="155"/>
      <c r="F96" s="155"/>
      <c r="G96" s="33"/>
      <c r="K96" s="33"/>
      <c r="L96" s="33"/>
      <c r="R96" s="422">
        <f>_xll.qlCalendarAdvance(Calendar,R95,"1D","f")</f>
        <v>42201</v>
      </c>
      <c r="S96" s="221">
        <f>_xll.qlCalendarAdvance(Calendar,R96,$F$1,"mf",,Trigger)</f>
        <v>42293</v>
      </c>
      <c r="T96" s="342">
        <f>_xll.qlDayCounterYearFraction(DayCounter,R96,S96,,,Trigger)</f>
        <v>0.25205479452054796</v>
      </c>
      <c r="U96" s="32">
        <f>_xll.qlInterpolationInterpolate(B3Minterpolation,R96,TRUE)</f>
        <v>1.4011229068270109E-3</v>
      </c>
      <c r="V96" s="345">
        <f>_xll.qlYieldTSDiscount(Discounting,R96,,AllTriggers)</f>
        <v>0.9983121600034216</v>
      </c>
      <c r="W96" s="345">
        <f>_xll.qlYieldTSDiscount(Discounting,S96,,AllTriggers)</f>
        <v>0.99710882233241527</v>
      </c>
      <c r="X96" s="32">
        <f t="shared" si="9"/>
        <v>4.787954238512227E-3</v>
      </c>
      <c r="Y96" s="452">
        <f t="shared" si="10"/>
        <v>3.5267186142464699E-4</v>
      </c>
      <c r="AD96" s="33"/>
      <c r="AE96" s="33"/>
    </row>
    <row r="97" spans="5:31" ht="11.25" customHeight="1" x14ac:dyDescent="0.2">
      <c r="E97" s="155"/>
      <c r="F97" s="155"/>
      <c r="G97" s="33"/>
      <c r="K97" s="33"/>
      <c r="L97" s="33"/>
      <c r="R97" s="422">
        <f>_xll.qlCalendarAdvance(Calendar,R96,"1D","f")</f>
        <v>42202</v>
      </c>
      <c r="S97" s="221">
        <f>_xll.qlCalendarAdvance(Calendar,R97,$F$1,"mf",,Trigger)</f>
        <v>42296</v>
      </c>
      <c r="T97" s="342">
        <f>_xll.qlDayCounterYearFraction(DayCounter,R97,S97,,,Trigger)</f>
        <v>0.25753424657534246</v>
      </c>
      <c r="U97" s="32">
        <f>_xll.qlInterpolationInterpolate(B3Minterpolation,R97,TRUE)</f>
        <v>1.4025689573206128E-3</v>
      </c>
      <c r="V97" s="345">
        <f>_xll.qlYieldTSDiscount(Discounting,R97,,AllTriggers)</f>
        <v>0.99829974744050953</v>
      </c>
      <c r="W97" s="345">
        <f>_xll.qlYieldTSDiscount(Discounting,S97,,AllTriggers)</f>
        <v>0.99706794963632528</v>
      </c>
      <c r="X97" s="32">
        <f t="shared" si="9"/>
        <v>4.7971100334012222E-3</v>
      </c>
      <c r="Y97" s="452">
        <f t="shared" si="10"/>
        <v>3.606987851526843E-4</v>
      </c>
      <c r="AD97" s="33"/>
      <c r="AE97" s="33"/>
    </row>
    <row r="98" spans="5:31" ht="11.25" customHeight="1" x14ac:dyDescent="0.2">
      <c r="E98" s="155"/>
      <c r="F98" s="155"/>
      <c r="G98" s="33"/>
      <c r="K98" s="33"/>
      <c r="L98" s="33"/>
      <c r="R98" s="422">
        <f>_xll.qlCalendarAdvance(Calendar,R97,"1D","f")</f>
        <v>42205</v>
      </c>
      <c r="S98" s="221">
        <f>_xll.qlCalendarAdvance(Calendar,R98,$F$1,"mf",,Trigger)</f>
        <v>42297</v>
      </c>
      <c r="T98" s="342">
        <f>_xll.qlDayCounterYearFraction(DayCounter,R98,S98,,,Trigger)</f>
        <v>0.25205479452054796</v>
      </c>
      <c r="U98" s="32">
        <f>_xll.qlInterpolationInterpolate(B3Minterpolation,R98,TRUE)</f>
        <v>1.4069026665651642E-3</v>
      </c>
      <c r="V98" s="345">
        <f>_xll.qlYieldTSDiscount(Discounting,R98,,AllTriggers)</f>
        <v>0.99826246866053936</v>
      </c>
      <c r="W98" s="345">
        <f>_xll.qlYieldTSDiscount(Discounting,S98,,AllTriggers)</f>
        <v>0.99705423583287367</v>
      </c>
      <c r="X98" s="32">
        <f t="shared" si="9"/>
        <v>4.8076947490270335E-3</v>
      </c>
      <c r="Y98" s="452">
        <f t="shared" si="10"/>
        <v>3.5412464786677708E-4</v>
      </c>
      <c r="AD98" s="33"/>
      <c r="AE98" s="33"/>
    </row>
    <row r="99" spans="5:31" ht="11.25" customHeight="1" x14ac:dyDescent="0.2">
      <c r="E99" s="155"/>
      <c r="F99" s="155"/>
      <c r="G99" s="33"/>
      <c r="K99" s="33"/>
      <c r="L99" s="33"/>
      <c r="R99" s="422">
        <f>_xll.qlCalendarAdvance(Calendar,R98,"1D","f")</f>
        <v>42206</v>
      </c>
      <c r="S99" s="221">
        <f>_xll.qlCalendarAdvance(Calendar,R99,$F$1,"mf",,Trigger)</f>
        <v>42298</v>
      </c>
      <c r="T99" s="342">
        <f>_xll.qlDayCounterYearFraction(DayCounter,R99,S99,,,Trigger)</f>
        <v>0.25205479452054796</v>
      </c>
      <c r="U99" s="32">
        <f>_xll.qlInterpolationInterpolate(B3Minterpolation,R99,TRUE)</f>
        <v>1.4083467719806268E-3</v>
      </c>
      <c r="V99" s="345">
        <f>_xll.qlYieldTSDiscount(Discounting,R99,,AllTriggers)</f>
        <v>0.99825002324957357</v>
      </c>
      <c r="W99" s="345">
        <f>_xll.qlYieldTSDiscount(Discounting,S99,,AllTriggers)</f>
        <v>0.99704047240984883</v>
      </c>
      <c r="X99" s="32">
        <f t="shared" si="9"/>
        <v>4.813005706871808E-3</v>
      </c>
      <c r="Y99" s="452">
        <f t="shared" si="10"/>
        <v>3.5448759834231874E-4</v>
      </c>
      <c r="AD99" s="33"/>
      <c r="AE99" s="33"/>
    </row>
    <row r="100" spans="5:31" ht="11.25" customHeight="1" x14ac:dyDescent="0.2">
      <c r="E100" s="155"/>
      <c r="F100" s="155"/>
      <c r="G100" s="33"/>
      <c r="K100" s="33"/>
      <c r="L100" s="33"/>
      <c r="R100" s="422">
        <f>_xll.qlCalendarAdvance(Calendar,R99,"1D","f")</f>
        <v>42207</v>
      </c>
      <c r="S100" s="221">
        <f>_xll.qlCalendarAdvance(Calendar,R100,$F$1,"mf",,Trigger)</f>
        <v>42299</v>
      </c>
      <c r="T100" s="342">
        <f>_xll.qlDayCounterYearFraction(DayCounter,R100,S100,,,Trigger)</f>
        <v>0.25205479452054796</v>
      </c>
      <c r="U100" s="32">
        <f>_xll.qlInterpolationInterpolate(B3Minterpolation,R100,TRUE)</f>
        <v>1.4097911534360771E-3</v>
      </c>
      <c r="V100" s="345">
        <f>_xll.qlYieldTSDiscount(Discounting,R100,,AllTriggers)</f>
        <v>0.99823756553637577</v>
      </c>
      <c r="W100" s="345">
        <f>_xll.qlYieldTSDiscount(Discounting,S100,,AllTriggers)</f>
        <v>0.99702665646718325</v>
      </c>
      <c r="X100" s="32">
        <f t="shared" si="9"/>
        <v>4.8184770991910797E-3</v>
      </c>
      <c r="Y100" s="452">
        <f t="shared" si="10"/>
        <v>3.5485060285400172E-4</v>
      </c>
      <c r="AD100" s="33"/>
      <c r="AE100" s="33"/>
    </row>
    <row r="101" spans="5:31" ht="11.25" customHeight="1" x14ac:dyDescent="0.2">
      <c r="E101" s="155"/>
      <c r="F101" s="155"/>
      <c r="G101" s="33"/>
      <c r="K101" s="33"/>
      <c r="L101" s="33"/>
      <c r="R101" s="422">
        <f>_xll.qlCalendarAdvance(Calendar,R100,"1D","f")</f>
        <v>42208</v>
      </c>
      <c r="S101" s="221">
        <f>_xll.qlCalendarAdvance(Calendar,R101,$F$1,"mf",,Trigger)</f>
        <v>42300</v>
      </c>
      <c r="T101" s="342">
        <f>_xll.qlDayCounterYearFraction(DayCounter,R101,S101,,,Trigger)</f>
        <v>0.25205479452054796</v>
      </c>
      <c r="U101" s="32">
        <f>_xll.qlInterpolationInterpolate(B3Minterpolation,R101,TRUE)</f>
        <v>1.4112361158553246E-3</v>
      </c>
      <c r="V101" s="345">
        <f>_xll.qlYieldTSDiscount(Discounting,R101,,AllTriggers)</f>
        <v>0.99822509388502223</v>
      </c>
      <c r="W101" s="345">
        <f>_xll.qlYieldTSDiscount(Discounting,S101,,AllTriggers)</f>
        <v>0.9970127851049787</v>
      </c>
      <c r="X101" s="32">
        <f t="shared" si="9"/>
        <v>4.8241139772577275E-3</v>
      </c>
      <c r="Y101" s="452">
        <f t="shared" si="10"/>
        <v>3.5521373764300544E-4</v>
      </c>
      <c r="AD101" s="33"/>
      <c r="AE101" s="33"/>
    </row>
    <row r="102" spans="5:31" ht="11.25" customHeight="1" x14ac:dyDescent="0.2">
      <c r="E102" s="155"/>
      <c r="F102" s="155"/>
      <c r="G102" s="33"/>
      <c r="K102" s="33"/>
      <c r="L102" s="33"/>
      <c r="R102" s="422">
        <f>_xll.qlCalendarAdvance(Calendar,R101,"1D","f")</f>
        <v>42209</v>
      </c>
      <c r="S102" s="221">
        <f>_xll.qlCalendarAdvance(Calendar,R102,$F$1,"mf",,Trigger)</f>
        <v>42303</v>
      </c>
      <c r="T102" s="342">
        <f>_xll.qlDayCounterYearFraction(DayCounter,R102,S102,,,Trigger)</f>
        <v>0.25753424657534246</v>
      </c>
      <c r="U102" s="32">
        <f>_xll.qlInterpolationInterpolate(B3Minterpolation,R102,TRUE)</f>
        <v>1.4126819641621783E-3</v>
      </c>
      <c r="V102" s="345">
        <f>_xll.qlYieldTSDiscount(Discounting,R102,,AllTriggers)</f>
        <v>0.99821260665967171</v>
      </c>
      <c r="W102" s="345">
        <f>_xll.qlYieldTSDiscount(Discounting,S102,,AllTriggers)</f>
        <v>0.9969708095047124</v>
      </c>
      <c r="X102" s="32">
        <f t="shared" si="9"/>
        <v>4.8365226800238257E-3</v>
      </c>
      <c r="Y102" s="452">
        <f t="shared" si="10"/>
        <v>3.6329539339540812E-4</v>
      </c>
      <c r="AD102" s="33"/>
      <c r="AE102" s="33"/>
    </row>
    <row r="103" spans="5:31" ht="11.25" customHeight="1" x14ac:dyDescent="0.2">
      <c r="E103" s="155"/>
      <c r="F103" s="155"/>
      <c r="G103" s="33"/>
      <c r="K103" s="33"/>
      <c r="L103" s="33"/>
      <c r="R103" s="422">
        <f>_xll.qlCalendarAdvance(Calendar,R102,"1D","f")</f>
        <v>42212</v>
      </c>
      <c r="S103" s="221">
        <f>_xll.qlCalendarAdvance(Calendar,R103,$F$1,"mf",,Trigger)</f>
        <v>42304</v>
      </c>
      <c r="T103" s="342">
        <f>_xll.qlDayCounterYearFraction(DayCounter,R103,S103,,,Trigger)</f>
        <v>0.25205479452054796</v>
      </c>
      <c r="U103" s="32">
        <f>_xll.qlInterpolationInterpolate(B3Minterpolation,R103,TRUE)</f>
        <v>1.4170278736464678E-3</v>
      </c>
      <c r="V103" s="345">
        <f>_xll.qlYieldTSDiscount(Discounting,R103,,AllTriggers)</f>
        <v>0.9981750351824662</v>
      </c>
      <c r="W103" s="345">
        <f>_xll.qlYieldTSDiscount(Discounting,S103,,AllTriggers)</f>
        <v>0.99695668746880095</v>
      </c>
      <c r="X103" s="32">
        <f t="shared" si="9"/>
        <v>4.8484173742192821E-3</v>
      </c>
      <c r="Y103" s="452">
        <f t="shared" si="10"/>
        <v>3.5666910430647703E-4</v>
      </c>
      <c r="AD103" s="33"/>
      <c r="AE103" s="33"/>
    </row>
    <row r="104" spans="5:31" ht="11.25" customHeight="1" x14ac:dyDescent="0.2">
      <c r="E104" s="155"/>
      <c r="F104" s="155"/>
      <c r="G104" s="33"/>
      <c r="K104" s="33"/>
      <c r="L104" s="33"/>
      <c r="R104" s="422">
        <f>_xll.qlCalendarAdvance(Calendar,R103,"1D","f")</f>
        <v>42213</v>
      </c>
      <c r="S104" s="221">
        <f>_xll.qlCalendarAdvance(Calendar,R104,$F$1,"mf",,Trigger)</f>
        <v>42305</v>
      </c>
      <c r="T104" s="342">
        <f>_xll.qlDayCounterYearFraction(DayCounter,R104,S104,,,Trigger)</f>
        <v>0.25205479452054796</v>
      </c>
      <c r="U104" s="32">
        <f>_xll.qlInterpolationInterpolate(B3Minterpolation,R104,TRUE)</f>
        <v>1.4184803147418374E-3</v>
      </c>
      <c r="V104" s="345">
        <f>_xll.qlYieldTSDiscount(Discounting,R104,,AllTriggers)</f>
        <v>0.99816246930437091</v>
      </c>
      <c r="W104" s="345">
        <f>_xll.qlYieldTSDiscount(Discounting,S104,,AllTriggers)</f>
        <v>0.99694249551644909</v>
      </c>
      <c r="X104" s="32">
        <f t="shared" si="9"/>
        <v>4.8549574519095723E-3</v>
      </c>
      <c r="Y104" s="452">
        <f t="shared" si="10"/>
        <v>3.5703403401110074E-4</v>
      </c>
      <c r="AD104" s="33"/>
      <c r="AE104" s="33"/>
    </row>
    <row r="105" spans="5:31" ht="11.25" customHeight="1" x14ac:dyDescent="0.2">
      <c r="E105" s="155"/>
      <c r="F105" s="155"/>
      <c r="G105" s="33"/>
      <c r="K105" s="33"/>
      <c r="L105" s="33"/>
      <c r="R105" s="422">
        <f>_xll.qlCalendarAdvance(Calendar,R104,"1D","f")</f>
        <v>42214</v>
      </c>
      <c r="S105" s="221">
        <f>_xll.qlCalendarAdvance(Calendar,R105,$F$1,"mf",,Trigger)</f>
        <v>42306</v>
      </c>
      <c r="T105" s="342">
        <f>_xll.qlDayCounterYearFraction(DayCounter,R105,S105,,,Trigger)</f>
        <v>0.25205479452054796</v>
      </c>
      <c r="U105" s="32">
        <f>_xll.qlInterpolationInterpolate(B3Minterpolation,R105,TRUE)</f>
        <v>1.419935166343859E-3</v>
      </c>
      <c r="V105" s="345">
        <f>_xll.qlYieldTSDiscount(Discounting,R105,,AllTriggers)</f>
        <v>0.99814987967431679</v>
      </c>
      <c r="W105" s="345">
        <f>_xll.qlYieldTSDiscount(Discounting,S105,,AllTriggers)</f>
        <v>0.99692823074880743</v>
      </c>
      <c r="X105" s="32">
        <f t="shared" si="9"/>
        <v>4.861693324093609E-3</v>
      </c>
      <c r="Y105" s="452">
        <f t="shared" si="10"/>
        <v>3.5739955138673634E-4</v>
      </c>
      <c r="AD105" s="33"/>
      <c r="AE105" s="33"/>
    </row>
    <row r="106" spans="5:31" ht="11.25" customHeight="1" x14ac:dyDescent="0.2">
      <c r="E106" s="155"/>
      <c r="F106" s="155"/>
      <c r="G106" s="33"/>
      <c r="K106" s="33"/>
      <c r="L106" s="33"/>
      <c r="R106" s="422">
        <f>_xll.qlCalendarAdvance(Calendar,R105,"1D","f")</f>
        <v>42215</v>
      </c>
      <c r="S106" s="221">
        <f>_xll.qlCalendarAdvance(Calendar,R106,$F$1,"mf",,Trigger)</f>
        <v>42307</v>
      </c>
      <c r="T106" s="342">
        <f>_xll.qlDayCounterYearFraction(DayCounter,R106,S106,,,Trigger)</f>
        <v>0.25205479452054796</v>
      </c>
      <c r="U106" s="32">
        <f>_xll.qlInterpolationInterpolate(B3Minterpolation,R106,TRUE)</f>
        <v>1.4213927333763413E-3</v>
      </c>
      <c r="V106" s="345">
        <f>_xll.qlYieldTSDiscount(Discounting,R106,,AllTriggers)</f>
        <v>0.99813726465696229</v>
      </c>
      <c r="W106" s="345">
        <f>_xll.qlYieldTSDiscount(Discounting,S106,,AllTriggers)</f>
        <v>0.99691389026720834</v>
      </c>
      <c r="X106" s="32">
        <f t="shared" si="9"/>
        <v>4.8686300424310019E-3</v>
      </c>
      <c r="Y106" s="452">
        <f t="shared" si="10"/>
        <v>3.5776573265691383E-4</v>
      </c>
      <c r="AD106" s="33"/>
      <c r="AE106" s="33"/>
    </row>
    <row r="107" spans="5:31" ht="11.25" customHeight="1" x14ac:dyDescent="0.2">
      <c r="E107" s="155"/>
      <c r="F107" s="155"/>
      <c r="G107" s="33"/>
      <c r="K107" s="33"/>
      <c r="L107" s="33"/>
      <c r="R107" s="422">
        <f>_xll.qlCalendarAdvance(Calendar,R106,"1D","f")</f>
        <v>42216</v>
      </c>
      <c r="S107" s="221">
        <f>_xll.qlCalendarAdvance(Calendar,R107,$F$1,"mf",,Trigger)</f>
        <v>42307</v>
      </c>
      <c r="T107" s="342">
        <f>_xll.qlDayCounterYearFraction(DayCounter,R107,S107,,,Trigger)</f>
        <v>0.24931506849315069</v>
      </c>
      <c r="U107" s="32">
        <f>_xll.qlInterpolationInterpolate(B3Minterpolation,R107,TRUE)</f>
        <v>1.4228533207630938E-3</v>
      </c>
      <c r="V107" s="345">
        <f>_xll.qlYieldTSDiscount(Discounting,R107,,AllTriggers)</f>
        <v>0.99812462261705093</v>
      </c>
      <c r="W107" s="345">
        <f>_xll.qlYieldTSDiscount(Discounting,S107,,AllTriggers)</f>
        <v>0.99691389026720834</v>
      </c>
      <c r="X107" s="32">
        <f t="shared" si="9"/>
        <v>4.8712674162519664E-3</v>
      </c>
      <c r="Y107" s="452">
        <f t="shared" si="10"/>
        <v>3.5424572001233409E-4</v>
      </c>
      <c r="AD107" s="33"/>
      <c r="AE107" s="33"/>
    </row>
    <row r="108" spans="5:31" ht="11.25" customHeight="1" x14ac:dyDescent="0.2">
      <c r="E108" s="155"/>
      <c r="F108" s="155"/>
      <c r="G108" s="33"/>
      <c r="K108" s="33"/>
      <c r="L108" s="33"/>
      <c r="R108" s="422">
        <f>_xll.qlCalendarAdvance(Calendar,R107,"1D","f")</f>
        <v>42219</v>
      </c>
      <c r="S108" s="221">
        <f>_xll.qlCalendarAdvance(Calendar,R108,$F$1,"mf",,Trigger)</f>
        <v>42311</v>
      </c>
      <c r="T108" s="342">
        <f>_xll.qlDayCounterYearFraction(DayCounter,R108,S108,,,Trigger)</f>
        <v>0.25205479452054796</v>
      </c>
      <c r="U108" s="32">
        <f>_xll.qlInterpolationInterpolate(B3Minterpolation,R108,TRUE)</f>
        <v>1.4272562542870626E-3</v>
      </c>
      <c r="V108" s="345">
        <f>_xll.qlYieldTSDiscount(Discounting,R108,,AllTriggers)</f>
        <v>0.99808651801068549</v>
      </c>
      <c r="W108" s="345">
        <f>_xll.qlYieldTSDiscount(Discounting,S108,,AllTriggers)</f>
        <v>0.99685571323436273</v>
      </c>
      <c r="X108" s="32">
        <f t="shared" si="9"/>
        <v>4.8984864129324353E-3</v>
      </c>
      <c r="Y108" s="452">
        <f t="shared" si="10"/>
        <v>3.5923862105201229E-4</v>
      </c>
      <c r="AD108" s="33"/>
      <c r="AE108" s="33"/>
    </row>
    <row r="109" spans="5:31" ht="11.25" customHeight="1" x14ac:dyDescent="0.2">
      <c r="E109" s="155"/>
      <c r="F109" s="155"/>
      <c r="G109" s="33"/>
      <c r="K109" s="33"/>
      <c r="L109" s="33"/>
      <c r="R109" s="422">
        <f>_xll.qlCalendarAdvance(Calendar,R108,"1D","f")</f>
        <v>42220</v>
      </c>
      <c r="S109" s="221">
        <f>_xll.qlCalendarAdvance(Calendar,R109,$F$1,"mf",,Trigger)</f>
        <v>42312</v>
      </c>
      <c r="T109" s="342">
        <f>_xll.qlDayCounterYearFraction(DayCounter,R109,S109,,,Trigger)</f>
        <v>0.25205479452054796</v>
      </c>
      <c r="U109" s="32">
        <f>_xll.qlInterpolationInterpolate(B3Minterpolation,R109,TRUE)</f>
        <v>1.4287319723289863E-3</v>
      </c>
      <c r="V109" s="345">
        <f>_xll.qlYieldTSDiscount(Discounting,R109,,AllTriggers)</f>
        <v>0.99807375199076132</v>
      </c>
      <c r="W109" s="345">
        <f>_xll.qlYieldTSDiscount(Discounting,S109,,AllTriggers)</f>
        <v>0.99684095171914266</v>
      </c>
      <c r="X109" s="32">
        <f t="shared" si="9"/>
        <v>4.9065009510121382E-3</v>
      </c>
      <c r="Y109" s="452">
        <f t="shared" si="10"/>
        <v>3.5960926524509227E-4</v>
      </c>
      <c r="AD109" s="33"/>
      <c r="AE109" s="33"/>
    </row>
    <row r="110" spans="5:31" ht="11.25" customHeight="1" x14ac:dyDescent="0.2">
      <c r="E110" s="155"/>
      <c r="F110" s="155"/>
      <c r="G110" s="33"/>
      <c r="K110" s="33"/>
      <c r="L110" s="33"/>
      <c r="R110" s="422">
        <f>_xll.qlCalendarAdvance(Calendar,R109,"1D","f")</f>
        <v>42221</v>
      </c>
      <c r="S110" s="221">
        <f>_xll.qlCalendarAdvance(Calendar,R110,$F$1,"mf",,Trigger)</f>
        <v>42313</v>
      </c>
      <c r="T110" s="342">
        <f>_xll.qlDayCounterYearFraction(DayCounter,R110,S110,,,Trigger)</f>
        <v>0.25205479452054796</v>
      </c>
      <c r="U110" s="32">
        <f>_xll.qlInterpolationInterpolate(B3Minterpolation,R110,TRUE)</f>
        <v>1.430212235344226E-3</v>
      </c>
      <c r="V110" s="345">
        <f>_xll.qlYieldTSDiscount(Discounting,R110,,AllTriggers)</f>
        <v>0.99806095353968527</v>
      </c>
      <c r="W110" s="345">
        <f>_xll.qlYieldTSDiscount(Discounting,S110,,AllTriggers)</f>
        <v>0.99682610315979614</v>
      </c>
      <c r="X110" s="32">
        <f t="shared" si="9"/>
        <v>4.9147335165211151E-3</v>
      </c>
      <c r="Y110" s="452">
        <f t="shared" si="10"/>
        <v>3.5998103180374388E-4</v>
      </c>
      <c r="AD110" s="33"/>
      <c r="AE110" s="33"/>
    </row>
    <row r="111" spans="5:31" ht="11.25" customHeight="1" x14ac:dyDescent="0.2">
      <c r="E111" s="155"/>
      <c r="F111" s="155"/>
      <c r="G111" s="33"/>
      <c r="K111" s="33"/>
      <c r="L111" s="33"/>
      <c r="R111" s="422">
        <f>_xll.qlCalendarAdvance(Calendar,R110,"1D","f")</f>
        <v>42222</v>
      </c>
      <c r="S111" s="221">
        <f>_xll.qlCalendarAdvance(Calendar,R111,$F$1,"mf",,Trigger)</f>
        <v>42314</v>
      </c>
      <c r="T111" s="342">
        <f>_xll.qlDayCounterYearFraction(DayCounter,R111,S111,,,Trigger)</f>
        <v>0.25205479452054796</v>
      </c>
      <c r="U111" s="32">
        <f>_xll.qlInterpolationInterpolate(B3Minterpolation,R111,TRUE)</f>
        <v>1.4316973482565902E-3</v>
      </c>
      <c r="V111" s="345">
        <f>_xll.qlYieldTSDiscount(Discounting,R111,,AllTriggers)</f>
        <v>0.99804812378899166</v>
      </c>
      <c r="W111" s="345">
        <f>_xll.qlYieldTSDiscount(Discounting,S111,,AllTriggers)</f>
        <v>0.99681117071655501</v>
      </c>
      <c r="X111" s="32">
        <f t="shared" si="9"/>
        <v>4.9231760313677778E-3</v>
      </c>
      <c r="Y111" s="452">
        <f t="shared" si="10"/>
        <v>3.60353998125773E-4</v>
      </c>
      <c r="AD111" s="33"/>
      <c r="AE111" s="33"/>
    </row>
    <row r="112" spans="5:31" ht="11.25" customHeight="1" x14ac:dyDescent="0.2">
      <c r="E112" s="155"/>
      <c r="F112" s="155"/>
      <c r="G112" s="33"/>
      <c r="K112" s="33"/>
      <c r="L112" s="33"/>
      <c r="R112" s="422">
        <f>_xll.qlCalendarAdvance(Calendar,R111,"1D","f")</f>
        <v>42223</v>
      </c>
      <c r="S112" s="221">
        <f>_xll.qlCalendarAdvance(Calendar,R112,$F$1,"mf",,Trigger)</f>
        <v>42317</v>
      </c>
      <c r="T112" s="342">
        <f>_xll.qlDayCounterYearFraction(DayCounter,R112,S112,,,Trigger)</f>
        <v>0.25753424657534246</v>
      </c>
      <c r="U112" s="32">
        <f>_xll.qlInterpolationInterpolate(B3Minterpolation,R112,TRUE)</f>
        <v>1.4331876159898885E-3</v>
      </c>
      <c r="V112" s="345">
        <f>_xll.qlYieldTSDiscount(Discounting,R112,,AllTriggers)</f>
        <v>0.99803526387015973</v>
      </c>
      <c r="W112" s="345">
        <f>_xll.qlYieldTSDiscount(Discounting,S112,,AllTriggers)</f>
        <v>0.99676590168325374</v>
      </c>
      <c r="X112" s="32">
        <f t="shared" si="9"/>
        <v>4.9448986524586415E-3</v>
      </c>
      <c r="Y112" s="452">
        <f t="shared" si="10"/>
        <v>3.6855752979304471E-4</v>
      </c>
      <c r="AD112" s="33"/>
      <c r="AE112" s="33"/>
    </row>
    <row r="113" spans="5:31" ht="11.25" customHeight="1" x14ac:dyDescent="0.2">
      <c r="E113" s="155"/>
      <c r="F113" s="155"/>
      <c r="G113" s="33"/>
      <c r="K113" s="33"/>
      <c r="L113" s="33"/>
      <c r="R113" s="422">
        <f>_xll.qlCalendarAdvance(Calendar,R112,"1D","f")</f>
        <v>42226</v>
      </c>
      <c r="S113" s="221">
        <f>_xll.qlCalendarAdvance(Calendar,R113,$F$1,"mf",,Trigger)</f>
        <v>42318</v>
      </c>
      <c r="T113" s="342">
        <f>_xll.qlDayCounterYearFraction(DayCounter,R113,S113,,,Trigger)</f>
        <v>0.25205479452054796</v>
      </c>
      <c r="U113" s="32">
        <f>_xll.qlInterpolationInterpolate(B3Minterpolation,R113,TRUE)</f>
        <v>1.437692397353478E-3</v>
      </c>
      <c r="V113" s="345">
        <f>_xll.qlYieldTSDiscount(Discounting,R113,,AllTriggers)</f>
        <v>0.99799651441879234</v>
      </c>
      <c r="W113" s="345">
        <f>_xll.qlYieldTSDiscount(Discounting,S113,,AllTriggers)</f>
        <v>0.99675066530336431</v>
      </c>
      <c r="X113" s="32">
        <f t="shared" si="9"/>
        <v>4.9588840209842562E-3</v>
      </c>
      <c r="Y113" s="452">
        <f t="shared" si="10"/>
        <v>3.6185940906949341E-4</v>
      </c>
      <c r="AD113" s="33"/>
      <c r="AE113" s="33"/>
    </row>
    <row r="114" spans="5:31" ht="11.25" customHeight="1" x14ac:dyDescent="0.2">
      <c r="E114" s="155"/>
      <c r="F114" s="155"/>
      <c r="G114" s="33"/>
      <c r="K114" s="33"/>
      <c r="L114" s="33"/>
      <c r="R114" s="422">
        <f>_xll.qlCalendarAdvance(Calendar,R113,"1D","f")</f>
        <v>42227</v>
      </c>
      <c r="S114" s="221">
        <f>_xll.qlCalendarAdvance(Calendar,R114,$F$1,"mf",,Trigger)</f>
        <v>42319</v>
      </c>
      <c r="T114" s="342">
        <f>_xll.qlDayCounterYearFraction(DayCounter,R114,S114,,,Trigger)</f>
        <v>0.25205479452054796</v>
      </c>
      <c r="U114" s="32">
        <f>_xll.qlInterpolationInterpolate(B3Minterpolation,R114,TRUE)</f>
        <v>1.4392063336086031E-3</v>
      </c>
      <c r="V114" s="345">
        <f>_xll.qlYieldTSDiscount(Discounting,R114,,AllTriggers)</f>
        <v>0.99798354514108523</v>
      </c>
      <c r="W114" s="345">
        <f>_xll.qlYieldTSDiscount(Discounting,S114,,AllTriggers)</f>
        <v>0.99673536083817715</v>
      </c>
      <c r="X114" s="32">
        <f t="shared" si="9"/>
        <v>4.968255109778291E-3</v>
      </c>
      <c r="Y114" s="452">
        <f t="shared" si="10"/>
        <v>3.6223953524119526E-4</v>
      </c>
      <c r="AD114" s="33"/>
      <c r="AE114" s="33"/>
    </row>
    <row r="115" spans="5:31" ht="11.25" customHeight="1" x14ac:dyDescent="0.2">
      <c r="E115" s="155"/>
      <c r="F115" s="155"/>
      <c r="G115" s="33"/>
      <c r="K115" s="33"/>
      <c r="L115" s="33"/>
      <c r="R115" s="422">
        <f>_xll.qlCalendarAdvance(Calendar,R114,"1D","f")</f>
        <v>42228</v>
      </c>
      <c r="S115" s="221">
        <f>_xll.qlCalendarAdvance(Calendar,R115,$F$1,"mf",,Trigger)</f>
        <v>42320</v>
      </c>
      <c r="T115" s="342">
        <f>_xll.qlDayCounterYearFraction(DayCounter,R115,S115,,,Trigger)</f>
        <v>0.25205479452054796</v>
      </c>
      <c r="U115" s="32">
        <f>_xll.qlInterpolationInterpolate(B3Minterpolation,R115,TRUE)</f>
        <v>1.4407269493037077E-3</v>
      </c>
      <c r="V115" s="345">
        <f>_xll.qlYieldTSDiscount(Discounting,R115,,AllTriggers)</f>
        <v>0.99797055135179757</v>
      </c>
      <c r="W115" s="345">
        <f>_xll.qlYieldTSDiscount(Discounting,S115,,AllTriggers)</f>
        <v>0.99671999144688228</v>
      </c>
      <c r="X115" s="32">
        <f t="shared" si="9"/>
        <v>4.9777876784883462E-3</v>
      </c>
      <c r="Y115" s="452">
        <f t="shared" si="10"/>
        <v>3.6262132560229148E-4</v>
      </c>
      <c r="AD115" s="33"/>
      <c r="AE115" s="33"/>
    </row>
    <row r="116" spans="5:31" ht="11.25" customHeight="1" x14ac:dyDescent="0.2">
      <c r="E116" s="155"/>
      <c r="F116" s="155"/>
      <c r="G116" s="33"/>
      <c r="K116" s="33"/>
      <c r="L116" s="33"/>
      <c r="R116" s="422">
        <f>_xll.qlCalendarAdvance(Calendar,R115,"1D","f")</f>
        <v>42229</v>
      </c>
      <c r="S116" s="221">
        <f>_xll.qlCalendarAdvance(Calendar,R116,$F$1,"mf",,Trigger)</f>
        <v>42321</v>
      </c>
      <c r="T116" s="342">
        <f>_xll.qlDayCounterYearFraction(DayCounter,R116,S116,,,Trigger)</f>
        <v>0.25205479452054796</v>
      </c>
      <c r="U116" s="32">
        <f>_xll.qlInterpolationInterpolate(B3Minterpolation,R116,TRUE)</f>
        <v>1.4422545493626012E-3</v>
      </c>
      <c r="V116" s="345">
        <f>_xll.qlYieldTSDiscount(Discounting,R116,,AllTriggers)</f>
        <v>0.99795753418207112</v>
      </c>
      <c r="W116" s="345">
        <f>_xll.qlYieldTSDiscount(Discounting,S116,,AllTriggers)</f>
        <v>0.99670456028848842</v>
      </c>
      <c r="X116" s="32">
        <f t="shared" si="9"/>
        <v>4.9874736486968862E-3</v>
      </c>
      <c r="Y116" s="452">
        <f t="shared" si="10"/>
        <v>3.6300485756371199E-4</v>
      </c>
      <c r="AD116" s="33"/>
      <c r="AE116" s="33"/>
    </row>
    <row r="117" spans="5:31" ht="11.25" customHeight="1" x14ac:dyDescent="0.2">
      <c r="E117" s="155"/>
      <c r="F117" s="155"/>
      <c r="G117" s="33"/>
      <c r="K117" s="33"/>
      <c r="L117" s="33"/>
      <c r="R117" s="422">
        <f>_xll.qlCalendarAdvance(Calendar,R116,"1D","f")</f>
        <v>42230</v>
      </c>
      <c r="S117" s="221">
        <f>_xll.qlCalendarAdvance(Calendar,R117,$F$1,"mf",,Trigger)</f>
        <v>42324</v>
      </c>
      <c r="T117" s="342">
        <f>_xll.qlDayCounterYearFraction(DayCounter,R117,S117,,,Trigger)</f>
        <v>0.25753424657534246</v>
      </c>
      <c r="U117" s="32">
        <f>_xll.qlInterpolationInterpolate(B3Minterpolation,R117,TRUE)</f>
        <v>1.4437894387090923E-3</v>
      </c>
      <c r="V117" s="345">
        <f>_xll.qlYieldTSDiscount(Discounting,R117,,AllTriggers)</f>
        <v>0.9979444947629903</v>
      </c>
      <c r="W117" s="345">
        <f>_xll.qlYieldTSDiscount(Discounting,S117,,AllTriggers)</f>
        <v>0.99665792779803364</v>
      </c>
      <c r="X117" s="32">
        <f t="shared" si="9"/>
        <v>5.0124641683221421E-3</v>
      </c>
      <c r="Y117" s="452">
        <f t="shared" si="10"/>
        <v>3.712769301155805E-4</v>
      </c>
      <c r="AD117" s="33"/>
      <c r="AE117" s="33"/>
    </row>
    <row r="118" spans="5:31" ht="11.25" customHeight="1" x14ac:dyDescent="0.2">
      <c r="E118" s="155"/>
      <c r="F118" s="155"/>
      <c r="G118" s="33"/>
      <c r="K118" s="33"/>
      <c r="L118" s="33"/>
      <c r="R118" s="422">
        <f>_xll.qlCalendarAdvance(Calendar,R117,"1D","f")</f>
        <v>42233</v>
      </c>
      <c r="S118" s="221">
        <f>_xll.qlCalendarAdvance(Calendar,R118,$F$1,"mf",,Trigger)</f>
        <v>42325</v>
      </c>
      <c r="T118" s="342">
        <f>_xll.qlDayCounterYearFraction(DayCounter,R118,S118,,,Trigger)</f>
        <v>0.25205479452054796</v>
      </c>
      <c r="U118" s="32">
        <f>_xll.qlInterpolationInterpolate(B3Minterpolation,R118,TRUE)</f>
        <v>1.4484408917122436E-3</v>
      </c>
      <c r="V118" s="345">
        <f>_xll.qlYieldTSDiscount(Discounting,R118,,AllTriggers)</f>
        <v>0.99790525431960198</v>
      </c>
      <c r="W118" s="345">
        <f>_xll.qlYieldTSDiscount(Discounting,S118,,AllTriggers)</f>
        <v>0.99664228115763043</v>
      </c>
      <c r="X118" s="32">
        <f t="shared" si="9"/>
        <v>5.027589974018319E-3</v>
      </c>
      <c r="Y118" s="452">
        <f t="shared" si="10"/>
        <v>3.6455794969222281E-4</v>
      </c>
      <c r="AD118" s="33"/>
      <c r="AE118" s="33"/>
    </row>
    <row r="119" spans="5:31" ht="11.25" customHeight="1" x14ac:dyDescent="0.2">
      <c r="E119" s="155"/>
      <c r="F119" s="155"/>
      <c r="G119" s="33"/>
      <c r="K119" s="33"/>
      <c r="L119" s="33"/>
      <c r="R119" s="422">
        <f>_xll.qlCalendarAdvance(Calendar,R118,"1D","f")</f>
        <v>42234</v>
      </c>
      <c r="S119" s="221">
        <f>_xll.qlCalendarAdvance(Calendar,R119,$F$1,"mf",,Trigger)</f>
        <v>42326</v>
      </c>
      <c r="T119" s="342">
        <f>_xll.qlDayCounterYearFraction(DayCounter,R119,S119,,,Trigger)</f>
        <v>0.25205479452054796</v>
      </c>
      <c r="U119" s="32">
        <f>_xll.qlInterpolationInterpolate(B3Minterpolation,R119,TRUE)</f>
        <v>1.450007987447217E-3</v>
      </c>
      <c r="V119" s="345">
        <f>_xll.qlYieldTSDiscount(Discounting,R119,,AllTriggers)</f>
        <v>0.99789213721279424</v>
      </c>
      <c r="W119" s="345">
        <f>_xll.qlYieldTSDiscount(Discounting,S119,,AllTriggers)</f>
        <v>0.99662658854238106</v>
      </c>
      <c r="X119" s="32">
        <f t="shared" si="9"/>
        <v>5.0379217732582958E-3</v>
      </c>
      <c r="Y119" s="452">
        <f t="shared" si="10"/>
        <v>3.6495135088151153E-4</v>
      </c>
      <c r="AD119" s="33"/>
      <c r="AE119" s="33"/>
    </row>
    <row r="120" spans="5:31" ht="11.25" customHeight="1" x14ac:dyDescent="0.2">
      <c r="E120" s="155"/>
      <c r="F120" s="155"/>
      <c r="G120" s="33"/>
      <c r="K120" s="33"/>
      <c r="L120" s="33"/>
      <c r="R120" s="422">
        <f>_xll.qlCalendarAdvance(Calendar,R119,"1D","f")</f>
        <v>42235</v>
      </c>
      <c r="S120" s="221">
        <f>_xll.qlCalendarAdvance(Calendar,R120,$F$1,"mf",,Trigger)</f>
        <v>42327</v>
      </c>
      <c r="T120" s="342">
        <f>_xll.qlDayCounterYearFraction(DayCounter,R120,S120,,,Trigger)</f>
        <v>0.25205479452054796</v>
      </c>
      <c r="U120" s="32">
        <f>_xll.qlInterpolationInterpolate(B3Minterpolation,R120,TRUE)</f>
        <v>1.451583897088834E-3</v>
      </c>
      <c r="V120" s="345">
        <f>_xll.qlYieldTSDiscount(Discounting,R120,,AllTriggers)</f>
        <v>0.99787900351118686</v>
      </c>
      <c r="W120" s="345">
        <f>_xll.qlYieldTSDiscount(Discounting,S120,,AllTriggers)</f>
        <v>0.99661085311016617</v>
      </c>
      <c r="X120" s="32">
        <f t="shared" si="9"/>
        <v>5.0483585021313714E-3</v>
      </c>
      <c r="Y120" s="452">
        <f t="shared" si="10"/>
        <v>3.6534695817459426E-4</v>
      </c>
      <c r="AD120" s="33"/>
      <c r="AE120" s="33"/>
    </row>
    <row r="121" spans="5:31" ht="11.25" customHeight="1" x14ac:dyDescent="0.2">
      <c r="E121" s="155"/>
      <c r="F121" s="155"/>
      <c r="G121" s="33"/>
      <c r="K121" s="33"/>
      <c r="L121" s="33"/>
      <c r="R121" s="422">
        <f>_xll.qlCalendarAdvance(Calendar,R120,"1D","f")</f>
        <v>42236</v>
      </c>
      <c r="S121" s="221">
        <f>_xll.qlCalendarAdvance(Calendar,R121,$F$1,"mf",,Trigger)</f>
        <v>42328</v>
      </c>
      <c r="T121" s="342">
        <f>_xll.qlDayCounterYearFraction(DayCounter,R121,S121,,,Trigger)</f>
        <v>0.25205479452054796</v>
      </c>
      <c r="U121" s="32">
        <f>_xll.qlInterpolationInterpolate(B3Minterpolation,R121,TRUE)</f>
        <v>1.4531689255609034E-3</v>
      </c>
      <c r="V121" s="345">
        <f>_xll.qlYieldTSDiscount(Discounting,R121,,AllTriggers)</f>
        <v>0.99786585434551567</v>
      </c>
      <c r="W121" s="345">
        <f>_xll.qlYieldTSDiscount(Discounting,S121,,AllTriggers)</f>
        <v>0.99659507801867309</v>
      </c>
      <c r="X121" s="32">
        <f t="shared" si="9"/>
        <v>5.0588920817363743E-3</v>
      </c>
      <c r="Y121" s="452">
        <f t="shared" si="10"/>
        <v>3.6574484899546062E-4</v>
      </c>
      <c r="AD121" s="33"/>
      <c r="AE121" s="33"/>
    </row>
    <row r="122" spans="5:31" ht="11.25" customHeight="1" x14ac:dyDescent="0.2">
      <c r="E122" s="155"/>
      <c r="F122" s="155"/>
      <c r="G122" s="33"/>
      <c r="K122" s="33"/>
      <c r="L122" s="33"/>
      <c r="R122" s="422">
        <f>_xll.qlCalendarAdvance(Calendar,R121,"1D","f")</f>
        <v>42237</v>
      </c>
      <c r="S122" s="221">
        <f>_xll.qlCalendarAdvance(Calendar,R122,$F$1,"mf",,Trigger)</f>
        <v>42331</v>
      </c>
      <c r="T122" s="342">
        <f>_xll.qlDayCounterYearFraction(DayCounter,R122,S122,,,Trigger)</f>
        <v>0.25753424657534246</v>
      </c>
      <c r="U122" s="32">
        <f>_xll.qlInterpolationInterpolate(B3Minterpolation,R122,TRUE)</f>
        <v>1.4547633777872344E-3</v>
      </c>
      <c r="V122" s="345">
        <f>_xll.qlYieldTSDiscount(Discounting,R122,,AllTriggers)</f>
        <v>0.99785269084645778</v>
      </c>
      <c r="W122" s="345">
        <f>_xll.qlYieldTSDiscount(Discounting,S122,,AllTriggers)</f>
        <v>0.99654754636246579</v>
      </c>
      <c r="X122" s="32">
        <f t="shared" si="9"/>
        <v>5.0854053886417259E-3</v>
      </c>
      <c r="Y122" s="452">
        <f t="shared" si="10"/>
        <v>3.7409138310242642E-4</v>
      </c>
      <c r="AD122" s="33"/>
      <c r="AE122" s="33"/>
    </row>
    <row r="123" spans="5:31" ht="11.25" customHeight="1" x14ac:dyDescent="0.2">
      <c r="E123" s="155"/>
      <c r="F123" s="155"/>
      <c r="G123" s="33"/>
      <c r="K123" s="33"/>
      <c r="L123" s="33"/>
      <c r="R123" s="422">
        <f>_xll.qlCalendarAdvance(Calendar,R122,"1D","f")</f>
        <v>42240</v>
      </c>
      <c r="S123" s="221">
        <f>_xll.qlCalendarAdvance(Calendar,R123,$F$1,"mf",,Trigger)</f>
        <v>42332</v>
      </c>
      <c r="T123" s="342">
        <f>_xll.qlDayCounterYearFraction(DayCounter,R123,S123,,,Trigger)</f>
        <v>0.25205479452054796</v>
      </c>
      <c r="U123" s="32">
        <f>_xll.qlInterpolationInterpolate(B3Minterpolation,R123,TRUE)</f>
        <v>1.4596063262298888E-3</v>
      </c>
      <c r="V123" s="345">
        <f>_xll.qlYieldTSDiscount(Discounting,R123,,AllTriggers)</f>
        <v>0.99781312565484848</v>
      </c>
      <c r="W123" s="345">
        <f>_xll.qlYieldTSDiscount(Discounting,S123,,AllTriggers)</f>
        <v>0.99653164420681695</v>
      </c>
      <c r="X123" s="32">
        <f t="shared" si="9"/>
        <v>5.1018333267777039E-3</v>
      </c>
      <c r="Y123" s="452">
        <f t="shared" si="10"/>
        <v>3.6736079610402461E-4</v>
      </c>
      <c r="AD123" s="33"/>
      <c r="AE123" s="33"/>
    </row>
    <row r="124" spans="5:31" ht="11.25" customHeight="1" x14ac:dyDescent="0.2">
      <c r="E124" s="155"/>
      <c r="F124" s="155"/>
      <c r="G124" s="33"/>
      <c r="K124" s="33"/>
      <c r="L124" s="33"/>
      <c r="R124" s="422">
        <f>_xll.qlCalendarAdvance(Calendar,R123,"1D","f")</f>
        <v>42241</v>
      </c>
      <c r="S124" s="221">
        <f>_xll.qlCalendarAdvance(Calendar,R124,$F$1,"mf",,Trigger)</f>
        <v>42333</v>
      </c>
      <c r="T124" s="342">
        <f>_xll.qlDayCounterYearFraction(DayCounter,R124,S124,,,Trigger)</f>
        <v>0.25205479452054796</v>
      </c>
      <c r="U124" s="32">
        <f>_xll.qlInterpolationInterpolate(B3Minterpolation,R124,TRUE)</f>
        <v>1.4612415227113578E-3</v>
      </c>
      <c r="V124" s="345">
        <f>_xll.qlYieldTSDiscount(Discounting,R124,,AllTriggers)</f>
        <v>0.99779991612783225</v>
      </c>
      <c r="W124" s="345">
        <f>_xll.qlYieldTSDiscount(Discounting,S124,,AllTriggers)</f>
        <v>0.99651571817738083</v>
      </c>
      <c r="X124" s="32">
        <f t="shared" si="9"/>
        <v>5.1127299737938657E-3</v>
      </c>
      <c r="Y124" s="452">
        <f t="shared" si="10"/>
        <v>3.6777126599176423E-4</v>
      </c>
      <c r="AD124" s="33"/>
      <c r="AE124" s="33"/>
    </row>
    <row r="125" spans="5:31" ht="11.25" customHeight="1" x14ac:dyDescent="0.2">
      <c r="E125" s="155"/>
      <c r="F125" s="155"/>
      <c r="G125" s="33"/>
      <c r="K125" s="33"/>
      <c r="L125" s="33"/>
      <c r="R125" s="422">
        <f>_xll.qlCalendarAdvance(Calendar,R124,"1D","f")</f>
        <v>42242</v>
      </c>
      <c r="S125" s="221">
        <f>_xll.qlCalendarAdvance(Calendar,R125,$F$1,"mf",,Trigger)</f>
        <v>42334</v>
      </c>
      <c r="T125" s="342">
        <f>_xll.qlDayCounterYearFraction(DayCounter,R125,S125,,,Trigger)</f>
        <v>0.25205479452054796</v>
      </c>
      <c r="U125" s="32">
        <f>_xll.qlInterpolationInterpolate(B3Minterpolation,R125,TRUE)</f>
        <v>1.4628876675661341E-3</v>
      </c>
      <c r="V125" s="345">
        <f>_xll.qlYieldTSDiscount(Discounting,R125,,AllTriggers)</f>
        <v>0.99778669791992702</v>
      </c>
      <c r="W125" s="345">
        <f>_xll.qlYieldTSDiscount(Discounting,S125,,AllTriggers)</f>
        <v>0.99649977143065949</v>
      </c>
      <c r="X125" s="32">
        <f t="shared" si="9"/>
        <v>5.1236749964576221E-3</v>
      </c>
      <c r="Y125" s="452">
        <f t="shared" si="10"/>
        <v>3.6818448399219894E-4</v>
      </c>
      <c r="AD125" s="33"/>
      <c r="AE125" s="33"/>
    </row>
    <row r="126" spans="5:31" ht="11.25" customHeight="1" x14ac:dyDescent="0.2">
      <c r="E126" s="155"/>
      <c r="F126" s="155"/>
      <c r="G126" s="33"/>
      <c r="K126" s="33"/>
      <c r="L126" s="33"/>
      <c r="R126" s="422">
        <f>_xll.qlCalendarAdvance(Calendar,R125,"1D","f")</f>
        <v>42243</v>
      </c>
      <c r="S126" s="221">
        <f>_xll.qlCalendarAdvance(Calendar,R126,$F$1,"mf",,Trigger)</f>
        <v>42335</v>
      </c>
      <c r="T126" s="342">
        <f>_xll.qlDayCounterYearFraction(DayCounter,R126,S126,,,Trigger)</f>
        <v>0.25205479452054796</v>
      </c>
      <c r="U126" s="32">
        <f>_xll.qlInterpolationInterpolate(B3Minterpolation,R126,TRUE)</f>
        <v>1.4645450657180265E-3</v>
      </c>
      <c r="V126" s="345">
        <f>_xll.qlYieldTSDiscount(Discounting,R126,,AllTriggers)</f>
        <v>0.99777347216145373</v>
      </c>
      <c r="W126" s="345">
        <f>_xll.qlYieldTSDiscount(Discounting,S126,,AllTriggers)</f>
        <v>0.99648380712295459</v>
      </c>
      <c r="X126" s="32">
        <f t="shared" si="9"/>
        <v>5.1346603152899063E-3</v>
      </c>
      <c r="Y126" s="452">
        <f t="shared" si="10"/>
        <v>3.686005275442899E-4</v>
      </c>
      <c r="AD126" s="33"/>
      <c r="AE126" s="33"/>
    </row>
    <row r="127" spans="5:31" ht="11.25" customHeight="1" x14ac:dyDescent="0.2">
      <c r="E127" s="155"/>
      <c r="F127" s="155"/>
      <c r="G127" s="33"/>
      <c r="K127" s="33"/>
      <c r="L127" s="33"/>
      <c r="R127" s="422">
        <f>_xll.qlCalendarAdvance(Calendar,R126,"1D","f")</f>
        <v>42244</v>
      </c>
      <c r="S127" s="221">
        <f>_xll.qlCalendarAdvance(Calendar,R127,$F$1,"mf",,Trigger)</f>
        <v>42338</v>
      </c>
      <c r="T127" s="342">
        <f>_xll.qlDayCounterYearFraction(DayCounter,R127,S127,,,Trigger)</f>
        <v>0.25753424657534246</v>
      </c>
      <c r="U127" s="32">
        <f>_xll.qlInterpolationInterpolate(B3Minterpolation,R127,TRUE)</f>
        <v>1.4662140220908448E-3</v>
      </c>
      <c r="V127" s="345">
        <f>_xll.qlYieldTSDiscount(Discounting,R127,,AllTriggers)</f>
        <v>0.99776023998267394</v>
      </c>
      <c r="W127" s="345">
        <f>_xll.qlYieldTSDiscount(Discounting,S127,,AllTriggers)</f>
        <v>0.99643584039393485</v>
      </c>
      <c r="X127" s="32">
        <f t="shared" si="9"/>
        <v>5.161010088041742E-3</v>
      </c>
      <c r="Y127" s="452">
        <f t="shared" si="10"/>
        <v>3.7702802318168542E-4</v>
      </c>
      <c r="AD127" s="33"/>
      <c r="AE127" s="33"/>
    </row>
    <row r="128" spans="5:31" ht="11.25" customHeight="1" x14ac:dyDescent="0.2">
      <c r="E128" s="155"/>
      <c r="F128" s="155"/>
      <c r="G128" s="33"/>
      <c r="K128" s="33"/>
      <c r="L128" s="33"/>
      <c r="R128" s="422">
        <f>_xll.qlCalendarAdvance(Calendar,R127,"1D","f")</f>
        <v>42248</v>
      </c>
      <c r="S128" s="221">
        <f>_xll.qlCalendarAdvance(Calendar,R128,$F$1,"mf",,Trigger)</f>
        <v>42339</v>
      </c>
      <c r="T128" s="342">
        <f>_xll.qlDayCounterYearFraction(DayCounter,R128,S128,,,Trigger)</f>
        <v>0.24931506849315069</v>
      </c>
      <c r="U128" s="32">
        <f>_xll.qlInterpolationInterpolate(B3Minterpolation,R128,TRUE)</f>
        <v>1.4730115282675549E-3</v>
      </c>
      <c r="V128" s="345">
        <f>_xll.qlYieldTSDiscount(Discounting,R128,,AllTriggers)</f>
        <v>0.99770726966762191</v>
      </c>
      <c r="W128" s="345">
        <f>_xll.qlYieldTSDiscount(Discounting,S128,,AllTriggers)</f>
        <v>0.99641983740128215</v>
      </c>
      <c r="X128" s="32">
        <f t="shared" si="9"/>
        <v>5.1824306169466405E-3</v>
      </c>
      <c r="Y128" s="452">
        <f t="shared" si="10"/>
        <v>3.6670283812163942E-4</v>
      </c>
      <c r="AD128" s="33"/>
      <c r="AE128" s="33"/>
    </row>
    <row r="129" spans="5:31" ht="11.25" customHeight="1" x14ac:dyDescent="0.2">
      <c r="E129" s="155"/>
      <c r="F129" s="155"/>
      <c r="G129" s="33"/>
      <c r="K129" s="33"/>
      <c r="L129" s="33"/>
      <c r="R129" s="422">
        <f>_xll.qlCalendarAdvance(Calendar,R128,"1D","f")</f>
        <v>42249</v>
      </c>
      <c r="S129" s="221">
        <f>_xll.qlCalendarAdvance(Calendar,R129,$F$1,"mf",,Trigger)</f>
        <v>42340</v>
      </c>
      <c r="T129" s="342">
        <f>_xll.qlDayCounterYearFraction(DayCounter,R129,S129,,,Trigger)</f>
        <v>0.24931506849315069</v>
      </c>
      <c r="U129" s="32">
        <f>_xll.qlInterpolationInterpolate(B3Minterpolation,R129,TRUE)</f>
        <v>1.4747428496021376E-3</v>
      </c>
      <c r="V129" s="345">
        <f>_xll.qlYieldTSDiscount(Discounting,R129,,AllTriggers)</f>
        <v>0.99769402233913462</v>
      </c>
      <c r="W129" s="345">
        <f>_xll.qlYieldTSDiscount(Discounting,S129,,AllTriggers)</f>
        <v>0.99640383262612842</v>
      </c>
      <c r="X129" s="32">
        <f t="shared" si="9"/>
        <v>5.1936138656956043E-3</v>
      </c>
      <c r="Y129" s="452">
        <f t="shared" si="10"/>
        <v>3.6713274537012093E-4</v>
      </c>
      <c r="AD129" s="33"/>
      <c r="AE129" s="33"/>
    </row>
    <row r="130" spans="5:31" ht="11.25" customHeight="1" x14ac:dyDescent="0.2">
      <c r="E130" s="155"/>
      <c r="F130" s="155"/>
      <c r="G130" s="33"/>
      <c r="K130" s="33"/>
      <c r="L130" s="33"/>
      <c r="R130" s="422">
        <f>_xll.qlCalendarAdvance(Calendar,R129,"1D","f")</f>
        <v>42250</v>
      </c>
      <c r="S130" s="221">
        <f>_xll.qlCalendarAdvance(Calendar,R130,$F$1,"mf",,Trigger)</f>
        <v>42341</v>
      </c>
      <c r="T130" s="342">
        <f>_xll.qlDayCounterYearFraction(DayCounter,R130,S130,,,Trigger)</f>
        <v>0.24931506849315069</v>
      </c>
      <c r="U130" s="32">
        <f>_xll.qlInterpolationInterpolate(B3Minterpolation,R130,TRUE)</f>
        <v>1.4764875587005004E-3</v>
      </c>
      <c r="V130" s="345">
        <f>_xll.qlYieldTSDiscount(Discounting,R130,,AllTriggers)</f>
        <v>0.99768077537065136</v>
      </c>
      <c r="W130" s="345">
        <f>_xll.qlYieldTSDiscount(Discounting,S130,,AllTriggers)</f>
        <v>0.99638782922356262</v>
      </c>
      <c r="X130" s="32">
        <f t="shared" si="9"/>
        <v>5.2047933903554972E-3</v>
      </c>
      <c r="Y130" s="452">
        <f t="shared" si="10"/>
        <v>3.6756598260133557E-4</v>
      </c>
      <c r="AD130" s="33"/>
      <c r="AE130" s="33"/>
    </row>
    <row r="131" spans="5:31" ht="11.25" customHeight="1" x14ac:dyDescent="0.2">
      <c r="E131" s="155"/>
      <c r="F131" s="155"/>
      <c r="G131" s="33"/>
      <c r="K131" s="33"/>
      <c r="L131" s="33"/>
      <c r="R131" s="422">
        <f>_xll.qlCalendarAdvance(Calendar,R130,"1D","f")</f>
        <v>42251</v>
      </c>
      <c r="S131" s="221">
        <f>_xll.qlCalendarAdvance(Calendar,R131,$F$1,"mf",,Trigger)</f>
        <v>42342</v>
      </c>
      <c r="T131" s="342">
        <f>_xll.qlDayCounterYearFraction(DayCounter,R131,S131,,,Trigger)</f>
        <v>0.24931506849315069</v>
      </c>
      <c r="U131" s="32">
        <f>_xll.qlInterpolationInterpolate(B3Minterpolation,R131,TRUE)</f>
        <v>1.4782459604864525E-3</v>
      </c>
      <c r="V131" s="345">
        <f>_xll.qlYieldTSDiscount(Discounting,R131,,AllTriggers)</f>
        <v>0.99766752966415539</v>
      </c>
      <c r="W131" s="345">
        <f>_xll.qlYieldTSDiscount(Discounting,S131,,AllTriggers)</f>
        <v>0.99637182973667515</v>
      </c>
      <c r="X131" s="32">
        <f t="shared" si="9"/>
        <v>5.2159625709574482E-3</v>
      </c>
      <c r="Y131" s="452">
        <f t="shared" si="10"/>
        <v>3.6800262628561129E-4</v>
      </c>
      <c r="AD131" s="33"/>
      <c r="AE131" s="33"/>
    </row>
    <row r="132" spans="5:31" ht="11.25" customHeight="1" x14ac:dyDescent="0.2">
      <c r="E132" s="155"/>
      <c r="F132" s="155"/>
      <c r="G132" s="33"/>
      <c r="K132" s="33"/>
      <c r="L132" s="33"/>
      <c r="R132" s="422">
        <f>_xll.qlCalendarAdvance(Calendar,R131,"1D","f")</f>
        <v>42254</v>
      </c>
      <c r="S132" s="221">
        <f>_xll.qlCalendarAdvance(Calendar,R132,$F$1,"mf",,Trigger)</f>
        <v>42345</v>
      </c>
      <c r="T132" s="342">
        <f>_xll.qlDayCounterYearFraction(DayCounter,R132,S132,,,Trigger)</f>
        <v>0.24931506849315069</v>
      </c>
      <c r="U132" s="32">
        <f>_xll.qlInterpolationInterpolate(B3Minterpolation,R132,TRUE)</f>
        <v>1.4836063712079369E-3</v>
      </c>
      <c r="V132" s="345">
        <f>_xll.qlYieldTSDiscount(Discounting,R132,,AllTriggers)</f>
        <v>0.99762779911033095</v>
      </c>
      <c r="W132" s="345">
        <f>_xll.qlYieldTSDiscount(Discounting,S132,,AllTriggers)</f>
        <v>0.99632385328080708</v>
      </c>
      <c r="X132" s="32">
        <f t="shared" ref="X132:X195" si="11">(V132/W132-1)/T132</f>
        <v>5.2494099944740032E-3</v>
      </c>
      <c r="Y132" s="452">
        <f t="shared" ref="Y132:Y195" si="12">LN((1+(U132+X132)*T132)/(1+X132*T132))</f>
        <v>3.6933375453194339E-4</v>
      </c>
      <c r="AD132" s="33"/>
      <c r="AE132" s="33"/>
    </row>
    <row r="133" spans="5:31" ht="11.25" customHeight="1" x14ac:dyDescent="0.2">
      <c r="E133" s="155"/>
      <c r="F133" s="155"/>
      <c r="G133" s="33"/>
      <c r="K133" s="33"/>
      <c r="L133" s="33"/>
      <c r="R133" s="422">
        <f>_xll.qlCalendarAdvance(Calendar,R132,"1D","f")</f>
        <v>42255</v>
      </c>
      <c r="S133" s="221">
        <f>_xll.qlCalendarAdvance(Calendar,R133,$F$1,"mf",,Trigger)</f>
        <v>42346</v>
      </c>
      <c r="T133" s="342">
        <f>_xll.qlDayCounterYearFraction(DayCounter,R133,S133,,,Trigger)</f>
        <v>0.24931506849315069</v>
      </c>
      <c r="U133" s="32">
        <f>_xll.qlInterpolationInterpolate(B3Minterpolation,R133,TRUE)</f>
        <v>1.4854225929823378E-3</v>
      </c>
      <c r="V133" s="345">
        <f>_xll.qlYieldTSDiscount(Discounting,R133,,AllTriggers)</f>
        <v>0.9976145569898579</v>
      </c>
      <c r="W133" s="345">
        <f>_xll.qlYieldTSDiscount(Discounting,S133,,AllTriggers)</f>
        <v>0.99630786674389127</v>
      </c>
      <c r="X133" s="32">
        <f t="shared" si="11"/>
        <v>5.2605428425127679E-3</v>
      </c>
      <c r="Y133" s="452">
        <f t="shared" si="12"/>
        <v>3.6978478221241719E-4</v>
      </c>
      <c r="AD133" s="33"/>
      <c r="AE133" s="33"/>
    </row>
    <row r="134" spans="5:31" ht="11.25" customHeight="1" x14ac:dyDescent="0.2">
      <c r="E134" s="155"/>
      <c r="F134" s="155"/>
      <c r="G134" s="33"/>
      <c r="K134" s="33"/>
      <c r="L134" s="33"/>
      <c r="R134" s="422">
        <f>_xll.qlCalendarAdvance(Calendar,R133,"1D","f")</f>
        <v>42256</v>
      </c>
      <c r="S134" s="221">
        <f>_xll.qlCalendarAdvance(Calendar,R134,$F$1,"mf",,Trigger)</f>
        <v>42347</v>
      </c>
      <c r="T134" s="342">
        <f>_xll.qlDayCounterYearFraction(DayCounter,R134,S134,,,Trigger)</f>
        <v>0.24931506849315069</v>
      </c>
      <c r="U134" s="32">
        <f>_xll.qlInterpolationInterpolate(B3Minterpolation,R134,TRUE)</f>
        <v>1.487254032063374E-3</v>
      </c>
      <c r="V134" s="345">
        <f>_xll.qlYieldTSDiscount(Discounting,R134,,AllTriggers)</f>
        <v>0.99760131517260764</v>
      </c>
      <c r="W134" s="345">
        <f>_xll.qlYieldTSDiscount(Discounting,S134,,AllTriggers)</f>
        <v>0.99629188215463305</v>
      </c>
      <c r="X134" s="32">
        <f t="shared" si="11"/>
        <v>5.2716694171632775E-3</v>
      </c>
      <c r="Y134" s="452">
        <f t="shared" si="12"/>
        <v>3.7023959528856916E-4</v>
      </c>
      <c r="AD134" s="33"/>
      <c r="AE134" s="33"/>
    </row>
    <row r="135" spans="5:31" ht="11.25" customHeight="1" x14ac:dyDescent="0.2">
      <c r="E135" s="155"/>
      <c r="F135" s="155"/>
      <c r="G135" s="33"/>
      <c r="K135" s="33"/>
      <c r="L135" s="33"/>
      <c r="R135" s="422">
        <f>_xll.qlCalendarAdvance(Calendar,R134,"1D","f")</f>
        <v>42257</v>
      </c>
      <c r="S135" s="221">
        <f>_xll.qlCalendarAdvance(Calendar,R135,$F$1,"mf",,Trigger)</f>
        <v>42348</v>
      </c>
      <c r="T135" s="342">
        <f>_xll.qlDayCounterYearFraction(DayCounter,R135,S135,,,Trigger)</f>
        <v>0.24931506849315069</v>
      </c>
      <c r="U135" s="32">
        <f>_xll.qlInterpolationInterpolate(B3Minterpolation,R135,TRUE)</f>
        <v>1.4891009933748541E-3</v>
      </c>
      <c r="V135" s="345">
        <f>_xll.qlYieldTSDiscount(Discounting,R135,,AllTriggers)</f>
        <v>0.99758807342129197</v>
      </c>
      <c r="W135" s="345">
        <f>_xll.qlYieldTSDiscount(Discounting,S135,,AllTriggers)</f>
        <v>0.9962758989971644</v>
      </c>
      <c r="X135" s="32">
        <f t="shared" si="11"/>
        <v>5.2827908423504167E-3</v>
      </c>
      <c r="Y135" s="452">
        <f t="shared" si="12"/>
        <v>3.7069826951651933E-4</v>
      </c>
      <c r="AD135" s="33"/>
      <c r="AE135" s="33"/>
    </row>
    <row r="136" spans="5:31" ht="11.25" customHeight="1" x14ac:dyDescent="0.2">
      <c r="E136" s="155"/>
      <c r="F136" s="155"/>
      <c r="G136" s="33"/>
      <c r="K136" s="33"/>
      <c r="L136" s="33"/>
      <c r="R136" s="422">
        <f>_xll.qlCalendarAdvance(Calendar,R135,"1D","f")</f>
        <v>42258</v>
      </c>
      <c r="S136" s="221">
        <f>_xll.qlCalendarAdvance(Calendar,R136,$F$1,"mf",,Trigger)</f>
        <v>42349</v>
      </c>
      <c r="T136" s="342">
        <f>_xll.qlDayCounterYearFraction(DayCounter,R136,S136,,,Trigger)</f>
        <v>0.24931506849315069</v>
      </c>
      <c r="U136" s="32">
        <f>_xll.qlInterpolationInterpolate(B3Minterpolation,R136,TRUE)</f>
        <v>1.4909637818405876E-3</v>
      </c>
      <c r="V136" s="345">
        <f>_xll.qlYieldTSDiscount(Discounting,R136,,AllTriggers)</f>
        <v>0.99757483149863557</v>
      </c>
      <c r="W136" s="345">
        <f>_xll.qlYieldTSDiscount(Discounting,S136,,AllTriggers)</f>
        <v>0.9962599167556504</v>
      </c>
      <c r="X136" s="32">
        <f t="shared" si="11"/>
        <v>5.293908242014209E-3</v>
      </c>
      <c r="Y136" s="452">
        <f t="shared" si="12"/>
        <v>3.7116088065020677E-4</v>
      </c>
      <c r="AD136" s="33"/>
      <c r="AE136" s="33"/>
    </row>
    <row r="137" spans="5:31" ht="11.25" customHeight="1" x14ac:dyDescent="0.2">
      <c r="E137" s="155"/>
      <c r="F137" s="155"/>
      <c r="G137" s="33"/>
      <c r="K137" s="33"/>
      <c r="L137" s="33"/>
      <c r="R137" s="422">
        <f>_xll.qlCalendarAdvance(Calendar,R136,"1D","f")</f>
        <v>42261</v>
      </c>
      <c r="S137" s="221">
        <f>_xll.qlCalendarAdvance(Calendar,R137,$F$1,"mf",,Trigger)</f>
        <v>42352</v>
      </c>
      <c r="T137" s="342">
        <f>_xll.qlDayCounterYearFraction(DayCounter,R137,S137,,,Trigger)</f>
        <v>0.24931506849315069</v>
      </c>
      <c r="U137" s="32">
        <f>_xll.qlInterpolationInterpolate(B3Minterpolation,R137,TRUE)</f>
        <v>1.4966501594013985E-3</v>
      </c>
      <c r="V137" s="345">
        <f>_xll.qlYieldTSDiscount(Discounting,R137,,AllTriggers)</f>
        <v>0.99753510233005638</v>
      </c>
      <c r="W137" s="345">
        <f>_xll.qlYieldTSDiscount(Discounting,S137,,AllTriggers)</f>
        <v>0.99621197036898534</v>
      </c>
      <c r="X137" s="32">
        <f t="shared" si="11"/>
        <v>5.327247527429641E-3</v>
      </c>
      <c r="Y137" s="452">
        <f t="shared" si="12"/>
        <v>3.7257309300584989E-4</v>
      </c>
      <c r="AD137" s="33"/>
      <c r="AE137" s="33"/>
    </row>
    <row r="138" spans="5:31" ht="11.25" customHeight="1" x14ac:dyDescent="0.2">
      <c r="E138" s="155"/>
      <c r="F138" s="155"/>
      <c r="G138" s="33"/>
      <c r="K138" s="33"/>
      <c r="L138" s="33"/>
      <c r="R138" s="422">
        <f>_xll.qlCalendarAdvance(Calendar,R137,"1D","f")</f>
        <v>42262</v>
      </c>
      <c r="S138" s="221">
        <f>_xll.qlCalendarAdvance(Calendar,R138,$F$1,"mf",,Trigger)</f>
        <v>42353</v>
      </c>
      <c r="T138" s="342">
        <f>_xll.qlDayCounterYearFraction(DayCounter,R138,S138,,,Trigger)</f>
        <v>0.24931506849315069</v>
      </c>
      <c r="U138" s="32">
        <f>_xll.qlInterpolationInterpolate(B3Minterpolation,R138,TRUE)</f>
        <v>1.4985793057222363E-3</v>
      </c>
      <c r="V138" s="345">
        <f>_xll.qlYieldTSDiscount(Discounting,R138,,AllTriggers)</f>
        <v>0.99752185734953458</v>
      </c>
      <c r="W138" s="345">
        <f>_xll.qlYieldTSDiscount(Discounting,S138,,AllTriggers)</f>
        <v>0.9961959866336042</v>
      </c>
      <c r="X138" s="32">
        <f t="shared" si="11"/>
        <v>5.3383600646291929E-3</v>
      </c>
      <c r="Y138" s="452">
        <f t="shared" si="12"/>
        <v>3.7305220927436093E-4</v>
      </c>
      <c r="AD138" s="33"/>
      <c r="AE138" s="33"/>
    </row>
    <row r="139" spans="5:31" ht="11.25" customHeight="1" x14ac:dyDescent="0.2">
      <c r="E139" s="155"/>
      <c r="F139" s="155"/>
      <c r="G139" s="33"/>
      <c r="K139" s="33"/>
      <c r="L139" s="33"/>
      <c r="R139" s="422">
        <f>_xll.qlCalendarAdvance(Calendar,R138,"1D","f")</f>
        <v>42263</v>
      </c>
      <c r="S139" s="221">
        <f>_xll.qlCalendarAdvance(Calendar,R139,$F$1,"mf",,Trigger)</f>
        <v>42354</v>
      </c>
      <c r="T139" s="342">
        <f>_xll.qlDayCounterYearFraction(DayCounter,R139,S139,,,Trigger)</f>
        <v>0.24931506849315069</v>
      </c>
      <c r="U139" s="32">
        <f>_xll.qlInterpolationInterpolate(B3Minterpolation,R139,TRUE)</f>
        <v>1.5005258038163728E-3</v>
      </c>
      <c r="V139" s="345">
        <f>_xll.qlYieldTSDiscount(Discounting,R139,,AllTriggers)</f>
        <v>0.99750861101148391</v>
      </c>
      <c r="W139" s="345">
        <f>_xll.qlYieldTSDiscount(Discounting,S139,,AllTriggers)</f>
        <v>0.9961800012355001</v>
      </c>
      <c r="X139" s="32">
        <f t="shared" si="11"/>
        <v>5.34947419618365E-3</v>
      </c>
      <c r="Y139" s="452">
        <f t="shared" si="12"/>
        <v>3.7353564119747384E-4</v>
      </c>
      <c r="AD139" s="33"/>
      <c r="AE139" s="33"/>
    </row>
    <row r="140" spans="5:31" ht="11.25" customHeight="1" x14ac:dyDescent="0.2">
      <c r="E140" s="155"/>
      <c r="F140" s="155"/>
      <c r="G140" s="33"/>
      <c r="K140" s="33"/>
      <c r="L140" s="33"/>
      <c r="R140" s="422">
        <f>_xll.qlCalendarAdvance(Calendar,R139,"1D","f")</f>
        <v>42264</v>
      </c>
      <c r="S140" s="221">
        <f>_xll.qlCalendarAdvance(Calendar,R140,$F$1,"mf",,Trigger)</f>
        <v>42355</v>
      </c>
      <c r="T140" s="342">
        <f>_xll.qlDayCounterYearFraction(DayCounter,R140,S140,,,Trigger)</f>
        <v>0.24931506849315069</v>
      </c>
      <c r="U140" s="32">
        <f>_xll.qlInterpolationInterpolate(B3Minterpolation,R140,TRUE)</f>
        <v>1.5024898098486949E-3</v>
      </c>
      <c r="V140" s="345">
        <f>_xll.qlYieldTSDiscount(Discounting,R140,,AllTriggers)</f>
        <v>0.99749536307870446</v>
      </c>
      <c r="W140" s="345">
        <f>_xll.qlYieldTSDiscount(Discounting,S140,,AllTriggers)</f>
        <v>0.99616401365903695</v>
      </c>
      <c r="X140" s="32">
        <f t="shared" si="11"/>
        <v>5.3605910461051766E-3</v>
      </c>
      <c r="Y140" s="452">
        <f t="shared" si="12"/>
        <v>3.7402342749478661E-4</v>
      </c>
      <c r="AD140" s="33"/>
      <c r="AE140" s="33"/>
    </row>
    <row r="141" spans="5:31" ht="11.25" customHeight="1" x14ac:dyDescent="0.2">
      <c r="E141" s="155"/>
      <c r="F141" s="155"/>
      <c r="G141" s="33"/>
      <c r="K141" s="33"/>
      <c r="L141" s="33"/>
      <c r="R141" s="422">
        <f>_xll.qlCalendarAdvance(Calendar,R140,"1D","f")</f>
        <v>42265</v>
      </c>
      <c r="S141" s="221">
        <f>_xll.qlCalendarAdvance(Calendar,R141,$F$1,"mf",,Trigger)</f>
        <v>42356</v>
      </c>
      <c r="T141" s="342">
        <f>_xll.qlDayCounterYearFraction(DayCounter,R141,S141,,,Trigger)</f>
        <v>0.24931506849315069</v>
      </c>
      <c r="U141" s="32">
        <f>_xll.qlInterpolationInterpolate(B3Minterpolation,R141,TRUE)</f>
        <v>1.5044708849484003E-3</v>
      </c>
      <c r="V141" s="345">
        <f>_xll.qlYieldTSDiscount(Discounting,R141,,AllTriggers)</f>
        <v>0.99748211331400916</v>
      </c>
      <c r="W141" s="345">
        <f>_xll.qlYieldTSDiscount(Discounting,S141,,AllTriggers)</f>
        <v>0.99614802338861175</v>
      </c>
      <c r="X141" s="32">
        <f t="shared" si="11"/>
        <v>5.3717117384192974E-3</v>
      </c>
      <c r="Y141" s="452">
        <f t="shared" si="12"/>
        <v>3.7451545878841716E-4</v>
      </c>
      <c r="AD141" s="33"/>
      <c r="AE141" s="33"/>
    </row>
    <row r="142" spans="5:31" ht="11.25" customHeight="1" x14ac:dyDescent="0.2">
      <c r="E142" s="155"/>
      <c r="F142" s="155"/>
      <c r="G142" s="33"/>
      <c r="K142" s="33"/>
      <c r="L142" s="33"/>
      <c r="R142" s="422">
        <f>_xll.qlCalendarAdvance(Calendar,R141,"1D","f")</f>
        <v>42268</v>
      </c>
      <c r="S142" s="221">
        <f>_xll.qlCalendarAdvance(Calendar,R142,$F$1,"mf",,Trigger)</f>
        <v>42359</v>
      </c>
      <c r="T142" s="342">
        <f>_xll.qlDayCounterYearFraction(DayCounter,R142,S142,,,Trigger)</f>
        <v>0.24931506849315069</v>
      </c>
      <c r="U142" s="32">
        <f>_xll.qlInterpolationInterpolate(B3Minterpolation,R142,TRUE)</f>
        <v>1.5105106483545654E-3</v>
      </c>
      <c r="V142" s="345">
        <f>_xll.qlYieldTSDiscount(Discounting,R142,,AllTriggers)</f>
        <v>0.9974423506567448</v>
      </c>
      <c r="W142" s="345">
        <f>_xll.qlYieldTSDiscount(Discounting,S142,,AllTriggers)</f>
        <v>0.99610003125802882</v>
      </c>
      <c r="X142" s="32">
        <f t="shared" si="11"/>
        <v>5.4051081101639583E-3</v>
      </c>
      <c r="Y142" s="452">
        <f t="shared" si="12"/>
        <v>3.7601555863699858E-4</v>
      </c>
      <c r="AD142" s="33"/>
      <c r="AE142" s="33"/>
    </row>
    <row r="143" spans="5:31" ht="11.25" customHeight="1" x14ac:dyDescent="0.2">
      <c r="E143" s="155"/>
      <c r="F143" s="155"/>
      <c r="G143" s="33"/>
      <c r="K143" s="33"/>
      <c r="L143" s="33"/>
      <c r="R143" s="422">
        <f>_xll.qlCalendarAdvance(Calendar,R142,"1D","f")</f>
        <v>42269</v>
      </c>
      <c r="S143" s="221">
        <f>_xll.qlCalendarAdvance(Calendar,R143,$F$1,"mf",,Trigger)</f>
        <v>42360</v>
      </c>
      <c r="T143" s="342">
        <f>_xll.qlDayCounterYearFraction(DayCounter,R143,S143,,,Trigger)</f>
        <v>0.24931506849315069</v>
      </c>
      <c r="U143" s="32">
        <f>_xll.qlInterpolationInterpolate(B3Minterpolation,R143,TRUE)</f>
        <v>1.5125541234265539E-3</v>
      </c>
      <c r="V143" s="345">
        <f>_xll.qlYieldTSDiscount(Discounting,R143,,AllTriggers)</f>
        <v>0.99742909119276624</v>
      </c>
      <c r="W143" s="345">
        <f>_xll.qlYieldTSDiscount(Discounting,S143,,AllTriggers)</f>
        <v>0.99608402505638682</v>
      </c>
      <c r="X143" s="32">
        <f t="shared" si="11"/>
        <v>5.4162554125548592E-3</v>
      </c>
      <c r="Y143" s="452">
        <f t="shared" si="12"/>
        <v>3.7652310591222856E-4</v>
      </c>
      <c r="AD143" s="33"/>
      <c r="AE143" s="33"/>
    </row>
    <row r="144" spans="5:31" ht="11.25" customHeight="1" x14ac:dyDescent="0.2">
      <c r="E144" s="155"/>
      <c r="F144" s="155"/>
      <c r="G144" s="33"/>
      <c r="K144" s="33"/>
      <c r="L144" s="33"/>
      <c r="R144" s="422">
        <f>_xll.qlCalendarAdvance(Calendar,R143,"1D","f")</f>
        <v>42270</v>
      </c>
      <c r="S144" s="221">
        <f>_xll.qlCalendarAdvance(Calendar,R144,$F$1,"mf",,Trigger)</f>
        <v>42361</v>
      </c>
      <c r="T144" s="342">
        <f>_xll.qlDayCounterYearFraction(DayCounter,R144,S144,,,Trigger)</f>
        <v>0.24931506849315069</v>
      </c>
      <c r="U144" s="32">
        <f>_xll.qlInterpolationInterpolate(B3Minterpolation,R144,TRUE)</f>
        <v>1.5146117294173008E-3</v>
      </c>
      <c r="V144" s="345">
        <f>_xll.qlYieldTSDiscount(Discounting,R144,,AllTriggers)</f>
        <v>0.99741582871112489</v>
      </c>
      <c r="W144" s="345">
        <f>_xll.qlYieldTSDiscount(Discounting,S144,,AllTriggers)</f>
        <v>0.99606801358326436</v>
      </c>
      <c r="X144" s="32">
        <f t="shared" si="11"/>
        <v>5.4274121776538981E-3</v>
      </c>
      <c r="Y144" s="452">
        <f t="shared" si="12"/>
        <v>3.7703416618850544E-4</v>
      </c>
      <c r="AD144" s="33"/>
      <c r="AE144" s="33"/>
    </row>
    <row r="145" spans="5:31" ht="11.25" customHeight="1" x14ac:dyDescent="0.2">
      <c r="E145" s="155"/>
      <c r="F145" s="155"/>
      <c r="G145" s="33"/>
      <c r="K145" s="33"/>
      <c r="L145" s="33"/>
      <c r="R145" s="422">
        <f>_xll.qlCalendarAdvance(Calendar,R144,"1D","f")</f>
        <v>42271</v>
      </c>
      <c r="S145" s="221">
        <f>_xll.qlCalendarAdvance(Calendar,R145,$F$1,"mf",,Trigger)</f>
        <v>42362</v>
      </c>
      <c r="T145" s="342">
        <f>_xll.qlDayCounterYearFraction(DayCounter,R145,S145,,,Trigger)</f>
        <v>0.24931506849315069</v>
      </c>
      <c r="U145" s="32">
        <f>_xll.qlInterpolationInterpolate(B3Minterpolation,R145,TRUE)</f>
        <v>1.5166828786970811E-3</v>
      </c>
      <c r="V145" s="345">
        <f>_xll.qlYieldTSDiscount(Discounting,R145,,AllTriggers)</f>
        <v>0.99740256297470953</v>
      </c>
      <c r="W145" s="345">
        <f>_xll.qlYieldTSDiscount(Discounting,S145,,AllTriggers)</f>
        <v>0.99605199632325769</v>
      </c>
      <c r="X145" s="32">
        <f t="shared" si="11"/>
        <v>5.4385795295605211E-3</v>
      </c>
      <c r="Y145" s="452">
        <f t="shared" si="12"/>
        <v>3.7754859307042248E-4</v>
      </c>
      <c r="AD145" s="33"/>
      <c r="AE145" s="33"/>
    </row>
    <row r="146" spans="5:31" ht="11.25" customHeight="1" x14ac:dyDescent="0.2">
      <c r="E146" s="155"/>
      <c r="F146" s="155"/>
      <c r="G146" s="33"/>
      <c r="K146" s="33"/>
      <c r="L146" s="33"/>
      <c r="R146" s="422">
        <f>_xll.qlCalendarAdvance(Calendar,R145,"1D","f")</f>
        <v>42272</v>
      </c>
      <c r="S146" s="221">
        <f>_xll.qlCalendarAdvance(Calendar,R146,$F$1,"mf",,Trigger)</f>
        <v>42367</v>
      </c>
      <c r="T146" s="342">
        <f>_xll.qlDayCounterYearFraction(DayCounter,R146,S146,,,Trigger)</f>
        <v>0.26027397260273971</v>
      </c>
      <c r="U146" s="32">
        <f>_xll.qlInterpolationInterpolate(B3Minterpolation,R146,TRUE)</f>
        <v>1.5187669836361703E-3</v>
      </c>
      <c r="V146" s="345">
        <f>_xll.qlYieldTSDiscount(Discounting,R146,,AllTriggers)</f>
        <v>0.99738929374642149</v>
      </c>
      <c r="W146" s="345">
        <f>_xll.qlYieldTSDiscount(Discounting,S146,,AllTriggers)</f>
        <v>0.99597180518314898</v>
      </c>
      <c r="X146" s="32">
        <f t="shared" si="11"/>
        <v>5.4681671118330432E-3</v>
      </c>
      <c r="Y146" s="452">
        <f t="shared" si="12"/>
        <v>3.9465583587723445E-4</v>
      </c>
      <c r="AD146" s="33"/>
      <c r="AE146" s="33"/>
    </row>
    <row r="147" spans="5:31" ht="11.25" customHeight="1" x14ac:dyDescent="0.2">
      <c r="E147" s="155"/>
      <c r="F147" s="155"/>
      <c r="G147" s="33"/>
      <c r="K147" s="33"/>
      <c r="L147" s="33"/>
      <c r="R147" s="422">
        <f>_xll.qlCalendarAdvance(Calendar,R146,"1D","f")</f>
        <v>42275</v>
      </c>
      <c r="S147" s="221">
        <f>_xll.qlCalendarAdvance(Calendar,R147,$F$1,"mf",,Trigger)</f>
        <v>42367</v>
      </c>
      <c r="T147" s="342">
        <f>_xll.qlDayCounterYearFraction(DayCounter,R147,S147,,,Trigger)</f>
        <v>0.25205479452054796</v>
      </c>
      <c r="U147" s="32">
        <f>_xll.qlInterpolationInterpolate(B3Minterpolation,R147,TRUE)</f>
        <v>1.5250911561120401E-3</v>
      </c>
      <c r="V147" s="345">
        <f>_xll.qlYieldTSDiscount(Discounting,R147,,AllTriggers)</f>
        <v>0.9973494627395223</v>
      </c>
      <c r="W147" s="345">
        <f>_xll.qlYieldTSDiscount(Discounting,S147,,AllTriggers)</f>
        <v>0.99597180518314898</v>
      </c>
      <c r="X147" s="32">
        <f t="shared" si="11"/>
        <v>5.4878125877459291E-3</v>
      </c>
      <c r="Y147" s="452">
        <f t="shared" si="12"/>
        <v>3.8380188863550434E-4</v>
      </c>
      <c r="AD147" s="33"/>
      <c r="AE147" s="33"/>
    </row>
    <row r="148" spans="5:31" ht="11.25" customHeight="1" x14ac:dyDescent="0.2">
      <c r="E148" s="155"/>
      <c r="F148" s="155"/>
      <c r="G148" s="33"/>
      <c r="K148" s="33"/>
      <c r="L148" s="33"/>
      <c r="R148" s="422">
        <f>_xll.qlCalendarAdvance(Calendar,R147,"1D","f")</f>
        <v>42276</v>
      </c>
      <c r="S148" s="221">
        <f>_xll.qlCalendarAdvance(Calendar,R148,$F$1,"mf",,Trigger)</f>
        <v>42367</v>
      </c>
      <c r="T148" s="342">
        <f>_xll.qlDayCounterYearFraction(DayCounter,R148,S148,,,Trigger)</f>
        <v>0.24931506849315069</v>
      </c>
      <c r="U148" s="32">
        <f>_xll.qlInterpolationInterpolate(B3Minterpolation,R148,TRUE)</f>
        <v>1.5272212073911145E-3</v>
      </c>
      <c r="V148" s="345">
        <f>_xll.qlYieldTSDiscount(Discounting,R148,,AllTriggers)</f>
        <v>0.99733617717300838</v>
      </c>
      <c r="W148" s="345">
        <f>_xll.qlYieldTSDiscount(Discounting,S148,,AllTriggers)</f>
        <v>0.99597180518314898</v>
      </c>
      <c r="X148" s="32">
        <f t="shared" si="11"/>
        <v>5.4946144356178206E-3</v>
      </c>
      <c r="Y148" s="452">
        <f t="shared" si="12"/>
        <v>3.8016610281996227E-4</v>
      </c>
      <c r="AD148" s="33"/>
      <c r="AE148" s="33"/>
    </row>
    <row r="149" spans="5:31" ht="11.25" customHeight="1" x14ac:dyDescent="0.2">
      <c r="E149" s="155"/>
      <c r="F149" s="155"/>
      <c r="G149" s="33"/>
      <c r="K149" s="33"/>
      <c r="L149" s="33"/>
      <c r="R149" s="422">
        <f>_xll.qlCalendarAdvance(Calendar,R148,"1D","f")</f>
        <v>42277</v>
      </c>
      <c r="S149" s="221">
        <f>_xll.qlCalendarAdvance(Calendar,R149,$F$1,"mf",,Trigger)</f>
        <v>42368</v>
      </c>
      <c r="T149" s="342">
        <f>_xll.qlDayCounterYearFraction(DayCounter,R149,S149,,,Trigger)</f>
        <v>0.24931506849315069</v>
      </c>
      <c r="U149" s="32">
        <f>_xll.qlInterpolationInterpolate(B3Minterpolation,R149,TRUE)</f>
        <v>1.529361276180873E-3</v>
      </c>
      <c r="V149" s="345">
        <f>_xll.qlYieldTSDiscount(Discounting,R149,,AllTriggers)</f>
        <v>0.99732288692931781</v>
      </c>
      <c r="W149" s="345">
        <f>_xll.qlYieldTSDiscount(Discounting,S149,,AllTriggers)</f>
        <v>0.995955742380217</v>
      </c>
      <c r="X149" s="32">
        <f t="shared" si="11"/>
        <v>5.5058689151904058E-3</v>
      </c>
      <c r="Y149" s="452">
        <f t="shared" si="12"/>
        <v>3.8069765510623222E-4</v>
      </c>
      <c r="AD149" s="33"/>
      <c r="AE149" s="33"/>
    </row>
    <row r="150" spans="5:31" ht="11.25" customHeight="1" x14ac:dyDescent="0.2">
      <c r="E150" s="155"/>
      <c r="F150" s="155"/>
      <c r="G150" s="33"/>
      <c r="K150" s="33"/>
      <c r="L150" s="33"/>
      <c r="R150" s="422">
        <f>_xll.qlCalendarAdvance(Calendar,R149,"1D","f")</f>
        <v>42278</v>
      </c>
      <c r="S150" s="221">
        <f>_xll.qlCalendarAdvance(Calendar,R150,$F$1,"mf",,Trigger)</f>
        <v>42373</v>
      </c>
      <c r="T150" s="342">
        <f>_xll.qlDayCounterYearFraction(DayCounter,R150,S150,,,Trigger)</f>
        <v>0.26027397260273971</v>
      </c>
      <c r="U150" s="32">
        <f>_xll.qlInterpolationInterpolate(B3Minterpolation,R150,TRUE)</f>
        <v>1.5315107748515907E-3</v>
      </c>
      <c r="V150" s="345">
        <f>_xll.qlYieldTSDiscount(Discounting,R150,,AllTriggers)</f>
        <v>0.99730959177142797</v>
      </c>
      <c r="W150" s="345">
        <f>_xll.qlYieldTSDiscount(Discounting,S150,,AllTriggers)</f>
        <v>0.99587527715663748</v>
      </c>
      <c r="X150" s="32">
        <f t="shared" si="11"/>
        <v>5.5336123477675555E-3</v>
      </c>
      <c r="Y150" s="452">
        <f t="shared" si="12"/>
        <v>3.9795991896727638E-4</v>
      </c>
      <c r="AD150" s="33"/>
      <c r="AE150" s="33"/>
    </row>
    <row r="151" spans="5:31" ht="11.25" customHeight="1" x14ac:dyDescent="0.2">
      <c r="E151" s="155"/>
      <c r="F151" s="155"/>
      <c r="G151" s="33"/>
      <c r="K151" s="33"/>
      <c r="L151" s="33"/>
      <c r="R151" s="422">
        <f>_xll.qlCalendarAdvance(Calendar,R150,"1D","f")</f>
        <v>42279</v>
      </c>
      <c r="S151" s="221">
        <f>_xll.qlCalendarAdvance(Calendar,R151,$F$1,"mf",,Trigger)</f>
        <v>42373</v>
      </c>
      <c r="T151" s="342">
        <f>_xll.qlDayCounterYearFraction(DayCounter,R151,S151,,,Trigger)</f>
        <v>0.25753424657534246</v>
      </c>
      <c r="U151" s="32">
        <f>_xll.qlInterpolationInterpolate(B3Minterpolation,R151,TRUE)</f>
        <v>1.5336691157735423E-3</v>
      </c>
      <c r="V151" s="345">
        <f>_xll.qlYieldTSDiscount(Discounting,R151,,AllTriggers)</f>
        <v>0.9972962914623289</v>
      </c>
      <c r="W151" s="345">
        <f>_xll.qlYieldTSDiscount(Discounting,S151,,AllTriggers)</f>
        <v>0.99587527715663748</v>
      </c>
      <c r="X151" s="32">
        <f t="shared" si="11"/>
        <v>5.5406218441395273E-3</v>
      </c>
      <c r="Y151" s="452">
        <f t="shared" si="12"/>
        <v>3.943317783119882E-4</v>
      </c>
      <c r="AD151" s="33"/>
      <c r="AE151" s="33"/>
    </row>
    <row r="152" spans="5:31" ht="11.25" customHeight="1" x14ac:dyDescent="0.2">
      <c r="E152" s="155"/>
      <c r="F152" s="155"/>
      <c r="G152" s="33"/>
      <c r="K152" s="33"/>
      <c r="L152" s="33"/>
      <c r="R152" s="422">
        <f>_xll.qlCalendarAdvance(Calendar,R151,"1D","f")</f>
        <v>42282</v>
      </c>
      <c r="S152" s="221">
        <f>_xll.qlCalendarAdvance(Calendar,R152,$F$1,"mf",,Trigger)</f>
        <v>42374</v>
      </c>
      <c r="T152" s="342">
        <f>_xll.qlDayCounterYearFraction(DayCounter,R152,S152,,,Trigger)</f>
        <v>0.25205479452054796</v>
      </c>
      <c r="U152" s="32">
        <f>_xll.qlInterpolationInterpolate(B3Minterpolation,R152,TRUE)</f>
        <v>1.5401913157495537E-3</v>
      </c>
      <c r="V152" s="345">
        <f>_xll.qlYieldTSDiscount(Discounting,R152,,AllTriggers)</f>
        <v>0.99725635725786721</v>
      </c>
      <c r="W152" s="345">
        <f>_xll.qlYieldTSDiscount(Discounting,S152,,AllTriggers)</f>
        <v>0.99585914978686052</v>
      </c>
      <c r="X152" s="32">
        <f t="shared" si="11"/>
        <v>5.5663180601675634E-3</v>
      </c>
      <c r="Y152" s="452">
        <f t="shared" si="12"/>
        <v>3.8759357568195213E-4</v>
      </c>
      <c r="AD152" s="33"/>
      <c r="AE152" s="33"/>
    </row>
    <row r="153" spans="5:31" ht="11.25" customHeight="1" x14ac:dyDescent="0.2">
      <c r="E153" s="155"/>
      <c r="F153" s="155"/>
      <c r="G153" s="33"/>
      <c r="K153" s="33"/>
      <c r="L153" s="33"/>
      <c r="R153" s="422">
        <f>_xll.qlCalendarAdvance(Calendar,R152,"1D","f")</f>
        <v>42283</v>
      </c>
      <c r="S153" s="221">
        <f>_xll.qlCalendarAdvance(Calendar,R153,$F$1,"mf",,Trigger)</f>
        <v>42375</v>
      </c>
      <c r="T153" s="342">
        <f>_xll.qlDayCounterYearFraction(DayCounter,R153,S153,,,Trigger)</f>
        <v>0.25205479452054796</v>
      </c>
      <c r="U153" s="32">
        <f>_xll.qlInterpolationInterpolate(B3Minterpolation,R153,TRUE)</f>
        <v>1.542379149379193E-3</v>
      </c>
      <c r="V153" s="345">
        <f>_xll.qlYieldTSDiscount(Discounting,R153,,AllTriggers)</f>
        <v>0.99724303352982635</v>
      </c>
      <c r="W153" s="345">
        <f>_xll.qlYieldTSDiscount(Discounting,S153,,AllTriggers)</f>
        <v>0.99584300706631068</v>
      </c>
      <c r="X153" s="32">
        <f t="shared" si="11"/>
        <v>5.5776390232152757E-3</v>
      </c>
      <c r="Y153" s="452">
        <f t="shared" si="12"/>
        <v>3.8814293767107741E-4</v>
      </c>
      <c r="AD153" s="33"/>
      <c r="AE153" s="33"/>
    </row>
    <row r="154" spans="5:31" ht="11.25" customHeight="1" x14ac:dyDescent="0.2">
      <c r="E154" s="155"/>
      <c r="F154" s="155"/>
      <c r="G154" s="33"/>
      <c r="K154" s="33"/>
      <c r="L154" s="33"/>
      <c r="R154" s="422">
        <f>_xll.qlCalendarAdvance(Calendar,R153,"1D","f")</f>
        <v>42284</v>
      </c>
      <c r="S154" s="221">
        <f>_xll.qlCalendarAdvance(Calendar,R154,$F$1,"mf",,Trigger)</f>
        <v>42376</v>
      </c>
      <c r="T154" s="342">
        <f>_xll.qlDayCounterYearFraction(DayCounter,R154,S154,,,Trigger)</f>
        <v>0.25205479452054796</v>
      </c>
      <c r="U154" s="32">
        <f>_xll.qlInterpolationInterpolate(B3Minterpolation,R154,TRUE)</f>
        <v>1.5445728871114419E-3</v>
      </c>
      <c r="V154" s="345">
        <f>_xll.qlYieldTSDiscount(Discounting,R154,,AllTriggers)</f>
        <v>0.99722970080020645</v>
      </c>
      <c r="W154" s="345">
        <f>_xll.qlYieldTSDiscount(Discounting,S154,,AllTriggers)</f>
        <v>0.99582684561354695</v>
      </c>
      <c r="X154" s="32">
        <f t="shared" si="11"/>
        <v>5.5889992254453021E-3</v>
      </c>
      <c r="Y154" s="452">
        <f t="shared" si="12"/>
        <v>3.8869377787600711E-4</v>
      </c>
      <c r="AD154" s="33"/>
      <c r="AE154" s="33"/>
    </row>
    <row r="155" spans="5:31" ht="11.25" customHeight="1" x14ac:dyDescent="0.2">
      <c r="E155" s="155"/>
      <c r="F155" s="155"/>
      <c r="G155" s="33"/>
      <c r="K155" s="33"/>
      <c r="L155" s="33"/>
      <c r="R155" s="422">
        <f>_xll.qlCalendarAdvance(Calendar,R154,"1D","f")</f>
        <v>42285</v>
      </c>
      <c r="S155" s="221">
        <f>_xll.qlCalendarAdvance(Calendar,R155,$F$1,"mf",,Trigger)</f>
        <v>42377</v>
      </c>
      <c r="T155" s="342">
        <f>_xll.qlDayCounterYearFraction(DayCounter,R155,S155,,,Trigger)</f>
        <v>0.25205479452054796</v>
      </c>
      <c r="U155" s="32">
        <f>_xll.qlInterpolationInterpolate(B3Minterpolation,R155,TRUE)</f>
        <v>1.5467719413165756E-3</v>
      </c>
      <c r="V155" s="345">
        <f>_xll.qlYieldTSDiscount(Discounting,R155,,AllTriggers)</f>
        <v>0.99721635616669391</v>
      </c>
      <c r="W155" s="345">
        <f>_xll.qlYieldTSDiscount(Discounting,S155,,AllTriggers)</f>
        <v>0.99581066204734847</v>
      </c>
      <c r="X155" s="32">
        <f t="shared" si="11"/>
        <v>5.6004005964330429E-3</v>
      </c>
      <c r="Y155" s="452">
        <f t="shared" si="12"/>
        <v>3.8924594822732043E-4</v>
      </c>
      <c r="AD155" s="33"/>
      <c r="AE155" s="33"/>
    </row>
    <row r="156" spans="5:31" ht="11.25" customHeight="1" x14ac:dyDescent="0.2">
      <c r="E156" s="155"/>
      <c r="F156" s="155"/>
      <c r="G156" s="33"/>
      <c r="K156" s="33"/>
      <c r="L156" s="33"/>
      <c r="R156" s="422">
        <f>_xll.qlCalendarAdvance(Calendar,R155,"1D","f")</f>
        <v>42286</v>
      </c>
      <c r="S156" s="221">
        <f>_xll.qlCalendarAdvance(Calendar,R156,$F$1,"mf",,Trigger)</f>
        <v>42380</v>
      </c>
      <c r="T156" s="342">
        <f>_xll.qlDayCounterYearFraction(DayCounter,R156,S156,,,Trigger)</f>
        <v>0.25753424657534246</v>
      </c>
      <c r="U156" s="32">
        <f>_xll.qlInterpolationInterpolate(B3Minterpolation,R156,TRUE)</f>
        <v>1.5489757243648688E-3</v>
      </c>
      <c r="V156" s="345">
        <f>_xll.qlYieldTSDiscount(Discounting,R156,,AllTriggers)</f>
        <v>0.99720299672713053</v>
      </c>
      <c r="W156" s="345">
        <f>_xll.qlYieldTSDiscount(Discounting,S156,,AllTriggers)</f>
        <v>0.9957619448592604</v>
      </c>
      <c r="X156" s="32">
        <f t="shared" si="11"/>
        <v>5.6193890227973142E-3</v>
      </c>
      <c r="Y156" s="452">
        <f t="shared" si="12"/>
        <v>3.9825851211158694E-4</v>
      </c>
      <c r="AD156" s="33"/>
      <c r="AE156" s="33"/>
    </row>
    <row r="157" spans="5:31" ht="11.25" customHeight="1" x14ac:dyDescent="0.2">
      <c r="E157" s="155"/>
      <c r="F157" s="155"/>
      <c r="G157" s="33"/>
      <c r="K157" s="33"/>
      <c r="L157" s="33"/>
      <c r="R157" s="422">
        <f>_xll.qlCalendarAdvance(Calendar,R156,"1D","f")</f>
        <v>42289</v>
      </c>
      <c r="S157" s="221">
        <f>_xll.qlCalendarAdvance(Calendar,R157,$F$1,"mf",,Trigger)</f>
        <v>42381</v>
      </c>
      <c r="T157" s="342">
        <f>_xll.qlDayCounterYearFraction(DayCounter,R157,S157,,,Trigger)</f>
        <v>0.25205479452054796</v>
      </c>
      <c r="U157" s="32">
        <f>_xll.qlInterpolationInterpolate(B3Minterpolation,R157,TRUE)</f>
        <v>1.5556095702714582E-3</v>
      </c>
      <c r="V157" s="345">
        <f>_xll.qlYieldTSDiscount(Discounting,R157,,AllTriggers)</f>
        <v>0.9971628005529003</v>
      </c>
      <c r="W157" s="345">
        <f>_xll.qlYieldTSDiscount(Discounting,S157,,AllTriggers)</f>
        <v>0.99574563903155255</v>
      </c>
      <c r="X157" s="32">
        <f t="shared" si="11"/>
        <v>5.6464563602003377E-3</v>
      </c>
      <c r="Y157" s="452">
        <f t="shared" si="12"/>
        <v>3.9146496974990419E-4</v>
      </c>
      <c r="AD157" s="33"/>
      <c r="AE157" s="33"/>
    </row>
    <row r="158" spans="5:31" ht="11.25" customHeight="1" x14ac:dyDescent="0.2">
      <c r="E158" s="155"/>
      <c r="F158" s="155"/>
      <c r="G158" s="33"/>
      <c r="K158" s="33"/>
      <c r="L158" s="33"/>
      <c r="R158" s="422">
        <f>_xll.qlCalendarAdvance(Calendar,R157,"1D","f")</f>
        <v>42290</v>
      </c>
      <c r="S158" s="221">
        <f>_xll.qlCalendarAdvance(Calendar,R158,$F$1,"mf",,Trigger)</f>
        <v>42382</v>
      </c>
      <c r="T158" s="342">
        <f>_xll.qlDayCounterYearFraction(DayCounter,R158,S158,,,Trigger)</f>
        <v>0.25205479452054796</v>
      </c>
      <c r="U158" s="32">
        <f>_xll.qlInterpolationInterpolate(B3Minterpolation,R158,TRUE)</f>
        <v>1.5578263923951413E-3</v>
      </c>
      <c r="V158" s="345">
        <f>_xll.qlYieldTSDiscount(Discounting,R158,,AllTriggers)</f>
        <v>0.99714935287068374</v>
      </c>
      <c r="W158" s="345">
        <f>_xll.qlYieldTSDiscount(Discounting,S158,,AllTriggers)</f>
        <v>0.99572929418764211</v>
      </c>
      <c r="X158" s="32">
        <f t="shared" si="11"/>
        <v>5.6580925193723116E-3</v>
      </c>
      <c r="Y158" s="452">
        <f t="shared" si="12"/>
        <v>3.9202156982998462E-4</v>
      </c>
      <c r="AD158" s="33"/>
      <c r="AE158" s="33"/>
    </row>
    <row r="159" spans="5:31" ht="11.25" customHeight="1" x14ac:dyDescent="0.2">
      <c r="E159" s="155"/>
      <c r="F159" s="155"/>
      <c r="G159" s="33"/>
      <c r="K159" s="33"/>
      <c r="L159" s="33"/>
      <c r="R159" s="422">
        <f>_xll.qlCalendarAdvance(Calendar,R158,"1D","f")</f>
        <v>42291</v>
      </c>
      <c r="S159" s="221">
        <f>_xll.qlCalendarAdvance(Calendar,R159,$F$1,"mf",,Trigger)</f>
        <v>42383</v>
      </c>
      <c r="T159" s="342">
        <f>_xll.qlDayCounterYearFraction(DayCounter,R159,S159,,,Trigger)</f>
        <v>0.25205479452054796</v>
      </c>
      <c r="U159" s="32">
        <f>_xll.qlInterpolationInterpolate(B3Minterpolation,R159,TRUE)</f>
        <v>1.5600450052133598E-3</v>
      </c>
      <c r="V159" s="345">
        <f>_xll.qlYieldTSDiscount(Discounting,R159,,AllTriggers)</f>
        <v>0.99713587587397901</v>
      </c>
      <c r="W159" s="345">
        <f>_xll.qlYieldTSDiscount(Discounting,S159,,AllTriggers)</f>
        <v>0.99571290694765002</v>
      </c>
      <c r="X159" s="32">
        <f t="shared" si="11"/>
        <v>5.6697814252309898E-3</v>
      </c>
      <c r="Y159" s="452">
        <f t="shared" si="12"/>
        <v>3.9257861166137718E-4</v>
      </c>
      <c r="AD159" s="33"/>
      <c r="AE159" s="33"/>
    </row>
    <row r="160" spans="5:31" ht="11.25" customHeight="1" x14ac:dyDescent="0.2">
      <c r="E160" s="155"/>
      <c r="F160" s="155"/>
      <c r="G160" s="33"/>
      <c r="K160" s="33"/>
      <c r="L160" s="33"/>
      <c r="R160" s="422">
        <f>_xll.qlCalendarAdvance(Calendar,R159,"1D","f")</f>
        <v>42292</v>
      </c>
      <c r="S160" s="221">
        <f>_xll.qlCalendarAdvance(Calendar,R160,$F$1,"mf",,Trigger)</f>
        <v>42384</v>
      </c>
      <c r="T160" s="342">
        <f>_xll.qlDayCounterYearFraction(DayCounter,R160,S160,,,Trigger)</f>
        <v>0.25205479452054796</v>
      </c>
      <c r="U160" s="32">
        <f>_xll.qlInterpolationInterpolate(B3Minterpolation,R160,TRUE)</f>
        <v>1.5622648210963882E-3</v>
      </c>
      <c r="V160" s="345">
        <f>_xll.qlYieldTSDiscount(Discounting,R160,,AllTriggers)</f>
        <v>0.99712236666157361</v>
      </c>
      <c r="W160" s="345">
        <f>_xll.qlYieldTSDiscount(Discounting,S160,,AllTriggers)</f>
        <v>0.99569647393192495</v>
      </c>
      <c r="X160" s="32">
        <f t="shared" si="11"/>
        <v>5.6815250075173884E-3</v>
      </c>
      <c r="Y160" s="452">
        <f t="shared" si="12"/>
        <v>3.9313594718093668E-4</v>
      </c>
      <c r="AD160" s="33"/>
      <c r="AE160" s="33"/>
    </row>
    <row r="161" spans="5:31" ht="11.25" customHeight="1" x14ac:dyDescent="0.2">
      <c r="E161" s="155"/>
      <c r="F161" s="155"/>
      <c r="G161" s="33"/>
      <c r="K161" s="33"/>
      <c r="L161" s="33"/>
      <c r="R161" s="422">
        <f>_xll.qlCalendarAdvance(Calendar,R160,"1D","f")</f>
        <v>42293</v>
      </c>
      <c r="S161" s="221">
        <f>_xll.qlCalendarAdvance(Calendar,R161,$F$1,"mf",,Trigger)</f>
        <v>42387</v>
      </c>
      <c r="T161" s="342">
        <f>_xll.qlDayCounterYearFraction(DayCounter,R161,S161,,,Trigger)</f>
        <v>0.25753424657534246</v>
      </c>
      <c r="U161" s="32">
        <f>_xll.qlInterpolationInterpolate(B3Minterpolation,R161,TRUE)</f>
        <v>1.5644852524145021E-3</v>
      </c>
      <c r="V161" s="345">
        <f>_xll.qlYieldTSDiscount(Discounting,R161,,AllTriggers)</f>
        <v>0.99710882233241527</v>
      </c>
      <c r="W161" s="345">
        <f>_xll.qlYieldTSDiscount(Discounting,S161,,AllTriggers)</f>
        <v>0.99564686643728628</v>
      </c>
      <c r="X161" s="32">
        <f t="shared" si="11"/>
        <v>5.7015633019107089E-3</v>
      </c>
      <c r="Y161" s="452">
        <f t="shared" si="12"/>
        <v>4.0223688021406325E-4</v>
      </c>
      <c r="AD161" s="33"/>
      <c r="AE161" s="33"/>
    </row>
    <row r="162" spans="5:31" ht="11.25" customHeight="1" x14ac:dyDescent="0.2">
      <c r="E162" s="155"/>
      <c r="F162" s="155"/>
      <c r="G162" s="33"/>
      <c r="K162" s="33"/>
      <c r="L162" s="33"/>
      <c r="R162" s="422">
        <f>_xll.qlCalendarAdvance(Calendar,R161,"1D","f")</f>
        <v>42296</v>
      </c>
      <c r="S162" s="221">
        <f>_xll.qlCalendarAdvance(Calendar,R162,$F$1,"mf",,Trigger)</f>
        <v>42388</v>
      </c>
      <c r="T162" s="342">
        <f>_xll.qlDayCounterYearFraction(DayCounter,R162,S162,,,Trigger)</f>
        <v>0.25205479452054796</v>
      </c>
      <c r="U162" s="32">
        <f>_xll.qlInterpolationInterpolate(B3Minterpolation,R162,TRUE)</f>
        <v>1.5711443626821064E-3</v>
      </c>
      <c r="V162" s="345">
        <f>_xll.qlYieldTSDiscount(Discounting,R162,,AllTriggers)</f>
        <v>0.99706794963632528</v>
      </c>
      <c r="W162" s="345">
        <f>_xll.qlYieldTSDiscount(Discounting,S162,,AllTriggers)</f>
        <v>0.99563021652672545</v>
      </c>
      <c r="X162" s="32">
        <f t="shared" si="11"/>
        <v>5.7290846966238504E-3</v>
      </c>
      <c r="Y162" s="452">
        <f t="shared" si="12"/>
        <v>3.9536526492522152E-4</v>
      </c>
      <c r="AD162" s="33"/>
      <c r="AE162" s="33"/>
    </row>
    <row r="163" spans="5:31" ht="11.25" customHeight="1" x14ac:dyDescent="0.2">
      <c r="E163" s="155"/>
      <c r="F163" s="155"/>
      <c r="G163" s="33"/>
      <c r="K163" s="33"/>
      <c r="L163" s="33"/>
      <c r="R163" s="422">
        <f>_xll.qlCalendarAdvance(Calendar,R162,"1D","f")</f>
        <v>42297</v>
      </c>
      <c r="S163" s="221">
        <f>_xll.qlCalendarAdvance(Calendar,R163,$F$1,"mf",,Trigger)</f>
        <v>42389</v>
      </c>
      <c r="T163" s="342">
        <f>_xll.qlDayCounterYearFraction(DayCounter,R163,S163,,,Trigger)</f>
        <v>0.25205479452054796</v>
      </c>
      <c r="U163" s="32">
        <f>_xll.qlInterpolationInterpolate(B3Minterpolation,R163,TRUE)</f>
        <v>1.5733613794433122E-3</v>
      </c>
      <c r="V163" s="345">
        <f>_xll.qlYieldTSDiscount(Discounting,R163,,AllTriggers)</f>
        <v>0.99705423583287367</v>
      </c>
      <c r="W163" s="345">
        <f>_xll.qlYieldTSDiscount(Discounting,S163,,AllTriggers)</f>
        <v>0.99561350394564774</v>
      </c>
      <c r="X163" s="32">
        <f t="shared" si="11"/>
        <v>5.7411306080362347E-3</v>
      </c>
      <c r="Y163" s="452">
        <f t="shared" si="12"/>
        <v>3.9592184798172502E-4</v>
      </c>
      <c r="AD163" s="33"/>
      <c r="AE163" s="33"/>
    </row>
    <row r="164" spans="5:31" ht="11.25" customHeight="1" x14ac:dyDescent="0.2">
      <c r="E164" s="155"/>
      <c r="F164" s="155"/>
      <c r="G164" s="33"/>
      <c r="K164" s="33"/>
      <c r="L164" s="33"/>
      <c r="R164" s="422">
        <f>_xll.qlCalendarAdvance(Calendar,R163,"1D","f")</f>
        <v>42298</v>
      </c>
      <c r="S164" s="221">
        <f>_xll.qlCalendarAdvance(Calendar,R164,$F$1,"mf",,Trigger)</f>
        <v>42390</v>
      </c>
      <c r="T164" s="342">
        <f>_xll.qlDayCounterYearFraction(DayCounter,R164,S164,,,Trigger)</f>
        <v>0.25205479452054796</v>
      </c>
      <c r="U164" s="32">
        <f>_xll.qlInterpolationInterpolate(B3Minterpolation,R164,TRUE)</f>
        <v>1.5755760734909787E-3</v>
      </c>
      <c r="V164" s="345">
        <f>_xll.qlYieldTSDiscount(Discounting,R164,,AllTriggers)</f>
        <v>0.99704047240984883</v>
      </c>
      <c r="W164" s="345">
        <f>_xll.qlYieldTSDiscount(Discounting,S164,,AllTriggers)</f>
        <v>0.99559672531580357</v>
      </c>
      <c r="X164" s="32">
        <f t="shared" si="11"/>
        <v>5.7532427748554077E-3</v>
      </c>
      <c r="Y164" s="452">
        <f t="shared" si="12"/>
        <v>3.9647783637132084E-4</v>
      </c>
      <c r="AD164" s="33"/>
      <c r="AE164" s="33"/>
    </row>
    <row r="165" spans="5:31" ht="11.25" customHeight="1" x14ac:dyDescent="0.2">
      <c r="E165" s="155"/>
      <c r="F165" s="155"/>
      <c r="G165" s="33"/>
      <c r="K165" s="33"/>
      <c r="L165" s="33"/>
      <c r="R165" s="422">
        <f>_xll.qlCalendarAdvance(Calendar,R164,"1D","f")</f>
        <v>42299</v>
      </c>
      <c r="S165" s="221">
        <f>_xll.qlCalendarAdvance(Calendar,R165,$F$1,"mf",,Trigger)</f>
        <v>42391</v>
      </c>
      <c r="T165" s="342">
        <f>_xll.qlDayCounterYearFraction(DayCounter,R165,S165,,,Trigger)</f>
        <v>0.25205479452054796</v>
      </c>
      <c r="U165" s="32">
        <f>_xll.qlInterpolationInterpolate(B3Minterpolation,R165,TRUE)</f>
        <v>1.5777878571953811E-3</v>
      </c>
      <c r="V165" s="345">
        <f>_xll.qlYieldTSDiscount(Discounting,R165,,AllTriggers)</f>
        <v>0.99702665646718325</v>
      </c>
      <c r="W165" s="345">
        <f>_xll.qlYieldTSDiscount(Discounting,S165,,AllTriggers)</f>
        <v>0.99557987725918462</v>
      </c>
      <c r="X165" s="32">
        <f t="shared" si="11"/>
        <v>5.7654231269994556E-3</v>
      </c>
      <c r="Y165" s="452">
        <f t="shared" si="12"/>
        <v>3.9703308203916391E-4</v>
      </c>
      <c r="AD165" s="33"/>
      <c r="AE165" s="33"/>
    </row>
    <row r="166" spans="5:31" ht="11.25" customHeight="1" x14ac:dyDescent="0.2">
      <c r="E166" s="155"/>
      <c r="F166" s="155"/>
      <c r="G166" s="33"/>
      <c r="K166" s="33"/>
      <c r="L166" s="33"/>
      <c r="R166" s="422">
        <f>_xll.qlCalendarAdvance(Calendar,R165,"1D","f")</f>
        <v>42300</v>
      </c>
      <c r="S166" s="221">
        <f>_xll.qlCalendarAdvance(Calendar,R166,$F$1,"mf",,Trigger)</f>
        <v>42394</v>
      </c>
      <c r="T166" s="342">
        <f>_xll.qlDayCounterYearFraction(DayCounter,R166,S166,,,Trigger)</f>
        <v>0.25753424657534246</v>
      </c>
      <c r="U166" s="32">
        <f>_xll.qlInterpolationInterpolate(B3Minterpolation,R166,TRUE)</f>
        <v>1.5799961429267943E-3</v>
      </c>
      <c r="V166" s="345">
        <f>_xll.qlYieldTSDiscount(Discounting,R166,,AllTriggers)</f>
        <v>0.9970127851049787</v>
      </c>
      <c r="W166" s="345">
        <f>_xll.qlYieldTSDiscount(Discounting,S166,,AllTriggers)</f>
        <v>0.99552888275225015</v>
      </c>
      <c r="X166" s="32">
        <f t="shared" si="11"/>
        <v>5.7878393716965506E-3</v>
      </c>
      <c r="Y166" s="452">
        <f t="shared" si="12"/>
        <v>4.0621498619080297E-4</v>
      </c>
      <c r="AD166" s="33"/>
      <c r="AE166" s="33"/>
    </row>
    <row r="167" spans="5:31" ht="11.25" customHeight="1" x14ac:dyDescent="0.2">
      <c r="E167" s="155"/>
      <c r="F167" s="155"/>
      <c r="G167" s="33"/>
      <c r="K167" s="33"/>
      <c r="L167" s="33"/>
      <c r="R167" s="422">
        <f>_xll.qlCalendarAdvance(Calendar,R166,"1D","f")</f>
        <v>42303</v>
      </c>
      <c r="S167" s="221">
        <f>_xll.qlCalendarAdvance(Calendar,R167,$F$1,"mf",,Trigger)</f>
        <v>42395</v>
      </c>
      <c r="T167" s="342">
        <f>_xll.qlDayCounterYearFraction(DayCounter,R167,S167,,,Trigger)</f>
        <v>0.25205479452054796</v>
      </c>
      <c r="U167" s="32">
        <f>_xll.qlInterpolationInterpolate(B3Minterpolation,R167,TRUE)</f>
        <v>1.5865941359858499E-3</v>
      </c>
      <c r="V167" s="345">
        <f>_xll.qlYieldTSDiscount(Discounting,R167,,AllTriggers)</f>
        <v>0.9969708095047124</v>
      </c>
      <c r="W167" s="345">
        <f>_xll.qlYieldTSDiscount(Discounting,S167,,AllTriggers)</f>
        <v>0.99551172321334069</v>
      </c>
      <c r="X167" s="32">
        <f t="shared" si="11"/>
        <v>5.8148649882255989E-3</v>
      </c>
      <c r="Y167" s="452">
        <f t="shared" si="12"/>
        <v>3.9924367642062977E-4</v>
      </c>
      <c r="AD167" s="33"/>
      <c r="AE167" s="33"/>
    </row>
    <row r="168" spans="5:31" ht="11.25" customHeight="1" x14ac:dyDescent="0.2">
      <c r="E168" s="155"/>
      <c r="F168" s="155"/>
      <c r="G168" s="33"/>
      <c r="K168" s="33"/>
      <c r="L168" s="33"/>
      <c r="R168" s="422">
        <f>_xll.qlCalendarAdvance(Calendar,R167,"1D","f")</f>
        <v>42304</v>
      </c>
      <c r="S168" s="221">
        <f>_xll.qlCalendarAdvance(Calendar,R168,$F$1,"mf",,Trigger)</f>
        <v>42396</v>
      </c>
      <c r="T168" s="342">
        <f>_xll.qlDayCounterYearFraction(DayCounter,R168,S168,,,Trigger)</f>
        <v>0.25205479452054796</v>
      </c>
      <c r="U168" s="32">
        <f>_xll.qlInterpolationInterpolate(B3Minterpolation,R168,TRUE)</f>
        <v>1.5887825535280575E-3</v>
      </c>
      <c r="V168" s="345">
        <f>_xll.qlYieldTSDiscount(Discounting,R168,,AllTriggers)</f>
        <v>0.99695668746880095</v>
      </c>
      <c r="W168" s="345">
        <f>_xll.qlYieldTSDiscount(Discounting,S168,,AllTriggers)</f>
        <v>0.99549447736130725</v>
      </c>
      <c r="X168" s="32">
        <f t="shared" si="11"/>
        <v>5.8274152167845416E-3</v>
      </c>
      <c r="Y168" s="452">
        <f t="shared" si="12"/>
        <v>3.9979298768686382E-4</v>
      </c>
      <c r="AD168" s="33"/>
      <c r="AE168" s="33"/>
    </row>
    <row r="169" spans="5:31" ht="11.25" customHeight="1" x14ac:dyDescent="0.2">
      <c r="E169" s="155"/>
      <c r="F169" s="155"/>
      <c r="G169" s="33"/>
      <c r="K169" s="33"/>
      <c r="L169" s="33"/>
      <c r="R169" s="422">
        <f>_xll.qlCalendarAdvance(Calendar,R168,"1D","f")</f>
        <v>42305</v>
      </c>
      <c r="S169" s="221">
        <f>_xll.qlCalendarAdvance(Calendar,R169,$F$1,"mf",,Trigger)</f>
        <v>42397</v>
      </c>
      <c r="T169" s="342">
        <f>_xll.qlDayCounterYearFraction(DayCounter,R169,S169,,,Trigger)</f>
        <v>0.25205479452054796</v>
      </c>
      <c r="U169" s="32">
        <f>_xll.qlInterpolationInterpolate(B3Minterpolation,R169,TRUE)</f>
        <v>1.5909645349486512E-3</v>
      </c>
      <c r="V169" s="345">
        <f>_xll.qlYieldTSDiscount(Discounting,R169,,AllTriggers)</f>
        <v>0.99694249551644909</v>
      </c>
      <c r="W169" s="345">
        <f>_xll.qlYieldTSDiscount(Discounting,S169,,AllTriggers)</f>
        <v>0.99547714181963731</v>
      </c>
      <c r="X169" s="32">
        <f t="shared" si="11"/>
        <v>5.8400452107803119E-3</v>
      </c>
      <c r="Y169" s="452">
        <f t="shared" si="12"/>
        <v>4.003406679230817E-4</v>
      </c>
      <c r="AD169" s="33"/>
      <c r="AE169" s="33"/>
    </row>
    <row r="170" spans="5:31" ht="11.25" customHeight="1" x14ac:dyDescent="0.2">
      <c r="E170" s="155"/>
      <c r="F170" s="155"/>
      <c r="G170" s="33"/>
      <c r="K170" s="33"/>
      <c r="L170" s="33"/>
      <c r="R170" s="422">
        <f>_xll.qlCalendarAdvance(Calendar,R169,"1D","f")</f>
        <v>42306</v>
      </c>
      <c r="S170" s="221">
        <f>_xll.qlCalendarAdvance(Calendar,R170,$F$1,"mf",,Trigger)</f>
        <v>42398</v>
      </c>
      <c r="T170" s="342">
        <f>_xll.qlDayCounterYearFraction(DayCounter,R170,S170,,,Trigger)</f>
        <v>0.25205479452054796</v>
      </c>
      <c r="U170" s="32">
        <f>_xll.qlInterpolationInterpolate(B3Minterpolation,R170,TRUE)</f>
        <v>1.5931394926179065E-3</v>
      </c>
      <c r="V170" s="345">
        <f>_xll.qlYieldTSDiscount(Discounting,R170,,AllTriggers)</f>
        <v>0.99692823074880743</v>
      </c>
      <c r="W170" s="345">
        <f>_xll.qlYieldTSDiscount(Discounting,S170,,AllTriggers)</f>
        <v>0.99545971321207782</v>
      </c>
      <c r="X170" s="32">
        <f t="shared" si="11"/>
        <v>5.8527569003309684E-3</v>
      </c>
      <c r="Y170" s="452">
        <f t="shared" si="12"/>
        <v>4.008865690824676E-4</v>
      </c>
      <c r="AD170" s="33"/>
      <c r="AE170" s="33"/>
    </row>
    <row r="171" spans="5:31" ht="11.25" customHeight="1" x14ac:dyDescent="0.2">
      <c r="E171" s="155"/>
      <c r="F171" s="155"/>
      <c r="G171" s="33"/>
      <c r="K171" s="33"/>
      <c r="L171" s="33"/>
      <c r="R171" s="422">
        <f>_xll.qlCalendarAdvance(Calendar,R170,"1D","f")</f>
        <v>42307</v>
      </c>
      <c r="S171" s="221">
        <f>_xll.qlCalendarAdvance(Calendar,R171,$F$1,"mf",,Trigger)</f>
        <v>42398</v>
      </c>
      <c r="T171" s="342">
        <f>_xll.qlDayCounterYearFraction(DayCounter,R171,S171,,,Trigger)</f>
        <v>0.24931506849315069</v>
      </c>
      <c r="U171" s="32">
        <f>_xll.qlInterpolationInterpolate(B3Minterpolation,R171,TRUE)</f>
        <v>1.5953068389060979E-3</v>
      </c>
      <c r="V171" s="345">
        <f>_xll.qlYieldTSDiscount(Discounting,R171,,AllTriggers)</f>
        <v>0.99691389026720834</v>
      </c>
      <c r="W171" s="345">
        <f>_xll.qlYieldTSDiscount(Discounting,S171,,AllTriggers)</f>
        <v>0.99545971321207782</v>
      </c>
      <c r="X171" s="32">
        <f t="shared" si="11"/>
        <v>5.8592910499015542E-3</v>
      </c>
      <c r="Y171" s="452">
        <f t="shared" si="12"/>
        <v>3.9707502292472211E-4</v>
      </c>
      <c r="AD171" s="33"/>
      <c r="AE171" s="33"/>
    </row>
    <row r="172" spans="5:31" ht="11.25" customHeight="1" x14ac:dyDescent="0.2">
      <c r="E172" s="155"/>
      <c r="F172" s="155"/>
      <c r="G172" s="33"/>
      <c r="K172" s="33"/>
      <c r="L172" s="33"/>
      <c r="R172" s="422">
        <f>_xll.qlCalendarAdvance(Calendar,R171,"1D","f")</f>
        <v>42310</v>
      </c>
      <c r="S172" s="221">
        <f>_xll.qlCalendarAdvance(Calendar,R172,$F$1,"mf",,Trigger)</f>
        <v>42402</v>
      </c>
      <c r="T172" s="342">
        <f>_xll.qlDayCounterYearFraction(DayCounter,R172,S172,,,Trigger)</f>
        <v>0.25205479452054796</v>
      </c>
      <c r="U172" s="32">
        <f>_xll.qlInterpolationInterpolate(B3Minterpolation,R172,TRUE)</f>
        <v>1.6017573331870419E-3</v>
      </c>
      <c r="V172" s="345">
        <f>_xll.qlYieldTSDiscount(Discounting,R172,,AllTriggers)</f>
        <v>0.99687038555475904</v>
      </c>
      <c r="W172" s="345">
        <f>_xll.qlYieldTSDiscount(Discounting,S172,,AllTriggers)</f>
        <v>0.9953890006071241</v>
      </c>
      <c r="X172" s="32">
        <f t="shared" si="11"/>
        <v>5.9044592175060313E-3</v>
      </c>
      <c r="Y172" s="452">
        <f t="shared" si="12"/>
        <v>4.0304942206227147E-4</v>
      </c>
      <c r="AD172" s="33"/>
      <c r="AE172" s="33"/>
    </row>
    <row r="173" spans="5:31" ht="11.25" customHeight="1" x14ac:dyDescent="0.2">
      <c r="E173" s="155"/>
      <c r="F173" s="155"/>
      <c r="G173" s="33"/>
      <c r="K173" s="33"/>
      <c r="L173" s="33"/>
      <c r="R173" s="422">
        <f>_xll.qlCalendarAdvance(Calendar,R172,"1D","f")</f>
        <v>42311</v>
      </c>
      <c r="S173" s="221">
        <f>_xll.qlCalendarAdvance(Calendar,R173,$F$1,"mf",,Trigger)</f>
        <v>42403</v>
      </c>
      <c r="T173" s="342">
        <f>_xll.qlDayCounterYearFraction(DayCounter,R173,S173,,,Trigger)</f>
        <v>0.25205479452054796</v>
      </c>
      <c r="U173" s="32">
        <f>_xll.qlInterpolationInterpolate(B3Minterpolation,R173,TRUE)</f>
        <v>1.6038883576537299E-3</v>
      </c>
      <c r="V173" s="345">
        <f>_xll.qlYieldTSDiscount(Discounting,R173,,AllTriggers)</f>
        <v>0.99685571323436273</v>
      </c>
      <c r="W173" s="345">
        <f>_xll.qlYieldTSDiscount(Discounting,S173,,AllTriggers)</f>
        <v>0.99537105603561071</v>
      </c>
      <c r="X173" s="32">
        <f t="shared" si="11"/>
        <v>5.9176083376644029E-3</v>
      </c>
      <c r="Y173" s="452">
        <f t="shared" si="12"/>
        <v>4.0358420718278137E-4</v>
      </c>
      <c r="AD173" s="33"/>
      <c r="AE173" s="33"/>
    </row>
    <row r="174" spans="5:31" ht="11.25" customHeight="1" x14ac:dyDescent="0.2">
      <c r="E174" s="155"/>
      <c r="F174" s="155"/>
      <c r="G174" s="33"/>
      <c r="K174" s="33"/>
      <c r="L174" s="33"/>
      <c r="R174" s="422">
        <f>_xll.qlCalendarAdvance(Calendar,R173,"1D","f")</f>
        <v>42312</v>
      </c>
      <c r="S174" s="221">
        <f>_xll.qlCalendarAdvance(Calendar,R174,$F$1,"mf",,Trigger)</f>
        <v>42404</v>
      </c>
      <c r="T174" s="342">
        <f>_xll.qlDayCounterYearFraction(DayCounter,R174,S174,,,Trigger)</f>
        <v>0.25205479452054796</v>
      </c>
      <c r="U174" s="32">
        <f>_xll.qlInterpolationInterpolate(B3Minterpolation,R174,TRUE)</f>
        <v>1.6060088325907296E-3</v>
      </c>
      <c r="V174" s="345">
        <f>_xll.qlYieldTSDiscount(Discounting,R174,,AllTriggers)</f>
        <v>0.99684095171914266</v>
      </c>
      <c r="W174" s="345">
        <f>_xll.qlYieldTSDiscount(Discounting,S174,,AllTriggers)</f>
        <v>0.99535299920093778</v>
      </c>
      <c r="X174" s="32">
        <f t="shared" si="11"/>
        <v>5.9308505492502751E-3</v>
      </c>
      <c r="Y174" s="452">
        <f t="shared" si="12"/>
        <v>4.0411632499378789E-4</v>
      </c>
      <c r="AD174" s="33"/>
      <c r="AE174" s="33"/>
    </row>
    <row r="175" spans="5:31" ht="11.25" customHeight="1" x14ac:dyDescent="0.2">
      <c r="E175" s="155"/>
      <c r="F175" s="155"/>
      <c r="G175" s="33"/>
      <c r="K175" s="33"/>
      <c r="L175" s="33"/>
      <c r="R175" s="422">
        <f>_xll.qlCalendarAdvance(Calendar,R174,"1D","f")</f>
        <v>42313</v>
      </c>
      <c r="S175" s="221">
        <f>_xll.qlCalendarAdvance(Calendar,R175,$F$1,"mf",,Trigger)</f>
        <v>42405</v>
      </c>
      <c r="T175" s="342">
        <f>_xll.qlDayCounterYearFraction(DayCounter,R175,S175,,,Trigger)</f>
        <v>0.25205479452054796</v>
      </c>
      <c r="U175" s="32">
        <f>_xll.qlInterpolationInterpolate(B3Minterpolation,R175,TRUE)</f>
        <v>1.6081181703683164E-3</v>
      </c>
      <c r="V175" s="345">
        <f>_xll.qlYieldTSDiscount(Discounting,R175,,AllTriggers)</f>
        <v>0.99682610315979614</v>
      </c>
      <c r="W175" s="345">
        <f>_xll.qlYieldTSDiscount(Discounting,S175,,AllTriggers)</f>
        <v>0.99533483200173489</v>
      </c>
      <c r="X175" s="32">
        <f t="shared" si="11"/>
        <v>5.9441868552096112E-3</v>
      </c>
      <c r="Y175" s="452">
        <f t="shared" si="12"/>
        <v>4.0464562755337491E-4</v>
      </c>
      <c r="AD175" s="33"/>
      <c r="AE175" s="33"/>
    </row>
    <row r="176" spans="5:31" ht="11.25" customHeight="1" x14ac:dyDescent="0.2">
      <c r="E176" s="155"/>
      <c r="F176" s="155"/>
      <c r="G176" s="33"/>
      <c r="K176" s="33"/>
      <c r="L176" s="33"/>
      <c r="R176" s="422">
        <f>_xll.qlCalendarAdvance(Calendar,R175,"1D","f")</f>
        <v>42314</v>
      </c>
      <c r="S176" s="221">
        <f>_xll.qlCalendarAdvance(Calendar,R176,$F$1,"mf",,Trigger)</f>
        <v>42408</v>
      </c>
      <c r="T176" s="342">
        <f>_xll.qlDayCounterYearFraction(DayCounter,R176,S176,,,Trigger)</f>
        <v>0.25753424657534246</v>
      </c>
      <c r="U176" s="32">
        <f>_xll.qlInterpolationInterpolate(B3Minterpolation,R176,TRUE)</f>
        <v>1.610215783356765E-3</v>
      </c>
      <c r="V176" s="345">
        <f>_xll.qlYieldTSDiscount(Discounting,R176,,AllTriggers)</f>
        <v>0.99681117071655501</v>
      </c>
      <c r="W176" s="345">
        <f>_xll.qlYieldTSDiscount(Discounting,S176,,AllTriggers)</f>
        <v>0.99527969774719749</v>
      </c>
      <c r="X176" s="32">
        <f t="shared" si="11"/>
        <v>5.9748801959329219E-3</v>
      </c>
      <c r="Y176" s="452">
        <f t="shared" si="12"/>
        <v>4.1396290253030313E-4</v>
      </c>
      <c r="AD176" s="33"/>
      <c r="AE176" s="33"/>
    </row>
    <row r="177" spans="5:31" ht="11.25" customHeight="1" x14ac:dyDescent="0.2">
      <c r="E177" s="155"/>
      <c r="F177" s="155"/>
      <c r="G177" s="33"/>
      <c r="K177" s="33"/>
      <c r="L177" s="33"/>
      <c r="R177" s="422">
        <f>_xll.qlCalendarAdvance(Calendar,R176,"1D","f")</f>
        <v>42317</v>
      </c>
      <c r="S177" s="221">
        <f>_xll.qlCalendarAdvance(Calendar,R177,$F$1,"mf",,Trigger)</f>
        <v>42409</v>
      </c>
      <c r="T177" s="342">
        <f>_xll.qlDayCounterYearFraction(DayCounter,R177,S177,,,Trigger)</f>
        <v>0.25205479452054796</v>
      </c>
      <c r="U177" s="32">
        <f>_xll.qlInterpolationInterpolate(B3Minterpolation,R177,TRUE)</f>
        <v>1.6164323972900339E-3</v>
      </c>
      <c r="V177" s="345">
        <f>_xll.qlYieldTSDiscount(Discounting,R177,,AllTriggers)</f>
        <v>0.99676590168325374</v>
      </c>
      <c r="W177" s="345">
        <f>_xll.qlYieldTSDiscount(Discounting,S177,,AllTriggers)</f>
        <v>0.9952611186192083</v>
      </c>
      <c r="X177" s="32">
        <f t="shared" si="11"/>
        <v>5.9984893728257218E-3</v>
      </c>
      <c r="Y177" s="452">
        <f t="shared" si="12"/>
        <v>4.0673172688918612E-4</v>
      </c>
      <c r="AD177" s="33"/>
      <c r="AE177" s="33"/>
    </row>
    <row r="178" spans="5:31" ht="11.25" customHeight="1" x14ac:dyDescent="0.2">
      <c r="E178" s="155"/>
      <c r="F178" s="155"/>
      <c r="G178" s="33"/>
      <c r="K178" s="33"/>
      <c r="L178" s="33"/>
      <c r="R178" s="422">
        <f>_xll.qlCalendarAdvance(Calendar,R177,"1D","f")</f>
        <v>42318</v>
      </c>
      <c r="S178" s="221">
        <f>_xll.qlCalendarAdvance(Calendar,R178,$F$1,"mf",,Trigger)</f>
        <v>42410</v>
      </c>
      <c r="T178" s="342">
        <f>_xll.qlDayCounterYearFraction(DayCounter,R178,S178,,,Trigger)</f>
        <v>0.25205479452054796</v>
      </c>
      <c r="U178" s="32">
        <f>_xll.qlInterpolationInterpolate(B3Minterpolation,R178,TRUE)</f>
        <v>1.6184772348246813E-3</v>
      </c>
      <c r="V178" s="345">
        <f>_xll.qlYieldTSDiscount(Discounting,R178,,AllTriggers)</f>
        <v>0.99675066530336431</v>
      </c>
      <c r="W178" s="345">
        <f>_xll.qlYieldTSDiscount(Discounting,S178,,AllTriggers)</f>
        <v>0.99524244389042749</v>
      </c>
      <c r="X178" s="32">
        <f t="shared" si="11"/>
        <v>6.0123084133413968E-3</v>
      </c>
      <c r="Y178" s="452">
        <f t="shared" si="12"/>
        <v>4.0724473442118426E-4</v>
      </c>
      <c r="AD178" s="33"/>
      <c r="AE178" s="33"/>
    </row>
    <row r="179" spans="5:31" ht="11.25" customHeight="1" x14ac:dyDescent="0.2">
      <c r="E179" s="155"/>
      <c r="F179" s="155"/>
      <c r="G179" s="33"/>
      <c r="K179" s="33"/>
      <c r="L179" s="33"/>
      <c r="R179" s="422">
        <f>_xll.qlCalendarAdvance(Calendar,R178,"1D","f")</f>
        <v>42319</v>
      </c>
      <c r="S179" s="221">
        <f>_xll.qlCalendarAdvance(Calendar,R179,$F$1,"mf",,Trigger)</f>
        <v>42411</v>
      </c>
      <c r="T179" s="342">
        <f>_xll.qlDayCounterYearFraction(DayCounter,R179,S179,,,Trigger)</f>
        <v>0.25205479452054796</v>
      </c>
      <c r="U179" s="32">
        <f>_xll.qlInterpolationInterpolate(B3Minterpolation,R179,TRUE)</f>
        <v>1.6205074094215661E-3</v>
      </c>
      <c r="V179" s="345">
        <f>_xll.qlYieldTSDiscount(Discounting,R179,,AllTriggers)</f>
        <v>0.99673536083817715</v>
      </c>
      <c r="W179" s="345">
        <f>_xll.qlYieldTSDiscount(Discounting,S179,,AllTriggers)</f>
        <v>0.99522367651303545</v>
      </c>
      <c r="X179" s="32">
        <f t="shared" si="11"/>
        <v>6.0262264534333499E-3</v>
      </c>
      <c r="Y179" s="452">
        <f t="shared" si="12"/>
        <v>4.0775403921024001E-4</v>
      </c>
      <c r="AD179" s="33"/>
      <c r="AE179" s="33"/>
    </row>
    <row r="180" spans="5:31" ht="11.25" customHeight="1" x14ac:dyDescent="0.2">
      <c r="E180" s="155"/>
      <c r="F180" s="155"/>
      <c r="G180" s="33"/>
      <c r="K180" s="33"/>
      <c r="L180" s="33"/>
      <c r="R180" s="422">
        <f>_xll.qlCalendarAdvance(Calendar,R179,"1D","f")</f>
        <v>42320</v>
      </c>
      <c r="S180" s="221">
        <f>_xll.qlCalendarAdvance(Calendar,R180,$F$1,"mf",,Trigger)</f>
        <v>42412</v>
      </c>
      <c r="T180" s="342">
        <f>_xll.qlDayCounterYearFraction(DayCounter,R180,S180,,,Trigger)</f>
        <v>0.25205479452054796</v>
      </c>
      <c r="U180" s="32">
        <f>_xll.qlInterpolationInterpolate(B3Minterpolation,R180,TRUE)</f>
        <v>1.6225223334509634E-3</v>
      </c>
      <c r="V180" s="345">
        <f>_xll.qlYieldTSDiscount(Discounting,R180,,AllTriggers)</f>
        <v>0.99671999144688228</v>
      </c>
      <c r="W180" s="345">
        <f>_xll.qlYieldTSDiscount(Discounting,S180,,AllTriggers)</f>
        <v>0.99520481943901662</v>
      </c>
      <c r="X180" s="32">
        <f t="shared" si="11"/>
        <v>6.0402443106999859E-3</v>
      </c>
      <c r="Y180" s="452">
        <f t="shared" si="12"/>
        <v>4.0825949334944253E-4</v>
      </c>
      <c r="AD180" s="33"/>
      <c r="AE180" s="33"/>
    </row>
    <row r="181" spans="5:31" ht="11.25" customHeight="1" x14ac:dyDescent="0.2">
      <c r="E181" s="155"/>
      <c r="F181" s="155"/>
      <c r="G181" s="33"/>
      <c r="K181" s="33"/>
      <c r="L181" s="33"/>
      <c r="R181" s="422">
        <f>_xll.qlCalendarAdvance(Calendar,R180,"1D","f")</f>
        <v>42321</v>
      </c>
      <c r="S181" s="221">
        <f>_xll.qlCalendarAdvance(Calendar,R181,$F$1,"mf",,Trigger)</f>
        <v>42415</v>
      </c>
      <c r="T181" s="342">
        <f>_xll.qlDayCounterYearFraction(DayCounter,R181,S181,,,Trigger)</f>
        <v>0.25753424657534246</v>
      </c>
      <c r="U181" s="32">
        <f>_xll.qlInterpolationInterpolate(B3Minterpolation,R181,TRUE)</f>
        <v>1.6245214192831482E-3</v>
      </c>
      <c r="V181" s="345">
        <f>_xll.qlYieldTSDiscount(Discounting,R181,,AllTriggers)</f>
        <v>0.99670456028848842</v>
      </c>
      <c r="W181" s="345">
        <f>_xll.qlYieldTSDiscount(Discounting,S181,,AllTriggers)</f>
        <v>0.99514773955405011</v>
      </c>
      <c r="X181" s="32">
        <f t="shared" si="11"/>
        <v>6.0745772187425339E-3</v>
      </c>
      <c r="Y181" s="452">
        <f t="shared" si="12"/>
        <v>4.1762920010491488E-4</v>
      </c>
      <c r="AD181" s="33"/>
      <c r="AE181" s="33"/>
    </row>
    <row r="182" spans="5:31" ht="11.25" customHeight="1" x14ac:dyDescent="0.2">
      <c r="E182" s="155"/>
      <c r="F182" s="155"/>
      <c r="G182" s="33"/>
      <c r="K182" s="33"/>
      <c r="L182" s="33"/>
      <c r="R182" s="422">
        <f>_xll.qlCalendarAdvance(Calendar,R181,"1D","f")</f>
        <v>42324</v>
      </c>
      <c r="S182" s="221">
        <f>_xll.qlCalendarAdvance(Calendar,R182,$F$1,"mf",,Trigger)</f>
        <v>42416</v>
      </c>
      <c r="T182" s="342">
        <f>_xll.qlDayCounterYearFraction(DayCounter,R182,S182,,,Trigger)</f>
        <v>0.25205479452054796</v>
      </c>
      <c r="U182" s="32">
        <f>_xll.qlInterpolationInterpolate(B3Minterpolation,R182,TRUE)</f>
        <v>1.6304177712991787E-3</v>
      </c>
      <c r="V182" s="345">
        <f>_xll.qlYieldTSDiscount(Discounting,R182,,AllTriggers)</f>
        <v>0.99665792779803364</v>
      </c>
      <c r="W182" s="345">
        <f>_xll.qlYieldTSDiscount(Discounting,S182,,AllTriggers)</f>
        <v>0.99512855320935889</v>
      </c>
      <c r="X182" s="32">
        <f t="shared" si="11"/>
        <v>6.097330264145673E-3</v>
      </c>
      <c r="Y182" s="452">
        <f t="shared" si="12"/>
        <v>4.1023984535889862E-4</v>
      </c>
      <c r="AD182" s="33"/>
      <c r="AE182" s="33"/>
    </row>
    <row r="183" spans="5:31" ht="11.25" customHeight="1" x14ac:dyDescent="0.2">
      <c r="E183" s="155"/>
      <c r="F183" s="155"/>
      <c r="G183" s="33"/>
      <c r="K183" s="33"/>
      <c r="L183" s="33"/>
      <c r="R183" s="422">
        <f>_xll.qlCalendarAdvance(Calendar,R182,"1D","f")</f>
        <v>42325</v>
      </c>
      <c r="S183" s="221">
        <f>_xll.qlCalendarAdvance(Calendar,R183,$F$1,"mf",,Trigger)</f>
        <v>42417</v>
      </c>
      <c r="T183" s="342">
        <f>_xll.qlDayCounterYearFraction(DayCounter,R183,S183,,,Trigger)</f>
        <v>0.25205479452054796</v>
      </c>
      <c r="U183" s="32">
        <f>_xll.qlInterpolationInterpolate(B3Minterpolation,R183,TRUE)</f>
        <v>1.6323476280452644E-3</v>
      </c>
      <c r="V183" s="345">
        <f>_xll.qlYieldTSDiscount(Discounting,R183,,AllTriggers)</f>
        <v>0.99664228115763043</v>
      </c>
      <c r="W183" s="345">
        <f>_xll.qlYieldTSDiscount(Discounting,S183,,AllTriggers)</f>
        <v>0.99510929192493391</v>
      </c>
      <c r="X183" s="32">
        <f t="shared" si="11"/>
        <v>6.1118594719321833E-3</v>
      </c>
      <c r="Y183" s="452">
        <f t="shared" si="12"/>
        <v>4.1072382773448289E-4</v>
      </c>
      <c r="AD183" s="33"/>
      <c r="AE183" s="33"/>
    </row>
    <row r="184" spans="5:31" ht="11.25" customHeight="1" x14ac:dyDescent="0.2">
      <c r="E184" s="155"/>
      <c r="F184" s="155"/>
      <c r="G184" s="33"/>
      <c r="K184" s="33"/>
      <c r="L184" s="33"/>
      <c r="R184" s="422">
        <f>_xll.qlCalendarAdvance(Calendar,R183,"1D","f")</f>
        <v>42326</v>
      </c>
      <c r="S184" s="221">
        <f>_xll.qlCalendarAdvance(Calendar,R184,$F$1,"mf",,Trigger)</f>
        <v>42418</v>
      </c>
      <c r="T184" s="342">
        <f>_xll.qlDayCounterYearFraction(DayCounter,R184,S184,,,Trigger)</f>
        <v>0.25205479452054796</v>
      </c>
      <c r="U184" s="32">
        <f>_xll.qlInterpolationInterpolate(B3Minterpolation,R184,TRUE)</f>
        <v>1.6342587084455132E-3</v>
      </c>
      <c r="V184" s="345">
        <f>_xll.qlYieldTSDiscount(Discounting,R184,,AllTriggers)</f>
        <v>0.99662658854238106</v>
      </c>
      <c r="W184" s="345">
        <f>_xll.qlYieldTSDiscount(Discounting,S184,,AllTriggers)</f>
        <v>0.99508995865153094</v>
      </c>
      <c r="X184" s="32">
        <f t="shared" si="11"/>
        <v>6.126493402889034E-3</v>
      </c>
      <c r="Y184" s="452">
        <f t="shared" si="12"/>
        <v>4.1120307207318099E-4</v>
      </c>
      <c r="AD184" s="33"/>
      <c r="AE184" s="33"/>
    </row>
    <row r="185" spans="5:31" ht="11.25" customHeight="1" x14ac:dyDescent="0.2">
      <c r="E185" s="155"/>
      <c r="F185" s="155"/>
      <c r="G185" s="33"/>
      <c r="K185" s="33"/>
      <c r="L185" s="33"/>
      <c r="R185" s="422">
        <f>_xll.qlCalendarAdvance(Calendar,R184,"1D","f")</f>
        <v>42327</v>
      </c>
      <c r="S185" s="221">
        <f>_xll.qlCalendarAdvance(Calendar,R185,$F$1,"mf",,Trigger)</f>
        <v>42419</v>
      </c>
      <c r="T185" s="342">
        <f>_xll.qlDayCounterYearFraction(DayCounter,R185,S185,,,Trigger)</f>
        <v>0.25205479452054796</v>
      </c>
      <c r="U185" s="32">
        <f>_xll.qlInterpolationInterpolate(B3Minterpolation,R185,TRUE)</f>
        <v>1.6361504248701996E-3</v>
      </c>
      <c r="V185" s="345">
        <f>_xll.qlYieldTSDiscount(Discounting,R185,,AllTriggers)</f>
        <v>0.99661085311016617</v>
      </c>
      <c r="W185" s="345">
        <f>_xll.qlYieldTSDiscount(Discounting,S185,,AllTriggers)</f>
        <v>0.99507055633969266</v>
      </c>
      <c r="X185" s="32">
        <f t="shared" si="11"/>
        <v>6.1412328747529376E-3</v>
      </c>
      <c r="Y185" s="452">
        <f t="shared" si="12"/>
        <v>4.1167743048616684E-4</v>
      </c>
      <c r="AD185" s="33"/>
      <c r="AE185" s="33"/>
    </row>
    <row r="186" spans="5:31" ht="11.25" customHeight="1" x14ac:dyDescent="0.2">
      <c r="E186" s="155"/>
      <c r="F186" s="155"/>
      <c r="G186" s="33"/>
      <c r="K186" s="33"/>
      <c r="L186" s="33"/>
      <c r="R186" s="422">
        <f>_xll.qlCalendarAdvance(Calendar,R185,"1D","f")</f>
        <v>42328</v>
      </c>
      <c r="S186" s="221">
        <f>_xll.qlCalendarAdvance(Calendar,R186,$F$1,"mf",,Trigger)</f>
        <v>42422</v>
      </c>
      <c r="T186" s="342">
        <f>_xll.qlDayCounterYearFraction(DayCounter,R186,S186,,,Trigger)</f>
        <v>0.25753424657534246</v>
      </c>
      <c r="U186" s="32">
        <f>_xll.qlInterpolationInterpolate(B3Minterpolation,R186,TRUE)</f>
        <v>1.6380221896895996E-3</v>
      </c>
      <c r="V186" s="345">
        <f>_xll.qlYieldTSDiscount(Discounting,R186,,AllTriggers)</f>
        <v>0.99659507801867309</v>
      </c>
      <c r="W186" s="345">
        <f>_xll.qlYieldTSDiscount(Discounting,S186,,AllTriggers)</f>
        <v>0.99501196467575714</v>
      </c>
      <c r="X186" s="32">
        <f t="shared" si="11"/>
        <v>6.1780115672110713E-3</v>
      </c>
      <c r="Y186" s="452">
        <f t="shared" si="12"/>
        <v>4.2108802748966697E-4</v>
      </c>
      <c r="AD186" s="33"/>
      <c r="AE186" s="33"/>
    </row>
    <row r="187" spans="5:31" ht="11.25" customHeight="1" x14ac:dyDescent="0.2">
      <c r="E187" s="155"/>
      <c r="F187" s="155"/>
      <c r="G187" s="33"/>
      <c r="K187" s="33"/>
      <c r="L187" s="33"/>
      <c r="R187" s="422">
        <f>_xll.qlCalendarAdvance(Calendar,R186,"1D","f")</f>
        <v>42331</v>
      </c>
      <c r="S187" s="221">
        <f>_xll.qlCalendarAdvance(Calendar,R187,$F$1,"mf",,Trigger)</f>
        <v>42423</v>
      </c>
      <c r="T187" s="342">
        <f>_xll.qlDayCounterYearFraction(DayCounter,R187,S187,,,Trigger)</f>
        <v>0.25205479452054796</v>
      </c>
      <c r="U187" s="32">
        <f>_xll.qlInterpolationInterpolate(B3Minterpolation,R187,TRUE)</f>
        <v>1.6435118982188284E-3</v>
      </c>
      <c r="V187" s="345">
        <f>_xll.qlYieldTSDiscount(Discounting,R187,,AllTriggers)</f>
        <v>0.99654754636246579</v>
      </c>
      <c r="W187" s="345">
        <f>_xll.qlYieldTSDiscount(Discounting,S187,,AllTriggers)</f>
        <v>0.994992315711276</v>
      </c>
      <c r="X187" s="32">
        <f t="shared" si="11"/>
        <v>6.2012625267110124E-3</v>
      </c>
      <c r="Y187" s="452">
        <f t="shared" si="12"/>
        <v>4.1352304720733516E-4</v>
      </c>
      <c r="AD187" s="33"/>
      <c r="AE187" s="33"/>
    </row>
    <row r="188" spans="5:31" ht="11.25" customHeight="1" x14ac:dyDescent="0.2">
      <c r="E188" s="155"/>
      <c r="F188" s="155"/>
      <c r="G188" s="33"/>
      <c r="K188" s="33"/>
      <c r="L188" s="33"/>
      <c r="R188" s="422">
        <f>_xll.qlCalendarAdvance(Calendar,R187,"1D","f")</f>
        <v>42332</v>
      </c>
      <c r="S188" s="221">
        <f>_xll.qlCalendarAdvance(Calendar,R188,$F$1,"mf",,Trigger)</f>
        <v>42424</v>
      </c>
      <c r="T188" s="342">
        <f>_xll.qlDayCounterYearFraction(DayCounter,R188,S188,,,Trigger)</f>
        <v>0.25205479452054796</v>
      </c>
      <c r="U188" s="32">
        <f>_xll.qlInterpolationInterpolate(B3Minterpolation,R188,TRUE)</f>
        <v>1.6452979803198314E-3</v>
      </c>
      <c r="V188" s="345">
        <f>_xll.qlYieldTSDiscount(Discounting,R188,,AllTriggers)</f>
        <v>0.99653164420681695</v>
      </c>
      <c r="W188" s="345">
        <f>_xll.qlYieldTSDiscount(Discounting,S188,,AllTriggers)</f>
        <v>0.99497261245780966</v>
      </c>
      <c r="X188" s="32">
        <f t="shared" si="11"/>
        <v>6.2165419698682464E-3</v>
      </c>
      <c r="Y188" s="452">
        <f t="shared" si="12"/>
        <v>4.1397075776235422E-4</v>
      </c>
      <c r="AD188" s="33"/>
      <c r="AE188" s="33"/>
    </row>
    <row r="189" spans="5:31" ht="11.25" customHeight="1" x14ac:dyDescent="0.2">
      <c r="E189" s="155"/>
      <c r="F189" s="155"/>
      <c r="G189" s="33"/>
      <c r="K189" s="33"/>
      <c r="L189" s="33"/>
      <c r="R189" s="422">
        <f>_xll.qlCalendarAdvance(Calendar,R188,"1D","f")</f>
        <v>42333</v>
      </c>
      <c r="S189" s="221">
        <f>_xll.qlCalendarAdvance(Calendar,R189,$F$1,"mf",,Trigger)</f>
        <v>42425</v>
      </c>
      <c r="T189" s="342">
        <f>_xll.qlDayCounterYearFraction(DayCounter,R189,S189,,,Trigger)</f>
        <v>0.25205479452054796</v>
      </c>
      <c r="U189" s="32">
        <f>_xll.qlInterpolationInterpolate(B3Minterpolation,R189,TRUE)</f>
        <v>1.6470611726669227E-3</v>
      </c>
      <c r="V189" s="345">
        <f>_xll.qlYieldTSDiscount(Discounting,R189,,AllTriggers)</f>
        <v>0.99651571817738083</v>
      </c>
      <c r="W189" s="345">
        <f>_xll.qlYieldTSDiscount(Discounting,S189,,AllTriggers)</f>
        <v>0.99495285786458254</v>
      </c>
      <c r="X189" s="32">
        <f t="shared" si="11"/>
        <v>6.231931860786224E-3</v>
      </c>
      <c r="Y189" s="452">
        <f t="shared" si="12"/>
        <v>4.1441269512012229E-4</v>
      </c>
      <c r="AD189" s="33"/>
      <c r="AE189" s="33"/>
    </row>
    <row r="190" spans="5:31" ht="11.25" customHeight="1" x14ac:dyDescent="0.2">
      <c r="E190" s="155"/>
      <c r="F190" s="155"/>
      <c r="G190" s="33"/>
      <c r="K190" s="33"/>
      <c r="L190" s="33"/>
      <c r="R190" s="422">
        <f>_xll.qlCalendarAdvance(Calendar,R189,"1D","f")</f>
        <v>42334</v>
      </c>
      <c r="S190" s="221">
        <f>_xll.qlCalendarAdvance(Calendar,R190,$F$1,"mf",,Trigger)</f>
        <v>42426</v>
      </c>
      <c r="T190" s="342">
        <f>_xll.qlDayCounterYearFraction(DayCounter,R190,S190,,,Trigger)</f>
        <v>0.25205479452054796</v>
      </c>
      <c r="U190" s="32">
        <f>_xll.qlInterpolationInterpolate(B3Minterpolation,R190,TRUE)</f>
        <v>1.6488008876303778E-3</v>
      </c>
      <c r="V190" s="345">
        <f>_xll.qlYieldTSDiscount(Discounting,R190,,AllTriggers)</f>
        <v>0.99649977143065949</v>
      </c>
      <c r="W190" s="345">
        <f>_xll.qlYieldTSDiscount(Discounting,S190,,AllTriggers)</f>
        <v>0.99493305488059336</v>
      </c>
      <c r="X190" s="32">
        <f t="shared" si="11"/>
        <v>6.2474330173461316E-3</v>
      </c>
      <c r="Y190" s="452">
        <f t="shared" si="12"/>
        <v>4.148487114126561E-4</v>
      </c>
      <c r="AD190" s="33"/>
      <c r="AE190" s="33"/>
    </row>
    <row r="191" spans="5:31" ht="11.25" customHeight="1" x14ac:dyDescent="0.2">
      <c r="E191" s="155"/>
      <c r="F191" s="155"/>
      <c r="G191" s="33"/>
      <c r="K191" s="33"/>
      <c r="L191" s="33"/>
      <c r="R191" s="422">
        <f>_xll.qlCalendarAdvance(Calendar,R190,"1D","f")</f>
        <v>42335</v>
      </c>
      <c r="S191" s="221">
        <f>_xll.qlCalendarAdvance(Calendar,R191,$F$1,"mf",,Trigger)</f>
        <v>42429</v>
      </c>
      <c r="T191" s="342">
        <f>_xll.qlDayCounterYearFraction(DayCounter,R191,S191,,,Trigger)</f>
        <v>0.25753424657534246</v>
      </c>
      <c r="U191" s="32">
        <f>_xll.qlInterpolationInterpolate(B3Minterpolation,R191,TRUE)</f>
        <v>1.6505165375804713E-3</v>
      </c>
      <c r="V191" s="345">
        <f>_xll.qlYieldTSDiscount(Discounting,R191,,AllTriggers)</f>
        <v>0.99648380712295459</v>
      </c>
      <c r="W191" s="345">
        <f>_xll.qlYieldTSDiscount(Discounting,S191,,AllTriggers)</f>
        <v>0.99487338507062528</v>
      </c>
      <c r="X191" s="32">
        <f t="shared" si="11"/>
        <v>6.2854576861071454E-3</v>
      </c>
      <c r="Y191" s="452">
        <f t="shared" si="12"/>
        <v>4.2428756152526988E-4</v>
      </c>
      <c r="AD191" s="33"/>
      <c r="AE191" s="33"/>
    </row>
    <row r="192" spans="5:31" ht="11.25" customHeight="1" x14ac:dyDescent="0.2">
      <c r="E192" s="155"/>
      <c r="F192" s="155"/>
      <c r="G192" s="33"/>
      <c r="K192" s="33"/>
      <c r="L192" s="33"/>
      <c r="R192" s="422">
        <f>_xll.qlCalendarAdvance(Calendar,R191,"1D","f")</f>
        <v>42338</v>
      </c>
      <c r="S192" s="221">
        <f>_xll.qlCalendarAdvance(Calendar,R192,$F$1,"mf",,Trigger)</f>
        <v>42429</v>
      </c>
      <c r="T192" s="342">
        <f>_xll.qlDayCounterYearFraction(DayCounter,R192,S192,,,Trigger)</f>
        <v>0.24931506849315069</v>
      </c>
      <c r="U192" s="32">
        <f>_xll.qlInterpolationInterpolate(B3Minterpolation,R192,TRUE)</f>
        <v>1.6555132210533353E-3</v>
      </c>
      <c r="V192" s="345">
        <f>_xll.qlYieldTSDiscount(Discounting,R192,,AllTriggers)</f>
        <v>0.99643584039393485</v>
      </c>
      <c r="W192" s="345">
        <f>_xll.qlYieldTSDiscount(Discounting,S192,,AllTriggers)</f>
        <v>0.99487338507062528</v>
      </c>
      <c r="X192" s="32">
        <f t="shared" si="11"/>
        <v>6.2992851412055437E-3</v>
      </c>
      <c r="Y192" s="452">
        <f t="shared" si="12"/>
        <v>4.1201230197019387E-4</v>
      </c>
      <c r="AD192" s="33"/>
      <c r="AE192" s="33"/>
    </row>
    <row r="193" spans="5:31" ht="11.25" customHeight="1" x14ac:dyDescent="0.2">
      <c r="E193" s="155"/>
      <c r="F193" s="155"/>
      <c r="G193" s="33"/>
      <c r="K193" s="33"/>
      <c r="L193" s="33"/>
      <c r="R193" s="422">
        <f>_xll.qlCalendarAdvance(Calendar,R192,"1D","f")</f>
        <v>42339</v>
      </c>
      <c r="S193" s="221">
        <f>_xll.qlCalendarAdvance(Calendar,R193,$F$1,"mf",,Trigger)</f>
        <v>42430</v>
      </c>
      <c r="T193" s="342">
        <f>_xll.qlDayCounterYearFraction(DayCounter,R193,S193,,,Trigger)</f>
        <v>0.24931506849315069</v>
      </c>
      <c r="U193" s="32">
        <f>_xll.qlInterpolationInterpolate(B3Minterpolation,R193,TRUE)</f>
        <v>1.6571267346527343E-3</v>
      </c>
      <c r="V193" s="345">
        <f>_xll.qlYieldTSDiscount(Discounting,R193,,AllTriggers)</f>
        <v>0.99641983740128215</v>
      </c>
      <c r="W193" s="345">
        <f>_xll.qlYieldTSDiscount(Discounting,S193,,AllTriggers)</f>
        <v>0.99485341800901161</v>
      </c>
      <c r="X193" s="32">
        <f t="shared" si="11"/>
        <v>6.315393660274937E-3</v>
      </c>
      <c r="Y193" s="452">
        <f t="shared" si="12"/>
        <v>4.1241212556442086E-4</v>
      </c>
      <c r="AD193" s="33"/>
      <c r="AE193" s="33"/>
    </row>
    <row r="194" spans="5:31" ht="11.25" customHeight="1" x14ac:dyDescent="0.2">
      <c r="E194" s="155"/>
      <c r="F194" s="155"/>
      <c r="G194" s="33"/>
      <c r="K194" s="33"/>
      <c r="L194" s="33"/>
      <c r="R194" s="422">
        <f>_xll.qlCalendarAdvance(Calendar,R193,"1D","f")</f>
        <v>42340</v>
      </c>
      <c r="S194" s="221">
        <f>_xll.qlCalendarAdvance(Calendar,R194,$F$1,"mf",,Trigger)</f>
        <v>42431</v>
      </c>
      <c r="T194" s="342">
        <f>_xll.qlDayCounterYearFraction(DayCounter,R194,S194,,,Trigger)</f>
        <v>0.24931506849315069</v>
      </c>
      <c r="U194" s="32">
        <f>_xll.qlInterpolationInterpolate(B3Minterpolation,R194,TRUE)</f>
        <v>1.6587132450901474E-3</v>
      </c>
      <c r="V194" s="345">
        <f>_xll.qlYieldTSDiscount(Discounting,R194,,AllTriggers)</f>
        <v>0.99640383262612842</v>
      </c>
      <c r="W194" s="345">
        <f>_xll.qlYieldTSDiscount(Discounting,S194,,AllTriggers)</f>
        <v>0.9948334172981953</v>
      </c>
      <c r="X194" s="32">
        <f t="shared" si="11"/>
        <v>6.3316315209186059E-3</v>
      </c>
      <c r="Y194" s="452">
        <f t="shared" si="12"/>
        <v>4.1280521359400877E-4</v>
      </c>
      <c r="AD194" s="33"/>
      <c r="AE194" s="33"/>
    </row>
    <row r="195" spans="5:31" ht="11.25" customHeight="1" x14ac:dyDescent="0.2">
      <c r="E195" s="155"/>
      <c r="F195" s="155"/>
      <c r="G195" s="33"/>
      <c r="K195" s="33"/>
      <c r="L195" s="33"/>
      <c r="R195" s="422">
        <f>_xll.qlCalendarAdvance(Calendar,R194,"1D","f")</f>
        <v>42341</v>
      </c>
      <c r="S195" s="221">
        <f>_xll.qlCalendarAdvance(Calendar,R195,$F$1,"mf",,Trigger)</f>
        <v>42432</v>
      </c>
      <c r="T195" s="342">
        <f>_xll.qlDayCounterYearFraction(DayCounter,R195,S195,,,Trigger)</f>
        <v>0.24931506849315069</v>
      </c>
      <c r="U195" s="32">
        <f>_xll.qlInterpolationInterpolate(B3Minterpolation,R195,TRUE)</f>
        <v>1.6602721647358497E-3</v>
      </c>
      <c r="V195" s="345">
        <f>_xll.qlYieldTSDiscount(Discounting,R195,,AllTriggers)</f>
        <v>0.99638782922356262</v>
      </c>
      <c r="W195" s="345">
        <f>_xll.qlYieldTSDiscount(Discounting,S195,,AllTriggers)</f>
        <v>0.99481338588579293</v>
      </c>
      <c r="X195" s="32">
        <f t="shared" si="11"/>
        <v>6.3479995502833146E-3</v>
      </c>
      <c r="Y195" s="452">
        <f t="shared" si="12"/>
        <v>4.1319141981260599E-4</v>
      </c>
      <c r="AD195" s="33"/>
      <c r="AE195" s="33"/>
    </row>
    <row r="196" spans="5:31" ht="11.25" customHeight="1" x14ac:dyDescent="0.2">
      <c r="E196" s="155"/>
      <c r="F196" s="155"/>
      <c r="G196" s="33"/>
      <c r="K196" s="33"/>
      <c r="L196" s="33"/>
      <c r="R196" s="422">
        <f>_xll.qlCalendarAdvance(Calendar,R195,"1D","f")</f>
        <v>42342</v>
      </c>
      <c r="S196" s="221">
        <f>_xll.qlCalendarAdvance(Calendar,R196,$F$1,"mf",,Trigger)</f>
        <v>42433</v>
      </c>
      <c r="T196" s="342">
        <f>_xll.qlDayCounterYearFraction(DayCounter,R196,S196,,,Trigger)</f>
        <v>0.24931506849315069</v>
      </c>
      <c r="U196" s="32">
        <f>_xll.qlInterpolationInterpolate(B3Minterpolation,R196,TRUE)</f>
        <v>1.6618029059601162E-3</v>
      </c>
      <c r="V196" s="345">
        <f>_xll.qlYieldTSDiscount(Discounting,R196,,AllTriggers)</f>
        <v>0.99637182973667515</v>
      </c>
      <c r="W196" s="345">
        <f>_xll.qlYieldTSDiscount(Discounting,S196,,AllTriggers)</f>
        <v>0.99479332619465477</v>
      </c>
      <c r="X196" s="32">
        <f t="shared" ref="X196:X259" si="13">(V196/W196-1)/T196</f>
        <v>6.3644982270542258E-3</v>
      </c>
      <c r="Y196" s="452">
        <f t="shared" ref="Y196:Y259" si="14">LN((1+(U196+X196)*T196)/(1+X196*T196))</f>
        <v>4.1357059801278836E-4</v>
      </c>
      <c r="AD196" s="33"/>
      <c r="AE196" s="33"/>
    </row>
    <row r="197" spans="5:31" ht="11.25" customHeight="1" x14ac:dyDescent="0.2">
      <c r="E197" s="155"/>
      <c r="F197" s="155"/>
      <c r="G197" s="33"/>
      <c r="K197" s="33"/>
      <c r="L197" s="33"/>
      <c r="R197" s="422">
        <f>_xll.qlCalendarAdvance(Calendar,R196,"1D","f")</f>
        <v>42345</v>
      </c>
      <c r="S197" s="221">
        <f>_xll.qlCalendarAdvance(Calendar,R197,$F$1,"mf",,Trigger)</f>
        <v>42436</v>
      </c>
      <c r="T197" s="342">
        <f>_xll.qlDayCounterYearFraction(DayCounter,R197,S197,,,Trigger)</f>
        <v>0.24931506849315069</v>
      </c>
      <c r="U197" s="32">
        <f>_xll.qlInterpolationInterpolate(B3Minterpolation,R197,TRUE)</f>
        <v>1.6662201828070518E-3</v>
      </c>
      <c r="V197" s="345">
        <f>_xll.qlYieldTSDiscount(Discounting,R197,,AllTriggers)</f>
        <v>0.99632385328080708</v>
      </c>
      <c r="W197" s="345">
        <f>_xll.qlYieldTSDiscount(Discounting,S197,,AllTriggers)</f>
        <v>0.99473297859641641</v>
      </c>
      <c r="X197" s="32">
        <f t="shared" si="13"/>
        <v>6.4147675951741704E-3</v>
      </c>
      <c r="Y197" s="452">
        <f t="shared" si="14"/>
        <v>4.1466450407079506E-4</v>
      </c>
      <c r="AD197" s="33"/>
      <c r="AE197" s="33"/>
    </row>
    <row r="198" spans="5:31" ht="11.25" customHeight="1" x14ac:dyDescent="0.2">
      <c r="E198" s="155"/>
      <c r="F198" s="155"/>
      <c r="G198" s="33"/>
      <c r="K198" s="33"/>
      <c r="L198" s="33"/>
      <c r="R198" s="422">
        <f>_xll.qlCalendarAdvance(Calendar,R197,"1D","f")</f>
        <v>42346</v>
      </c>
      <c r="S198" s="221">
        <f>_xll.qlCalendarAdvance(Calendar,R198,$F$1,"mf",,Trigger)</f>
        <v>42437</v>
      </c>
      <c r="T198" s="342">
        <f>_xll.qlDayCounterYearFraction(DayCounter,R198,S198,,,Trigger)</f>
        <v>0.24931506849315069</v>
      </c>
      <c r="U198" s="32">
        <f>_xll.qlInterpolationInterpolate(B3Minterpolation,R198,TRUE)</f>
        <v>1.6676323340483257E-3</v>
      </c>
      <c r="V198" s="345">
        <f>_xll.qlYieldTSDiscount(Discounting,R198,,AllTriggers)</f>
        <v>0.99630786674389127</v>
      </c>
      <c r="W198" s="345">
        <f>_xll.qlYieldTSDiscount(Discounting,S198,,AllTriggers)</f>
        <v>0.99471280588891287</v>
      </c>
      <c r="X198" s="32">
        <f t="shared" si="13"/>
        <v>6.431777617922279E-3</v>
      </c>
      <c r="Y198" s="452">
        <f t="shared" si="14"/>
        <v>4.1501410985832514E-4</v>
      </c>
      <c r="AD198" s="33"/>
      <c r="AE198" s="33"/>
    </row>
    <row r="199" spans="5:31" ht="11.25" customHeight="1" x14ac:dyDescent="0.2">
      <c r="E199" s="155"/>
      <c r="F199" s="155"/>
      <c r="G199" s="33"/>
      <c r="K199" s="33"/>
      <c r="L199" s="33"/>
      <c r="R199" s="422">
        <f>_xll.qlCalendarAdvance(Calendar,R198,"1D","f")</f>
        <v>42347</v>
      </c>
      <c r="S199" s="221">
        <f>_xll.qlCalendarAdvance(Calendar,R199,$F$1,"mf",,Trigger)</f>
        <v>42438</v>
      </c>
      <c r="T199" s="342">
        <f>_xll.qlDayCounterYearFraction(DayCounter,R199,S199,,,Trigger)</f>
        <v>0.24931506849315069</v>
      </c>
      <c r="U199" s="32">
        <f>_xll.qlInterpolationInterpolate(B3Minterpolation,R199,TRUE)</f>
        <v>1.6690133687195395E-3</v>
      </c>
      <c r="V199" s="345">
        <f>_xll.qlYieldTSDiscount(Discounting,R199,,AllTriggers)</f>
        <v>0.99629188215463305</v>
      </c>
      <c r="W199" s="345">
        <f>_xll.qlYieldTSDiscount(Discounting,S199,,AllTriggers)</f>
        <v>0.99469260442750296</v>
      </c>
      <c r="X199" s="32">
        <f t="shared" si="13"/>
        <v>6.448912317720378E-3</v>
      </c>
      <c r="Y199" s="452">
        <f t="shared" si="14"/>
        <v>4.1535595751478622E-4</v>
      </c>
      <c r="AD199" s="33"/>
      <c r="AE199" s="33"/>
    </row>
    <row r="200" spans="5:31" ht="11.25" customHeight="1" x14ac:dyDescent="0.2">
      <c r="E200" s="155"/>
      <c r="F200" s="155"/>
      <c r="G200" s="33"/>
      <c r="K200" s="33"/>
      <c r="L200" s="33"/>
      <c r="R200" s="422">
        <f>_xll.qlCalendarAdvance(Calendar,R199,"1D","f")</f>
        <v>42348</v>
      </c>
      <c r="S200" s="221">
        <f>_xll.qlCalendarAdvance(Calendar,R200,$F$1,"mf",,Trigger)</f>
        <v>42439</v>
      </c>
      <c r="T200" s="342">
        <f>_xll.qlDayCounterYearFraction(DayCounter,R200,S200,,,Trigger)</f>
        <v>0.24931506849315069</v>
      </c>
      <c r="U200" s="32">
        <f>_xll.qlInterpolationInterpolate(B3Minterpolation,R200,TRUE)</f>
        <v>1.670362699190968E-3</v>
      </c>
      <c r="V200" s="345">
        <f>_xll.qlYieldTSDiscount(Discounting,R200,,AllTriggers)</f>
        <v>0.9962758989971644</v>
      </c>
      <c r="W200" s="345">
        <f>_xll.qlYieldTSDiscount(Discounting,S200,,AllTriggers)</f>
        <v>0.99467237401229824</v>
      </c>
      <c r="X200" s="32">
        <f t="shared" si="13"/>
        <v>6.4661704307719513E-3</v>
      </c>
      <c r="Y200" s="452">
        <f t="shared" si="14"/>
        <v>4.1568990103857493E-4</v>
      </c>
      <c r="AD200" s="33"/>
      <c r="AE200" s="33"/>
    </row>
    <row r="201" spans="5:31" ht="11.25" customHeight="1" x14ac:dyDescent="0.2">
      <c r="E201" s="155"/>
      <c r="F201" s="155"/>
      <c r="G201" s="33"/>
      <c r="K201" s="33"/>
      <c r="L201" s="33"/>
      <c r="R201" s="422">
        <f>_xll.qlCalendarAdvance(Calendar,R200,"1D","f")</f>
        <v>42349</v>
      </c>
      <c r="S201" s="221">
        <f>_xll.qlCalendarAdvance(Calendar,R201,$F$1,"mf",,Trigger)</f>
        <v>42440</v>
      </c>
      <c r="T201" s="342">
        <f>_xll.qlDayCounterYearFraction(DayCounter,R201,S201,,,Trigger)</f>
        <v>0.24931506849315069</v>
      </c>
      <c r="U201" s="32">
        <f>_xll.qlInterpolationInterpolate(B3Minterpolation,R201,TRUE)</f>
        <v>1.6716797378328861E-3</v>
      </c>
      <c r="V201" s="345">
        <f>_xll.qlYieldTSDiscount(Discounting,R201,,AllTriggers)</f>
        <v>0.9962599167556504</v>
      </c>
      <c r="W201" s="345">
        <f>_xll.qlYieldTSDiscount(Discounting,S201,,AllTriggers)</f>
        <v>0.99465211444342905</v>
      </c>
      <c r="X201" s="32">
        <f t="shared" si="13"/>
        <v>6.4835506932706885E-3</v>
      </c>
      <c r="Y201" s="452">
        <f t="shared" si="14"/>
        <v>4.1601579443164899E-4</v>
      </c>
      <c r="AD201" s="33"/>
      <c r="AE201" s="33"/>
    </row>
    <row r="202" spans="5:31" ht="11.25" customHeight="1" x14ac:dyDescent="0.2">
      <c r="E202" s="155"/>
      <c r="F202" s="155"/>
      <c r="G202" s="33"/>
      <c r="K202" s="33"/>
      <c r="L202" s="33"/>
      <c r="R202" s="422">
        <f>_xll.qlCalendarAdvance(Calendar,R201,"1D","f")</f>
        <v>42352</v>
      </c>
      <c r="S202" s="221">
        <f>_xll.qlCalendarAdvance(Calendar,R202,$F$1,"mf",,Trigger)</f>
        <v>42443</v>
      </c>
      <c r="T202" s="342">
        <f>_xll.qlDayCounterYearFraction(DayCounter,R202,S202,,,Trigger)</f>
        <v>0.24931506849315069</v>
      </c>
      <c r="U202" s="32">
        <f>_xll.qlInterpolationInterpolate(B3Minterpolation,R202,TRUE)</f>
        <v>1.67543122648433E-3</v>
      </c>
      <c r="V202" s="345">
        <f>_xll.qlYieldTSDiscount(Discounting,R202,,AllTriggers)</f>
        <v>0.99621197036898534</v>
      </c>
      <c r="W202" s="345">
        <f>_xll.qlYieldTSDiscount(Discounting,S202,,AllTriggers)</f>
        <v>0.99459115881642535</v>
      </c>
      <c r="X202" s="32">
        <f t="shared" si="13"/>
        <v>6.5364117392104088E-3</v>
      </c>
      <c r="Y202" s="452">
        <f t="shared" si="14"/>
        <v>4.1694371391420181E-4</v>
      </c>
      <c r="AD202" s="33"/>
      <c r="AE202" s="33"/>
    </row>
    <row r="203" spans="5:31" ht="11.25" customHeight="1" x14ac:dyDescent="0.2">
      <c r="E203" s="155"/>
      <c r="F203" s="155"/>
      <c r="G203" s="33"/>
      <c r="K203" s="33"/>
      <c r="L203" s="33"/>
      <c r="R203" s="422">
        <f>_xll.qlCalendarAdvance(Calendar,R202,"1D","f")</f>
        <v>42353</v>
      </c>
      <c r="S203" s="221">
        <f>_xll.qlCalendarAdvance(Calendar,R203,$F$1,"mf",,Trigger)</f>
        <v>42444</v>
      </c>
      <c r="T203" s="342">
        <f>_xll.qlDayCounterYearFraction(DayCounter,R203,S203,,,Trigger)</f>
        <v>0.24931506849315069</v>
      </c>
      <c r="U203" s="32">
        <f>_xll.qlInterpolationInterpolate(B3Minterpolation,R203,TRUE)</f>
        <v>1.676613221510958E-3</v>
      </c>
      <c r="V203" s="345">
        <f>_xll.qlYieldTSDiscount(Discounting,R203,,AllTriggers)</f>
        <v>0.9961959866336042</v>
      </c>
      <c r="W203" s="345">
        <f>_xll.qlYieldTSDiscount(Discounting,S203,,AllTriggers)</f>
        <v>0.99457078063458415</v>
      </c>
      <c r="X203" s="32">
        <f t="shared" si="13"/>
        <v>6.5542679612040026E-3</v>
      </c>
      <c r="Y203" s="452">
        <f t="shared" si="14"/>
        <v>4.172359468941144E-4</v>
      </c>
      <c r="AD203" s="33"/>
      <c r="AE203" s="33"/>
    </row>
    <row r="204" spans="5:31" ht="11.25" customHeight="1" x14ac:dyDescent="0.2">
      <c r="E204" s="155"/>
      <c r="F204" s="155"/>
      <c r="G204" s="33"/>
      <c r="K204" s="33"/>
      <c r="L204" s="33"/>
      <c r="R204" s="422">
        <f>_xll.qlCalendarAdvance(Calendar,R203,"1D","f")</f>
        <v>42354</v>
      </c>
      <c r="S204" s="221">
        <f>_xll.qlCalendarAdvance(Calendar,R204,$F$1,"mf",,Trigger)</f>
        <v>42445</v>
      </c>
      <c r="T204" s="342">
        <f>_xll.qlDayCounterYearFraction(DayCounter,R204,S204,,,Trigger)</f>
        <v>0.24931506849315069</v>
      </c>
      <c r="U204" s="32">
        <f>_xll.qlInterpolationInterpolate(B3Minterpolation,R204,TRUE)</f>
        <v>1.6777599865594513E-3</v>
      </c>
      <c r="V204" s="345">
        <f>_xll.qlYieldTSDiscount(Discounting,R204,,AllTriggers)</f>
        <v>0.9961800012355001</v>
      </c>
      <c r="W204" s="345">
        <f>_xll.qlYieldTSDiscount(Discounting,S204,,AllTriggers)</f>
        <v>0.99455037230001708</v>
      </c>
      <c r="X204" s="32">
        <f t="shared" si="13"/>
        <v>6.5722400134404172E-3</v>
      </c>
      <c r="Y204" s="452">
        <f t="shared" si="14"/>
        <v>4.1751939982052937E-4</v>
      </c>
      <c r="AD204" s="33"/>
      <c r="AE204" s="33"/>
    </row>
    <row r="205" spans="5:31" ht="11.25" customHeight="1" x14ac:dyDescent="0.2">
      <c r="E205" s="155"/>
      <c r="F205" s="155"/>
      <c r="G205" s="33"/>
      <c r="K205" s="33"/>
      <c r="L205" s="33"/>
      <c r="R205" s="422">
        <f>_xll.qlCalendarAdvance(Calendar,R204,"1D","f")</f>
        <v>42355</v>
      </c>
      <c r="S205" s="221">
        <f>_xll.qlCalendarAdvance(Calendar,R205,$F$1,"mf",,Trigger)</f>
        <v>42446</v>
      </c>
      <c r="T205" s="342">
        <f>_xll.qlDayCounterYearFraction(DayCounter,R205,S205,,,Trigger)</f>
        <v>0.24931506849315069</v>
      </c>
      <c r="U205" s="32">
        <f>_xll.qlInterpolationInterpolate(B3Minterpolation,R205,TRUE)</f>
        <v>1.6788711520901224E-3</v>
      </c>
      <c r="V205" s="345">
        <f>_xll.qlYieldTSDiscount(Discounting,R205,,AllTriggers)</f>
        <v>0.99616401365903695</v>
      </c>
      <c r="W205" s="345">
        <f>_xll.qlYieldTSDiscount(Discounting,S205,,AllTriggers)</f>
        <v>0.99452993361296937</v>
      </c>
      <c r="X205" s="32">
        <f t="shared" si="13"/>
        <v>6.590326632042981E-3</v>
      </c>
      <c r="Y205" s="452">
        <f t="shared" si="14"/>
        <v>4.1779398098308184E-4</v>
      </c>
      <c r="AD205" s="33"/>
      <c r="AE205" s="33"/>
    </row>
    <row r="206" spans="5:31" ht="11.25" customHeight="1" x14ac:dyDescent="0.2">
      <c r="E206" s="155"/>
      <c r="F206" s="155"/>
      <c r="G206" s="33"/>
      <c r="K206" s="33"/>
      <c r="L206" s="33"/>
      <c r="R206" s="422">
        <f>_xll.qlCalendarAdvance(Calendar,R205,"1D","f")</f>
        <v>42356</v>
      </c>
      <c r="S206" s="221">
        <f>_xll.qlCalendarAdvance(Calendar,R206,$F$1,"mf",,Trigger)</f>
        <v>42447</v>
      </c>
      <c r="T206" s="342">
        <f>_xll.qlDayCounterYearFraction(DayCounter,R206,S206,,,Trigger)</f>
        <v>0.24931506849315069</v>
      </c>
      <c r="U206" s="32">
        <f>_xll.qlInterpolationInterpolate(B3Minterpolation,R206,TRUE)</f>
        <v>1.6799472209234338E-3</v>
      </c>
      <c r="V206" s="345">
        <f>_xll.qlYieldTSDiscount(Discounting,R206,,AllTriggers)</f>
        <v>0.99614802338861175</v>
      </c>
      <c r="W206" s="345">
        <f>_xll.qlYieldTSDiscount(Discounting,S206,,AllTriggers)</f>
        <v>0.99450946437370547</v>
      </c>
      <c r="X206" s="32">
        <f t="shared" si="13"/>
        <v>6.6085265531234463E-3</v>
      </c>
      <c r="Y206" s="452">
        <f t="shared" si="14"/>
        <v>4.180598157190447E-4</v>
      </c>
      <c r="AD206" s="33"/>
      <c r="AE206" s="33"/>
    </row>
    <row r="207" spans="5:31" ht="11.25" customHeight="1" x14ac:dyDescent="0.2">
      <c r="E207" s="155"/>
      <c r="F207" s="155"/>
      <c r="G207" s="33"/>
      <c r="K207" s="33"/>
      <c r="L207" s="33"/>
      <c r="R207" s="422">
        <f>_xll.qlCalendarAdvance(Calendar,R206,"1D","f")</f>
        <v>42359</v>
      </c>
      <c r="S207" s="221">
        <f>_xll.qlCalendarAdvance(Calendar,R207,$F$1,"mf",,Trigger)</f>
        <v>42450</v>
      </c>
      <c r="T207" s="342">
        <f>_xll.qlDayCounterYearFraction(DayCounter,R207,S207,,,Trigger)</f>
        <v>0.24931506849315069</v>
      </c>
      <c r="U207" s="32">
        <f>_xll.qlInterpolationInterpolate(B3Minterpolation,R207,TRUE)</f>
        <v>1.6829720563442153E-3</v>
      </c>
      <c r="V207" s="345">
        <f>_xll.qlYieldTSDiscount(Discounting,R207,,AllTriggers)</f>
        <v>0.99610003125802882</v>
      </c>
      <c r="W207" s="345">
        <f>_xll.qlYieldTSDiscount(Discounting,S207,,AllTriggers)</f>
        <v>0.99444787134555535</v>
      </c>
      <c r="X207" s="32">
        <f t="shared" si="13"/>
        <v>6.6637934921226433E-3</v>
      </c>
      <c r="Y207" s="452">
        <f t="shared" si="14"/>
        <v>4.1880663733143115E-4</v>
      </c>
      <c r="AD207" s="33"/>
      <c r="AE207" s="33"/>
    </row>
    <row r="208" spans="5:31" ht="11.25" customHeight="1" x14ac:dyDescent="0.2">
      <c r="E208" s="155"/>
      <c r="F208" s="155"/>
      <c r="G208" s="33"/>
      <c r="K208" s="33"/>
      <c r="L208" s="33"/>
      <c r="R208" s="422">
        <f>_xll.qlCalendarAdvance(Calendar,R207,"1D","f")</f>
        <v>42360</v>
      </c>
      <c r="S208" s="221">
        <f>_xll.qlCalendarAdvance(Calendar,R208,$F$1,"mf",,Trigger)</f>
        <v>42451</v>
      </c>
      <c r="T208" s="342">
        <f>_xll.qlDayCounterYearFraction(DayCounter,R208,S208,,,Trigger)</f>
        <v>0.24931506849315069</v>
      </c>
      <c r="U208" s="32">
        <f>_xll.qlInterpolationInterpolate(B3Minterpolation,R208,TRUE)</f>
        <v>1.6839149474930926E-3</v>
      </c>
      <c r="V208" s="345">
        <f>_xll.qlYieldTSDiscount(Discounting,R208,,AllTriggers)</f>
        <v>0.99608402505638682</v>
      </c>
      <c r="W208" s="345">
        <f>_xll.qlYieldTSDiscount(Discounting,S208,,AllTriggers)</f>
        <v>0.99442727790046248</v>
      </c>
      <c r="X208" s="32">
        <f t="shared" si="13"/>
        <v>6.6824339839409849E-3</v>
      </c>
      <c r="Y208" s="452">
        <f t="shared" si="14"/>
        <v>4.1903928231465723E-4</v>
      </c>
      <c r="AD208" s="33"/>
      <c r="AE208" s="33"/>
    </row>
    <row r="209" spans="5:31" ht="11.25" customHeight="1" x14ac:dyDescent="0.2">
      <c r="E209" s="155"/>
      <c r="F209" s="155"/>
      <c r="G209" s="33"/>
      <c r="K209" s="33"/>
      <c r="L209" s="33"/>
      <c r="R209" s="422">
        <f>_xll.qlCalendarAdvance(Calendar,R208,"1D","f")</f>
        <v>42361</v>
      </c>
      <c r="S209" s="221">
        <f>_xll.qlCalendarAdvance(Calendar,R209,$F$1,"mf",,Trigger)</f>
        <v>42452</v>
      </c>
      <c r="T209" s="342">
        <f>_xll.qlDayCounterYearFraction(DayCounter,R209,S209,,,Trigger)</f>
        <v>0.24931506849315069</v>
      </c>
      <c r="U209" s="32">
        <f>_xll.qlInterpolationInterpolate(B3Minterpolation,R209,TRUE)</f>
        <v>1.6848263464971118E-3</v>
      </c>
      <c r="V209" s="345">
        <f>_xll.qlYieldTSDiscount(Discounting,R209,,AllTriggers)</f>
        <v>0.99606801358326436</v>
      </c>
      <c r="W209" s="345">
        <f>_xll.qlYieldTSDiscount(Discounting,S209,,AllTriggers)</f>
        <v>0.99440665290476904</v>
      </c>
      <c r="X209" s="32">
        <f t="shared" si="13"/>
        <v>6.7011814585795611E-3</v>
      </c>
      <c r="Y209" s="452">
        <f t="shared" si="14"/>
        <v>4.1926407883818666E-4</v>
      </c>
      <c r="AD209" s="33"/>
      <c r="AE209" s="33"/>
    </row>
    <row r="210" spans="5:31" ht="11.25" customHeight="1" x14ac:dyDescent="0.2">
      <c r="E210" s="155"/>
      <c r="F210" s="155"/>
      <c r="G210" s="33"/>
      <c r="K210" s="33"/>
      <c r="L210" s="33"/>
      <c r="R210" s="422">
        <f>_xll.qlCalendarAdvance(Calendar,R209,"1D","f")</f>
        <v>42362</v>
      </c>
      <c r="S210" s="221">
        <f>_xll.qlCalendarAdvance(Calendar,R210,$F$1,"mf",,Trigger)</f>
        <v>42453</v>
      </c>
      <c r="T210" s="342">
        <f>_xll.qlDayCounterYearFraction(DayCounter,R210,S210,,,Trigger)</f>
        <v>0.24931506849315069</v>
      </c>
      <c r="U210" s="32">
        <f>_xll.qlInterpolationInterpolate(B3Minterpolation,R210,TRUE)</f>
        <v>1.6857069742667737E-3</v>
      </c>
      <c r="V210" s="345">
        <f>_xll.qlYieldTSDiscount(Discounting,R210,,AllTriggers)</f>
        <v>0.99605199632325769</v>
      </c>
      <c r="W210" s="345">
        <f>_xll.qlYieldTSDiscount(Discounting,S210,,AllTriggers)</f>
        <v>0.99438599615885681</v>
      </c>
      <c r="X210" s="32">
        <f t="shared" si="13"/>
        <v>6.720034652067294E-3</v>
      </c>
      <c r="Y210" s="452">
        <f t="shared" si="14"/>
        <v>4.1948120648892137E-4</v>
      </c>
      <c r="AD210" s="33"/>
      <c r="AE210" s="33"/>
    </row>
    <row r="211" spans="5:31" ht="11.25" customHeight="1" x14ac:dyDescent="0.2">
      <c r="E211" s="155"/>
      <c r="F211" s="155"/>
      <c r="G211" s="33"/>
      <c r="K211" s="33"/>
      <c r="L211" s="33"/>
      <c r="R211" s="422">
        <f>_xll.qlCalendarAdvance(Calendar,R210,"1D","f")</f>
        <v>42367</v>
      </c>
      <c r="S211" s="221">
        <f>_xll.qlCalendarAdvance(Calendar,R211,$F$1,"mf",,Trigger)</f>
        <v>42458</v>
      </c>
      <c r="T211" s="342">
        <f>_xll.qlDayCounterYearFraction(DayCounter,R211,S211,,,Trigger)</f>
        <v>0.24931506849315069</v>
      </c>
      <c r="U211" s="32">
        <f>_xll.qlInterpolationInterpolate(B3Minterpolation,R211,TRUE)</f>
        <v>1.6896737764672332E-3</v>
      </c>
      <c r="V211" s="345">
        <f>_xll.qlYieldTSDiscount(Discounting,R211,,AllTriggers)</f>
        <v>0.99597180518314898</v>
      </c>
      <c r="W211" s="345">
        <f>_xll.qlYieldTSDiscount(Discounting,S211,,AllTriggers)</f>
        <v>0.99428222919077303</v>
      </c>
      <c r="X211" s="32">
        <f t="shared" si="13"/>
        <v>6.8158421620052026E-3</v>
      </c>
      <c r="Y211" s="452">
        <f t="shared" si="14"/>
        <v>4.2045809704368767E-4</v>
      </c>
      <c r="AD211" s="33"/>
      <c r="AE211" s="33"/>
    </row>
    <row r="212" spans="5:31" ht="11.25" customHeight="1" x14ac:dyDescent="0.2">
      <c r="E212" s="155"/>
      <c r="F212" s="155"/>
      <c r="G212" s="33"/>
      <c r="K212" s="33"/>
      <c r="L212" s="33"/>
      <c r="R212" s="422">
        <f>_xll.qlCalendarAdvance(Calendar,R211,"1D","f")</f>
        <v>42368</v>
      </c>
      <c r="S212" s="221">
        <f>_xll.qlCalendarAdvance(Calendar,R212,$F$1,"mf",,Trigger)</f>
        <v>42459</v>
      </c>
      <c r="T212" s="342">
        <f>_xll.qlDayCounterYearFraction(DayCounter,R212,S212,,,Trigger)</f>
        <v>0.24931506849315069</v>
      </c>
      <c r="U212" s="32">
        <f>_xll.qlInterpolationInterpolate(B3Minterpolation,R212,TRUE)</f>
        <v>1.6903849159512574E-3</v>
      </c>
      <c r="V212" s="345">
        <f>_xll.qlYieldTSDiscount(Discounting,R212,,AllTriggers)</f>
        <v>0.995955742380217</v>
      </c>
      <c r="W212" s="345">
        <f>_xll.qlYieldTSDiscount(Discounting,S212,,AllTriggers)</f>
        <v>0.99426137775268242</v>
      </c>
      <c r="X212" s="32">
        <f t="shared" si="13"/>
        <v>6.8353031242253835E-3</v>
      </c>
      <c r="Y212" s="452">
        <f t="shared" si="14"/>
        <v>4.2063298266022098E-4</v>
      </c>
      <c r="AD212" s="33"/>
      <c r="AE212" s="33"/>
    </row>
    <row r="213" spans="5:31" ht="11.25" customHeight="1" x14ac:dyDescent="0.2">
      <c r="E213" s="155"/>
      <c r="F213" s="155"/>
      <c r="G213" s="33"/>
      <c r="K213" s="33"/>
      <c r="L213" s="33"/>
      <c r="R213" s="422">
        <f>_xll.qlCalendarAdvance(Calendar,R212,"1D","f")</f>
        <v>42369</v>
      </c>
      <c r="S213" s="221">
        <f>_xll.qlCalendarAdvance(Calendar,R213,$F$1,"mf",,Trigger)</f>
        <v>42460</v>
      </c>
      <c r="T213" s="342">
        <f>_xll.qlDayCounterYearFraction(DayCounter,R213,S213,,,Trigger)</f>
        <v>0.24931506849315069</v>
      </c>
      <c r="U213" s="32">
        <f>_xll.qlInterpolationInterpolate(B3Minterpolation,R213,TRUE)</f>
        <v>1.6910703305744264E-3</v>
      </c>
      <c r="V213" s="345">
        <f>_xll.qlYieldTSDiscount(Discounting,R213,,AllTriggers)</f>
        <v>0.99593967018350604</v>
      </c>
      <c r="W213" s="345">
        <f>_xll.qlYieldTSDiscount(Discounting,S213,,AllTriggers)</f>
        <v>0.99424049316760443</v>
      </c>
      <c r="X213" s="32">
        <f t="shared" si="13"/>
        <v>6.8548609570233746E-3</v>
      </c>
      <c r="Y213" s="452">
        <f t="shared" si="14"/>
        <v>4.2080145644902782E-4</v>
      </c>
      <c r="AD213" s="33"/>
      <c r="AE213" s="33"/>
    </row>
    <row r="214" spans="5:31" ht="11.25" customHeight="1" x14ac:dyDescent="0.2">
      <c r="E214" s="155"/>
      <c r="F214" s="155"/>
      <c r="G214" s="33"/>
      <c r="K214" s="33"/>
      <c r="L214" s="33"/>
      <c r="R214" s="422">
        <f>_xll.qlCalendarAdvance(Calendar,R213,"1D","f")</f>
        <v>42373</v>
      </c>
      <c r="S214" s="221">
        <f>_xll.qlCalendarAdvance(Calendar,R214,$F$1,"mf",,Trigger)</f>
        <v>42464</v>
      </c>
      <c r="T214" s="342">
        <f>_xll.qlDayCounterYearFraction(DayCounter,R214,S214,,,Trigger)</f>
        <v>0.24931506849315069</v>
      </c>
      <c r="U214" s="32">
        <f>_xll.qlInterpolationInterpolate(B3Minterpolation,R214,TRUE)</f>
        <v>1.6935691586685577E-3</v>
      </c>
      <c r="V214" s="345">
        <f>_xll.qlYieldTSDiscount(Discounting,R214,,AllTriggers)</f>
        <v>0.99587527715663748</v>
      </c>
      <c r="W214" s="345">
        <f>_xll.qlYieldTSDiscount(Discounting,S214,,AllTriggers)</f>
        <v>0.99415661936856381</v>
      </c>
      <c r="X214" s="32">
        <f t="shared" si="13"/>
        <v>6.9340357115892318E-3</v>
      </c>
      <c r="Y214" s="452">
        <f t="shared" si="14"/>
        <v>4.2141482464365073E-4</v>
      </c>
      <c r="AD214" s="33"/>
      <c r="AE214" s="33"/>
    </row>
    <row r="215" spans="5:31" ht="11.25" customHeight="1" x14ac:dyDescent="0.2">
      <c r="E215" s="155"/>
      <c r="F215" s="155"/>
      <c r="G215" s="33"/>
      <c r="K215" s="33"/>
      <c r="L215" s="33"/>
      <c r="R215" s="422">
        <f>_xll.qlCalendarAdvance(Calendar,R214,"1D","f")</f>
        <v>42374</v>
      </c>
      <c r="S215" s="221">
        <f>_xll.qlCalendarAdvance(Calendar,R215,$F$1,"mf",,Trigger)</f>
        <v>42465</v>
      </c>
      <c r="T215" s="342">
        <f>_xll.qlDayCounterYearFraction(DayCounter,R215,S215,,,Trigger)</f>
        <v>0.24931506849315069</v>
      </c>
      <c r="U215" s="32">
        <f>_xll.qlInterpolationInterpolate(B3Minterpolation,R215,TRUE)</f>
        <v>1.6941367626449558E-3</v>
      </c>
      <c r="V215" s="345">
        <f>_xll.qlYieldTSDiscount(Discounting,R215,,AllTriggers)</f>
        <v>0.99585914978686052</v>
      </c>
      <c r="W215" s="345">
        <f>_xll.qlYieldTSDiscount(Discounting,S215,,AllTriggers)</f>
        <v>0.99413556605708631</v>
      </c>
      <c r="X215" s="32">
        <f t="shared" si="13"/>
        <v>6.9540570076000738E-3</v>
      </c>
      <c r="Y215" s="452">
        <f t="shared" si="14"/>
        <v>4.2155393296059845E-4</v>
      </c>
      <c r="AD215" s="33"/>
      <c r="AE215" s="33"/>
    </row>
    <row r="216" spans="5:31" ht="11.25" customHeight="1" x14ac:dyDescent="0.2">
      <c r="E216" s="155"/>
      <c r="F216" s="155"/>
      <c r="G216" s="33"/>
      <c r="K216" s="33"/>
      <c r="L216" s="33"/>
      <c r="R216" s="422">
        <f>_xll.qlCalendarAdvance(Calendar,R215,"1D","f")</f>
        <v>42375</v>
      </c>
      <c r="S216" s="221">
        <f>_xll.qlCalendarAdvance(Calendar,R216,$F$1,"mf",,Trigger)</f>
        <v>42466</v>
      </c>
      <c r="T216" s="342">
        <f>_xll.qlDayCounterYearFraction(DayCounter,R216,S216,,,Trigger)</f>
        <v>0.24931506849315069</v>
      </c>
      <c r="U216" s="32">
        <f>_xll.qlInterpolationInterpolate(B3Minterpolation,R216,TRUE)</f>
        <v>1.694682967223501E-3</v>
      </c>
      <c r="V216" s="345">
        <f>_xll.qlYieldTSDiscount(Discounting,R216,,AllTriggers)</f>
        <v>0.99584300706631068</v>
      </c>
      <c r="W216" s="345">
        <f>_xll.qlYieldTSDiscount(Discounting,S216,,AllTriggers)</f>
        <v>0.99411447840217948</v>
      </c>
      <c r="X216" s="32">
        <f t="shared" si="13"/>
        <v>6.9741560229089339E-3</v>
      </c>
      <c r="Y216" s="452">
        <f t="shared" si="14"/>
        <v>4.2168770803024692E-4</v>
      </c>
      <c r="AD216" s="33"/>
      <c r="AE216" s="33"/>
    </row>
    <row r="217" spans="5:31" ht="11.25" customHeight="1" x14ac:dyDescent="0.2">
      <c r="E217" s="155"/>
      <c r="F217" s="155"/>
      <c r="G217" s="33"/>
      <c r="K217" s="33"/>
      <c r="L217" s="33"/>
      <c r="R217" s="422">
        <f>_xll.qlCalendarAdvance(Calendar,R216,"1D","f")</f>
        <v>42376</v>
      </c>
      <c r="S217" s="221">
        <f>_xll.qlCalendarAdvance(Calendar,R217,$F$1,"mf",,Trigger)</f>
        <v>42467</v>
      </c>
      <c r="T217" s="342">
        <f>_xll.qlDayCounterYearFraction(DayCounter,R217,S217,,,Trigger)</f>
        <v>0.24931506849315069</v>
      </c>
      <c r="U217" s="32">
        <f>_xll.qlInterpolationInterpolate(B3Minterpolation,R217,TRUE)</f>
        <v>1.6952084933146933E-3</v>
      </c>
      <c r="V217" s="345">
        <f>_xll.qlYieldTSDiscount(Discounting,R217,,AllTriggers)</f>
        <v>0.99582684561354695</v>
      </c>
      <c r="W217" s="345">
        <f>_xll.qlYieldTSDiscount(Discounting,S217,,AllTriggers)</f>
        <v>0.99409335620450834</v>
      </c>
      <c r="X217" s="32">
        <f t="shared" si="13"/>
        <v>6.9943199267183979E-3</v>
      </c>
      <c r="Y217" s="452">
        <f t="shared" si="14"/>
        <v>4.2181633061936889E-4</v>
      </c>
      <c r="AD217" s="33"/>
      <c r="AE217" s="33"/>
    </row>
    <row r="218" spans="5:31" ht="11.25" customHeight="1" x14ac:dyDescent="0.2">
      <c r="E218" s="155"/>
      <c r="F218" s="155"/>
      <c r="G218" s="33"/>
      <c r="K218" s="33"/>
      <c r="L218" s="33"/>
      <c r="R218" s="422">
        <f>_xll.qlCalendarAdvance(Calendar,R217,"1D","f")</f>
        <v>42377</v>
      </c>
      <c r="S218" s="221">
        <f>_xll.qlCalendarAdvance(Calendar,R218,$F$1,"mf",,Trigger)</f>
        <v>42468</v>
      </c>
      <c r="T218" s="342">
        <f>_xll.qlDayCounterYearFraction(DayCounter,R218,S218,,,Trigger)</f>
        <v>0.24931506849315069</v>
      </c>
      <c r="U218" s="32">
        <f>_xll.qlInterpolationInterpolate(B3Minterpolation,R218,TRUE)</f>
        <v>1.6957140618290331E-3</v>
      </c>
      <c r="V218" s="345">
        <f>_xll.qlYieldTSDiscount(Discounting,R218,,AllTriggers)</f>
        <v>0.99581066204734847</v>
      </c>
      <c r="W218" s="345">
        <f>_xll.qlYieldTSDiscount(Discounting,S218,,AllTriggers)</f>
        <v>0.99407219926475832</v>
      </c>
      <c r="X218" s="32">
        <f t="shared" si="13"/>
        <v>7.0145358879763363E-3</v>
      </c>
      <c r="Y218" s="452">
        <f t="shared" si="14"/>
        <v>4.219399814927867E-4</v>
      </c>
      <c r="AD218" s="33"/>
      <c r="AE218" s="33"/>
    </row>
    <row r="219" spans="5:31" ht="11.25" customHeight="1" x14ac:dyDescent="0.2">
      <c r="E219" s="155"/>
      <c r="F219" s="155"/>
      <c r="G219" s="33"/>
      <c r="K219" s="33"/>
      <c r="L219" s="33"/>
      <c r="R219" s="422">
        <f>_xll.qlCalendarAdvance(Calendar,R218,"1D","f")</f>
        <v>42380</v>
      </c>
      <c r="S219" s="221">
        <f>_xll.qlCalendarAdvance(Calendar,R219,$F$1,"mf",,Trigger)</f>
        <v>42471</v>
      </c>
      <c r="T219" s="342">
        <f>_xll.qlDayCounterYearFraction(DayCounter,R219,S219,,,Trigger)</f>
        <v>0.24931506849315069</v>
      </c>
      <c r="U219" s="32">
        <f>_xll.qlInterpolationInterpolate(B3Minterpolation,R219,TRUE)</f>
        <v>1.6971182310159406E-3</v>
      </c>
      <c r="V219" s="345">
        <f>_xll.qlYieldTSDiscount(Discounting,R219,,AllTriggers)</f>
        <v>0.9957619448592604</v>
      </c>
      <c r="W219" s="345">
        <f>_xll.qlYieldTSDiscount(Discounting,S219,,AllTriggers)</f>
        <v>0.99400851800020351</v>
      </c>
      <c r="X219" s="32">
        <f t="shared" si="13"/>
        <v>7.0753678020784531E-3</v>
      </c>
      <c r="Y219" s="452">
        <f t="shared" si="14"/>
        <v>4.2228291143820015E-4</v>
      </c>
      <c r="AD219" s="33"/>
      <c r="AE219" s="33"/>
    </row>
    <row r="220" spans="5:31" ht="11.25" customHeight="1" x14ac:dyDescent="0.2">
      <c r="E220" s="155"/>
      <c r="F220" s="155"/>
      <c r="G220" s="33"/>
      <c r="K220" s="33"/>
      <c r="L220" s="33"/>
      <c r="R220" s="422">
        <f>_xll.qlCalendarAdvance(Calendar,R219,"1D","f")</f>
        <v>42381</v>
      </c>
      <c r="S220" s="221">
        <f>_xll.qlCalendarAdvance(Calendar,R220,$F$1,"mf",,Trigger)</f>
        <v>42472</v>
      </c>
      <c r="T220" s="342">
        <f>_xll.qlDayCounterYearFraction(DayCounter,R220,S220,,,Trigger)</f>
        <v>0.24931506849315069</v>
      </c>
      <c r="U220" s="32">
        <f>_xll.qlInterpolationInterpolate(B3Minterpolation,R220,TRUE)</f>
        <v>1.6975511783278736E-3</v>
      </c>
      <c r="V220" s="345">
        <f>_xll.qlYieldTSDiscount(Discounting,R220,,AllTriggers)</f>
        <v>0.99574563903155255</v>
      </c>
      <c r="W220" s="345">
        <f>_xll.qlYieldTSDiscount(Discounting,S220,,AllTriggers)</f>
        <v>0.99398722009941098</v>
      </c>
      <c r="X220" s="32">
        <f t="shared" si="13"/>
        <v>7.0956636774763488E-3</v>
      </c>
      <c r="Y220" s="452">
        <f t="shared" si="14"/>
        <v>4.2238848305833692E-4</v>
      </c>
      <c r="AD220" s="33"/>
      <c r="AE220" s="33"/>
    </row>
    <row r="221" spans="5:31" ht="11.25" customHeight="1" x14ac:dyDescent="0.2">
      <c r="E221" s="155"/>
      <c r="F221" s="155"/>
      <c r="G221" s="33"/>
      <c r="K221" s="33"/>
      <c r="L221" s="33"/>
      <c r="R221" s="422">
        <f>_xll.qlCalendarAdvance(Calendar,R220,"1D","f")</f>
        <v>42382</v>
      </c>
      <c r="S221" s="221">
        <f>_xll.qlCalendarAdvance(Calendar,R221,$F$1,"mf",,Trigger)</f>
        <v>42473</v>
      </c>
      <c r="T221" s="342">
        <f>_xll.qlDayCounterYearFraction(DayCounter,R221,S221,,,Trigger)</f>
        <v>0.24931506849315069</v>
      </c>
      <c r="U221" s="32">
        <f>_xll.qlInterpolationInterpolate(B3Minterpolation,R221,TRUE)</f>
        <v>1.6979677726154557E-3</v>
      </c>
      <c r="V221" s="345">
        <f>_xll.qlYieldTSDiscount(Discounting,R221,,AllTriggers)</f>
        <v>0.99572929418764211</v>
      </c>
      <c r="W221" s="345">
        <f>_xll.qlYieldTSDiscount(Discounting,S221,,AllTriggers)</f>
        <v>0.99396588646028083</v>
      </c>
      <c r="X221" s="32">
        <f t="shared" si="13"/>
        <v>7.1159474512021252E-3</v>
      </c>
      <c r="Y221" s="452">
        <f t="shared" si="14"/>
        <v>4.2248998675749479E-4</v>
      </c>
      <c r="AD221" s="33"/>
      <c r="AE221" s="33"/>
    </row>
    <row r="222" spans="5:31" ht="11.25" customHeight="1" x14ac:dyDescent="0.2">
      <c r="E222" s="155"/>
      <c r="F222" s="155"/>
      <c r="G222" s="33"/>
      <c r="K222" s="33"/>
      <c r="L222" s="33"/>
      <c r="R222" s="422">
        <f>_xll.qlCalendarAdvance(Calendar,R221,"1D","f")</f>
        <v>42383</v>
      </c>
      <c r="S222" s="221">
        <f>_xll.qlCalendarAdvance(Calendar,R222,$F$1,"mf",,Trigger)</f>
        <v>42474</v>
      </c>
      <c r="T222" s="342">
        <f>_xll.qlDayCounterYearFraction(DayCounter,R222,S222,,,Trigger)</f>
        <v>0.24931506849315069</v>
      </c>
      <c r="U222" s="32">
        <f>_xll.qlInterpolationInterpolate(B3Minterpolation,R222,TRUE)</f>
        <v>1.6983687347891874E-3</v>
      </c>
      <c r="V222" s="345">
        <f>_xll.qlYieldTSDiscount(Discounting,R222,,AllTriggers)</f>
        <v>0.99571290694765002</v>
      </c>
      <c r="W222" s="345">
        <f>_xll.qlYieldTSDiscount(Discounting,S222,,AllTriggers)</f>
        <v>0.99394451688362428</v>
      </c>
      <c r="X222" s="32">
        <f t="shared" si="13"/>
        <v>7.1362062906575397E-3</v>
      </c>
      <c r="Y222" s="452">
        <f t="shared" si="14"/>
        <v>4.2258760328697846E-4</v>
      </c>
      <c r="AD222" s="33"/>
      <c r="AE222" s="33"/>
    </row>
    <row r="223" spans="5:31" ht="11.25" customHeight="1" x14ac:dyDescent="0.2">
      <c r="E223" s="155"/>
      <c r="F223" s="155"/>
      <c r="G223" s="33"/>
      <c r="K223" s="33"/>
      <c r="L223" s="33"/>
      <c r="R223" s="422">
        <f>_xll.qlCalendarAdvance(Calendar,R222,"1D","f")</f>
        <v>42384</v>
      </c>
      <c r="S223" s="221">
        <f>_xll.qlCalendarAdvance(Calendar,R223,$F$1,"mf",,Trigger)</f>
        <v>42475</v>
      </c>
      <c r="T223" s="342">
        <f>_xll.qlDayCounterYearFraction(DayCounter,R223,S223,,,Trigger)</f>
        <v>0.24931506849315069</v>
      </c>
      <c r="U223" s="32">
        <f>_xll.qlInterpolationInterpolate(B3Minterpolation,R223,TRUE)</f>
        <v>1.6987547857595688E-3</v>
      </c>
      <c r="V223" s="345">
        <f>_xll.qlYieldTSDiscount(Discounting,R223,,AllTriggers)</f>
        <v>0.99569647393192495</v>
      </c>
      <c r="W223" s="345">
        <f>_xll.qlYieldTSDiscount(Discounting,S223,,AllTriggers)</f>
        <v>0.99392311117027421</v>
      </c>
      <c r="X223" s="32">
        <f t="shared" si="13"/>
        <v>7.1564273629807244E-3</v>
      </c>
      <c r="Y223" s="452">
        <f t="shared" si="14"/>
        <v>4.2268151339642178E-4</v>
      </c>
      <c r="AD223" s="33"/>
      <c r="AE223" s="33"/>
    </row>
    <row r="224" spans="5:31" ht="11.25" customHeight="1" x14ac:dyDescent="0.2">
      <c r="E224" s="155"/>
      <c r="F224" s="155"/>
      <c r="G224" s="33"/>
      <c r="K224" s="33"/>
      <c r="L224" s="33"/>
      <c r="R224" s="422">
        <f>_xll.qlCalendarAdvance(Calendar,R223,"1D","f")</f>
        <v>42387</v>
      </c>
      <c r="S224" s="221">
        <f>_xll.qlCalendarAdvance(Calendar,R224,$F$1,"mf",,Trigger)</f>
        <v>42478</v>
      </c>
      <c r="T224" s="342">
        <f>_xll.qlDayCounterYearFraction(DayCounter,R224,S224,,,Trigger)</f>
        <v>0.24931506849315069</v>
      </c>
      <c r="U224" s="32">
        <f>_xll.qlInterpolationInterpolate(B3Minterpolation,R224,TRUE)</f>
        <v>1.6998306805556154E-3</v>
      </c>
      <c r="V224" s="345">
        <f>_xll.qlYieldTSDiscount(Discounting,R224,,AllTriggers)</f>
        <v>0.99564686643728628</v>
      </c>
      <c r="W224" s="345">
        <f>_xll.qlYieldTSDiscount(Discounting,S224,,AllTriggers)</f>
        <v>0.99385867521870708</v>
      </c>
      <c r="X224" s="32">
        <f t="shared" si="13"/>
        <v>7.216735644722817E-3</v>
      </c>
      <c r="Y224" s="452">
        <f t="shared" si="14"/>
        <v>4.2294281265550451E-4</v>
      </c>
      <c r="AD224" s="33"/>
      <c r="AE224" s="33"/>
    </row>
    <row r="225" spans="5:31" ht="11.25" customHeight="1" x14ac:dyDescent="0.2">
      <c r="E225" s="155"/>
      <c r="F225" s="155"/>
      <c r="G225" s="33"/>
      <c r="K225" s="33"/>
      <c r="L225" s="33"/>
      <c r="R225" s="422">
        <f>_xll.qlCalendarAdvance(Calendar,R224,"1D","f")</f>
        <v>42388</v>
      </c>
      <c r="S225" s="221">
        <f>_xll.qlCalendarAdvance(Calendar,R225,$F$1,"mf",,Trigger)</f>
        <v>42479</v>
      </c>
      <c r="T225" s="342">
        <f>_xll.qlDayCounterYearFraction(DayCounter,R225,S225,,,Trigger)</f>
        <v>0.24931506849315069</v>
      </c>
      <c r="U225" s="32">
        <f>_xll.qlInterpolationInterpolate(B3Minterpolation,R225,TRUE)</f>
        <v>1.7001642958175993E-3</v>
      </c>
      <c r="V225" s="345">
        <f>_xll.qlYieldTSDiscount(Discounting,R225,,AllTriggers)</f>
        <v>0.99563021652672545</v>
      </c>
      <c r="W225" s="345">
        <f>_xll.qlYieldTSDiscount(Discounting,S225,,AllTriggers)</f>
        <v>0.99383712296733473</v>
      </c>
      <c r="X225" s="32">
        <f t="shared" si="13"/>
        <v>7.2366773148076352E-3</v>
      </c>
      <c r="Y225" s="452">
        <f t="shared" si="14"/>
        <v>4.2302370452219109E-4</v>
      </c>
      <c r="AD225" s="33"/>
      <c r="AE225" s="33"/>
    </row>
    <row r="226" spans="5:31" ht="11.25" customHeight="1" x14ac:dyDescent="0.2">
      <c r="E226" s="155"/>
      <c r="F226" s="155"/>
      <c r="G226" s="33"/>
      <c r="K226" s="33"/>
      <c r="L226" s="33"/>
      <c r="R226" s="422">
        <f>_xll.qlCalendarAdvance(Calendar,R225,"1D","f")</f>
        <v>42389</v>
      </c>
      <c r="S226" s="221">
        <f>_xll.qlCalendarAdvance(Calendar,R226,$F$1,"mf",,Trigger)</f>
        <v>42480</v>
      </c>
      <c r="T226" s="342">
        <f>_xll.qlDayCounterYearFraction(DayCounter,R226,S226,,,Trigger)</f>
        <v>0.24931506849315069</v>
      </c>
      <c r="U226" s="32">
        <f>_xll.qlInterpolationInterpolate(B3Minterpolation,R226,TRUE)</f>
        <v>1.7004866044287347E-3</v>
      </c>
      <c r="V226" s="345">
        <f>_xll.qlYieldTSDiscount(Discounting,R226,,AllTriggers)</f>
        <v>0.99561350394564774</v>
      </c>
      <c r="W226" s="345">
        <f>_xll.qlYieldTSDiscount(Discounting,S226,,AllTriggers)</f>
        <v>0.99381553358375241</v>
      </c>
      <c r="X226" s="32">
        <f t="shared" si="13"/>
        <v>7.25651704963815E-3</v>
      </c>
      <c r="Y226" s="452">
        <f t="shared" si="14"/>
        <v>4.231017936726383E-4</v>
      </c>
      <c r="AD226" s="33"/>
      <c r="AE226" s="33"/>
    </row>
    <row r="227" spans="5:31" ht="11.25" customHeight="1" x14ac:dyDescent="0.2">
      <c r="E227" s="155"/>
      <c r="F227" s="155"/>
      <c r="G227" s="33"/>
      <c r="K227" s="33"/>
      <c r="L227" s="33"/>
      <c r="R227" s="422">
        <f>_xll.qlCalendarAdvance(Calendar,R226,"1D","f")</f>
        <v>42390</v>
      </c>
      <c r="S227" s="221">
        <f>_xll.qlCalendarAdvance(Calendar,R227,$F$1,"mf",,Trigger)</f>
        <v>42481</v>
      </c>
      <c r="T227" s="342">
        <f>_xll.qlDayCounterYearFraction(DayCounter,R227,S227,,,Trigger)</f>
        <v>0.24931506849315069</v>
      </c>
      <c r="U227" s="32">
        <f>_xll.qlInterpolationInterpolate(B3Minterpolation,R227,TRUE)</f>
        <v>1.7007983272995218E-3</v>
      </c>
      <c r="V227" s="345">
        <f>_xll.qlYieldTSDiscount(Discounting,R227,,AllTriggers)</f>
        <v>0.99559672531580357</v>
      </c>
      <c r="W227" s="345">
        <f>_xll.qlYieldTSDiscount(Discounting,S227,,AllTriggers)</f>
        <v>0.99379390686892144</v>
      </c>
      <c r="X227" s="32">
        <f t="shared" si="13"/>
        <v>7.2762420148411141E-3</v>
      </c>
      <c r="Y227" s="452">
        <f t="shared" si="14"/>
        <v>4.2317726083926219E-4</v>
      </c>
      <c r="AD227" s="33"/>
      <c r="AE227" s="33"/>
    </row>
    <row r="228" spans="5:31" ht="11.25" customHeight="1" x14ac:dyDescent="0.2">
      <c r="E228" s="155"/>
      <c r="F228" s="155"/>
      <c r="G228" s="33"/>
      <c r="K228" s="33"/>
      <c r="L228" s="33"/>
      <c r="R228" s="422">
        <f>_xll.qlCalendarAdvance(Calendar,R227,"1D","f")</f>
        <v>42391</v>
      </c>
      <c r="S228" s="221">
        <f>_xll.qlCalendarAdvance(Calendar,R228,$F$1,"mf",,Trigger)</f>
        <v>42482</v>
      </c>
      <c r="T228" s="342">
        <f>_xll.qlDayCounterYearFraction(DayCounter,R228,S228,,,Trigger)</f>
        <v>0.24931506849315069</v>
      </c>
      <c r="U228" s="32">
        <f>_xll.qlInterpolationInterpolate(B3Minterpolation,R228,TRUE)</f>
        <v>1.7011001853404612E-3</v>
      </c>
      <c r="V228" s="345">
        <f>_xll.qlYieldTSDiscount(Discounting,R228,,AllTriggers)</f>
        <v>0.99557987725918462</v>
      </c>
      <c r="W228" s="345">
        <f>_xll.qlYieldTSDiscount(Discounting,S228,,AllTriggers)</f>
        <v>0.99377224262382491</v>
      </c>
      <c r="X228" s="32">
        <f t="shared" si="13"/>
        <v>7.2958393757992521E-3</v>
      </c>
      <c r="Y228" s="452">
        <f t="shared" si="14"/>
        <v>4.2325028675107353E-4</v>
      </c>
      <c r="AD228" s="33"/>
      <c r="AE228" s="33"/>
    </row>
    <row r="229" spans="5:31" ht="11.25" customHeight="1" x14ac:dyDescent="0.2">
      <c r="E229" s="155"/>
      <c r="F229" s="155"/>
      <c r="G229" s="33"/>
      <c r="K229" s="33"/>
      <c r="L229" s="33"/>
      <c r="R229" s="422">
        <f>_xll.qlCalendarAdvance(Calendar,R228,"1D","f")</f>
        <v>42394</v>
      </c>
      <c r="S229" s="221">
        <f>_xll.qlCalendarAdvance(Calendar,R229,$F$1,"mf",,Trigger)</f>
        <v>42485</v>
      </c>
      <c r="T229" s="342">
        <f>_xll.qlDayCounterYearFraction(DayCounter,R229,S229,,,Trigger)</f>
        <v>0.24931506849315069</v>
      </c>
      <c r="U229" s="32">
        <f>_xll.qlInterpolationInterpolate(B3Minterpolation,R229,TRUE)</f>
        <v>1.701953779589195E-3</v>
      </c>
      <c r="V229" s="345">
        <f>_xll.qlYieldTSDiscount(Discounting,R229,,AllTriggers)</f>
        <v>0.99552888275225015</v>
      </c>
      <c r="W229" s="345">
        <f>_xll.qlYieldTSDiscount(Discounting,S229,,AllTriggers)</f>
        <v>0.9937070227171011</v>
      </c>
      <c r="X229" s="32">
        <f t="shared" si="13"/>
        <v>7.3537374834712552E-3</v>
      </c>
      <c r="Y229" s="452">
        <f t="shared" si="14"/>
        <v>4.2345652419830467E-4</v>
      </c>
      <c r="AD229" s="33"/>
      <c r="AE229" s="33"/>
    </row>
    <row r="230" spans="5:31" ht="11.25" customHeight="1" x14ac:dyDescent="0.2">
      <c r="E230" s="155"/>
      <c r="F230" s="155"/>
      <c r="G230" s="33"/>
      <c r="K230" s="33"/>
      <c r="L230" s="33"/>
      <c r="R230" s="422">
        <f>_xll.qlCalendarAdvance(Calendar,R229,"1D","f")</f>
        <v>42395</v>
      </c>
      <c r="S230" s="221">
        <f>_xll.qlCalendarAdvance(Calendar,R230,$F$1,"mf",,Trigger)</f>
        <v>42486</v>
      </c>
      <c r="T230" s="342">
        <f>_xll.qlDayCounterYearFraction(DayCounter,R230,S230,,,Trigger)</f>
        <v>0.24931506849315069</v>
      </c>
      <c r="U230" s="32">
        <f>_xll.qlInterpolationInterpolate(B3Minterpolation,R230,TRUE)</f>
        <v>1.7022233874157461E-3</v>
      </c>
      <c r="V230" s="345">
        <f>_xll.qlYieldTSDiscount(Discounting,R230,,AllTriggers)</f>
        <v>0.99551172321334069</v>
      </c>
      <c r="W230" s="345">
        <f>_xll.qlYieldTSDiscount(Discounting,S230,,AllTriggers)</f>
        <v>0.99368520636121094</v>
      </c>
      <c r="X230" s="32">
        <f t="shared" si="13"/>
        <v>7.3726960765632824E-3</v>
      </c>
      <c r="Y230" s="452">
        <f t="shared" si="14"/>
        <v>4.2352159231634647E-4</v>
      </c>
      <c r="AD230" s="33"/>
      <c r="AE230" s="33"/>
    </row>
    <row r="231" spans="5:31" ht="11.25" customHeight="1" x14ac:dyDescent="0.2">
      <c r="E231" s="155"/>
      <c r="F231" s="155"/>
      <c r="G231" s="33"/>
      <c r="K231" s="33"/>
      <c r="L231" s="33"/>
      <c r="R231" s="422">
        <f>_xll.qlCalendarAdvance(Calendar,R230,"1D","f")</f>
        <v>42396</v>
      </c>
      <c r="S231" s="221">
        <f>_xll.qlCalendarAdvance(Calendar,R231,$F$1,"mf",,Trigger)</f>
        <v>42487</v>
      </c>
      <c r="T231" s="342">
        <f>_xll.qlDayCounterYearFraction(DayCounter,R231,S231,,,Trigger)</f>
        <v>0.24931506849315069</v>
      </c>
      <c r="U231" s="32">
        <f>_xll.qlInterpolationInterpolate(B3Minterpolation,R231,TRUE)</f>
        <v>1.7024867349649509E-3</v>
      </c>
      <c r="V231" s="345">
        <f>_xll.qlYieldTSDiscount(Discounting,R231,,AllTriggers)</f>
        <v>0.99549447736130725</v>
      </c>
      <c r="W231" s="345">
        <f>_xll.qlYieldTSDiscount(Discounting,S231,,AllTriggers)</f>
        <v>0.99366335148029961</v>
      </c>
      <c r="X231" s="32">
        <f t="shared" si="13"/>
        <v>7.3914628888319886E-3</v>
      </c>
      <c r="Y231" s="452">
        <f t="shared" si="14"/>
        <v>4.2358512277746965E-4</v>
      </c>
      <c r="AD231" s="33"/>
      <c r="AE231" s="33"/>
    </row>
    <row r="232" spans="5:31" ht="11.25" customHeight="1" x14ac:dyDescent="0.2">
      <c r="E232" s="155"/>
      <c r="F232" s="155"/>
      <c r="G232" s="33"/>
      <c r="K232" s="33"/>
      <c r="L232" s="33"/>
      <c r="R232" s="422">
        <f>_xll.qlCalendarAdvance(Calendar,R231,"1D","f")</f>
        <v>42397</v>
      </c>
      <c r="S232" s="221">
        <f>_xll.qlCalendarAdvance(Calendar,R232,$F$1,"mf",,Trigger)</f>
        <v>42488</v>
      </c>
      <c r="T232" s="342">
        <f>_xll.qlDayCounterYearFraction(DayCounter,R232,S232,,,Trigger)</f>
        <v>0.24931506849315069</v>
      </c>
      <c r="U232" s="32">
        <f>_xll.qlInterpolationInterpolate(B3Minterpolation,R232,TRUE)</f>
        <v>1.7027445431473096E-3</v>
      </c>
      <c r="V232" s="345">
        <f>_xll.qlYieldTSDiscount(Discounting,R232,,AllTriggers)</f>
        <v>0.99547714181963731</v>
      </c>
      <c r="W232" s="345">
        <f>_xll.qlYieldTSDiscount(Discounting,S232,,AllTriggers)</f>
        <v>0.99364145787548208</v>
      </c>
      <c r="X232" s="32">
        <f t="shared" si="13"/>
        <v>7.4100250842974499E-3</v>
      </c>
      <c r="Y232" s="452">
        <f t="shared" si="14"/>
        <v>4.2364729629166869E-4</v>
      </c>
      <c r="AD232" s="33"/>
      <c r="AE232" s="33"/>
    </row>
    <row r="233" spans="5:31" ht="11.25" customHeight="1" x14ac:dyDescent="0.2">
      <c r="E233" s="155"/>
      <c r="F233" s="155"/>
      <c r="G233" s="33"/>
      <c r="K233" s="33"/>
      <c r="L233" s="33"/>
      <c r="R233" s="422">
        <f>_xll.qlCalendarAdvance(Calendar,R232,"1D","f")</f>
        <v>42398</v>
      </c>
      <c r="S233" s="221">
        <f>_xll.qlCalendarAdvance(Calendar,R233,$F$1,"mf",,Trigger)</f>
        <v>42489</v>
      </c>
      <c r="T233" s="342">
        <f>_xll.qlDayCounterYearFraction(DayCounter,R233,S233,,,Trigger)</f>
        <v>0.24931506849315069</v>
      </c>
      <c r="U233" s="32">
        <f>_xll.qlInterpolationInterpolate(B3Minterpolation,R233,TRUE)</f>
        <v>1.7029975328733231E-3</v>
      </c>
      <c r="V233" s="345">
        <f>_xll.qlYieldTSDiscount(Discounting,R233,,AllTriggers)</f>
        <v>0.99545971321207782</v>
      </c>
      <c r="W233" s="345">
        <f>_xll.qlYieldTSDiscount(Discounting,S233,,AllTriggers)</f>
        <v>0.99361952534789577</v>
      </c>
      <c r="X233" s="32">
        <f t="shared" si="13"/>
        <v>7.4283698267757917E-3</v>
      </c>
      <c r="Y233" s="452">
        <f t="shared" si="14"/>
        <v>4.2370829356600177E-4</v>
      </c>
      <c r="AD233" s="33"/>
      <c r="AE233" s="33"/>
    </row>
    <row r="234" spans="5:31" ht="11.25" customHeight="1" x14ac:dyDescent="0.2">
      <c r="E234" s="155"/>
      <c r="F234" s="155"/>
      <c r="G234" s="33"/>
      <c r="K234" s="33"/>
      <c r="L234" s="33"/>
      <c r="R234" s="422">
        <f>_xll.qlCalendarAdvance(Calendar,R233,"1D","f")</f>
        <v>42401</v>
      </c>
      <c r="S234" s="221">
        <f>_xll.qlCalendarAdvance(Calendar,R234,$F$1,"mf",,Trigger)</f>
        <v>42493</v>
      </c>
      <c r="T234" s="342">
        <f>_xll.qlDayCounterYearFraction(DayCounter,R234,S234,,,Trigger)</f>
        <v>0.25205479452054796</v>
      </c>
      <c r="U234" s="32">
        <f>_xll.qlInterpolationInterpolate(B3Minterpolation,R234,TRUE)</f>
        <v>1.7037348004182928E-3</v>
      </c>
      <c r="V234" s="345">
        <f>_xll.qlYieldTSDiscount(Discounting,R234,,AllTriggers)</f>
        <v>0.99540683523548135</v>
      </c>
      <c r="W234" s="345">
        <f>_xll.qlYieldTSDiscount(Discounting,S234,,AllTriggers)</f>
        <v>0.99353140203339319</v>
      </c>
      <c r="X234" s="32">
        <f t="shared" si="13"/>
        <v>7.4890208428454244E-3</v>
      </c>
      <c r="Y234" s="452">
        <f t="shared" si="14"/>
        <v>4.2853359933693559E-4</v>
      </c>
      <c r="AD234" s="33"/>
      <c r="AE234" s="33"/>
    </row>
    <row r="235" spans="5:31" ht="11.25" customHeight="1" x14ac:dyDescent="0.2">
      <c r="E235" s="155"/>
      <c r="F235" s="155"/>
      <c r="G235" s="33"/>
      <c r="K235" s="33"/>
      <c r="L235" s="33"/>
      <c r="R235" s="422">
        <f>_xll.qlCalendarAdvance(Calendar,R234,"1D","f")</f>
        <v>42402</v>
      </c>
      <c r="S235" s="221">
        <f>_xll.qlCalendarAdvance(Calendar,R235,$F$1,"mf",,Trigger)</f>
        <v>42493</v>
      </c>
      <c r="T235" s="342">
        <f>_xll.qlDayCounterYearFraction(DayCounter,R235,S235,,,Trigger)</f>
        <v>0.24931506849315069</v>
      </c>
      <c r="U235" s="32">
        <f>_xll.qlInterpolationInterpolate(B3Minterpolation,R235,TRUE)</f>
        <v>1.703975725423927E-3</v>
      </c>
      <c r="V235" s="345">
        <f>_xll.qlYieldTSDiscount(Discounting,R235,,AllTriggers)</f>
        <v>0.9953890006071241</v>
      </c>
      <c r="W235" s="345">
        <f>_xll.qlYieldTSDiscount(Discounting,S235,,AllTriggers)</f>
        <v>0.99353140203339319</v>
      </c>
      <c r="X235" s="32">
        <f t="shared" si="13"/>
        <v>7.4993175362292937E-3</v>
      </c>
      <c r="Y235" s="452">
        <f t="shared" si="14"/>
        <v>4.23944134314061E-4</v>
      </c>
      <c r="AD235" s="33"/>
      <c r="AE235" s="33"/>
    </row>
    <row r="236" spans="5:31" ht="11.25" customHeight="1" x14ac:dyDescent="0.2">
      <c r="E236" s="155"/>
      <c r="F236" s="155"/>
      <c r="G236" s="33"/>
      <c r="K236" s="33"/>
      <c r="L236" s="33"/>
      <c r="R236" s="422">
        <f>_xll.qlCalendarAdvance(Calendar,R235,"1D","f")</f>
        <v>42403</v>
      </c>
      <c r="S236" s="221">
        <f>_xll.qlCalendarAdvance(Calendar,R236,$F$1,"mf",,Trigger)</f>
        <v>42493</v>
      </c>
      <c r="T236" s="342">
        <f>_xll.qlDayCounterYearFraction(DayCounter,R236,S236,,,Trigger)</f>
        <v>0.24657534246575341</v>
      </c>
      <c r="U236" s="32">
        <f>_xll.qlInterpolationInterpolate(B3Minterpolation,R236,TRUE)</f>
        <v>1.7042154365257173E-3</v>
      </c>
      <c r="V236" s="345">
        <f>_xll.qlYieldTSDiscount(Discounting,R236,,AllTriggers)</f>
        <v>0.99537105603561071</v>
      </c>
      <c r="W236" s="345">
        <f>_xll.qlYieldTSDiscount(Discounting,S236,,AllTriggers)</f>
        <v>0.99353140203339319</v>
      </c>
      <c r="X236" s="32">
        <f t="shared" si="13"/>
        <v>7.5093942614437026E-3</v>
      </c>
      <c r="Y236" s="452">
        <f t="shared" si="14"/>
        <v>4.1935291428766669E-4</v>
      </c>
      <c r="AD236" s="33"/>
      <c r="AE236" s="33"/>
    </row>
    <row r="237" spans="5:31" ht="11.25" customHeight="1" x14ac:dyDescent="0.2">
      <c r="E237" s="155"/>
      <c r="F237" s="155"/>
      <c r="G237" s="33"/>
      <c r="K237" s="33"/>
      <c r="L237" s="33"/>
      <c r="R237" s="422">
        <f>_xll.qlCalendarAdvance(Calendar,R236,"1D","f")</f>
        <v>42404</v>
      </c>
      <c r="S237" s="221">
        <f>_xll.qlCalendarAdvance(Calendar,R237,$F$1,"mf",,Trigger)</f>
        <v>42494</v>
      </c>
      <c r="T237" s="342">
        <f>_xll.qlDayCounterYearFraction(DayCounter,R237,S237,,,Trigger)</f>
        <v>0.24657534246575341</v>
      </c>
      <c r="U237" s="32">
        <f>_xll.qlInterpolationInterpolate(B3Minterpolation,R237,TRUE)</f>
        <v>1.7044546546341639E-3</v>
      </c>
      <c r="V237" s="345">
        <f>_xll.qlYieldTSDiscount(Discounting,R237,,AllTriggers)</f>
        <v>0.99535299920093778</v>
      </c>
      <c r="W237" s="345">
        <f>_xll.qlYieldTSDiscount(Discounting,S237,,AllTriggers)</f>
        <v>0.99350927190980798</v>
      </c>
      <c r="X237" s="32">
        <f t="shared" si="13"/>
        <v>7.5261889042030289E-3</v>
      </c>
      <c r="Y237" s="452">
        <f t="shared" si="14"/>
        <v>4.1941003260674272E-4</v>
      </c>
      <c r="AD237" s="33"/>
      <c r="AE237" s="33"/>
    </row>
    <row r="238" spans="5:31" ht="11.25" customHeight="1" x14ac:dyDescent="0.2">
      <c r="E238" s="155"/>
      <c r="F238" s="155"/>
      <c r="G238" s="33"/>
      <c r="K238" s="33"/>
      <c r="L238" s="33"/>
      <c r="R238" s="422">
        <f>_xll.qlCalendarAdvance(Calendar,R237,"1D","f")</f>
        <v>42405</v>
      </c>
      <c r="S238" s="221">
        <f>_xll.qlCalendarAdvance(Calendar,R238,$F$1,"mf",,Trigger)</f>
        <v>42495</v>
      </c>
      <c r="T238" s="342">
        <f>_xll.qlDayCounterYearFraction(DayCounter,R238,S238,,,Trigger)</f>
        <v>0.24657534246575341</v>
      </c>
      <c r="U238" s="32">
        <f>_xll.qlInterpolationInterpolate(B3Minterpolation,R238,TRUE)</f>
        <v>1.7046941006597675E-3</v>
      </c>
      <c r="V238" s="345">
        <f>_xll.qlYieldTSDiscount(Discounting,R238,,AllTriggers)</f>
        <v>0.99533483200173489</v>
      </c>
      <c r="W238" s="345">
        <f>_xll.qlYieldTSDiscount(Discounting,S238,,AllTriggers)</f>
        <v>0.99348710167075027</v>
      </c>
      <c r="X238" s="32">
        <f t="shared" si="13"/>
        <v>7.5426978331083602E-3</v>
      </c>
      <c r="Y238" s="452">
        <f t="shared" si="14"/>
        <v>4.1946723601187468E-4</v>
      </c>
      <c r="AD238" s="33"/>
      <c r="AE238" s="33"/>
    </row>
    <row r="239" spans="5:31" ht="11.25" customHeight="1" x14ac:dyDescent="0.2">
      <c r="E239" s="155"/>
      <c r="F239" s="155"/>
      <c r="G239" s="33"/>
      <c r="K239" s="33"/>
      <c r="L239" s="33"/>
      <c r="R239" s="422">
        <f>_xll.qlCalendarAdvance(Calendar,R238,"1D","f")</f>
        <v>42408</v>
      </c>
      <c r="S239" s="221">
        <f>_xll.qlCalendarAdvance(Calendar,R239,$F$1,"mf",,Trigger)</f>
        <v>42499</v>
      </c>
      <c r="T239" s="342">
        <f>_xll.qlDayCounterYearFraction(DayCounter,R239,S239,,,Trigger)</f>
        <v>0.24931506849315069</v>
      </c>
      <c r="U239" s="32">
        <f>_xll.qlInterpolationInterpolate(B3Minterpolation,R239,TRUE)</f>
        <v>1.7054210153445214E-3</v>
      </c>
      <c r="V239" s="345">
        <f>_xll.qlYieldTSDiscount(Discounting,R239,,AllTriggers)</f>
        <v>0.99527969774719749</v>
      </c>
      <c r="W239" s="345">
        <f>_xll.qlYieldTSDiscount(Discounting,S239,,AllTriggers)</f>
        <v>0.99339801558604568</v>
      </c>
      <c r="X239" s="32">
        <f t="shared" si="13"/>
        <v>7.5975654794335525E-3</v>
      </c>
      <c r="Y239" s="452">
        <f t="shared" si="14"/>
        <v>4.2429327057020606E-4</v>
      </c>
      <c r="AD239" s="33"/>
      <c r="AE239" s="33"/>
    </row>
    <row r="240" spans="5:31" ht="11.25" customHeight="1" x14ac:dyDescent="0.2">
      <c r="E240" s="155"/>
      <c r="F240" s="155"/>
      <c r="G240" s="33"/>
      <c r="K240" s="33"/>
      <c r="L240" s="33"/>
      <c r="R240" s="422">
        <f>_xll.qlCalendarAdvance(Calendar,R239,"1D","f")</f>
        <v>42409</v>
      </c>
      <c r="S240" s="221">
        <f>_xll.qlCalendarAdvance(Calendar,R240,$F$1,"mf",,Trigger)</f>
        <v>42499</v>
      </c>
      <c r="T240" s="342">
        <f>_xll.qlDayCounterYearFraction(DayCounter,R240,S240,,,Trigger)</f>
        <v>0.24657534246575341</v>
      </c>
      <c r="U240" s="32">
        <f>_xll.qlInterpolationInterpolate(B3Minterpolation,R240,TRUE)</f>
        <v>1.7056685821437551E-3</v>
      </c>
      <c r="V240" s="345">
        <f>_xll.qlYieldTSDiscount(Discounting,R240,,AllTriggers)</f>
        <v>0.9952611186192083</v>
      </c>
      <c r="W240" s="345">
        <f>_xll.qlYieldTSDiscount(Discounting,S240,,AllTriggers)</f>
        <v>0.99339801558604568</v>
      </c>
      <c r="X240" s="32">
        <f t="shared" si="13"/>
        <v>7.606133431077646E-3</v>
      </c>
      <c r="Y240" s="452">
        <f t="shared" si="14"/>
        <v>4.1970042119971205E-4</v>
      </c>
      <c r="AD240" s="33"/>
      <c r="AE240" s="33"/>
    </row>
    <row r="241" spans="5:31" ht="11.25" customHeight="1" x14ac:dyDescent="0.2">
      <c r="E241" s="155"/>
      <c r="F241" s="155"/>
      <c r="G241" s="33"/>
      <c r="K241" s="33"/>
      <c r="L241" s="33"/>
      <c r="R241" s="422">
        <f>_xll.qlCalendarAdvance(Calendar,R240,"1D","f")</f>
        <v>42410</v>
      </c>
      <c r="S241" s="221">
        <f>_xll.qlCalendarAdvance(Calendar,R241,$F$1,"mf",,Trigger)</f>
        <v>42500</v>
      </c>
      <c r="T241" s="342">
        <f>_xll.qlDayCounterYearFraction(DayCounter,R241,S241,,,Trigger)</f>
        <v>0.24657534246575341</v>
      </c>
      <c r="U241" s="32">
        <f>_xll.qlInterpolationInterpolate(B3Minterpolation,R241,TRUE)</f>
        <v>1.7059199814126471E-3</v>
      </c>
      <c r="V241" s="345">
        <f>_xll.qlYieldTSDiscount(Discounting,R241,,AllTriggers)</f>
        <v>0.99524244389042749</v>
      </c>
      <c r="W241" s="345">
        <f>_xll.qlYieldTSDiscount(Discounting,S241,,AllTriggers)</f>
        <v>0.99337564178951565</v>
      </c>
      <c r="X241" s="32">
        <f t="shared" si="13"/>
        <v>7.6214065585876734E-3</v>
      </c>
      <c r="Y241" s="452">
        <f t="shared" si="14"/>
        <v>4.1976069053591359E-4</v>
      </c>
      <c r="AD241" s="33"/>
      <c r="AE241" s="33"/>
    </row>
    <row r="242" spans="5:31" ht="11.25" customHeight="1" x14ac:dyDescent="0.2">
      <c r="E242" s="155"/>
      <c r="F242" s="155"/>
      <c r="G242" s="33"/>
      <c r="K242" s="33"/>
      <c r="L242" s="33"/>
      <c r="R242" s="422">
        <f>_xll.qlCalendarAdvance(Calendar,R241,"1D","f")</f>
        <v>42411</v>
      </c>
      <c r="S242" s="221">
        <f>_xll.qlCalendarAdvance(Calendar,R242,$F$1,"mf",,Trigger)</f>
        <v>42501</v>
      </c>
      <c r="T242" s="342">
        <f>_xll.qlDayCounterYearFraction(DayCounter,R242,S242,,,Trigger)</f>
        <v>0.24657534246575341</v>
      </c>
      <c r="U242" s="32">
        <f>_xll.qlInterpolationInterpolate(B3Minterpolation,R242,TRUE)</f>
        <v>1.7061759340616979E-3</v>
      </c>
      <c r="V242" s="345">
        <f>_xll.qlYieldTSDiscount(Discounting,R242,,AllTriggers)</f>
        <v>0.99522367651303545</v>
      </c>
      <c r="W242" s="345">
        <f>_xll.qlYieldTSDiscount(Discounting,S242,,AllTriggers)</f>
        <v>0.99335322668563086</v>
      </c>
      <c r="X242" s="32">
        <f t="shared" si="13"/>
        <v>7.6364710811160797E-3</v>
      </c>
      <c r="Y242" s="452">
        <f t="shared" si="14"/>
        <v>4.1982210113528481E-4</v>
      </c>
      <c r="AD242" s="33"/>
      <c r="AE242" s="33"/>
    </row>
    <row r="243" spans="5:31" ht="11.25" customHeight="1" x14ac:dyDescent="0.2">
      <c r="E243" s="155"/>
      <c r="F243" s="155"/>
      <c r="G243" s="33"/>
      <c r="K243" s="33"/>
      <c r="L243" s="33"/>
      <c r="R243" s="422">
        <f>_xll.qlCalendarAdvance(Calendar,R242,"1D","f")</f>
        <v>42412</v>
      </c>
      <c r="S243" s="221">
        <f>_xll.qlCalendarAdvance(Calendar,R243,$F$1,"mf",,Trigger)</f>
        <v>42502</v>
      </c>
      <c r="T243" s="342">
        <f>_xll.qlDayCounterYearFraction(DayCounter,R243,S243,,,Trigger)</f>
        <v>0.24657534246575341</v>
      </c>
      <c r="U243" s="32">
        <f>_xll.qlInterpolationInterpolate(B3Minterpolation,R243,TRUE)</f>
        <v>1.7064371610014076E-3</v>
      </c>
      <c r="V243" s="345">
        <f>_xll.qlYieldTSDiscount(Discounting,R243,,AllTriggers)</f>
        <v>0.99520481943901662</v>
      </c>
      <c r="W243" s="345">
        <f>_xll.qlYieldTSDiscount(Discounting,S243,,AllTriggers)</f>
        <v>0.99333077007582526</v>
      </c>
      <c r="X243" s="32">
        <f t="shared" si="13"/>
        <v>7.6513398509703663E-3</v>
      </c>
      <c r="Y243" s="452">
        <f t="shared" si="14"/>
        <v>4.1988482901594441E-4</v>
      </c>
      <c r="AD243" s="33"/>
      <c r="AE243" s="33"/>
    </row>
    <row r="244" spans="5:31" ht="11.25" customHeight="1" x14ac:dyDescent="0.2">
      <c r="E244" s="155"/>
      <c r="F244" s="155"/>
      <c r="G244" s="33"/>
      <c r="K244" s="33"/>
      <c r="L244" s="33"/>
      <c r="R244" s="422">
        <f>_xll.qlCalendarAdvance(Calendar,R243,"1D","f")</f>
        <v>42415</v>
      </c>
      <c r="S244" s="221">
        <f>_xll.qlCalendarAdvance(Calendar,R244,$F$1,"mf",,Trigger)</f>
        <v>42506</v>
      </c>
      <c r="T244" s="342">
        <f>_xll.qlDayCounterYearFraction(DayCounter,R244,S244,,,Trigger)</f>
        <v>0.24931506849315069</v>
      </c>
      <c r="U244" s="32">
        <f>_xll.qlInterpolationInterpolate(B3Minterpolation,R244,TRUE)</f>
        <v>1.7072596966694943E-3</v>
      </c>
      <c r="V244" s="345">
        <f>_xll.qlYieldTSDiscount(Discounting,R244,,AllTriggers)</f>
        <v>0.99514773955405011</v>
      </c>
      <c r="W244" s="345">
        <f>_xll.qlYieldTSDiscount(Discounting,S244,,AllTriggers)</f>
        <v>0.99324052460689771</v>
      </c>
      <c r="X244" s="32">
        <f t="shared" si="13"/>
        <v>7.701878855224914E-3</v>
      </c>
      <c r="Y244" s="452">
        <f t="shared" si="14"/>
        <v>4.2473959772596517E-4</v>
      </c>
      <c r="AD244" s="33"/>
      <c r="AE244" s="33"/>
    </row>
    <row r="245" spans="5:31" ht="11.25" customHeight="1" x14ac:dyDescent="0.2">
      <c r="E245" s="155"/>
      <c r="F245" s="155"/>
      <c r="G245" s="33"/>
      <c r="K245" s="33"/>
      <c r="L245" s="33"/>
      <c r="R245" s="422">
        <f>_xll.qlCalendarAdvance(Calendar,R244,"1D","f")</f>
        <v>42416</v>
      </c>
      <c r="S245" s="221">
        <f>_xll.qlCalendarAdvance(Calendar,R245,$F$1,"mf",,Trigger)</f>
        <v>42506</v>
      </c>
      <c r="T245" s="342">
        <f>_xll.qlDayCounterYearFraction(DayCounter,R245,S245,,,Trigger)</f>
        <v>0.24657534246575341</v>
      </c>
      <c r="U245" s="32">
        <f>_xll.qlInterpolationInterpolate(B3Minterpolation,R245,TRUE)</f>
        <v>1.7075492298768435E-3</v>
      </c>
      <c r="V245" s="345">
        <f>_xll.qlYieldTSDiscount(Discounting,R245,,AllTriggers)</f>
        <v>0.99512855320935889</v>
      </c>
      <c r="W245" s="345">
        <f>_xll.qlYieldTSDiscount(Discounting,S245,,AllTriggers)</f>
        <v>0.99324052460689771</v>
      </c>
      <c r="X245" s="32">
        <f t="shared" si="13"/>
        <v>7.7091144572355077E-3</v>
      </c>
      <c r="Y245" s="452">
        <f t="shared" si="14"/>
        <v>4.2015243361153012E-4</v>
      </c>
      <c r="AD245" s="33"/>
      <c r="AE245" s="33"/>
    </row>
    <row r="246" spans="5:31" ht="11.25" customHeight="1" x14ac:dyDescent="0.2">
      <c r="E246" s="155"/>
      <c r="F246" s="155"/>
      <c r="G246" s="33"/>
      <c r="K246" s="33"/>
      <c r="L246" s="33"/>
      <c r="R246" s="422">
        <f>_xll.qlCalendarAdvance(Calendar,R245,"1D","f")</f>
        <v>42417</v>
      </c>
      <c r="S246" s="221">
        <f>_xll.qlCalendarAdvance(Calendar,R246,$F$1,"mf",,Trigger)</f>
        <v>42507</v>
      </c>
      <c r="T246" s="342">
        <f>_xll.qlDayCounterYearFraction(DayCounter,R246,S246,,,Trigger)</f>
        <v>0.24657534246575341</v>
      </c>
      <c r="U246" s="32">
        <f>_xll.qlInterpolationInterpolate(B3Minterpolation,R246,TRUE)</f>
        <v>1.7078476419273533E-3</v>
      </c>
      <c r="V246" s="345">
        <f>_xll.qlYieldTSDiscount(Discounting,R246,,AllTriggers)</f>
        <v>0.99510929192493391</v>
      </c>
      <c r="W246" s="345">
        <f>_xll.qlYieldTSDiscount(Discounting,S246,,AllTriggers)</f>
        <v>0.9932178574898215</v>
      </c>
      <c r="X246" s="32">
        <f t="shared" si="13"/>
        <v>7.7231972557114427E-3</v>
      </c>
      <c r="Y246" s="452">
        <f t="shared" si="14"/>
        <v>4.2022438806673073E-4</v>
      </c>
      <c r="AD246" s="33"/>
      <c r="AE246" s="33"/>
    </row>
    <row r="247" spans="5:31" ht="11.25" customHeight="1" x14ac:dyDescent="0.2">
      <c r="E247" s="155"/>
      <c r="F247" s="155"/>
      <c r="G247" s="33"/>
      <c r="K247" s="33"/>
      <c r="L247" s="33"/>
      <c r="R247" s="422">
        <f>_xll.qlCalendarAdvance(Calendar,R246,"1D","f")</f>
        <v>42418</v>
      </c>
      <c r="S247" s="221">
        <f>_xll.qlCalendarAdvance(Calendar,R247,$F$1,"mf",,Trigger)</f>
        <v>42508</v>
      </c>
      <c r="T247" s="342">
        <f>_xll.qlDayCounterYearFraction(DayCounter,R247,S247,,,Trigger)</f>
        <v>0.24657534246575341</v>
      </c>
      <c r="U247" s="32">
        <f>_xll.qlInterpolationInterpolate(B3Minterpolation,R247,TRUE)</f>
        <v>1.7081556537315243E-3</v>
      </c>
      <c r="V247" s="345">
        <f>_xll.qlYieldTSDiscount(Discounting,R247,,AllTriggers)</f>
        <v>0.99508995865153094</v>
      </c>
      <c r="W247" s="345">
        <f>_xll.qlYieldTSDiscount(Discounting,S247,,AllTriggers)</f>
        <v>0.99319514767592321</v>
      </c>
      <c r="X247" s="32">
        <f t="shared" si="13"/>
        <v>7.7371614197221635E-3</v>
      </c>
      <c r="Y247" s="452">
        <f t="shared" si="14"/>
        <v>4.202987158488825E-4</v>
      </c>
      <c r="AD247" s="33"/>
      <c r="AE247" s="33"/>
    </row>
    <row r="248" spans="5:31" ht="11.25" customHeight="1" x14ac:dyDescent="0.2">
      <c r="E248" s="155"/>
      <c r="F248" s="155"/>
      <c r="G248" s="33"/>
      <c r="K248" s="33"/>
      <c r="L248" s="33"/>
      <c r="R248" s="422">
        <f>_xll.qlCalendarAdvance(Calendar,R247,"1D","f")</f>
        <v>42419</v>
      </c>
      <c r="S248" s="221">
        <f>_xll.qlCalendarAdvance(Calendar,R248,$F$1,"mf",,Trigger)</f>
        <v>42509</v>
      </c>
      <c r="T248" s="342">
        <f>_xll.qlDayCounterYearFraction(DayCounter,R248,S248,,,Trigger)</f>
        <v>0.24657534246575341</v>
      </c>
      <c r="U248" s="32">
        <f>_xll.qlInterpolationInterpolate(B3Minterpolation,R248,TRUE)</f>
        <v>1.7084739861998564E-3</v>
      </c>
      <c r="V248" s="345">
        <f>_xll.qlYieldTSDiscount(Discounting,R248,,AllTriggers)</f>
        <v>0.99507055633969266</v>
      </c>
      <c r="W248" s="345">
        <f>_xll.qlYieldTSDiscount(Discounting,S248,,AllTriggers)</f>
        <v>0.99317239496680265</v>
      </c>
      <c r="X248" s="32">
        <f t="shared" si="13"/>
        <v>7.7510198029844763E-3</v>
      </c>
      <c r="Y248" s="452">
        <f t="shared" si="14"/>
        <v>4.2037559295572316E-4</v>
      </c>
      <c r="AD248" s="33"/>
      <c r="AE248" s="33"/>
    </row>
    <row r="249" spans="5:31" ht="11.25" customHeight="1" x14ac:dyDescent="0.2">
      <c r="E249" s="155"/>
      <c r="F249" s="155"/>
      <c r="G249" s="33"/>
      <c r="K249" s="33"/>
      <c r="L249" s="33"/>
      <c r="R249" s="422">
        <f>_xll.qlCalendarAdvance(Calendar,R248,"1D","f")</f>
        <v>42422</v>
      </c>
      <c r="S249" s="221">
        <f>_xll.qlCalendarAdvance(Calendar,R249,$F$1,"mf",,Trigger)</f>
        <v>42513</v>
      </c>
      <c r="T249" s="342">
        <f>_xll.qlDayCounterYearFraction(DayCounter,R249,S249,,,Trigger)</f>
        <v>0.24931506849315069</v>
      </c>
      <c r="U249" s="32">
        <f>_xll.qlInterpolationInterpolate(B3Minterpolation,R249,TRUE)</f>
        <v>1.7094981166948242E-3</v>
      </c>
      <c r="V249" s="345">
        <f>_xll.qlYieldTSDiscount(Discounting,R249,,AllTriggers)</f>
        <v>0.99501196467575714</v>
      </c>
      <c r="W249" s="345">
        <f>_xll.qlYieldTSDiscount(Discounting,S249,,AllTriggers)</f>
        <v>0.99308095121093121</v>
      </c>
      <c r="X249" s="32">
        <f t="shared" si="13"/>
        <v>7.7992370894281694E-3</v>
      </c>
      <c r="Y249" s="452">
        <f t="shared" si="14"/>
        <v>4.2528606238869548E-4</v>
      </c>
      <c r="AD249" s="33"/>
      <c r="AE249" s="33"/>
    </row>
    <row r="250" spans="5:31" ht="11.25" customHeight="1" x14ac:dyDescent="0.2">
      <c r="E250" s="155"/>
      <c r="F250" s="155"/>
      <c r="G250" s="33"/>
      <c r="K250" s="33"/>
      <c r="L250" s="33"/>
      <c r="R250" s="422">
        <f>_xll.qlCalendarAdvance(Calendar,R249,"1D","f")</f>
        <v>42423</v>
      </c>
      <c r="S250" s="221">
        <f>_xll.qlCalendarAdvance(Calendar,R250,$F$1,"mf",,Trigger)</f>
        <v>42513</v>
      </c>
      <c r="T250" s="342">
        <f>_xll.qlDayCounterYearFraction(DayCounter,R250,S250,,,Trigger)</f>
        <v>0.24657534246575341</v>
      </c>
      <c r="U250" s="32">
        <f>_xll.qlInterpolationInterpolate(B3Minterpolation,R250,TRUE)</f>
        <v>1.709864940924805E-3</v>
      </c>
      <c r="V250" s="345">
        <f>_xll.qlYieldTSDiscount(Discounting,R250,,AllTriggers)</f>
        <v>0.994992315711276</v>
      </c>
      <c r="W250" s="345">
        <f>_xll.qlYieldTSDiscount(Discounting,S250,,AllTriggers)</f>
        <v>0.99308095121093121</v>
      </c>
      <c r="X250" s="32">
        <f t="shared" si="13"/>
        <v>7.8056526092992557E-3</v>
      </c>
      <c r="Y250" s="452">
        <f t="shared" si="14"/>
        <v>4.2071211445912247E-4</v>
      </c>
      <c r="AD250" s="33"/>
      <c r="AE250" s="33"/>
    </row>
    <row r="251" spans="5:31" ht="11.25" customHeight="1" x14ac:dyDescent="0.2">
      <c r="E251" s="155"/>
      <c r="F251" s="155"/>
      <c r="G251" s="33"/>
      <c r="K251" s="33"/>
      <c r="L251" s="33"/>
      <c r="R251" s="422">
        <f>_xll.qlCalendarAdvance(Calendar,R250,"1D","f")</f>
        <v>42424</v>
      </c>
      <c r="S251" s="221">
        <f>_xll.qlCalendarAdvance(Calendar,R251,$F$1,"mf",,Trigger)</f>
        <v>42514</v>
      </c>
      <c r="T251" s="342">
        <f>_xll.qlDayCounterYearFraction(DayCounter,R251,S251,,,Trigger)</f>
        <v>0.24657534246575341</v>
      </c>
      <c r="U251" s="32">
        <f>_xll.qlInterpolationInterpolate(B3Minterpolation,R251,TRUE)</f>
        <v>1.710245690371449E-3</v>
      </c>
      <c r="V251" s="345">
        <f>_xll.qlYieldTSDiscount(Discounting,R251,,AllTriggers)</f>
        <v>0.99497261245780966</v>
      </c>
      <c r="W251" s="345">
        <f>_xll.qlYieldTSDiscount(Discounting,S251,,AllTriggers)</f>
        <v>0.99305798105053622</v>
      </c>
      <c r="X251" s="32">
        <f t="shared" si="13"/>
        <v>7.8191749009400725E-3</v>
      </c>
      <c r="Y251" s="452">
        <f t="shared" si="14"/>
        <v>4.2080437803468043E-4</v>
      </c>
      <c r="AD251" s="33"/>
      <c r="AE251" s="33"/>
    </row>
    <row r="252" spans="5:31" ht="11.25" customHeight="1" x14ac:dyDescent="0.2">
      <c r="E252" s="155"/>
      <c r="F252" s="155"/>
      <c r="G252" s="33"/>
      <c r="K252" s="33"/>
      <c r="L252" s="33"/>
      <c r="R252" s="422">
        <f>_xll.qlCalendarAdvance(Calendar,R251,"1D","f")</f>
        <v>42425</v>
      </c>
      <c r="S252" s="221">
        <f>_xll.qlCalendarAdvance(Calendar,R252,$F$1,"mf",,Trigger)</f>
        <v>42515</v>
      </c>
      <c r="T252" s="342">
        <f>_xll.qlDayCounterYearFraction(DayCounter,R252,S252,,,Trigger)</f>
        <v>0.24657534246575341</v>
      </c>
      <c r="U252" s="32">
        <f>_xll.qlInterpolationInterpolate(B3Minterpolation,R252,TRUE)</f>
        <v>1.7106410859452561E-3</v>
      </c>
      <c r="V252" s="345">
        <f>_xll.qlYieldTSDiscount(Discounting,R252,,AllTriggers)</f>
        <v>0.99495285786458254</v>
      </c>
      <c r="W252" s="345">
        <f>_xll.qlYieldTSDiscount(Discounting,S252,,AllTriggers)</f>
        <v>0.99303496680502346</v>
      </c>
      <c r="X252" s="32">
        <f t="shared" si="13"/>
        <v>7.8326685379172846E-3</v>
      </c>
      <c r="Y252" s="452">
        <f t="shared" si="14"/>
        <v>4.2090024685084785E-4</v>
      </c>
      <c r="AD252" s="33"/>
      <c r="AE252" s="33"/>
    </row>
    <row r="253" spans="5:31" ht="11.25" customHeight="1" x14ac:dyDescent="0.2">
      <c r="E253" s="155"/>
      <c r="F253" s="155"/>
      <c r="G253" s="33"/>
      <c r="K253" s="33"/>
      <c r="L253" s="33"/>
      <c r="R253" s="422">
        <f>_xll.qlCalendarAdvance(Calendar,R252,"1D","f")</f>
        <v>42426</v>
      </c>
      <c r="S253" s="221">
        <f>_xll.qlCalendarAdvance(Calendar,R253,$F$1,"mf",,Trigger)</f>
        <v>42516</v>
      </c>
      <c r="T253" s="342">
        <f>_xll.qlDayCounterYearFraction(DayCounter,R253,S253,,,Trigger)</f>
        <v>0.24657534246575341</v>
      </c>
      <c r="U253" s="32">
        <f>_xll.qlInterpolationInterpolate(B3Minterpolation,R253,TRUE)</f>
        <v>1.7110518485567269E-3</v>
      </c>
      <c r="V253" s="345">
        <f>_xll.qlYieldTSDiscount(Discounting,R253,,AllTriggers)</f>
        <v>0.99493305488059336</v>
      </c>
      <c r="W253" s="345">
        <f>_xll.qlYieldTSDiscount(Discounting,S253,,AllTriggers)</f>
        <v>0.99301190827616248</v>
      </c>
      <c r="X253" s="32">
        <f t="shared" si="13"/>
        <v>7.8461463751850046E-3</v>
      </c>
      <c r="Y253" s="452">
        <f t="shared" si="14"/>
        <v>4.2099989688210588E-4</v>
      </c>
      <c r="AD253" s="33"/>
      <c r="AE253" s="33"/>
    </row>
    <row r="254" spans="5:31" ht="11.25" customHeight="1" x14ac:dyDescent="0.2">
      <c r="E254" s="155"/>
      <c r="F254" s="155"/>
      <c r="G254" s="33"/>
      <c r="K254" s="33"/>
      <c r="L254" s="33"/>
      <c r="R254" s="422">
        <f>_xll.qlCalendarAdvance(Calendar,R253,"1D","f")</f>
        <v>42429</v>
      </c>
      <c r="S254" s="221">
        <f>_xll.qlCalendarAdvance(Calendar,R254,$F$1,"mf",,Trigger)</f>
        <v>42521</v>
      </c>
      <c r="T254" s="342">
        <f>_xll.qlDayCounterYearFraction(DayCounter,R254,S254,,,Trigger)</f>
        <v>0.25205479452054796</v>
      </c>
      <c r="U254" s="32">
        <f>_xll.qlInterpolationInterpolate(B3Minterpolation,R254,TRUE)</f>
        <v>1.7123835477221244E-3</v>
      </c>
      <c r="V254" s="345">
        <f>_xll.qlYieldTSDiscount(Discounting,R254,,AllTriggers)</f>
        <v>0.99487338507062528</v>
      </c>
      <c r="W254" s="345">
        <f>_xll.qlYieldTSDiscount(Discounting,S254,,AllTriggers)</f>
        <v>0.99289594444528939</v>
      </c>
      <c r="X254" s="32">
        <f t="shared" si="13"/>
        <v>7.9014128174378796E-3</v>
      </c>
      <c r="Y254" s="452">
        <f t="shared" si="14"/>
        <v>4.3066384418818357E-4</v>
      </c>
      <c r="AD254" s="33"/>
      <c r="AE254" s="33"/>
    </row>
    <row r="255" spans="5:31" ht="11.25" customHeight="1" x14ac:dyDescent="0.2">
      <c r="E255" s="155"/>
      <c r="F255" s="155"/>
      <c r="G255" s="33"/>
      <c r="K255" s="33"/>
      <c r="L255" s="33"/>
      <c r="R255" s="422">
        <f>_xll.qlCalendarAdvance(Calendar,R254,"1D","f")</f>
        <v>42430</v>
      </c>
      <c r="S255" s="221">
        <f>_xll.qlCalendarAdvance(Calendar,R255,$F$1,"mf",,Trigger)</f>
        <v>42522</v>
      </c>
      <c r="T255" s="342">
        <f>_xll.qlDayCounterYearFraction(DayCounter,R255,S255,,,Trigger)</f>
        <v>0.25205479452054796</v>
      </c>
      <c r="U255" s="32">
        <f>_xll.qlInterpolationInterpolate(B3Minterpolation,R255,TRUE)</f>
        <v>1.7128629875892531E-3</v>
      </c>
      <c r="V255" s="345">
        <f>_xll.qlYieldTSDiscount(Discounting,R255,,AllTriggers)</f>
        <v>0.99485341800901161</v>
      </c>
      <c r="W255" s="345">
        <f>_xll.qlYieldTSDiscount(Discounting,S255,,AllTriggers)</f>
        <v>0.9928726160548802</v>
      </c>
      <c r="X255" s="32">
        <f t="shared" si="13"/>
        <v>7.9150299055299172E-3</v>
      </c>
      <c r="Y255" s="452">
        <f t="shared" si="14"/>
        <v>4.307829218747116E-4</v>
      </c>
      <c r="AD255" s="33"/>
      <c r="AE255" s="33"/>
    </row>
    <row r="256" spans="5:31" ht="11.25" customHeight="1" x14ac:dyDescent="0.2">
      <c r="E256" s="155"/>
      <c r="F256" s="155"/>
      <c r="G256" s="33"/>
      <c r="K256" s="33"/>
      <c r="L256" s="33"/>
      <c r="R256" s="422">
        <f>_xll.qlCalendarAdvance(Calendar,R255,"1D","f")</f>
        <v>42431</v>
      </c>
      <c r="S256" s="221">
        <f>_xll.qlCalendarAdvance(Calendar,R256,$F$1,"mf",,Trigger)</f>
        <v>42523</v>
      </c>
      <c r="T256" s="342">
        <f>_xll.qlDayCounterYearFraction(DayCounter,R256,S256,,,Trigger)</f>
        <v>0.25205479452054796</v>
      </c>
      <c r="U256" s="32">
        <f>_xll.qlInterpolationInterpolate(B3Minterpolation,R256,TRUE)</f>
        <v>1.7133613990465472E-3</v>
      </c>
      <c r="V256" s="345">
        <f>_xll.qlYieldTSDiscount(Discounting,R256,,AllTriggers)</f>
        <v>0.9948334172981953</v>
      </c>
      <c r="W256" s="345">
        <f>_xll.qlYieldTSDiscount(Discounting,S256,,AllTriggers)</f>
        <v>0.99284924199420244</v>
      </c>
      <c r="X256" s="32">
        <f t="shared" si="13"/>
        <v>7.9286960340040971E-3</v>
      </c>
      <c r="Y256" s="452">
        <f t="shared" si="14"/>
        <v>4.3090676370359309E-4</v>
      </c>
      <c r="AD256" s="33"/>
      <c r="AE256" s="33"/>
    </row>
    <row r="257" spans="5:31" ht="11.25" customHeight="1" x14ac:dyDescent="0.2">
      <c r="E257" s="155"/>
      <c r="F257" s="155"/>
      <c r="G257" s="33"/>
      <c r="K257" s="33"/>
      <c r="L257" s="33"/>
      <c r="R257" s="422">
        <f>_xll.qlCalendarAdvance(Calendar,R256,"1D","f")</f>
        <v>42432</v>
      </c>
      <c r="S257" s="221">
        <f>_xll.qlCalendarAdvance(Calendar,R257,$F$1,"mf",,Trigger)</f>
        <v>42524</v>
      </c>
      <c r="T257" s="342">
        <f>_xll.qlDayCounterYearFraction(DayCounter,R257,S257,,,Trigger)</f>
        <v>0.25205479452054796</v>
      </c>
      <c r="U257" s="32">
        <f>_xll.qlInterpolationInterpolate(B3Minterpolation,R257,TRUE)</f>
        <v>1.7138795030045067E-3</v>
      </c>
      <c r="V257" s="345">
        <f>_xll.qlYieldTSDiscount(Discounting,R257,,AllTriggers)</f>
        <v>0.99481338588579293</v>
      </c>
      <c r="W257" s="345">
        <f>_xll.qlYieldTSDiscount(Discounting,S257,,AllTriggers)</f>
        <v>0.99282582206522496</v>
      </c>
      <c r="X257" s="32">
        <f t="shared" si="13"/>
        <v>7.9424237799887425E-3</v>
      </c>
      <c r="Y257" s="452">
        <f t="shared" si="14"/>
        <v>4.3103554952359175E-4</v>
      </c>
      <c r="AD257" s="33"/>
      <c r="AE257" s="33"/>
    </row>
    <row r="258" spans="5:31" ht="11.25" customHeight="1" x14ac:dyDescent="0.2">
      <c r="E258" s="155"/>
      <c r="F258" s="155"/>
      <c r="G258" s="33"/>
      <c r="K258" s="33"/>
      <c r="L258" s="33"/>
      <c r="R258" s="422">
        <f>_xll.qlCalendarAdvance(Calendar,R257,"1D","f")</f>
        <v>42433</v>
      </c>
      <c r="S258" s="221">
        <f>_xll.qlCalendarAdvance(Calendar,R258,$F$1,"mf",,Trigger)</f>
        <v>42527</v>
      </c>
      <c r="T258" s="342">
        <f>_xll.qlDayCounterYearFraction(DayCounter,R258,S258,,,Trigger)</f>
        <v>0.25753424657534246</v>
      </c>
      <c r="U258" s="32">
        <f>_xll.qlInterpolationInterpolate(B3Minterpolation,R258,TRUE)</f>
        <v>1.7144180203736321E-3</v>
      </c>
      <c r="V258" s="345">
        <f>_xll.qlYieldTSDiscount(Discounting,R258,,AllTriggers)</f>
        <v>0.99479332619465477</v>
      </c>
      <c r="W258" s="345">
        <f>_xll.qlYieldTSDiscount(Discounting,S258,,AllTriggers)</f>
        <v>0.9927552861446528</v>
      </c>
      <c r="X258" s="32">
        <f t="shared" si="13"/>
        <v>7.9714167852338418E-3</v>
      </c>
      <c r="Y258" s="452">
        <f t="shared" si="14"/>
        <v>4.4051976222576303E-4</v>
      </c>
      <c r="AD258" s="33"/>
      <c r="AE258" s="33"/>
    </row>
    <row r="259" spans="5:31" ht="11.25" customHeight="1" x14ac:dyDescent="0.2">
      <c r="E259" s="155"/>
      <c r="F259" s="155"/>
      <c r="G259" s="33"/>
      <c r="K259" s="33"/>
      <c r="L259" s="33"/>
      <c r="R259" s="422">
        <f>_xll.qlCalendarAdvance(Calendar,R258,"1D","f")</f>
        <v>42436</v>
      </c>
      <c r="S259" s="221">
        <f>_xll.qlCalendarAdvance(Calendar,R259,$F$1,"mf",,Trigger)</f>
        <v>42528</v>
      </c>
      <c r="T259" s="342">
        <f>_xll.qlDayCounterYearFraction(DayCounter,R259,S259,,,Trigger)</f>
        <v>0.25205479452054796</v>
      </c>
      <c r="U259" s="32">
        <f>_xll.qlInterpolationInterpolate(B3Minterpolation,R259,TRUE)</f>
        <v>1.7161632620530079E-3</v>
      </c>
      <c r="V259" s="345">
        <f>_xll.qlYieldTSDiscount(Discounting,R259,,AllTriggers)</f>
        <v>0.99473297859641641</v>
      </c>
      <c r="W259" s="345">
        <f>_xll.qlYieldTSDiscount(Discounting,S259,,AllTriggers)</f>
        <v>0.99273168220984764</v>
      </c>
      <c r="X259" s="32">
        <f t="shared" si="13"/>
        <v>7.998058311004445E-3</v>
      </c>
      <c r="Y259" s="452">
        <f t="shared" si="14"/>
        <v>4.316037451738996E-4</v>
      </c>
      <c r="AD259" s="33"/>
      <c r="AE259" s="33"/>
    </row>
    <row r="260" spans="5:31" ht="11.25" customHeight="1" x14ac:dyDescent="0.2">
      <c r="E260" s="155"/>
      <c r="F260" s="155"/>
      <c r="G260" s="33"/>
      <c r="K260" s="33"/>
      <c r="L260" s="33"/>
      <c r="R260" s="422">
        <f>_xll.qlCalendarAdvance(Calendar,R259,"1D","f")</f>
        <v>42437</v>
      </c>
      <c r="S260" s="221">
        <f>_xll.qlCalendarAdvance(Calendar,R260,$F$1,"mf",,Trigger)</f>
        <v>42529</v>
      </c>
      <c r="T260" s="342">
        <f>_xll.qlDayCounterYearFraction(DayCounter,R260,S260,,,Trigger)</f>
        <v>0.25205479452054796</v>
      </c>
      <c r="U260" s="32">
        <f>_xll.qlInterpolationInterpolate(B3Minterpolation,R260,TRUE)</f>
        <v>1.7167906421718005E-3</v>
      </c>
      <c r="V260" s="345">
        <f>_xll.qlYieldTSDiscount(Discounting,R260,,AllTriggers)</f>
        <v>0.99471280588891287</v>
      </c>
      <c r="W260" s="345">
        <f>_xll.qlYieldTSDiscount(Discounting,S260,,AllTriggers)</f>
        <v>0.9927080323556019</v>
      </c>
      <c r="X260" s="32">
        <f t="shared" ref="X260:X261" si="15">(V260/W260-1)/T260</f>
        <v>8.0121453881772768E-3</v>
      </c>
      <c r="Y260" s="452">
        <f t="shared" ref="Y260:Y261" si="16">LN((1+(U260+X260)*T260)/(1+X260*T260))</f>
        <v>4.3175996343801018E-4</v>
      </c>
      <c r="AD260" s="33"/>
      <c r="AE260" s="33"/>
    </row>
    <row r="261" spans="5:31" ht="11.25" customHeight="1" thickBot="1" x14ac:dyDescent="0.25">
      <c r="E261" s="155"/>
      <c r="F261" s="155"/>
      <c r="G261" s="33"/>
      <c r="K261" s="33"/>
      <c r="L261" s="33"/>
      <c r="R261" s="474">
        <f>_xll.qlCalendarAdvance(Calendar,R260,"1D","f")</f>
        <v>42438</v>
      </c>
      <c r="S261" s="223">
        <f>_xll.qlCalendarAdvance(Calendar,R261,$F$1,"mf",,Trigger)</f>
        <v>42530</v>
      </c>
      <c r="T261" s="343">
        <f>_xll.qlDayCounterYearFraction(DayCounter,R261,S261,,,Trigger)</f>
        <v>0.25205479452054796</v>
      </c>
      <c r="U261" s="224">
        <f>_xll.qlInterpolationInterpolate(B3Minterpolation,R261,TRUE)</f>
        <v>1.7174420402542609E-3</v>
      </c>
      <c r="V261" s="346">
        <f>_xll.qlYieldTSDiscount(Discounting,R261,,AllTriggers)</f>
        <v>0.99469260442750296</v>
      </c>
      <c r="W261" s="346">
        <f>_xll.qlYieldTSDiscount(Discounting,S261,,AllTriggers)</f>
        <v>0.99268433661864031</v>
      </c>
      <c r="X261" s="224">
        <f t="shared" si="15"/>
        <v>8.0263019650571362E-3</v>
      </c>
      <c r="Y261" s="453">
        <f t="shared" si="16"/>
        <v>4.3192221203243751E-4</v>
      </c>
      <c r="AD261" s="33"/>
      <c r="AE261" s="33"/>
    </row>
    <row r="262" spans="5:31" ht="11.25" customHeight="1" x14ac:dyDescent="0.2">
      <c r="E262" s="155"/>
      <c r="F262" s="155"/>
      <c r="G262" s="33"/>
      <c r="K262" s="33"/>
      <c r="L262" s="33"/>
      <c r="R262" s="439"/>
      <c r="S262" s="439"/>
      <c r="T262" s="439"/>
      <c r="U262" s="439"/>
      <c r="V262" s="439"/>
      <c r="W262" s="439"/>
      <c r="X262" s="440"/>
      <c r="Y262" s="441"/>
      <c r="AD262" s="33"/>
      <c r="AE262" s="33"/>
    </row>
    <row r="263" spans="5:31" ht="11.25" customHeight="1" x14ac:dyDescent="0.2">
      <c r="E263" s="155"/>
      <c r="F263" s="155"/>
      <c r="G263" s="33"/>
      <c r="K263" s="33"/>
      <c r="L263" s="33"/>
      <c r="R263" s="442"/>
      <c r="S263" s="442"/>
      <c r="T263" s="442"/>
      <c r="U263" s="442"/>
      <c r="V263" s="442"/>
      <c r="W263" s="442"/>
      <c r="X263" s="443"/>
      <c r="Y263" s="444"/>
      <c r="AD263" s="33"/>
      <c r="AE263" s="33"/>
    </row>
    <row r="264" spans="5:31" ht="11.25" customHeight="1" x14ac:dyDescent="0.2">
      <c r="E264" s="155"/>
      <c r="F264" s="155"/>
      <c r="G264" s="33"/>
      <c r="K264" s="33"/>
      <c r="L264" s="33"/>
      <c r="R264" s="442"/>
      <c r="S264" s="442"/>
      <c r="T264" s="442"/>
      <c r="U264" s="442"/>
      <c r="V264" s="442"/>
      <c r="W264" s="442"/>
      <c r="X264" s="443"/>
      <c r="Y264" s="444"/>
      <c r="AD264" s="33"/>
      <c r="AE264" s="33"/>
    </row>
    <row r="265" spans="5:31" ht="11.25" customHeight="1" x14ac:dyDescent="0.2">
      <c r="E265" s="155"/>
      <c r="F265" s="155"/>
      <c r="G265" s="33"/>
      <c r="K265" s="33"/>
      <c r="L265" s="33"/>
      <c r="R265" s="442"/>
      <c r="S265" s="442"/>
      <c r="T265" s="442"/>
      <c r="U265" s="442"/>
      <c r="V265" s="442"/>
      <c r="W265" s="442"/>
      <c r="X265" s="443"/>
      <c r="Y265" s="444"/>
      <c r="AD265" s="33"/>
      <c r="AE265" s="33"/>
    </row>
    <row r="266" spans="5:31" ht="11.25" customHeight="1" x14ac:dyDescent="0.2">
      <c r="E266" s="155"/>
      <c r="F266" s="155"/>
      <c r="G266" s="33"/>
      <c r="K266" s="33"/>
      <c r="L266" s="33"/>
      <c r="R266" s="442"/>
      <c r="S266" s="442"/>
      <c r="T266" s="442"/>
      <c r="U266" s="442"/>
      <c r="V266" s="442"/>
      <c r="W266" s="442"/>
      <c r="X266" s="443"/>
      <c r="Y266" s="444"/>
      <c r="AD266" s="33"/>
      <c r="AE266" s="33"/>
    </row>
    <row r="267" spans="5:31" ht="11.25" customHeight="1" x14ac:dyDescent="0.2">
      <c r="E267" s="155"/>
      <c r="F267" s="155"/>
      <c r="G267" s="33"/>
      <c r="K267" s="33"/>
      <c r="L267" s="33"/>
      <c r="R267" s="442"/>
      <c r="S267" s="442"/>
      <c r="T267" s="442"/>
      <c r="U267" s="442"/>
      <c r="V267" s="442"/>
      <c r="W267" s="442"/>
      <c r="X267" s="443"/>
      <c r="Y267" s="444"/>
      <c r="AD267" s="33"/>
      <c r="AE267" s="33"/>
    </row>
    <row r="268" spans="5:31" ht="11.25" customHeight="1" x14ac:dyDescent="0.2">
      <c r="E268" s="155"/>
      <c r="F268" s="155"/>
      <c r="G268" s="33"/>
      <c r="K268" s="33"/>
      <c r="L268" s="33"/>
      <c r="R268" s="442"/>
      <c r="S268" s="442"/>
      <c r="T268" s="442"/>
      <c r="U268" s="442"/>
      <c r="V268" s="442"/>
      <c r="W268" s="442"/>
      <c r="X268" s="443"/>
      <c r="Y268" s="444"/>
      <c r="AD268" s="33"/>
      <c r="AE268" s="33"/>
    </row>
    <row r="269" spans="5:31" ht="11.25" customHeight="1" x14ac:dyDescent="0.2">
      <c r="E269" s="155"/>
      <c r="F269" s="155"/>
      <c r="G269" s="33"/>
      <c r="K269" s="33"/>
      <c r="L269" s="33"/>
      <c r="R269" s="442"/>
      <c r="S269" s="442"/>
      <c r="T269" s="442"/>
      <c r="U269" s="442"/>
      <c r="V269" s="442"/>
      <c r="W269" s="442"/>
      <c r="X269" s="443"/>
      <c r="Y269" s="444"/>
      <c r="AD269" s="33"/>
      <c r="AE269" s="33"/>
    </row>
    <row r="270" spans="5:31" ht="11.25" customHeight="1" x14ac:dyDescent="0.2">
      <c r="E270" s="155"/>
      <c r="F270" s="155"/>
      <c r="G270" s="33"/>
      <c r="K270" s="33"/>
      <c r="L270" s="33"/>
      <c r="R270" s="442"/>
      <c r="S270" s="442"/>
      <c r="T270" s="442"/>
      <c r="U270" s="442"/>
      <c r="V270" s="442"/>
      <c r="W270" s="442"/>
      <c r="X270" s="443"/>
      <c r="Y270" s="444"/>
      <c r="AD270" s="33"/>
      <c r="AE270" s="33"/>
    </row>
    <row r="271" spans="5:31" ht="11.25" customHeight="1" x14ac:dyDescent="0.2">
      <c r="E271" s="155"/>
      <c r="F271" s="155"/>
      <c r="G271" s="33"/>
      <c r="K271" s="33"/>
      <c r="L271" s="33"/>
      <c r="R271" s="442"/>
      <c r="S271" s="442"/>
      <c r="T271" s="442"/>
      <c r="U271" s="442"/>
      <c r="V271" s="442"/>
      <c r="W271" s="442"/>
      <c r="X271" s="443"/>
      <c r="Y271" s="444"/>
      <c r="AD271" s="33"/>
      <c r="AE271" s="33"/>
    </row>
    <row r="272" spans="5:31" ht="11.25" customHeight="1" x14ac:dyDescent="0.2">
      <c r="E272" s="155"/>
      <c r="F272" s="155"/>
      <c r="G272" s="33"/>
      <c r="K272" s="33"/>
      <c r="L272" s="33"/>
      <c r="R272" s="442"/>
      <c r="S272" s="442"/>
      <c r="T272" s="442"/>
      <c r="U272" s="442"/>
      <c r="V272" s="442"/>
      <c r="W272" s="442"/>
      <c r="X272" s="443"/>
      <c r="Y272" s="444"/>
      <c r="AD272" s="33"/>
      <c r="AE272" s="33"/>
    </row>
    <row r="273" spans="5:31" ht="11.25" customHeight="1" x14ac:dyDescent="0.2">
      <c r="E273" s="155"/>
      <c r="F273" s="155"/>
      <c r="G273" s="33"/>
      <c r="K273" s="33"/>
      <c r="L273" s="33"/>
      <c r="R273" s="442"/>
      <c r="S273" s="442"/>
      <c r="T273" s="442"/>
      <c r="U273" s="442"/>
      <c r="V273" s="442"/>
      <c r="W273" s="442"/>
      <c r="X273" s="443"/>
      <c r="Y273" s="444"/>
      <c r="AD273" s="33"/>
      <c r="AE273" s="33"/>
    </row>
    <row r="274" spans="5:31" ht="11.25" customHeight="1" x14ac:dyDescent="0.2">
      <c r="E274" s="155"/>
      <c r="F274" s="155"/>
      <c r="G274" s="33"/>
      <c r="K274" s="33"/>
      <c r="L274" s="33"/>
      <c r="R274" s="442"/>
      <c r="S274" s="442"/>
      <c r="T274" s="442"/>
      <c r="U274" s="442"/>
      <c r="V274" s="442"/>
      <c r="W274" s="442"/>
      <c r="X274" s="443"/>
      <c r="Y274" s="444"/>
      <c r="AD274" s="33"/>
      <c r="AE274" s="33"/>
    </row>
    <row r="275" spans="5:31" ht="11.25" customHeight="1" x14ac:dyDescent="0.2">
      <c r="E275" s="155"/>
      <c r="F275" s="155"/>
      <c r="G275" s="33"/>
      <c r="K275" s="33"/>
      <c r="L275" s="33"/>
      <c r="R275" s="442"/>
      <c r="S275" s="442"/>
      <c r="T275" s="442"/>
      <c r="U275" s="442"/>
      <c r="V275" s="442"/>
      <c r="W275" s="442"/>
      <c r="X275" s="443"/>
      <c r="Y275" s="444"/>
      <c r="AD275" s="33"/>
      <c r="AE275" s="33"/>
    </row>
    <row r="276" spans="5:31" ht="11.25" customHeight="1" x14ac:dyDescent="0.2">
      <c r="E276" s="155"/>
      <c r="F276" s="155"/>
      <c r="G276" s="33"/>
      <c r="K276" s="33"/>
      <c r="L276" s="33"/>
      <c r="R276" s="442"/>
      <c r="S276" s="442"/>
      <c r="T276" s="442"/>
      <c r="U276" s="442"/>
      <c r="V276" s="442"/>
      <c r="W276" s="442"/>
      <c r="X276" s="443"/>
      <c r="Y276" s="444"/>
      <c r="AD276" s="33"/>
      <c r="AE276" s="33"/>
    </row>
    <row r="277" spans="5:31" ht="11.25" customHeight="1" x14ac:dyDescent="0.2">
      <c r="E277" s="155"/>
      <c r="F277" s="155"/>
      <c r="G277" s="33"/>
      <c r="K277" s="33"/>
      <c r="L277" s="33"/>
      <c r="R277" s="442"/>
      <c r="S277" s="442"/>
      <c r="T277" s="442"/>
      <c r="U277" s="442"/>
      <c r="V277" s="442"/>
      <c r="W277" s="442"/>
      <c r="X277" s="443"/>
      <c r="Y277" s="444"/>
      <c r="AD277" s="33"/>
      <c r="AE277" s="33"/>
    </row>
    <row r="278" spans="5:31" ht="11.25" customHeight="1" x14ac:dyDescent="0.2">
      <c r="E278" s="155"/>
      <c r="F278" s="155"/>
      <c r="G278" s="33"/>
      <c r="K278" s="33"/>
      <c r="L278" s="33"/>
      <c r="R278" s="442"/>
      <c r="S278" s="442"/>
      <c r="T278" s="442"/>
      <c r="U278" s="442"/>
      <c r="V278" s="442"/>
      <c r="W278" s="442"/>
      <c r="X278" s="443"/>
      <c r="Y278" s="444"/>
      <c r="AD278" s="33"/>
      <c r="AE278" s="33"/>
    </row>
    <row r="279" spans="5:31" ht="11.25" customHeight="1" x14ac:dyDescent="0.2">
      <c r="E279" s="155"/>
      <c r="F279" s="155"/>
      <c r="G279" s="33"/>
      <c r="K279" s="33"/>
      <c r="L279" s="33"/>
      <c r="R279" s="442"/>
      <c r="S279" s="442"/>
      <c r="T279" s="442"/>
      <c r="U279" s="442"/>
      <c r="V279" s="442"/>
      <c r="W279" s="442"/>
      <c r="X279" s="443"/>
      <c r="Y279" s="444"/>
      <c r="AD279" s="33"/>
      <c r="AE279" s="33"/>
    </row>
    <row r="280" spans="5:31" ht="11.25" customHeight="1" x14ac:dyDescent="0.2">
      <c r="E280" s="155"/>
      <c r="F280" s="155"/>
      <c r="G280" s="33"/>
      <c r="K280" s="33"/>
      <c r="L280" s="33"/>
      <c r="R280" s="442"/>
      <c r="S280" s="442"/>
      <c r="T280" s="442"/>
      <c r="U280" s="442"/>
      <c r="V280" s="442"/>
      <c r="W280" s="442"/>
      <c r="X280" s="443"/>
      <c r="Y280" s="444"/>
      <c r="AD280" s="33"/>
      <c r="AE280" s="33"/>
    </row>
    <row r="281" spans="5:31" ht="11.25" customHeight="1" x14ac:dyDescent="0.2">
      <c r="E281" s="155"/>
      <c r="F281" s="155"/>
      <c r="G281" s="33"/>
      <c r="K281" s="33"/>
      <c r="L281" s="33"/>
      <c r="R281" s="442"/>
      <c r="S281" s="442"/>
      <c r="T281" s="442"/>
      <c r="U281" s="442"/>
      <c r="V281" s="442"/>
      <c r="W281" s="442"/>
      <c r="X281" s="443"/>
      <c r="Y281" s="444"/>
      <c r="AD281" s="33"/>
      <c r="AE281" s="33"/>
    </row>
    <row r="282" spans="5:31" ht="11.25" customHeight="1" x14ac:dyDescent="0.2">
      <c r="E282" s="155"/>
      <c r="F282" s="155"/>
      <c r="G282" s="33"/>
      <c r="K282" s="33"/>
      <c r="L282" s="33"/>
      <c r="R282" s="442"/>
      <c r="S282" s="442"/>
      <c r="T282" s="442"/>
      <c r="U282" s="442"/>
      <c r="V282" s="442"/>
      <c r="W282" s="442"/>
      <c r="X282" s="443"/>
      <c r="Y282" s="444"/>
      <c r="AD282" s="33"/>
      <c r="AE282" s="33"/>
    </row>
    <row r="283" spans="5:31" ht="11.25" customHeight="1" x14ac:dyDescent="0.2">
      <c r="E283" s="155"/>
      <c r="F283" s="155"/>
      <c r="G283" s="33"/>
      <c r="K283" s="33"/>
      <c r="L283" s="33"/>
      <c r="R283" s="442"/>
      <c r="S283" s="442"/>
      <c r="T283" s="442"/>
      <c r="U283" s="442"/>
      <c r="V283" s="442"/>
      <c r="W283" s="442"/>
      <c r="X283" s="443"/>
      <c r="Y283" s="444"/>
      <c r="AD283" s="33"/>
      <c r="AE283" s="33"/>
    </row>
    <row r="284" spans="5:31" ht="11.25" customHeight="1" x14ac:dyDescent="0.2">
      <c r="E284" s="155"/>
      <c r="F284" s="155"/>
      <c r="G284" s="33"/>
      <c r="K284" s="33"/>
      <c r="L284" s="33"/>
      <c r="R284" s="442"/>
      <c r="S284" s="442"/>
      <c r="T284" s="442"/>
      <c r="U284" s="442"/>
      <c r="V284" s="442"/>
      <c r="W284" s="442"/>
      <c r="X284" s="443"/>
      <c r="Y284" s="444"/>
      <c r="AD284" s="33"/>
      <c r="AE284" s="33"/>
    </row>
    <row r="285" spans="5:31" ht="11.25" customHeight="1" x14ac:dyDescent="0.2">
      <c r="E285" s="155"/>
      <c r="F285" s="155"/>
      <c r="G285" s="33"/>
      <c r="K285" s="33"/>
      <c r="L285" s="33"/>
      <c r="R285" s="442"/>
      <c r="S285" s="442"/>
      <c r="T285" s="442"/>
      <c r="U285" s="442"/>
      <c r="V285" s="442"/>
      <c r="W285" s="442"/>
      <c r="X285" s="443"/>
      <c r="Y285" s="444"/>
      <c r="AD285" s="33"/>
      <c r="AE285" s="33"/>
    </row>
    <row r="286" spans="5:31" ht="11.25" customHeight="1" x14ac:dyDescent="0.2">
      <c r="E286" s="155"/>
      <c r="F286" s="155"/>
      <c r="G286" s="33"/>
      <c r="K286" s="33"/>
      <c r="L286" s="33"/>
      <c r="R286" s="442"/>
      <c r="S286" s="442"/>
      <c r="T286" s="442"/>
      <c r="U286" s="442"/>
      <c r="V286" s="442"/>
      <c r="W286" s="442"/>
      <c r="X286" s="443"/>
      <c r="Y286" s="444"/>
      <c r="AD286" s="33"/>
      <c r="AE286" s="33"/>
    </row>
    <row r="287" spans="5:31" ht="11.25" customHeight="1" x14ac:dyDescent="0.2">
      <c r="E287" s="155"/>
      <c r="F287" s="155"/>
      <c r="G287" s="33"/>
      <c r="K287" s="33"/>
      <c r="L287" s="33"/>
      <c r="R287" s="442"/>
      <c r="S287" s="442"/>
      <c r="T287" s="442"/>
      <c r="U287" s="442"/>
      <c r="V287" s="442"/>
      <c r="W287" s="442"/>
      <c r="X287" s="443"/>
      <c r="Y287" s="444"/>
      <c r="AD287" s="33"/>
      <c r="AE287" s="33"/>
    </row>
    <row r="288" spans="5:31" ht="11.25" customHeight="1" x14ac:dyDescent="0.2">
      <c r="E288" s="155"/>
      <c r="F288" s="155"/>
      <c r="G288" s="33"/>
      <c r="K288" s="33"/>
      <c r="L288" s="33"/>
      <c r="R288" s="442"/>
      <c r="S288" s="442"/>
      <c r="T288" s="442"/>
      <c r="U288" s="442"/>
      <c r="V288" s="442"/>
      <c r="W288" s="442"/>
      <c r="X288" s="443"/>
      <c r="Y288" s="444"/>
      <c r="AD288" s="33"/>
      <c r="AE288" s="33"/>
    </row>
    <row r="289" spans="5:31" ht="11.25" customHeight="1" x14ac:dyDescent="0.2">
      <c r="E289" s="155"/>
      <c r="F289" s="155"/>
      <c r="G289" s="33"/>
      <c r="K289" s="33"/>
      <c r="L289" s="33"/>
      <c r="R289" s="442"/>
      <c r="S289" s="442"/>
      <c r="T289" s="442"/>
      <c r="U289" s="442"/>
      <c r="V289" s="442"/>
      <c r="W289" s="442"/>
      <c r="X289" s="443"/>
      <c r="Y289" s="444"/>
      <c r="AD289" s="33"/>
      <c r="AE289" s="33"/>
    </row>
    <row r="290" spans="5:31" ht="11.25" customHeight="1" x14ac:dyDescent="0.2">
      <c r="E290" s="155"/>
      <c r="F290" s="155"/>
      <c r="G290" s="33"/>
      <c r="K290" s="33"/>
      <c r="L290" s="33"/>
      <c r="R290" s="442"/>
      <c r="S290" s="442"/>
      <c r="T290" s="442"/>
      <c r="U290" s="442"/>
      <c r="V290" s="442"/>
      <c r="W290" s="442"/>
      <c r="X290" s="443"/>
      <c r="Y290" s="444"/>
      <c r="AD290" s="33"/>
      <c r="AE290" s="33"/>
    </row>
    <row r="291" spans="5:31" ht="11.25" customHeight="1" x14ac:dyDescent="0.2">
      <c r="E291" s="155"/>
      <c r="F291" s="155"/>
      <c r="G291" s="33"/>
      <c r="K291" s="33"/>
      <c r="L291" s="33"/>
      <c r="R291" s="442"/>
      <c r="S291" s="442"/>
      <c r="T291" s="442"/>
      <c r="U291" s="442"/>
      <c r="V291" s="442"/>
      <c r="W291" s="442"/>
      <c r="X291" s="443"/>
      <c r="Y291" s="444"/>
      <c r="AD291" s="33"/>
      <c r="AE291" s="33"/>
    </row>
    <row r="292" spans="5:31" ht="11.25" customHeight="1" x14ac:dyDescent="0.2">
      <c r="E292" s="155"/>
      <c r="F292" s="155"/>
      <c r="G292" s="33"/>
      <c r="K292" s="33"/>
      <c r="L292" s="33"/>
      <c r="R292" s="442"/>
      <c r="S292" s="442"/>
      <c r="T292" s="442"/>
      <c r="U292" s="442"/>
      <c r="V292" s="442"/>
      <c r="W292" s="442"/>
      <c r="X292" s="443"/>
      <c r="Y292" s="444"/>
      <c r="AD292" s="33"/>
      <c r="AE292" s="33"/>
    </row>
    <row r="293" spans="5:31" ht="11.25" customHeight="1" x14ac:dyDescent="0.2">
      <c r="E293" s="155"/>
      <c r="F293" s="155"/>
      <c r="G293" s="33"/>
      <c r="K293" s="33"/>
      <c r="L293" s="33"/>
      <c r="R293" s="442"/>
      <c r="S293" s="442"/>
      <c r="T293" s="442"/>
      <c r="U293" s="442"/>
      <c r="V293" s="442"/>
      <c r="W293" s="442"/>
      <c r="X293" s="443"/>
      <c r="Y293" s="444"/>
      <c r="AD293" s="33"/>
      <c r="AE293" s="33"/>
    </row>
    <row r="294" spans="5:31" ht="11.25" customHeight="1" x14ac:dyDescent="0.2">
      <c r="E294" s="155"/>
      <c r="F294" s="155"/>
      <c r="G294" s="33"/>
      <c r="K294" s="33"/>
      <c r="L294" s="33"/>
      <c r="R294" s="442"/>
      <c r="S294" s="442"/>
      <c r="T294" s="442"/>
      <c r="U294" s="442"/>
      <c r="V294" s="442"/>
      <c r="W294" s="442"/>
      <c r="X294" s="443"/>
      <c r="Y294" s="444"/>
      <c r="AD294" s="33"/>
      <c r="AE294" s="33"/>
    </row>
    <row r="295" spans="5:31" ht="11.25" customHeight="1" x14ac:dyDescent="0.2">
      <c r="E295" s="155"/>
      <c r="F295" s="155"/>
      <c r="G295" s="33"/>
      <c r="K295" s="33"/>
      <c r="L295" s="33"/>
      <c r="R295" s="442"/>
      <c r="S295" s="442"/>
      <c r="T295" s="442"/>
      <c r="U295" s="442"/>
      <c r="V295" s="442"/>
      <c r="W295" s="442"/>
      <c r="X295" s="443"/>
      <c r="Y295" s="444"/>
      <c r="AD295" s="33"/>
      <c r="AE295" s="33"/>
    </row>
    <row r="296" spans="5:31" ht="11.25" customHeight="1" x14ac:dyDescent="0.2">
      <c r="E296" s="155"/>
      <c r="F296" s="155"/>
      <c r="G296" s="33"/>
      <c r="K296" s="33"/>
      <c r="L296" s="33"/>
      <c r="R296" s="442"/>
      <c r="S296" s="442"/>
      <c r="T296" s="442"/>
      <c r="U296" s="442"/>
      <c r="V296" s="442"/>
      <c r="W296" s="442"/>
      <c r="X296" s="443"/>
      <c r="Y296" s="444"/>
      <c r="AD296" s="33"/>
      <c r="AE296" s="33"/>
    </row>
    <row r="297" spans="5:31" ht="11.25" customHeight="1" x14ac:dyDescent="0.2">
      <c r="E297" s="155"/>
      <c r="F297" s="155"/>
      <c r="G297" s="33"/>
      <c r="K297" s="33"/>
      <c r="L297" s="33"/>
      <c r="R297" s="442"/>
      <c r="S297" s="442"/>
      <c r="T297" s="442"/>
      <c r="U297" s="442"/>
      <c r="V297" s="442"/>
      <c r="W297" s="442"/>
      <c r="X297" s="443"/>
      <c r="Y297" s="444"/>
      <c r="AD297" s="33"/>
      <c r="AE297" s="33"/>
    </row>
    <row r="298" spans="5:31" ht="11.25" customHeight="1" x14ac:dyDescent="0.2">
      <c r="E298" s="155"/>
      <c r="F298" s="155"/>
      <c r="G298" s="33"/>
      <c r="K298" s="33"/>
      <c r="L298" s="33"/>
      <c r="R298" s="442"/>
      <c r="S298" s="442"/>
      <c r="T298" s="442"/>
      <c r="U298" s="442"/>
      <c r="V298" s="442"/>
      <c r="W298" s="442"/>
      <c r="X298" s="443"/>
      <c r="Y298" s="444"/>
      <c r="AD298" s="33"/>
      <c r="AE298" s="33"/>
    </row>
    <row r="299" spans="5:31" ht="11.25" customHeight="1" x14ac:dyDescent="0.2">
      <c r="E299" s="155"/>
      <c r="F299" s="155"/>
      <c r="G299" s="33"/>
      <c r="K299" s="33"/>
      <c r="L299" s="33"/>
      <c r="R299" s="442"/>
      <c r="S299" s="442"/>
      <c r="T299" s="442"/>
      <c r="U299" s="442"/>
      <c r="V299" s="442"/>
      <c r="W299" s="442"/>
      <c r="X299" s="443"/>
      <c r="Y299" s="444"/>
      <c r="AD299" s="33"/>
      <c r="AE299" s="33"/>
    </row>
    <row r="300" spans="5:31" ht="11.25" customHeight="1" x14ac:dyDescent="0.2">
      <c r="E300" s="155"/>
      <c r="F300" s="155"/>
      <c r="G300" s="33"/>
      <c r="K300" s="33"/>
      <c r="L300" s="33"/>
      <c r="R300" s="442"/>
      <c r="S300" s="442"/>
      <c r="T300" s="442"/>
      <c r="U300" s="442"/>
      <c r="V300" s="442"/>
      <c r="W300" s="442"/>
      <c r="X300" s="443"/>
      <c r="Y300" s="444"/>
      <c r="AD300" s="33"/>
      <c r="AE300" s="33"/>
    </row>
    <row r="301" spans="5:31" ht="11.25" customHeight="1" x14ac:dyDescent="0.2">
      <c r="E301" s="155"/>
      <c r="F301" s="155"/>
      <c r="G301" s="33"/>
      <c r="K301" s="33"/>
      <c r="L301" s="33"/>
      <c r="R301" s="442"/>
      <c r="S301" s="442"/>
      <c r="T301" s="442"/>
      <c r="U301" s="442"/>
      <c r="V301" s="442"/>
      <c r="W301" s="442"/>
      <c r="X301" s="443"/>
      <c r="Y301" s="444"/>
      <c r="AD301" s="33"/>
      <c r="AE301" s="33"/>
    </row>
    <row r="302" spans="5:31" ht="11.25" customHeight="1" x14ac:dyDescent="0.2">
      <c r="E302" s="155"/>
      <c r="F302" s="155"/>
      <c r="G302" s="33"/>
      <c r="K302" s="33"/>
      <c r="L302" s="33"/>
      <c r="R302" s="442"/>
      <c r="S302" s="442"/>
      <c r="T302" s="442"/>
      <c r="U302" s="442"/>
      <c r="V302" s="442"/>
      <c r="W302" s="442"/>
      <c r="X302" s="443"/>
      <c r="Y302" s="444"/>
      <c r="AD302" s="33"/>
      <c r="AE302" s="33"/>
    </row>
    <row r="303" spans="5:31" ht="11.25" customHeight="1" x14ac:dyDescent="0.2">
      <c r="E303" s="155"/>
      <c r="F303" s="155"/>
      <c r="G303" s="33"/>
      <c r="K303" s="33"/>
      <c r="L303" s="33"/>
      <c r="R303" s="442"/>
      <c r="S303" s="442"/>
      <c r="T303" s="442"/>
      <c r="U303" s="442"/>
      <c r="V303" s="442"/>
      <c r="W303" s="442"/>
      <c r="X303" s="443"/>
      <c r="Y303" s="444"/>
      <c r="AD303" s="33"/>
      <c r="AE303" s="33"/>
    </row>
    <row r="304" spans="5:31" ht="11.25" customHeight="1" x14ac:dyDescent="0.2">
      <c r="E304" s="155"/>
      <c r="F304" s="155"/>
      <c r="G304" s="33"/>
      <c r="K304" s="33"/>
      <c r="L304" s="33"/>
      <c r="R304" s="442"/>
      <c r="S304" s="442"/>
      <c r="T304" s="442"/>
      <c r="U304" s="442"/>
      <c r="V304" s="442"/>
      <c r="W304" s="442"/>
      <c r="X304" s="443"/>
      <c r="Y304" s="444"/>
      <c r="AD304" s="33"/>
      <c r="AE304" s="33"/>
    </row>
    <row r="305" spans="5:31" ht="11.25" customHeight="1" x14ac:dyDescent="0.2">
      <c r="E305" s="155"/>
      <c r="F305" s="155"/>
      <c r="G305" s="33"/>
      <c r="K305" s="33"/>
      <c r="L305" s="33"/>
      <c r="R305" s="442"/>
      <c r="S305" s="442"/>
      <c r="T305" s="442"/>
      <c r="U305" s="442"/>
      <c r="V305" s="442"/>
      <c r="W305" s="442"/>
      <c r="X305" s="443"/>
      <c r="Y305" s="444"/>
      <c r="AD305" s="33"/>
      <c r="AE305" s="33"/>
    </row>
    <row r="306" spans="5:31" ht="11.25" customHeight="1" x14ac:dyDescent="0.2">
      <c r="E306" s="155"/>
      <c r="F306" s="155"/>
      <c r="G306" s="33"/>
      <c r="K306" s="33"/>
      <c r="L306" s="33"/>
      <c r="R306" s="442"/>
      <c r="S306" s="442"/>
      <c r="T306" s="442"/>
      <c r="U306" s="442"/>
      <c r="V306" s="442"/>
      <c r="W306" s="442"/>
      <c r="X306" s="443"/>
      <c r="Y306" s="444"/>
      <c r="AD306" s="33"/>
      <c r="AE306" s="33"/>
    </row>
    <row r="307" spans="5:31" ht="11.25" customHeight="1" x14ac:dyDescent="0.2">
      <c r="E307" s="155"/>
      <c r="F307" s="155"/>
      <c r="G307" s="33"/>
      <c r="K307" s="33"/>
      <c r="L307" s="33"/>
      <c r="R307" s="442"/>
      <c r="S307" s="442"/>
      <c r="T307" s="442"/>
      <c r="U307" s="442"/>
      <c r="V307" s="442"/>
      <c r="W307" s="442"/>
      <c r="X307" s="443"/>
      <c r="Y307" s="444"/>
      <c r="AD307" s="33"/>
      <c r="AE307" s="33"/>
    </row>
    <row r="308" spans="5:31" ht="11.25" customHeight="1" x14ac:dyDescent="0.2">
      <c r="E308" s="155"/>
      <c r="F308" s="155"/>
      <c r="G308" s="33"/>
      <c r="K308" s="33"/>
      <c r="L308" s="33"/>
      <c r="R308" s="442"/>
      <c r="S308" s="442"/>
      <c r="T308" s="442"/>
      <c r="U308" s="442"/>
      <c r="V308" s="442"/>
      <c r="W308" s="442"/>
      <c r="X308" s="443"/>
      <c r="Y308" s="444"/>
      <c r="AD308" s="33"/>
      <c r="AE308" s="33"/>
    </row>
    <row r="309" spans="5:31" ht="11.25" customHeight="1" x14ac:dyDescent="0.2">
      <c r="E309" s="155"/>
      <c r="F309" s="155"/>
      <c r="G309" s="33"/>
      <c r="K309" s="33"/>
      <c r="L309" s="33"/>
      <c r="R309" s="442"/>
      <c r="S309" s="442"/>
      <c r="T309" s="442"/>
      <c r="U309" s="442"/>
      <c r="V309" s="442"/>
      <c r="W309" s="442"/>
      <c r="X309" s="443"/>
      <c r="Y309" s="444"/>
      <c r="AD309" s="33"/>
      <c r="AE309" s="33"/>
    </row>
    <row r="310" spans="5:31" ht="11.25" customHeight="1" x14ac:dyDescent="0.2">
      <c r="E310" s="155"/>
      <c r="F310" s="155"/>
      <c r="G310" s="33"/>
      <c r="K310" s="33"/>
      <c r="L310" s="33"/>
      <c r="R310" s="442"/>
      <c r="S310" s="442"/>
      <c r="T310" s="442"/>
      <c r="U310" s="442"/>
      <c r="V310" s="442"/>
      <c r="W310" s="442"/>
      <c r="X310" s="443"/>
      <c r="Y310" s="444"/>
      <c r="AD310" s="33"/>
      <c r="AE310" s="33"/>
    </row>
    <row r="311" spans="5:31" ht="11.25" customHeight="1" x14ac:dyDescent="0.2">
      <c r="E311" s="155"/>
      <c r="F311" s="155"/>
      <c r="G311" s="33"/>
      <c r="K311" s="33"/>
      <c r="L311" s="33"/>
      <c r="R311" s="442"/>
      <c r="S311" s="442"/>
      <c r="T311" s="442"/>
      <c r="U311" s="442"/>
      <c r="V311" s="442"/>
      <c r="W311" s="442"/>
      <c r="X311" s="443"/>
      <c r="Y311" s="444"/>
      <c r="AD311" s="33"/>
      <c r="AE311" s="33"/>
    </row>
    <row r="312" spans="5:31" ht="11.25" customHeight="1" x14ac:dyDescent="0.2">
      <c r="E312" s="155"/>
      <c r="F312" s="155"/>
      <c r="G312" s="33"/>
      <c r="K312" s="33"/>
      <c r="L312" s="33"/>
      <c r="R312" s="442"/>
      <c r="S312" s="442"/>
      <c r="T312" s="442"/>
      <c r="U312" s="442"/>
      <c r="V312" s="442"/>
      <c r="W312" s="442"/>
      <c r="X312" s="443"/>
      <c r="Y312" s="444"/>
      <c r="AD312" s="33"/>
      <c r="AE312" s="33"/>
    </row>
    <row r="313" spans="5:31" ht="11.25" customHeight="1" x14ac:dyDescent="0.2">
      <c r="E313" s="155"/>
      <c r="F313" s="155"/>
      <c r="G313" s="33"/>
      <c r="K313" s="33"/>
      <c r="L313" s="33"/>
      <c r="R313" s="442"/>
      <c r="S313" s="442"/>
      <c r="T313" s="442"/>
      <c r="U313" s="442"/>
      <c r="V313" s="442"/>
      <c r="W313" s="442"/>
      <c r="X313" s="443"/>
      <c r="Y313" s="444"/>
      <c r="AD313" s="33"/>
      <c r="AE313" s="33"/>
    </row>
    <row r="314" spans="5:31" ht="11.25" customHeight="1" x14ac:dyDescent="0.2">
      <c r="E314" s="155"/>
      <c r="F314" s="155"/>
      <c r="G314" s="33"/>
      <c r="K314" s="33"/>
      <c r="L314" s="33"/>
      <c r="R314" s="442"/>
      <c r="S314" s="442"/>
      <c r="T314" s="442"/>
      <c r="U314" s="442"/>
      <c r="V314" s="442"/>
      <c r="W314" s="442"/>
      <c r="X314" s="443"/>
      <c r="Y314" s="444"/>
      <c r="AD314" s="33"/>
      <c r="AE314" s="33"/>
    </row>
    <row r="315" spans="5:31" ht="11.25" customHeight="1" x14ac:dyDescent="0.2">
      <c r="E315" s="155"/>
      <c r="F315" s="155"/>
      <c r="G315" s="33"/>
      <c r="K315" s="33"/>
      <c r="L315" s="33"/>
      <c r="R315" s="442"/>
      <c r="S315" s="442"/>
      <c r="T315" s="442"/>
      <c r="U315" s="442"/>
      <c r="V315" s="442"/>
      <c r="W315" s="442"/>
      <c r="X315" s="443"/>
      <c r="Y315" s="444"/>
      <c r="AD315" s="33"/>
      <c r="AE315" s="33"/>
    </row>
    <row r="316" spans="5:31" ht="11.25" customHeight="1" x14ac:dyDescent="0.2">
      <c r="E316" s="155"/>
      <c r="F316" s="155"/>
      <c r="G316" s="33"/>
      <c r="K316" s="33"/>
      <c r="L316" s="33"/>
      <c r="R316" s="442"/>
      <c r="S316" s="442"/>
      <c r="T316" s="442"/>
      <c r="U316" s="442"/>
      <c r="V316" s="442"/>
      <c r="W316" s="442"/>
      <c r="X316" s="443"/>
      <c r="Y316" s="444"/>
      <c r="AD316" s="33"/>
      <c r="AE316" s="33"/>
    </row>
    <row r="317" spans="5:31" ht="11.25" customHeight="1" x14ac:dyDescent="0.2">
      <c r="E317" s="155"/>
      <c r="F317" s="155"/>
      <c r="G317" s="33"/>
      <c r="K317" s="33"/>
      <c r="L317" s="33"/>
      <c r="R317" s="442"/>
      <c r="S317" s="442"/>
      <c r="T317" s="442"/>
      <c r="U317" s="442"/>
      <c r="V317" s="442"/>
      <c r="W317" s="442"/>
      <c r="X317" s="443"/>
      <c r="Y317" s="444"/>
      <c r="AD317" s="33"/>
      <c r="AE317" s="33"/>
    </row>
    <row r="318" spans="5:31" ht="11.25" customHeight="1" x14ac:dyDescent="0.2">
      <c r="E318" s="155"/>
      <c r="F318" s="155"/>
      <c r="G318" s="33"/>
      <c r="K318" s="33"/>
      <c r="L318" s="33"/>
      <c r="R318" s="442"/>
      <c r="S318" s="442"/>
      <c r="T318" s="442"/>
      <c r="U318" s="442"/>
      <c r="V318" s="442"/>
      <c r="W318" s="442"/>
      <c r="X318" s="443"/>
      <c r="Y318" s="444"/>
      <c r="AD318" s="33"/>
      <c r="AE318" s="33"/>
    </row>
    <row r="319" spans="5:31" ht="11.25" customHeight="1" x14ac:dyDescent="0.2">
      <c r="E319" s="155"/>
      <c r="F319" s="155"/>
      <c r="G319" s="33"/>
      <c r="K319" s="33"/>
      <c r="L319" s="33"/>
      <c r="R319" s="442"/>
      <c r="S319" s="442"/>
      <c r="T319" s="442"/>
      <c r="U319" s="442"/>
      <c r="V319" s="442"/>
      <c r="W319" s="442"/>
      <c r="X319" s="443"/>
      <c r="Y319" s="444"/>
      <c r="AD319" s="33"/>
      <c r="AE319" s="33"/>
    </row>
    <row r="320" spans="5:31" ht="11.25" customHeight="1" x14ac:dyDescent="0.2">
      <c r="E320" s="155"/>
      <c r="F320" s="155"/>
      <c r="G320" s="33"/>
      <c r="K320" s="33"/>
      <c r="L320" s="33"/>
      <c r="R320" s="442"/>
      <c r="S320" s="442"/>
      <c r="T320" s="442"/>
      <c r="U320" s="442"/>
      <c r="V320" s="442"/>
      <c r="W320" s="442"/>
      <c r="X320" s="443"/>
      <c r="Y320" s="444"/>
      <c r="AD320" s="33"/>
      <c r="AE320" s="33"/>
    </row>
    <row r="321" spans="5:31" ht="11.25" customHeight="1" x14ac:dyDescent="0.2">
      <c r="E321" s="155"/>
      <c r="F321" s="155"/>
      <c r="G321" s="33"/>
      <c r="K321" s="33"/>
      <c r="L321" s="33"/>
      <c r="R321" s="442"/>
      <c r="S321" s="442"/>
      <c r="T321" s="442"/>
      <c r="U321" s="442"/>
      <c r="V321" s="442"/>
      <c r="W321" s="442"/>
      <c r="X321" s="443"/>
      <c r="Y321" s="444"/>
      <c r="AD321" s="33"/>
      <c r="AE321" s="33"/>
    </row>
    <row r="322" spans="5:31" ht="11.25" customHeight="1" x14ac:dyDescent="0.2">
      <c r="E322" s="155"/>
      <c r="F322" s="155"/>
      <c r="G322" s="33"/>
      <c r="K322" s="33"/>
      <c r="L322" s="33"/>
      <c r="R322" s="442"/>
      <c r="S322" s="442"/>
      <c r="T322" s="442"/>
      <c r="U322" s="442"/>
      <c r="V322" s="442"/>
      <c r="W322" s="442"/>
      <c r="X322" s="443"/>
      <c r="Y322" s="444"/>
      <c r="AD322" s="33"/>
      <c r="AE322" s="33"/>
    </row>
    <row r="323" spans="5:31" ht="11.25" customHeight="1" x14ac:dyDescent="0.2">
      <c r="E323" s="155"/>
      <c r="F323" s="155"/>
      <c r="G323" s="33"/>
      <c r="K323" s="33"/>
      <c r="L323" s="33"/>
      <c r="R323" s="442"/>
      <c r="S323" s="442"/>
      <c r="T323" s="442"/>
      <c r="U323" s="442"/>
      <c r="V323" s="442"/>
      <c r="W323" s="442"/>
      <c r="X323" s="443"/>
      <c r="Y323" s="444"/>
      <c r="AD323" s="33"/>
      <c r="AE323" s="33"/>
    </row>
    <row r="324" spans="5:31" ht="11.25" customHeight="1" x14ac:dyDescent="0.2">
      <c r="E324" s="155"/>
      <c r="F324" s="155"/>
      <c r="G324" s="33"/>
      <c r="K324" s="33"/>
      <c r="L324" s="33"/>
      <c r="R324" s="442"/>
      <c r="S324" s="442"/>
      <c r="T324" s="442"/>
      <c r="U324" s="442"/>
      <c r="V324" s="442"/>
      <c r="W324" s="442"/>
      <c r="X324" s="443"/>
      <c r="Y324" s="444"/>
      <c r="AD324" s="33"/>
      <c r="AE324" s="33"/>
    </row>
    <row r="325" spans="5:31" ht="11.25" customHeight="1" x14ac:dyDescent="0.2">
      <c r="E325" s="155"/>
      <c r="F325" s="155"/>
      <c r="G325" s="33"/>
      <c r="K325" s="33"/>
      <c r="L325" s="33"/>
      <c r="R325" s="442"/>
      <c r="S325" s="442"/>
      <c r="T325" s="442"/>
      <c r="U325" s="442"/>
      <c r="V325" s="442"/>
      <c r="W325" s="442"/>
      <c r="X325" s="443"/>
      <c r="Y325" s="444"/>
      <c r="AD325" s="33"/>
      <c r="AE325" s="33"/>
    </row>
    <row r="326" spans="5:31" ht="11.25" customHeight="1" x14ac:dyDescent="0.2">
      <c r="E326" s="155"/>
      <c r="F326" s="155"/>
      <c r="G326" s="33"/>
      <c r="K326" s="33"/>
      <c r="L326" s="33"/>
      <c r="R326" s="442"/>
      <c r="S326" s="442"/>
      <c r="T326" s="442"/>
      <c r="U326" s="442"/>
      <c r="V326" s="442"/>
      <c r="W326" s="442"/>
      <c r="X326" s="443"/>
      <c r="Y326" s="444"/>
      <c r="AD326" s="33"/>
      <c r="AE326" s="33"/>
    </row>
    <row r="327" spans="5:31" ht="11.25" customHeight="1" x14ac:dyDescent="0.2">
      <c r="E327" s="155"/>
      <c r="F327" s="155"/>
      <c r="G327" s="33"/>
      <c r="K327" s="33"/>
      <c r="L327" s="33"/>
      <c r="R327" s="442"/>
      <c r="S327" s="442"/>
      <c r="T327" s="442"/>
      <c r="U327" s="442"/>
      <c r="V327" s="442"/>
      <c r="W327" s="442"/>
      <c r="X327" s="443"/>
      <c r="Y327" s="444"/>
      <c r="AD327" s="33"/>
      <c r="AE327" s="33"/>
    </row>
    <row r="328" spans="5:31" ht="11.25" customHeight="1" x14ac:dyDescent="0.2">
      <c r="E328" s="155"/>
      <c r="F328" s="155"/>
      <c r="G328" s="33"/>
      <c r="K328" s="33"/>
      <c r="L328" s="33"/>
      <c r="R328" s="442"/>
      <c r="S328" s="442"/>
      <c r="T328" s="442"/>
      <c r="U328" s="442"/>
      <c r="V328" s="442"/>
      <c r="W328" s="442"/>
      <c r="X328" s="443"/>
      <c r="Y328" s="444"/>
      <c r="AD328" s="33"/>
      <c r="AE328" s="33"/>
    </row>
    <row r="329" spans="5:31" ht="11.25" customHeight="1" x14ac:dyDescent="0.2">
      <c r="E329" s="155"/>
      <c r="F329" s="155"/>
      <c r="G329" s="33"/>
      <c r="K329" s="33"/>
      <c r="L329" s="33"/>
      <c r="R329" s="442"/>
      <c r="S329" s="442"/>
      <c r="T329" s="442"/>
      <c r="U329" s="442"/>
      <c r="V329" s="442"/>
      <c r="W329" s="442"/>
      <c r="X329" s="443"/>
      <c r="Y329" s="444"/>
      <c r="AD329" s="33"/>
      <c r="AE329" s="33"/>
    </row>
    <row r="330" spans="5:31" ht="11.25" customHeight="1" x14ac:dyDescent="0.2">
      <c r="E330" s="155"/>
      <c r="F330" s="155"/>
      <c r="G330" s="33"/>
      <c r="K330" s="33"/>
      <c r="L330" s="33"/>
      <c r="R330" s="442"/>
      <c r="S330" s="442"/>
      <c r="T330" s="442"/>
      <c r="U330" s="442"/>
      <c r="V330" s="442"/>
      <c r="W330" s="442"/>
      <c r="X330" s="443"/>
      <c r="Y330" s="444"/>
      <c r="AD330" s="33"/>
      <c r="AE330" s="33"/>
    </row>
    <row r="331" spans="5:31" ht="11.25" customHeight="1" x14ac:dyDescent="0.2">
      <c r="E331" s="155"/>
      <c r="F331" s="155"/>
      <c r="G331" s="33"/>
      <c r="K331" s="33"/>
      <c r="L331" s="33"/>
      <c r="R331" s="442"/>
      <c r="S331" s="442"/>
      <c r="T331" s="442"/>
      <c r="U331" s="442"/>
      <c r="V331" s="442"/>
      <c r="W331" s="442"/>
      <c r="X331" s="443"/>
      <c r="Y331" s="444"/>
      <c r="AD331" s="33"/>
      <c r="AE331" s="33"/>
    </row>
    <row r="332" spans="5:31" ht="11.25" customHeight="1" x14ac:dyDescent="0.2">
      <c r="E332" s="155"/>
      <c r="F332" s="155"/>
      <c r="G332" s="33"/>
      <c r="K332" s="33"/>
      <c r="L332" s="33"/>
      <c r="R332" s="442"/>
      <c r="S332" s="442"/>
      <c r="T332" s="442"/>
      <c r="U332" s="442"/>
      <c r="V332" s="442"/>
      <c r="W332" s="442"/>
      <c r="X332" s="443"/>
      <c r="Y332" s="444"/>
      <c r="AD332" s="33"/>
      <c r="AE332" s="33"/>
    </row>
    <row r="333" spans="5:31" ht="11.25" customHeight="1" x14ac:dyDescent="0.2">
      <c r="E333" s="155"/>
      <c r="F333" s="155"/>
      <c r="G333" s="33"/>
      <c r="K333" s="33"/>
      <c r="L333" s="33"/>
      <c r="R333" s="442"/>
      <c r="S333" s="442"/>
      <c r="T333" s="442"/>
      <c r="U333" s="442"/>
      <c r="V333" s="442"/>
      <c r="W333" s="442"/>
      <c r="X333" s="443"/>
      <c r="Y333" s="444"/>
      <c r="AD333" s="33"/>
      <c r="AE333" s="33"/>
    </row>
    <row r="334" spans="5:31" ht="11.25" customHeight="1" x14ac:dyDescent="0.2">
      <c r="E334" s="155"/>
      <c r="F334" s="155"/>
      <c r="G334" s="33"/>
      <c r="K334" s="33"/>
      <c r="L334" s="33"/>
      <c r="R334" s="442"/>
      <c r="S334" s="442"/>
      <c r="T334" s="442"/>
      <c r="U334" s="442"/>
      <c r="V334" s="442"/>
      <c r="W334" s="442"/>
      <c r="X334" s="443"/>
      <c r="Y334" s="444"/>
      <c r="AD334" s="33"/>
      <c r="AE334" s="33"/>
    </row>
    <row r="335" spans="5:31" ht="11.25" customHeight="1" x14ac:dyDescent="0.2">
      <c r="E335" s="155"/>
      <c r="F335" s="155"/>
      <c r="G335" s="33"/>
      <c r="K335" s="33"/>
      <c r="L335" s="33"/>
      <c r="R335" s="442"/>
      <c r="S335" s="442"/>
      <c r="T335" s="442"/>
      <c r="U335" s="442"/>
      <c r="V335" s="442"/>
      <c r="W335" s="442"/>
      <c r="X335" s="443"/>
      <c r="Y335" s="444"/>
      <c r="AD335" s="33"/>
      <c r="AE335" s="33"/>
    </row>
    <row r="336" spans="5:31" ht="11.25" customHeight="1" x14ac:dyDescent="0.2">
      <c r="E336" s="155"/>
      <c r="F336" s="155"/>
      <c r="G336" s="33"/>
      <c r="K336" s="33"/>
      <c r="L336" s="33"/>
      <c r="R336" s="442"/>
      <c r="S336" s="442"/>
      <c r="T336" s="442"/>
      <c r="U336" s="442"/>
      <c r="V336" s="442"/>
      <c r="W336" s="442"/>
      <c r="X336" s="443"/>
      <c r="Y336" s="444"/>
      <c r="AD336" s="33"/>
      <c r="AE336" s="33"/>
    </row>
    <row r="337" spans="5:31" ht="11.25" customHeight="1" x14ac:dyDescent="0.2">
      <c r="E337" s="155"/>
      <c r="F337" s="155"/>
      <c r="G337" s="33"/>
      <c r="K337" s="33"/>
      <c r="L337" s="33"/>
      <c r="R337" s="442"/>
      <c r="S337" s="442"/>
      <c r="T337" s="442"/>
      <c r="U337" s="442"/>
      <c r="V337" s="442"/>
      <c r="W337" s="442"/>
      <c r="X337" s="443"/>
      <c r="Y337" s="444"/>
      <c r="AD337" s="33"/>
      <c r="AE337" s="33"/>
    </row>
    <row r="338" spans="5:31" ht="11.25" customHeight="1" x14ac:dyDescent="0.2">
      <c r="E338" s="155"/>
      <c r="F338" s="155"/>
      <c r="G338" s="33"/>
      <c r="K338" s="33"/>
      <c r="L338" s="33"/>
      <c r="R338" s="442"/>
      <c r="S338" s="442"/>
      <c r="T338" s="442"/>
      <c r="U338" s="442"/>
      <c r="V338" s="442"/>
      <c r="W338" s="442"/>
      <c r="X338" s="443"/>
      <c r="Y338" s="444"/>
      <c r="AD338" s="33"/>
      <c r="AE338" s="33"/>
    </row>
    <row r="339" spans="5:31" ht="11.25" customHeight="1" x14ac:dyDescent="0.2">
      <c r="E339" s="155"/>
      <c r="F339" s="155"/>
      <c r="G339" s="33"/>
      <c r="K339" s="33"/>
      <c r="L339" s="33"/>
      <c r="R339" s="442"/>
      <c r="S339" s="442"/>
      <c r="T339" s="442"/>
      <c r="U339" s="442"/>
      <c r="V339" s="442"/>
      <c r="W339" s="442"/>
      <c r="X339" s="443"/>
      <c r="Y339" s="444"/>
      <c r="AD339" s="33"/>
      <c r="AE339" s="33"/>
    </row>
    <row r="340" spans="5:31" ht="11.25" customHeight="1" x14ac:dyDescent="0.2">
      <c r="E340" s="155"/>
      <c r="F340" s="155"/>
      <c r="G340" s="33"/>
      <c r="K340" s="33"/>
      <c r="L340" s="33"/>
      <c r="R340" s="442"/>
      <c r="S340" s="442"/>
      <c r="T340" s="442"/>
      <c r="U340" s="442"/>
      <c r="V340" s="442"/>
      <c r="W340" s="442"/>
      <c r="X340" s="443"/>
      <c r="Y340" s="444"/>
      <c r="AD340" s="33"/>
      <c r="AE340" s="33"/>
    </row>
    <row r="341" spans="5:31" ht="11.25" customHeight="1" x14ac:dyDescent="0.2">
      <c r="E341" s="155"/>
      <c r="F341" s="155"/>
      <c r="G341" s="33"/>
      <c r="K341" s="33"/>
      <c r="L341" s="33"/>
      <c r="R341" s="442"/>
      <c r="S341" s="442"/>
      <c r="T341" s="442"/>
      <c r="U341" s="442"/>
      <c r="V341" s="442"/>
      <c r="W341" s="442"/>
      <c r="X341" s="443"/>
      <c r="Y341" s="444"/>
      <c r="AD341" s="33"/>
      <c r="AE341" s="33"/>
    </row>
    <row r="342" spans="5:31" ht="11.25" customHeight="1" x14ac:dyDescent="0.2">
      <c r="E342" s="155"/>
      <c r="F342" s="155"/>
      <c r="G342" s="33"/>
      <c r="K342" s="33"/>
      <c r="L342" s="33"/>
      <c r="R342" s="442"/>
      <c r="S342" s="442"/>
      <c r="T342" s="442"/>
      <c r="U342" s="442"/>
      <c r="V342" s="442"/>
      <c r="W342" s="442"/>
      <c r="X342" s="443"/>
      <c r="Y342" s="444"/>
      <c r="AD342" s="33"/>
      <c r="AE342" s="33"/>
    </row>
    <row r="343" spans="5:31" ht="11.25" customHeight="1" x14ac:dyDescent="0.2">
      <c r="E343" s="155"/>
      <c r="F343" s="155"/>
      <c r="G343" s="33"/>
      <c r="K343" s="33"/>
      <c r="L343" s="33"/>
      <c r="R343" s="442"/>
      <c r="S343" s="442"/>
      <c r="T343" s="442"/>
      <c r="U343" s="442"/>
      <c r="V343" s="442"/>
      <c r="W343" s="442"/>
      <c r="X343" s="443"/>
      <c r="Y343" s="444"/>
      <c r="AD343" s="33"/>
      <c r="AE343" s="33"/>
    </row>
    <row r="344" spans="5:31" ht="11.25" customHeight="1" x14ac:dyDescent="0.2">
      <c r="E344" s="155"/>
      <c r="F344" s="155"/>
      <c r="G344" s="33"/>
      <c r="K344" s="33"/>
      <c r="L344" s="33"/>
      <c r="R344" s="442"/>
      <c r="S344" s="442"/>
      <c r="T344" s="442"/>
      <c r="U344" s="442"/>
      <c r="V344" s="442"/>
      <c r="W344" s="442"/>
      <c r="X344" s="443"/>
      <c r="Y344" s="444"/>
      <c r="AD344" s="33"/>
      <c r="AE344" s="33"/>
    </row>
    <row r="345" spans="5:31" ht="11.25" customHeight="1" x14ac:dyDescent="0.2">
      <c r="E345" s="155"/>
      <c r="F345" s="155"/>
      <c r="G345" s="33"/>
      <c r="K345" s="33"/>
      <c r="L345" s="33"/>
      <c r="R345" s="442"/>
      <c r="S345" s="442"/>
      <c r="T345" s="442"/>
      <c r="U345" s="442"/>
      <c r="V345" s="442"/>
      <c r="W345" s="442"/>
      <c r="X345" s="443"/>
      <c r="Y345" s="444"/>
      <c r="AD345" s="33"/>
      <c r="AE345" s="33"/>
    </row>
    <row r="346" spans="5:31" ht="11.25" customHeight="1" x14ac:dyDescent="0.2">
      <c r="E346" s="155"/>
      <c r="F346" s="155"/>
      <c r="G346" s="33"/>
      <c r="K346" s="33"/>
      <c r="L346" s="33"/>
      <c r="R346" s="442"/>
      <c r="S346" s="442"/>
      <c r="T346" s="442"/>
      <c r="U346" s="442"/>
      <c r="V346" s="442"/>
      <c r="W346" s="442"/>
      <c r="X346" s="443"/>
      <c r="Y346" s="444"/>
      <c r="AD346" s="33"/>
      <c r="AE346" s="33"/>
    </row>
    <row r="347" spans="5:31" ht="11.25" customHeight="1" x14ac:dyDescent="0.2">
      <c r="E347" s="155"/>
      <c r="F347" s="155"/>
      <c r="G347" s="33"/>
      <c r="K347" s="33"/>
      <c r="L347" s="33"/>
      <c r="R347" s="442"/>
      <c r="S347" s="442"/>
      <c r="T347" s="442"/>
      <c r="U347" s="442"/>
      <c r="V347" s="442"/>
      <c r="W347" s="442"/>
      <c r="X347" s="443"/>
      <c r="Y347" s="444"/>
      <c r="AD347" s="33"/>
      <c r="AE347" s="33"/>
    </row>
    <row r="348" spans="5:31" ht="11.25" customHeight="1" x14ac:dyDescent="0.2">
      <c r="E348" s="155"/>
      <c r="F348" s="155"/>
      <c r="G348" s="33"/>
      <c r="K348" s="33"/>
      <c r="L348" s="33"/>
      <c r="R348" s="442"/>
      <c r="S348" s="442"/>
      <c r="T348" s="442"/>
      <c r="U348" s="442"/>
      <c r="V348" s="442"/>
      <c r="W348" s="442"/>
      <c r="X348" s="443"/>
      <c r="Y348" s="444"/>
      <c r="AD348" s="33"/>
      <c r="AE348" s="33"/>
    </row>
    <row r="349" spans="5:31" ht="11.25" customHeight="1" x14ac:dyDescent="0.2">
      <c r="E349" s="155"/>
      <c r="F349" s="155"/>
      <c r="G349" s="33"/>
      <c r="K349" s="33"/>
      <c r="L349" s="33"/>
      <c r="R349" s="442"/>
      <c r="S349" s="442"/>
      <c r="T349" s="442"/>
      <c r="U349" s="442"/>
      <c r="V349" s="442"/>
      <c r="W349" s="442"/>
      <c r="X349" s="443"/>
      <c r="Y349" s="444"/>
      <c r="AD349" s="33"/>
      <c r="AE349" s="33"/>
    </row>
    <row r="350" spans="5:31" ht="11.25" customHeight="1" x14ac:dyDescent="0.2">
      <c r="E350" s="155"/>
      <c r="F350" s="155"/>
      <c r="G350" s="33"/>
      <c r="K350" s="33"/>
      <c r="L350" s="33"/>
      <c r="R350" s="442"/>
      <c r="S350" s="442"/>
      <c r="T350" s="442"/>
      <c r="U350" s="442"/>
      <c r="V350" s="442"/>
      <c r="W350" s="442"/>
      <c r="X350" s="443"/>
      <c r="Y350" s="444"/>
      <c r="AD350" s="33"/>
      <c r="AE350" s="33"/>
    </row>
    <row r="351" spans="5:31" ht="11.25" customHeight="1" x14ac:dyDescent="0.2">
      <c r="E351" s="155"/>
      <c r="F351" s="155"/>
      <c r="G351" s="33"/>
      <c r="K351" s="33"/>
      <c r="L351" s="33"/>
      <c r="R351" s="442"/>
      <c r="S351" s="442"/>
      <c r="T351" s="442"/>
      <c r="U351" s="442"/>
      <c r="V351" s="442"/>
      <c r="W351" s="442"/>
      <c r="X351" s="443"/>
      <c r="Y351" s="444"/>
      <c r="AD351" s="33"/>
      <c r="AE351" s="33"/>
    </row>
    <row r="352" spans="5:31" ht="11.25" customHeight="1" x14ac:dyDescent="0.2">
      <c r="E352" s="155"/>
      <c r="F352" s="155"/>
      <c r="G352" s="33"/>
      <c r="K352" s="33"/>
      <c r="L352" s="33"/>
      <c r="R352" s="442"/>
      <c r="S352" s="442"/>
      <c r="T352" s="442"/>
      <c r="U352" s="442"/>
      <c r="V352" s="442"/>
      <c r="W352" s="442"/>
      <c r="X352" s="443"/>
      <c r="Y352" s="444"/>
      <c r="AD352" s="33"/>
      <c r="AE352" s="33"/>
    </row>
    <row r="353" spans="5:31" ht="11.25" customHeight="1" x14ac:dyDescent="0.2">
      <c r="E353" s="155"/>
      <c r="F353" s="155"/>
      <c r="G353" s="33"/>
      <c r="K353" s="33"/>
      <c r="L353" s="33"/>
      <c r="R353" s="442"/>
      <c r="S353" s="442"/>
      <c r="T353" s="442"/>
      <c r="U353" s="442"/>
      <c r="V353" s="442"/>
      <c r="W353" s="442"/>
      <c r="X353" s="443"/>
      <c r="Y353" s="444"/>
      <c r="AD353" s="33"/>
      <c r="AE353" s="33"/>
    </row>
    <row r="354" spans="5:31" ht="11.25" customHeight="1" x14ac:dyDescent="0.2">
      <c r="E354" s="155"/>
      <c r="F354" s="155"/>
      <c r="G354" s="33"/>
      <c r="K354" s="33"/>
      <c r="L354" s="33"/>
      <c r="R354" s="442"/>
      <c r="S354" s="442"/>
      <c r="T354" s="442"/>
      <c r="U354" s="442"/>
      <c r="V354" s="442"/>
      <c r="W354" s="442"/>
      <c r="X354" s="443"/>
      <c r="Y354" s="444"/>
      <c r="AD354" s="33"/>
      <c r="AE354" s="33"/>
    </row>
    <row r="355" spans="5:31" ht="11.25" customHeight="1" x14ac:dyDescent="0.2">
      <c r="E355" s="155"/>
      <c r="F355" s="155"/>
      <c r="G355" s="33"/>
      <c r="K355" s="33"/>
      <c r="L355" s="33"/>
      <c r="R355" s="442"/>
      <c r="S355" s="442"/>
      <c r="T355" s="442"/>
      <c r="U355" s="442"/>
      <c r="V355" s="442"/>
      <c r="W355" s="442"/>
      <c r="X355" s="443"/>
      <c r="Y355" s="444"/>
      <c r="AD355" s="33"/>
      <c r="AE355" s="33"/>
    </row>
    <row r="356" spans="5:31" ht="11.25" customHeight="1" x14ac:dyDescent="0.2">
      <c r="E356" s="155"/>
      <c r="F356" s="155"/>
      <c r="G356" s="33"/>
      <c r="K356" s="33"/>
      <c r="L356" s="33"/>
      <c r="R356" s="442"/>
      <c r="S356" s="442"/>
      <c r="T356" s="442"/>
      <c r="U356" s="442"/>
      <c r="V356" s="442"/>
      <c r="W356" s="442"/>
      <c r="X356" s="443"/>
      <c r="Y356" s="444"/>
      <c r="AD356" s="33"/>
      <c r="AE356" s="33"/>
    </row>
    <row r="357" spans="5:31" ht="11.25" customHeight="1" x14ac:dyDescent="0.2">
      <c r="E357" s="155"/>
      <c r="F357" s="155"/>
      <c r="G357" s="33"/>
      <c r="K357" s="33"/>
      <c r="L357" s="33"/>
      <c r="R357" s="442"/>
      <c r="S357" s="442"/>
      <c r="T357" s="442"/>
      <c r="U357" s="442"/>
      <c r="V357" s="442"/>
      <c r="W357" s="442"/>
      <c r="X357" s="443"/>
      <c r="Y357" s="444"/>
      <c r="AD357" s="33"/>
      <c r="AE357" s="33"/>
    </row>
    <row r="358" spans="5:31" ht="11.25" customHeight="1" x14ac:dyDescent="0.2">
      <c r="E358" s="155"/>
      <c r="F358" s="155"/>
      <c r="G358" s="33"/>
      <c r="K358" s="33"/>
      <c r="L358" s="33"/>
      <c r="R358" s="442"/>
      <c r="S358" s="442"/>
      <c r="T358" s="442"/>
      <c r="U358" s="442"/>
      <c r="V358" s="442"/>
      <c r="W358" s="442"/>
      <c r="X358" s="443"/>
      <c r="Y358" s="444"/>
      <c r="AD358" s="33"/>
      <c r="AE358" s="33"/>
    </row>
    <row r="359" spans="5:31" ht="11.25" customHeight="1" x14ac:dyDescent="0.2">
      <c r="E359" s="155"/>
      <c r="F359" s="155"/>
      <c r="G359" s="33"/>
      <c r="K359" s="33"/>
      <c r="L359" s="33"/>
      <c r="R359" s="442"/>
      <c r="S359" s="442"/>
      <c r="T359" s="442"/>
      <c r="U359" s="442"/>
      <c r="V359" s="442"/>
      <c r="W359" s="442"/>
      <c r="X359" s="443"/>
      <c r="Y359" s="444"/>
      <c r="AD359" s="33"/>
      <c r="AE359" s="33"/>
    </row>
    <row r="360" spans="5:31" ht="11.25" customHeight="1" x14ac:dyDescent="0.2">
      <c r="E360" s="155"/>
      <c r="F360" s="155"/>
      <c r="G360" s="33"/>
      <c r="K360" s="33"/>
      <c r="L360" s="33"/>
      <c r="R360" s="442"/>
      <c r="S360" s="442"/>
      <c r="T360" s="442"/>
      <c r="U360" s="442"/>
      <c r="V360" s="442"/>
      <c r="W360" s="442"/>
      <c r="X360" s="443"/>
      <c r="Y360" s="444"/>
      <c r="AD360" s="33"/>
      <c r="AE360" s="33"/>
    </row>
    <row r="361" spans="5:31" ht="11.25" customHeight="1" x14ac:dyDescent="0.2">
      <c r="E361" s="155"/>
      <c r="F361" s="155"/>
      <c r="G361" s="33"/>
      <c r="K361" s="33"/>
      <c r="L361" s="33"/>
      <c r="R361" s="442"/>
      <c r="S361" s="442"/>
      <c r="T361" s="442"/>
      <c r="U361" s="442"/>
      <c r="V361" s="442"/>
      <c r="W361" s="442"/>
      <c r="X361" s="443"/>
      <c r="Y361" s="444"/>
      <c r="AD361" s="33"/>
      <c r="AE361" s="33"/>
    </row>
    <row r="362" spans="5:31" ht="11.25" customHeight="1" x14ac:dyDescent="0.2">
      <c r="E362" s="155"/>
      <c r="F362" s="155"/>
      <c r="G362" s="33"/>
      <c r="K362" s="33"/>
      <c r="L362" s="33"/>
      <c r="R362" s="442"/>
      <c r="S362" s="442"/>
      <c r="T362" s="442"/>
      <c r="U362" s="442"/>
      <c r="V362" s="442"/>
      <c r="W362" s="442"/>
      <c r="X362" s="443"/>
      <c r="Y362" s="444"/>
      <c r="AD362" s="33"/>
      <c r="AE362" s="33"/>
    </row>
    <row r="363" spans="5:31" ht="11.25" customHeight="1" x14ac:dyDescent="0.2">
      <c r="E363" s="155"/>
      <c r="F363" s="155"/>
      <c r="G363" s="33"/>
      <c r="K363" s="33"/>
      <c r="L363" s="33"/>
      <c r="R363" s="442"/>
      <c r="S363" s="442"/>
      <c r="T363" s="442"/>
      <c r="U363" s="442"/>
      <c r="V363" s="442"/>
      <c r="W363" s="442"/>
      <c r="X363" s="443"/>
      <c r="Y363" s="444"/>
      <c r="AD363" s="33"/>
      <c r="AE363" s="33"/>
    </row>
    <row r="364" spans="5:31" ht="11.25" customHeight="1" x14ac:dyDescent="0.2">
      <c r="E364" s="155"/>
      <c r="F364" s="155"/>
      <c r="G364" s="33"/>
      <c r="K364" s="33"/>
      <c r="L364" s="33"/>
      <c r="R364" s="442"/>
      <c r="S364" s="442"/>
      <c r="T364" s="442"/>
      <c r="U364" s="442"/>
      <c r="V364" s="442"/>
      <c r="W364" s="442"/>
      <c r="X364" s="443"/>
      <c r="Y364" s="444"/>
      <c r="AD364" s="33"/>
      <c r="AE364" s="33"/>
    </row>
    <row r="365" spans="5:31" ht="11.25" customHeight="1" x14ac:dyDescent="0.2">
      <c r="E365" s="155"/>
      <c r="F365" s="155"/>
      <c r="G365" s="33"/>
      <c r="K365" s="33"/>
      <c r="L365" s="33"/>
      <c r="R365" s="442"/>
      <c r="S365" s="442"/>
      <c r="T365" s="442"/>
      <c r="U365" s="442"/>
      <c r="V365" s="442"/>
      <c r="W365" s="442"/>
      <c r="X365" s="443"/>
      <c r="Y365" s="444"/>
      <c r="AD365" s="33"/>
      <c r="AE365" s="33"/>
    </row>
    <row r="366" spans="5:31" ht="11.25" customHeight="1" x14ac:dyDescent="0.2">
      <c r="E366" s="155"/>
      <c r="F366" s="155"/>
      <c r="G366" s="33"/>
      <c r="K366" s="33"/>
      <c r="L366" s="33"/>
      <c r="R366" s="442"/>
      <c r="S366" s="442"/>
      <c r="T366" s="442"/>
      <c r="U366" s="442"/>
      <c r="V366" s="442"/>
      <c r="W366" s="442"/>
      <c r="X366" s="443"/>
      <c r="Y366" s="444"/>
      <c r="AD366" s="33"/>
      <c r="AE366" s="33"/>
    </row>
    <row r="367" spans="5:31" ht="11.25" customHeight="1" x14ac:dyDescent="0.2">
      <c r="E367" s="155"/>
      <c r="F367" s="155"/>
      <c r="G367" s="33"/>
      <c r="K367" s="33"/>
      <c r="L367" s="33"/>
      <c r="R367" s="442"/>
      <c r="S367" s="442"/>
      <c r="T367" s="442"/>
      <c r="U367" s="442"/>
      <c r="V367" s="442"/>
      <c r="W367" s="442"/>
      <c r="X367" s="443"/>
      <c r="Y367" s="444"/>
      <c r="AD367" s="33"/>
      <c r="AE367" s="33"/>
    </row>
    <row r="368" spans="5:31" ht="11.25" customHeight="1" x14ac:dyDescent="0.2">
      <c r="E368" s="155"/>
      <c r="F368" s="155"/>
      <c r="G368" s="33"/>
      <c r="K368" s="33"/>
      <c r="L368" s="33"/>
      <c r="R368" s="442"/>
      <c r="S368" s="442"/>
      <c r="T368" s="442"/>
      <c r="U368" s="442"/>
      <c r="V368" s="442"/>
      <c r="W368" s="442"/>
      <c r="X368" s="443"/>
      <c r="Y368" s="444"/>
      <c r="AD368" s="33"/>
      <c r="AE368" s="33"/>
    </row>
    <row r="369" spans="5:31" ht="11.25" customHeight="1" x14ac:dyDescent="0.2">
      <c r="E369" s="155"/>
      <c r="F369" s="155"/>
      <c r="G369" s="33"/>
      <c r="K369" s="33"/>
      <c r="L369" s="33"/>
      <c r="R369" s="442"/>
      <c r="S369" s="442"/>
      <c r="T369" s="442"/>
      <c r="U369" s="442"/>
      <c r="V369" s="442"/>
      <c r="W369" s="442"/>
      <c r="X369" s="443"/>
      <c r="Y369" s="444"/>
      <c r="AD369" s="33"/>
      <c r="AE369" s="33"/>
    </row>
    <row r="370" spans="5:31" ht="11.25" customHeight="1" x14ac:dyDescent="0.2">
      <c r="E370" s="155"/>
      <c r="F370" s="155"/>
      <c r="G370" s="33"/>
      <c r="K370" s="33"/>
      <c r="L370" s="33"/>
      <c r="R370" s="442"/>
      <c r="S370" s="442"/>
      <c r="T370" s="442"/>
      <c r="U370" s="442"/>
      <c r="V370" s="442"/>
      <c r="W370" s="442"/>
      <c r="X370" s="443"/>
      <c r="Y370" s="444"/>
      <c r="AD370" s="33"/>
      <c r="AE370" s="33"/>
    </row>
    <row r="371" spans="5:31" ht="11.25" customHeight="1" x14ac:dyDescent="0.2">
      <c r="E371" s="155"/>
      <c r="F371" s="155"/>
      <c r="G371" s="33"/>
      <c r="K371" s="33"/>
      <c r="L371" s="33"/>
      <c r="R371" s="442"/>
      <c r="S371" s="442"/>
      <c r="T371" s="442"/>
      <c r="U371" s="442"/>
      <c r="V371" s="442"/>
      <c r="W371" s="442"/>
      <c r="X371" s="443"/>
      <c r="Y371" s="444"/>
      <c r="AD371" s="33"/>
      <c r="AE371" s="33"/>
    </row>
    <row r="372" spans="5:31" ht="11.25" customHeight="1" x14ac:dyDescent="0.2">
      <c r="E372" s="155"/>
      <c r="F372" s="155"/>
      <c r="G372" s="33"/>
      <c r="K372" s="33"/>
      <c r="L372" s="33"/>
      <c r="R372" s="442"/>
      <c r="S372" s="442"/>
      <c r="T372" s="442"/>
      <c r="U372" s="442"/>
      <c r="V372" s="442"/>
      <c r="W372" s="442"/>
      <c r="X372" s="443"/>
      <c r="Y372" s="444"/>
      <c r="AD372" s="33"/>
      <c r="AE372" s="33"/>
    </row>
    <row r="373" spans="5:31" ht="11.25" customHeight="1" x14ac:dyDescent="0.2">
      <c r="E373" s="155"/>
      <c r="F373" s="155"/>
      <c r="G373" s="33"/>
      <c r="K373" s="33"/>
      <c r="L373" s="33"/>
      <c r="R373" s="442"/>
      <c r="S373" s="442"/>
      <c r="T373" s="442"/>
      <c r="U373" s="442"/>
      <c r="V373" s="442"/>
      <c r="W373" s="442"/>
      <c r="X373" s="443"/>
      <c r="Y373" s="444"/>
      <c r="AD373" s="33"/>
      <c r="AE373" s="33"/>
    </row>
    <row r="374" spans="5:31" ht="11.25" customHeight="1" x14ac:dyDescent="0.2">
      <c r="E374" s="155"/>
      <c r="F374" s="155"/>
      <c r="G374" s="33"/>
      <c r="K374" s="33"/>
      <c r="L374" s="33"/>
      <c r="R374" s="442"/>
      <c r="S374" s="442"/>
      <c r="T374" s="442"/>
      <c r="U374" s="442"/>
      <c r="V374" s="442"/>
      <c r="W374" s="442"/>
      <c r="X374" s="443"/>
      <c r="Y374" s="444"/>
      <c r="AD374" s="33"/>
      <c r="AE374" s="33"/>
    </row>
    <row r="375" spans="5:31" ht="11.25" customHeight="1" x14ac:dyDescent="0.2">
      <c r="E375" s="155"/>
      <c r="F375" s="155"/>
      <c r="G375" s="33"/>
      <c r="K375" s="33"/>
      <c r="L375" s="33"/>
      <c r="R375" s="442"/>
      <c r="S375" s="442"/>
      <c r="T375" s="442"/>
      <c r="U375" s="442"/>
      <c r="V375" s="442"/>
      <c r="W375" s="442"/>
      <c r="X375" s="443"/>
      <c r="Y375" s="444"/>
      <c r="AD375" s="33"/>
      <c r="AE375" s="33"/>
    </row>
    <row r="376" spans="5:31" ht="11.25" customHeight="1" x14ac:dyDescent="0.2">
      <c r="E376" s="155"/>
      <c r="F376" s="155"/>
      <c r="G376" s="33"/>
      <c r="K376" s="33"/>
      <c r="L376" s="33"/>
      <c r="R376" s="442"/>
      <c r="S376" s="442"/>
      <c r="T376" s="442"/>
      <c r="U376" s="442"/>
      <c r="V376" s="442"/>
      <c r="W376" s="442"/>
      <c r="X376" s="443"/>
      <c r="Y376" s="444"/>
      <c r="AD376" s="33"/>
      <c r="AE376" s="33"/>
    </row>
    <row r="377" spans="5:31" ht="11.25" customHeight="1" x14ac:dyDescent="0.2">
      <c r="E377" s="155"/>
      <c r="F377" s="155"/>
      <c r="G377" s="33"/>
      <c r="K377" s="33"/>
      <c r="L377" s="33"/>
      <c r="R377" s="442"/>
      <c r="S377" s="442"/>
      <c r="T377" s="442"/>
      <c r="U377" s="442"/>
      <c r="V377" s="442"/>
      <c r="W377" s="442"/>
      <c r="X377" s="443"/>
      <c r="Y377" s="444"/>
      <c r="AD377" s="33"/>
      <c r="AE377" s="33"/>
    </row>
    <row r="378" spans="5:31" ht="11.25" customHeight="1" x14ac:dyDescent="0.2">
      <c r="E378" s="155"/>
      <c r="F378" s="155"/>
      <c r="G378" s="33"/>
      <c r="K378" s="33"/>
      <c r="L378" s="33"/>
      <c r="R378" s="442"/>
      <c r="S378" s="442"/>
      <c r="T378" s="442"/>
      <c r="U378" s="442"/>
      <c r="V378" s="442"/>
      <c r="W378" s="442"/>
      <c r="X378" s="443"/>
      <c r="Y378" s="444"/>
      <c r="AD378" s="33"/>
      <c r="AE378" s="33"/>
    </row>
    <row r="379" spans="5:31" ht="11.25" customHeight="1" x14ac:dyDescent="0.2">
      <c r="E379" s="155"/>
      <c r="F379" s="155"/>
      <c r="G379" s="33"/>
      <c r="K379" s="33"/>
      <c r="L379" s="33"/>
      <c r="R379" s="442"/>
      <c r="S379" s="442"/>
      <c r="T379" s="442"/>
      <c r="U379" s="442"/>
      <c r="V379" s="442"/>
      <c r="W379" s="442"/>
      <c r="X379" s="443"/>
      <c r="Y379" s="444"/>
      <c r="AD379" s="33"/>
      <c r="AE379" s="33"/>
    </row>
    <row r="380" spans="5:31" ht="11.25" customHeight="1" x14ac:dyDescent="0.2">
      <c r="E380" s="155"/>
      <c r="F380" s="155"/>
      <c r="G380" s="33"/>
      <c r="K380" s="33"/>
      <c r="L380" s="33"/>
      <c r="R380" s="442"/>
      <c r="S380" s="442"/>
      <c r="T380" s="442"/>
      <c r="U380" s="442"/>
      <c r="V380" s="442"/>
      <c r="W380" s="442"/>
      <c r="X380" s="443"/>
      <c r="Y380" s="444"/>
      <c r="AD380" s="33"/>
      <c r="AE380" s="33"/>
    </row>
    <row r="381" spans="5:31" ht="11.25" customHeight="1" x14ac:dyDescent="0.2">
      <c r="E381" s="155"/>
      <c r="F381" s="155"/>
      <c r="G381" s="33"/>
      <c r="K381" s="33"/>
      <c r="L381" s="33"/>
      <c r="R381" s="442"/>
      <c r="S381" s="442"/>
      <c r="T381" s="442"/>
      <c r="U381" s="442"/>
      <c r="V381" s="442"/>
      <c r="W381" s="442"/>
      <c r="X381" s="443"/>
      <c r="Y381" s="444"/>
      <c r="AD381" s="33"/>
      <c r="AE381" s="33"/>
    </row>
    <row r="382" spans="5:31" ht="11.25" customHeight="1" x14ac:dyDescent="0.2">
      <c r="E382" s="155"/>
      <c r="F382" s="155"/>
      <c r="G382" s="33"/>
      <c r="K382" s="33"/>
      <c r="L382" s="33"/>
      <c r="R382" s="442"/>
      <c r="S382" s="442"/>
      <c r="T382" s="442"/>
      <c r="U382" s="442"/>
      <c r="V382" s="442"/>
      <c r="W382" s="442"/>
      <c r="X382" s="443"/>
      <c r="Y382" s="444"/>
      <c r="AD382" s="33"/>
      <c r="AE382" s="33"/>
    </row>
    <row r="383" spans="5:31" ht="11.25" customHeight="1" x14ac:dyDescent="0.2">
      <c r="E383" s="155"/>
      <c r="F383" s="155"/>
      <c r="G383" s="33"/>
      <c r="K383" s="33"/>
      <c r="L383" s="33"/>
      <c r="R383" s="442"/>
      <c r="S383" s="442"/>
      <c r="T383" s="442"/>
      <c r="U383" s="442"/>
      <c r="V383" s="442"/>
      <c r="W383" s="442"/>
      <c r="X383" s="443"/>
      <c r="Y383" s="444"/>
      <c r="AD383" s="33"/>
      <c r="AE383" s="33"/>
    </row>
    <row r="384" spans="5:31" ht="11.25" customHeight="1" x14ac:dyDescent="0.2">
      <c r="E384" s="155"/>
      <c r="F384" s="155"/>
      <c r="G384" s="33"/>
      <c r="K384" s="33"/>
      <c r="L384" s="33"/>
      <c r="R384" s="442"/>
      <c r="S384" s="442"/>
      <c r="T384" s="442"/>
      <c r="U384" s="442"/>
      <c r="V384" s="442"/>
      <c r="W384" s="442"/>
      <c r="X384" s="443"/>
      <c r="Y384" s="444"/>
      <c r="AD384" s="33"/>
      <c r="AE384" s="33"/>
    </row>
    <row r="385" spans="5:31" ht="11.25" customHeight="1" x14ac:dyDescent="0.2">
      <c r="E385" s="155"/>
      <c r="F385" s="155"/>
      <c r="G385" s="33"/>
      <c r="K385" s="33"/>
      <c r="L385" s="33"/>
      <c r="R385" s="442"/>
      <c r="S385" s="442"/>
      <c r="T385" s="442"/>
      <c r="U385" s="442"/>
      <c r="V385" s="442"/>
      <c r="W385" s="442"/>
      <c r="X385" s="443"/>
      <c r="Y385" s="444"/>
      <c r="AD385" s="33"/>
      <c r="AE385" s="33"/>
    </row>
    <row r="386" spans="5:31" ht="11.25" customHeight="1" x14ac:dyDescent="0.2">
      <c r="E386" s="155"/>
      <c r="F386" s="155"/>
      <c r="G386" s="33"/>
      <c r="K386" s="33"/>
      <c r="L386" s="33"/>
      <c r="R386" s="442"/>
      <c r="S386" s="442"/>
      <c r="T386" s="442"/>
      <c r="U386" s="442"/>
      <c r="V386" s="442"/>
      <c r="W386" s="442"/>
      <c r="X386" s="443"/>
      <c r="Y386" s="444"/>
      <c r="AD386" s="33"/>
      <c r="AE386" s="33"/>
    </row>
    <row r="387" spans="5:31" ht="11.25" customHeight="1" x14ac:dyDescent="0.2">
      <c r="E387" s="155"/>
      <c r="F387" s="155"/>
      <c r="G387" s="33"/>
      <c r="K387" s="33"/>
      <c r="L387" s="33"/>
      <c r="R387" s="442"/>
      <c r="S387" s="442"/>
      <c r="T387" s="442"/>
      <c r="U387" s="442"/>
      <c r="V387" s="442"/>
      <c r="W387" s="442"/>
      <c r="X387" s="443"/>
      <c r="Y387" s="444"/>
      <c r="AD387" s="33"/>
      <c r="AE387" s="33"/>
    </row>
    <row r="388" spans="5:31" ht="11.25" customHeight="1" x14ac:dyDescent="0.2">
      <c r="E388" s="155"/>
      <c r="F388" s="155"/>
      <c r="G388" s="33"/>
      <c r="K388" s="33"/>
      <c r="L388" s="33"/>
      <c r="R388" s="442"/>
      <c r="S388" s="442"/>
      <c r="T388" s="442"/>
      <c r="U388" s="442"/>
      <c r="V388" s="442"/>
      <c r="W388" s="442"/>
      <c r="X388" s="443"/>
      <c r="Y388" s="444"/>
      <c r="AD388" s="33"/>
      <c r="AE388" s="33"/>
    </row>
    <row r="389" spans="5:31" ht="11.25" customHeight="1" x14ac:dyDescent="0.2">
      <c r="E389" s="155"/>
      <c r="F389" s="155"/>
      <c r="G389" s="33"/>
      <c r="K389" s="33"/>
      <c r="L389" s="33"/>
      <c r="R389" s="442"/>
      <c r="S389" s="442"/>
      <c r="T389" s="442"/>
      <c r="U389" s="442"/>
      <c r="V389" s="442"/>
      <c r="W389" s="442"/>
      <c r="X389" s="443"/>
      <c r="Y389" s="444"/>
      <c r="AD389" s="33"/>
      <c r="AE389" s="33"/>
    </row>
    <row r="390" spans="5:31" ht="11.25" customHeight="1" x14ac:dyDescent="0.2">
      <c r="E390" s="155"/>
      <c r="F390" s="155"/>
      <c r="G390" s="33"/>
      <c r="K390" s="33"/>
      <c r="L390" s="33"/>
      <c r="R390" s="442"/>
      <c r="S390" s="442"/>
      <c r="T390" s="442"/>
      <c r="U390" s="442"/>
      <c r="V390" s="442"/>
      <c r="W390" s="442"/>
      <c r="X390" s="443"/>
      <c r="Y390" s="444"/>
      <c r="AD390" s="33"/>
      <c r="AE390" s="33"/>
    </row>
    <row r="391" spans="5:31" ht="11.25" customHeight="1" x14ac:dyDescent="0.2">
      <c r="E391" s="155"/>
      <c r="F391" s="155"/>
      <c r="G391" s="33"/>
      <c r="K391" s="33"/>
      <c r="L391" s="33"/>
      <c r="R391" s="442"/>
      <c r="S391" s="442"/>
      <c r="T391" s="442"/>
      <c r="U391" s="442"/>
      <c r="V391" s="442"/>
      <c r="W391" s="442"/>
      <c r="X391" s="443"/>
      <c r="Y391" s="444"/>
      <c r="AD391" s="33"/>
      <c r="AE391" s="33"/>
    </row>
    <row r="392" spans="5:31" ht="11.25" customHeight="1" x14ac:dyDescent="0.2">
      <c r="E392" s="155"/>
      <c r="F392" s="155"/>
      <c r="G392" s="33"/>
      <c r="K392" s="33"/>
      <c r="L392" s="33"/>
      <c r="R392" s="442"/>
      <c r="S392" s="442"/>
      <c r="T392" s="442"/>
      <c r="U392" s="442"/>
      <c r="V392" s="442"/>
      <c r="W392" s="442"/>
      <c r="X392" s="443"/>
      <c r="Y392" s="444"/>
      <c r="AD392" s="33"/>
      <c r="AE392" s="33"/>
    </row>
    <row r="393" spans="5:31" ht="11.25" customHeight="1" x14ac:dyDescent="0.2">
      <c r="E393" s="155"/>
      <c r="F393" s="155"/>
      <c r="G393" s="33"/>
      <c r="K393" s="33"/>
      <c r="L393" s="33"/>
      <c r="R393" s="442"/>
      <c r="S393" s="442"/>
      <c r="T393" s="442"/>
      <c r="U393" s="442"/>
      <c r="V393" s="442"/>
      <c r="W393" s="442"/>
      <c r="X393" s="443"/>
      <c r="Y393" s="444"/>
      <c r="AD393" s="33"/>
      <c r="AE393" s="33"/>
    </row>
    <row r="394" spans="5:31" ht="11.25" customHeight="1" x14ac:dyDescent="0.2">
      <c r="E394" s="155"/>
      <c r="F394" s="155"/>
      <c r="G394" s="33"/>
      <c r="K394" s="33"/>
      <c r="L394" s="33"/>
      <c r="R394" s="442"/>
      <c r="S394" s="442"/>
      <c r="T394" s="442"/>
      <c r="U394" s="442"/>
      <c r="V394" s="442"/>
      <c r="W394" s="442"/>
      <c r="X394" s="443"/>
      <c r="Y394" s="444"/>
      <c r="AD394" s="33"/>
      <c r="AE394" s="33"/>
    </row>
    <row r="395" spans="5:31" ht="11.25" customHeight="1" x14ac:dyDescent="0.2">
      <c r="E395" s="155"/>
      <c r="F395" s="155"/>
      <c r="G395" s="33"/>
      <c r="K395" s="33"/>
      <c r="L395" s="33"/>
      <c r="R395" s="442"/>
      <c r="S395" s="442"/>
      <c r="T395" s="442"/>
      <c r="U395" s="442"/>
      <c r="V395" s="442"/>
      <c r="W395" s="442"/>
      <c r="X395" s="443"/>
      <c r="Y395" s="444"/>
      <c r="AD395" s="33"/>
      <c r="AE395" s="33"/>
    </row>
    <row r="396" spans="5:31" ht="11.25" customHeight="1" x14ac:dyDescent="0.2">
      <c r="E396" s="155"/>
      <c r="F396" s="155"/>
      <c r="G396" s="33"/>
      <c r="K396" s="33"/>
      <c r="L396" s="33"/>
      <c r="R396" s="442"/>
      <c r="S396" s="442"/>
      <c r="T396" s="442"/>
      <c r="U396" s="442"/>
      <c r="V396" s="442"/>
      <c r="W396" s="442"/>
      <c r="X396" s="443"/>
      <c r="Y396" s="444"/>
      <c r="AD396" s="33"/>
      <c r="AE396" s="33"/>
    </row>
    <row r="397" spans="5:31" ht="11.25" customHeight="1" x14ac:dyDescent="0.2">
      <c r="E397" s="155"/>
      <c r="F397" s="155"/>
      <c r="G397" s="33"/>
      <c r="K397" s="33"/>
      <c r="L397" s="33"/>
      <c r="R397" s="442"/>
      <c r="S397" s="442"/>
      <c r="T397" s="442"/>
      <c r="U397" s="442"/>
      <c r="V397" s="442"/>
      <c r="W397" s="442"/>
      <c r="X397" s="443"/>
      <c r="Y397" s="444"/>
      <c r="AD397" s="33"/>
      <c r="AE397" s="33"/>
    </row>
    <row r="398" spans="5:31" ht="11.25" customHeight="1" x14ac:dyDescent="0.2">
      <c r="E398" s="155"/>
      <c r="F398" s="155"/>
      <c r="G398" s="33"/>
      <c r="K398" s="33"/>
      <c r="L398" s="33"/>
      <c r="R398" s="442"/>
      <c r="S398" s="442"/>
      <c r="T398" s="442"/>
      <c r="U398" s="442"/>
      <c r="V398" s="442"/>
      <c r="W398" s="442"/>
      <c r="X398" s="443"/>
      <c r="Y398" s="444"/>
      <c r="AD398" s="33"/>
      <c r="AE398" s="33"/>
    </row>
    <row r="399" spans="5:31" ht="11.25" customHeight="1" x14ac:dyDescent="0.2">
      <c r="E399" s="155"/>
      <c r="F399" s="155"/>
      <c r="G399" s="33"/>
      <c r="K399" s="33"/>
      <c r="L399" s="33"/>
      <c r="R399" s="442"/>
      <c r="S399" s="442"/>
      <c r="T399" s="442"/>
      <c r="U399" s="442"/>
      <c r="V399" s="442"/>
      <c r="W399" s="442"/>
      <c r="X399" s="443"/>
      <c r="Y399" s="444"/>
      <c r="AD399" s="33"/>
      <c r="AE399" s="33"/>
    </row>
    <row r="400" spans="5:31" ht="11.25" customHeight="1" x14ac:dyDescent="0.2">
      <c r="E400" s="155"/>
      <c r="F400" s="155"/>
      <c r="G400" s="33"/>
      <c r="K400" s="33"/>
      <c r="L400" s="33"/>
      <c r="R400" s="442"/>
      <c r="S400" s="442"/>
      <c r="T400" s="442"/>
      <c r="U400" s="442"/>
      <c r="V400" s="442"/>
      <c r="W400" s="442"/>
      <c r="X400" s="443"/>
      <c r="Y400" s="444"/>
      <c r="AD400" s="33"/>
      <c r="AE400" s="33"/>
    </row>
    <row r="401" spans="5:31" ht="11.25" customHeight="1" x14ac:dyDescent="0.2">
      <c r="E401" s="155"/>
      <c r="F401" s="155"/>
      <c r="G401" s="33"/>
      <c r="K401" s="33"/>
      <c r="L401" s="33"/>
      <c r="R401" s="442"/>
      <c r="S401" s="442"/>
      <c r="T401" s="442"/>
      <c r="U401" s="442"/>
      <c r="V401" s="442"/>
      <c r="W401" s="442"/>
      <c r="X401" s="443"/>
      <c r="Y401" s="444"/>
      <c r="AD401" s="33"/>
      <c r="AE401" s="33"/>
    </row>
    <row r="402" spans="5:31" ht="11.25" customHeight="1" x14ac:dyDescent="0.2">
      <c r="E402" s="155"/>
      <c r="F402" s="155"/>
      <c r="G402" s="33"/>
      <c r="K402" s="33"/>
      <c r="L402" s="33"/>
      <c r="R402" s="442"/>
      <c r="S402" s="442"/>
      <c r="T402" s="442"/>
      <c r="U402" s="442"/>
      <c r="V402" s="442"/>
      <c r="W402" s="442"/>
      <c r="X402" s="443"/>
      <c r="Y402" s="444"/>
      <c r="AD402" s="33"/>
      <c r="AE402" s="33"/>
    </row>
    <row r="403" spans="5:31" ht="11.25" customHeight="1" x14ac:dyDescent="0.2">
      <c r="E403" s="155"/>
      <c r="F403" s="155"/>
      <c r="G403" s="33"/>
      <c r="K403" s="33"/>
      <c r="L403" s="33"/>
      <c r="R403" s="442"/>
      <c r="S403" s="442"/>
      <c r="T403" s="442"/>
      <c r="U403" s="442"/>
      <c r="V403" s="442"/>
      <c r="W403" s="442"/>
      <c r="X403" s="443"/>
      <c r="Y403" s="444"/>
      <c r="AD403" s="33"/>
      <c r="AE403" s="33"/>
    </row>
    <row r="404" spans="5:31" ht="11.25" customHeight="1" x14ac:dyDescent="0.2">
      <c r="E404" s="155"/>
      <c r="F404" s="155"/>
      <c r="G404" s="33"/>
      <c r="K404" s="33"/>
      <c r="L404" s="33"/>
      <c r="R404" s="442"/>
      <c r="S404" s="442"/>
      <c r="T404" s="442"/>
      <c r="U404" s="442"/>
      <c r="V404" s="442"/>
      <c r="W404" s="442"/>
      <c r="X404" s="443"/>
      <c r="Y404" s="444"/>
      <c r="AD404" s="33"/>
      <c r="AE404" s="33"/>
    </row>
    <row r="405" spans="5:31" ht="11.25" customHeight="1" x14ac:dyDescent="0.2">
      <c r="E405" s="155"/>
      <c r="F405" s="155"/>
      <c r="G405" s="33"/>
      <c r="K405" s="33"/>
      <c r="L405" s="33"/>
      <c r="R405" s="442"/>
      <c r="S405" s="442"/>
      <c r="T405" s="442"/>
      <c r="U405" s="442"/>
      <c r="V405" s="442"/>
      <c r="W405" s="442"/>
      <c r="X405" s="443"/>
      <c r="Y405" s="444"/>
      <c r="AD405" s="33"/>
      <c r="AE405" s="33"/>
    </row>
    <row r="406" spans="5:31" ht="11.25" customHeight="1" x14ac:dyDescent="0.2">
      <c r="E406" s="155"/>
      <c r="F406" s="155"/>
      <c r="G406" s="33"/>
      <c r="K406" s="33"/>
      <c r="L406" s="33"/>
      <c r="R406" s="442"/>
      <c r="S406" s="442"/>
      <c r="T406" s="442"/>
      <c r="U406" s="442"/>
      <c r="V406" s="442"/>
      <c r="W406" s="442"/>
      <c r="X406" s="443"/>
      <c r="Y406" s="444"/>
      <c r="AD406" s="33"/>
      <c r="AE406" s="33"/>
    </row>
    <row r="407" spans="5:31" ht="11.25" customHeight="1" x14ac:dyDescent="0.2">
      <c r="E407" s="155"/>
      <c r="F407" s="155"/>
      <c r="G407" s="33"/>
      <c r="K407" s="33"/>
      <c r="L407" s="33"/>
      <c r="R407" s="442"/>
      <c r="S407" s="442"/>
      <c r="T407" s="442"/>
      <c r="U407" s="442"/>
      <c r="V407" s="442"/>
      <c r="W407" s="442"/>
      <c r="X407" s="443"/>
      <c r="Y407" s="444"/>
      <c r="AD407" s="33"/>
      <c r="AE407" s="33"/>
    </row>
    <row r="408" spans="5:31" ht="11.25" customHeight="1" x14ac:dyDescent="0.2">
      <c r="E408" s="155"/>
      <c r="F408" s="155"/>
      <c r="G408" s="33"/>
      <c r="K408" s="33"/>
      <c r="L408" s="33"/>
      <c r="R408" s="442"/>
      <c r="S408" s="442"/>
      <c r="T408" s="442"/>
      <c r="U408" s="442"/>
      <c r="V408" s="442"/>
      <c r="W408" s="442"/>
      <c r="X408" s="443"/>
      <c r="Y408" s="444"/>
      <c r="AD408" s="33"/>
      <c r="AE408" s="33"/>
    </row>
    <row r="409" spans="5:31" ht="11.25" customHeight="1" x14ac:dyDescent="0.2">
      <c r="E409" s="155"/>
      <c r="F409" s="155"/>
      <c r="G409" s="33"/>
      <c r="K409" s="33"/>
      <c r="L409" s="33"/>
      <c r="R409" s="442"/>
      <c r="S409" s="442"/>
      <c r="T409" s="442"/>
      <c r="U409" s="442"/>
      <c r="V409" s="442"/>
      <c r="W409" s="442"/>
      <c r="X409" s="443"/>
      <c r="Y409" s="444"/>
      <c r="AD409" s="33"/>
      <c r="AE409" s="33"/>
    </row>
    <row r="410" spans="5:31" ht="11.25" customHeight="1" x14ac:dyDescent="0.2">
      <c r="E410" s="155"/>
      <c r="F410" s="155"/>
      <c r="G410" s="33"/>
      <c r="K410" s="33"/>
      <c r="L410" s="33"/>
      <c r="R410" s="442"/>
      <c r="S410" s="442"/>
      <c r="T410" s="442"/>
      <c r="U410" s="442"/>
      <c r="V410" s="442"/>
      <c r="W410" s="442"/>
      <c r="X410" s="443"/>
      <c r="Y410" s="444"/>
      <c r="AD410" s="33"/>
      <c r="AE410" s="33"/>
    </row>
    <row r="411" spans="5:31" ht="11.25" customHeight="1" x14ac:dyDescent="0.2">
      <c r="E411" s="155"/>
      <c r="F411" s="155"/>
      <c r="G411" s="33"/>
      <c r="K411" s="33"/>
      <c r="L411" s="33"/>
      <c r="R411" s="442"/>
      <c r="S411" s="442"/>
      <c r="T411" s="442"/>
      <c r="U411" s="442"/>
      <c r="V411" s="442"/>
      <c r="W411" s="442"/>
      <c r="X411" s="443"/>
      <c r="Y411" s="444"/>
      <c r="AD411" s="33"/>
      <c r="AE411" s="33"/>
    </row>
    <row r="412" spans="5:31" ht="11.25" customHeight="1" x14ac:dyDescent="0.2">
      <c r="E412" s="155"/>
      <c r="F412" s="155"/>
      <c r="G412" s="33"/>
      <c r="K412" s="33"/>
      <c r="L412" s="33"/>
      <c r="R412" s="442"/>
      <c r="S412" s="442"/>
      <c r="T412" s="442"/>
      <c r="U412" s="442"/>
      <c r="V412" s="442"/>
      <c r="W412" s="442"/>
      <c r="X412" s="443"/>
      <c r="Y412" s="444"/>
      <c r="AD412" s="33"/>
      <c r="AE412" s="33"/>
    </row>
    <row r="413" spans="5:31" ht="11.25" customHeight="1" x14ac:dyDescent="0.2">
      <c r="E413" s="155"/>
      <c r="F413" s="155"/>
      <c r="G413" s="33"/>
      <c r="K413" s="33"/>
      <c r="L413" s="33"/>
      <c r="R413" s="442"/>
      <c r="S413" s="442"/>
      <c r="T413" s="442"/>
      <c r="U413" s="442"/>
      <c r="V413" s="442"/>
      <c r="W413" s="442"/>
      <c r="X413" s="443"/>
      <c r="Y413" s="444"/>
      <c r="AD413" s="33"/>
      <c r="AE413" s="33"/>
    </row>
    <row r="414" spans="5:31" ht="11.25" customHeight="1" x14ac:dyDescent="0.2">
      <c r="E414" s="155"/>
      <c r="F414" s="155"/>
      <c r="G414" s="33"/>
      <c r="K414" s="33"/>
      <c r="L414" s="33"/>
      <c r="R414" s="442"/>
      <c r="S414" s="442"/>
      <c r="T414" s="442"/>
      <c r="U414" s="442"/>
      <c r="V414" s="442"/>
      <c r="W414" s="442"/>
      <c r="X414" s="443"/>
      <c r="Y414" s="444"/>
      <c r="AD414" s="33"/>
      <c r="AE414" s="33"/>
    </row>
    <row r="415" spans="5:31" ht="11.25" customHeight="1" x14ac:dyDescent="0.2">
      <c r="E415" s="155"/>
      <c r="F415" s="155"/>
      <c r="G415" s="33"/>
      <c r="K415" s="33"/>
      <c r="L415" s="33"/>
      <c r="R415" s="442"/>
      <c r="S415" s="442"/>
      <c r="T415" s="442"/>
      <c r="U415" s="442"/>
      <c r="V415" s="442"/>
      <c r="W415" s="442"/>
      <c r="X415" s="443"/>
      <c r="Y415" s="444"/>
      <c r="AD415" s="33"/>
      <c r="AE415" s="33"/>
    </row>
    <row r="416" spans="5:31" ht="11.25" customHeight="1" x14ac:dyDescent="0.2">
      <c r="E416" s="155"/>
      <c r="F416" s="155"/>
      <c r="G416" s="33"/>
      <c r="K416" s="33"/>
      <c r="L416" s="33"/>
      <c r="R416" s="442"/>
      <c r="S416" s="442"/>
      <c r="T416" s="442"/>
      <c r="U416" s="442"/>
      <c r="V416" s="442"/>
      <c r="W416" s="442"/>
      <c r="X416" s="443"/>
      <c r="Y416" s="444"/>
      <c r="AD416" s="33"/>
      <c r="AE416" s="33"/>
    </row>
    <row r="417" spans="5:31" ht="11.25" customHeight="1" x14ac:dyDescent="0.2">
      <c r="E417" s="155"/>
      <c r="F417" s="155"/>
      <c r="G417" s="33"/>
      <c r="K417" s="33"/>
      <c r="L417" s="33"/>
      <c r="R417" s="442"/>
      <c r="S417" s="442"/>
      <c r="T417" s="442"/>
      <c r="U417" s="442"/>
      <c r="V417" s="442"/>
      <c r="W417" s="442"/>
      <c r="X417" s="443"/>
      <c r="Y417" s="444"/>
      <c r="AD417" s="33"/>
      <c r="AE417" s="33"/>
    </row>
    <row r="418" spans="5:31" ht="11.25" customHeight="1" x14ac:dyDescent="0.2">
      <c r="E418" s="155"/>
      <c r="F418" s="155"/>
      <c r="G418" s="33"/>
      <c r="K418" s="33"/>
      <c r="L418" s="33"/>
      <c r="R418" s="442"/>
      <c r="S418" s="442"/>
      <c r="T418" s="442"/>
      <c r="U418" s="442"/>
      <c r="V418" s="442"/>
      <c r="W418" s="442"/>
      <c r="X418" s="443"/>
      <c r="Y418" s="444"/>
      <c r="AD418" s="33"/>
      <c r="AE418" s="33"/>
    </row>
    <row r="419" spans="5:31" ht="11.25" customHeight="1" x14ac:dyDescent="0.2">
      <c r="E419" s="155"/>
      <c r="F419" s="155"/>
      <c r="G419" s="33"/>
      <c r="K419" s="33"/>
      <c r="L419" s="33"/>
      <c r="R419" s="442"/>
      <c r="S419" s="442"/>
      <c r="T419" s="442"/>
      <c r="U419" s="442"/>
      <c r="V419" s="442"/>
      <c r="W419" s="442"/>
      <c r="X419" s="443"/>
      <c r="Y419" s="444"/>
      <c r="AD419" s="33"/>
      <c r="AE419" s="33"/>
    </row>
    <row r="420" spans="5:31" ht="11.25" customHeight="1" x14ac:dyDescent="0.2">
      <c r="E420" s="155"/>
      <c r="F420" s="155"/>
      <c r="G420" s="33"/>
      <c r="K420" s="33"/>
      <c r="L420" s="33"/>
      <c r="R420" s="442"/>
      <c r="S420" s="442"/>
      <c r="T420" s="442"/>
      <c r="U420" s="442"/>
      <c r="V420" s="442"/>
      <c r="W420" s="442"/>
      <c r="X420" s="443"/>
      <c r="Y420" s="444"/>
      <c r="AD420" s="33"/>
      <c r="AE420" s="33"/>
    </row>
    <row r="421" spans="5:31" ht="11.25" customHeight="1" x14ac:dyDescent="0.2">
      <c r="E421" s="155"/>
      <c r="F421" s="155"/>
      <c r="G421" s="33"/>
      <c r="K421" s="33"/>
      <c r="L421" s="33"/>
      <c r="R421" s="442"/>
      <c r="S421" s="442"/>
      <c r="T421" s="442"/>
      <c r="U421" s="442"/>
      <c r="V421" s="442"/>
      <c r="W421" s="442"/>
      <c r="X421" s="443"/>
      <c r="Y421" s="444"/>
      <c r="AD421" s="33"/>
      <c r="AE421" s="33"/>
    </row>
    <row r="422" spans="5:31" ht="11.25" customHeight="1" x14ac:dyDescent="0.2">
      <c r="E422" s="155"/>
      <c r="F422" s="155"/>
      <c r="G422" s="33"/>
      <c r="K422" s="33"/>
      <c r="L422" s="33"/>
      <c r="R422" s="442"/>
      <c r="S422" s="442"/>
      <c r="T422" s="442"/>
      <c r="U422" s="442"/>
      <c r="V422" s="442"/>
      <c r="W422" s="442"/>
      <c r="X422" s="443"/>
      <c r="Y422" s="444"/>
      <c r="AD422" s="33"/>
      <c r="AE422" s="33"/>
    </row>
    <row r="423" spans="5:31" ht="11.25" customHeight="1" x14ac:dyDescent="0.2">
      <c r="E423" s="155"/>
      <c r="F423" s="155"/>
      <c r="G423" s="33"/>
      <c r="K423" s="33"/>
      <c r="L423" s="33"/>
      <c r="R423" s="442"/>
      <c r="S423" s="442"/>
      <c r="T423" s="442"/>
      <c r="U423" s="442"/>
      <c r="V423" s="442"/>
      <c r="W423" s="442"/>
      <c r="X423" s="443"/>
      <c r="Y423" s="444"/>
      <c r="AD423" s="33"/>
      <c r="AE423" s="33"/>
    </row>
    <row r="424" spans="5:31" ht="11.25" customHeight="1" x14ac:dyDescent="0.2">
      <c r="E424" s="155"/>
      <c r="F424" s="155"/>
      <c r="G424" s="33"/>
      <c r="K424" s="33"/>
      <c r="L424" s="33"/>
      <c r="R424" s="442"/>
      <c r="S424" s="442"/>
      <c r="T424" s="442"/>
      <c r="U424" s="442"/>
      <c r="V424" s="442"/>
      <c r="W424" s="442"/>
      <c r="X424" s="443"/>
      <c r="Y424" s="444"/>
      <c r="AD424" s="33"/>
      <c r="AE424" s="33"/>
    </row>
    <row r="425" spans="5:31" ht="11.25" customHeight="1" x14ac:dyDescent="0.2">
      <c r="E425" s="155"/>
      <c r="F425" s="155"/>
      <c r="G425" s="33"/>
      <c r="K425" s="33"/>
      <c r="L425" s="33"/>
      <c r="R425" s="442"/>
      <c r="S425" s="442"/>
      <c r="T425" s="442"/>
      <c r="U425" s="442"/>
      <c r="V425" s="442"/>
      <c r="W425" s="442"/>
      <c r="X425" s="443"/>
      <c r="Y425" s="444"/>
      <c r="AD425" s="33"/>
      <c r="AE425" s="33"/>
    </row>
    <row r="426" spans="5:31" ht="11.25" customHeight="1" x14ac:dyDescent="0.2">
      <c r="E426" s="155"/>
      <c r="F426" s="155"/>
      <c r="G426" s="33"/>
      <c r="K426" s="33"/>
      <c r="L426" s="33"/>
      <c r="R426" s="442"/>
      <c r="S426" s="442"/>
      <c r="T426" s="442"/>
      <c r="U426" s="442"/>
      <c r="V426" s="442"/>
      <c r="W426" s="442"/>
      <c r="X426" s="443"/>
      <c r="Y426" s="444"/>
      <c r="AD426" s="33"/>
      <c r="AE426" s="33"/>
    </row>
    <row r="427" spans="5:31" ht="11.25" customHeight="1" x14ac:dyDescent="0.2">
      <c r="E427" s="155"/>
      <c r="F427" s="155"/>
      <c r="G427" s="33"/>
      <c r="K427" s="33"/>
      <c r="L427" s="33"/>
      <c r="R427" s="442"/>
      <c r="S427" s="442"/>
      <c r="T427" s="442"/>
      <c r="U427" s="442"/>
      <c r="V427" s="442"/>
      <c r="W427" s="442"/>
      <c r="X427" s="443"/>
      <c r="Y427" s="444"/>
      <c r="AD427" s="33"/>
      <c r="AE427" s="33"/>
    </row>
    <row r="428" spans="5:31" ht="11.25" customHeight="1" x14ac:dyDescent="0.2">
      <c r="E428" s="155"/>
      <c r="F428" s="155"/>
      <c r="G428" s="33"/>
      <c r="K428" s="33"/>
      <c r="L428" s="33"/>
      <c r="R428" s="442"/>
      <c r="S428" s="442"/>
      <c r="T428" s="442"/>
      <c r="U428" s="442"/>
      <c r="V428" s="442"/>
      <c r="W428" s="442"/>
      <c r="X428" s="443"/>
      <c r="Y428" s="444"/>
      <c r="AD428" s="33"/>
      <c r="AE428" s="33"/>
    </row>
    <row r="429" spans="5:31" ht="11.25" customHeight="1" x14ac:dyDescent="0.2">
      <c r="E429" s="155"/>
      <c r="F429" s="155"/>
      <c r="G429" s="33"/>
      <c r="K429" s="33"/>
      <c r="L429" s="33"/>
      <c r="R429" s="442"/>
      <c r="S429" s="442"/>
      <c r="T429" s="442"/>
      <c r="U429" s="442"/>
      <c r="V429" s="442"/>
      <c r="W429" s="442"/>
      <c r="X429" s="443"/>
      <c r="Y429" s="444"/>
      <c r="AD429" s="33"/>
      <c r="AE429" s="33"/>
    </row>
    <row r="430" spans="5:31" ht="11.25" customHeight="1" x14ac:dyDescent="0.2">
      <c r="E430" s="155"/>
      <c r="F430" s="155"/>
      <c r="G430" s="33"/>
      <c r="K430" s="33"/>
      <c r="L430" s="33"/>
      <c r="R430" s="442"/>
      <c r="S430" s="442"/>
      <c r="T430" s="442"/>
      <c r="U430" s="442"/>
      <c r="V430" s="442"/>
      <c r="W430" s="442"/>
      <c r="X430" s="443"/>
      <c r="Y430" s="444"/>
      <c r="AD430" s="33"/>
      <c r="AE430" s="33"/>
    </row>
    <row r="431" spans="5:31" ht="11.25" customHeight="1" x14ac:dyDescent="0.2">
      <c r="E431" s="155"/>
      <c r="F431" s="155"/>
      <c r="G431" s="33"/>
      <c r="K431" s="33"/>
      <c r="L431" s="33"/>
      <c r="R431" s="442"/>
      <c r="S431" s="442"/>
      <c r="T431" s="442"/>
      <c r="U431" s="442"/>
      <c r="V431" s="442"/>
      <c r="W431" s="442"/>
      <c r="X431" s="443"/>
      <c r="Y431" s="444"/>
      <c r="AD431" s="33"/>
      <c r="AE431" s="33"/>
    </row>
    <row r="432" spans="5:31" ht="11.25" customHeight="1" x14ac:dyDescent="0.2">
      <c r="E432" s="155"/>
      <c r="F432" s="155"/>
      <c r="G432" s="33"/>
      <c r="K432" s="33"/>
      <c r="L432" s="33"/>
      <c r="R432" s="442"/>
      <c r="S432" s="442"/>
      <c r="T432" s="442"/>
      <c r="U432" s="442"/>
      <c r="V432" s="442"/>
      <c r="W432" s="442"/>
      <c r="X432" s="443"/>
      <c r="Y432" s="444"/>
      <c r="AD432" s="33"/>
      <c r="AE432" s="33"/>
    </row>
    <row r="433" spans="5:31" ht="11.25" customHeight="1" x14ac:dyDescent="0.2">
      <c r="E433" s="155"/>
      <c r="F433" s="155"/>
      <c r="G433" s="33"/>
      <c r="K433" s="33"/>
      <c r="L433" s="33"/>
      <c r="R433" s="442"/>
      <c r="S433" s="442"/>
      <c r="T433" s="442"/>
      <c r="U433" s="442"/>
      <c r="V433" s="442"/>
      <c r="W433" s="442"/>
      <c r="X433" s="443"/>
      <c r="Y433" s="444"/>
      <c r="AD433" s="33"/>
      <c r="AE433" s="33"/>
    </row>
    <row r="434" spans="5:31" ht="11.25" customHeight="1" x14ac:dyDescent="0.2">
      <c r="E434" s="155"/>
      <c r="F434" s="155"/>
      <c r="G434" s="33"/>
      <c r="K434" s="33"/>
      <c r="L434" s="33"/>
      <c r="R434" s="442"/>
      <c r="S434" s="442"/>
      <c r="T434" s="442"/>
      <c r="U434" s="442"/>
      <c r="V434" s="442"/>
      <c r="W434" s="442"/>
      <c r="X434" s="443"/>
      <c r="Y434" s="444"/>
      <c r="AD434" s="33"/>
      <c r="AE434" s="33"/>
    </row>
    <row r="435" spans="5:31" ht="11.25" customHeight="1" x14ac:dyDescent="0.2">
      <c r="E435" s="155"/>
      <c r="F435" s="155"/>
      <c r="G435" s="33"/>
      <c r="K435" s="33"/>
      <c r="L435" s="33"/>
      <c r="R435" s="442"/>
      <c r="S435" s="442"/>
      <c r="T435" s="442"/>
      <c r="U435" s="442"/>
      <c r="V435" s="442"/>
      <c r="W435" s="442"/>
      <c r="X435" s="443"/>
      <c r="Y435" s="444"/>
      <c r="AD435" s="33"/>
      <c r="AE435" s="33"/>
    </row>
    <row r="436" spans="5:31" ht="11.25" customHeight="1" x14ac:dyDescent="0.2">
      <c r="E436" s="155"/>
      <c r="F436" s="155"/>
      <c r="G436" s="33"/>
      <c r="K436" s="33"/>
      <c r="L436" s="33"/>
      <c r="R436" s="442"/>
      <c r="S436" s="442"/>
      <c r="T436" s="442"/>
      <c r="U436" s="442"/>
      <c r="V436" s="442"/>
      <c r="W436" s="442"/>
      <c r="X436" s="443"/>
      <c r="Y436" s="444"/>
      <c r="AD436" s="33"/>
      <c r="AE436" s="33"/>
    </row>
    <row r="437" spans="5:31" ht="11.25" customHeight="1" x14ac:dyDescent="0.2">
      <c r="E437" s="155"/>
      <c r="F437" s="155"/>
      <c r="G437" s="33"/>
      <c r="K437" s="33"/>
      <c r="L437" s="33"/>
      <c r="R437" s="442"/>
      <c r="S437" s="442"/>
      <c r="T437" s="442"/>
      <c r="U437" s="442"/>
      <c r="V437" s="442"/>
      <c r="W437" s="442"/>
      <c r="X437" s="443"/>
      <c r="Y437" s="444"/>
      <c r="AD437" s="33"/>
      <c r="AE437" s="33"/>
    </row>
    <row r="438" spans="5:31" ht="11.25" customHeight="1" x14ac:dyDescent="0.2">
      <c r="E438" s="155"/>
      <c r="F438" s="155"/>
      <c r="G438" s="33"/>
      <c r="K438" s="33"/>
      <c r="L438" s="33"/>
      <c r="R438" s="442"/>
      <c r="S438" s="442"/>
      <c r="T438" s="442"/>
      <c r="U438" s="442"/>
      <c r="V438" s="442"/>
      <c r="W438" s="442"/>
      <c r="X438" s="443"/>
      <c r="Y438" s="444"/>
      <c r="AD438" s="33"/>
      <c r="AE438" s="33"/>
    </row>
    <row r="439" spans="5:31" ht="11.25" customHeight="1" x14ac:dyDescent="0.2">
      <c r="E439" s="155"/>
      <c r="F439" s="155"/>
      <c r="G439" s="33"/>
      <c r="K439" s="33"/>
      <c r="L439" s="33"/>
      <c r="R439" s="442"/>
      <c r="S439" s="442"/>
      <c r="T439" s="442"/>
      <c r="U439" s="442"/>
      <c r="V439" s="442"/>
      <c r="W439" s="442"/>
      <c r="X439" s="443"/>
      <c r="Y439" s="444"/>
      <c r="AD439" s="33"/>
      <c r="AE439" s="33"/>
    </row>
    <row r="440" spans="5:31" ht="11.25" customHeight="1" x14ac:dyDescent="0.2">
      <c r="E440" s="155"/>
      <c r="F440" s="155"/>
      <c r="G440" s="33"/>
      <c r="K440" s="33"/>
      <c r="L440" s="33"/>
      <c r="R440" s="442"/>
      <c r="S440" s="442"/>
      <c r="T440" s="442"/>
      <c r="U440" s="442"/>
      <c r="V440" s="442"/>
      <c r="W440" s="442"/>
      <c r="X440" s="443"/>
      <c r="Y440" s="444"/>
      <c r="AD440" s="33"/>
      <c r="AE440" s="33"/>
    </row>
    <row r="441" spans="5:31" ht="11.25" customHeight="1" x14ac:dyDescent="0.2">
      <c r="E441" s="155"/>
      <c r="F441" s="155"/>
      <c r="G441" s="33"/>
      <c r="K441" s="33"/>
      <c r="L441" s="33"/>
      <c r="R441" s="442"/>
      <c r="S441" s="442"/>
      <c r="T441" s="442"/>
      <c r="U441" s="442"/>
      <c r="V441" s="442"/>
      <c r="W441" s="442"/>
      <c r="X441" s="443"/>
      <c r="Y441" s="444"/>
      <c r="AD441" s="33"/>
      <c r="AE441" s="33"/>
    </row>
    <row r="442" spans="5:31" ht="11.25" customHeight="1" x14ac:dyDescent="0.2">
      <c r="E442" s="155"/>
      <c r="F442" s="155"/>
      <c r="G442" s="33"/>
      <c r="K442" s="33"/>
      <c r="L442" s="33"/>
      <c r="R442" s="442"/>
      <c r="S442" s="442"/>
      <c r="T442" s="442"/>
      <c r="U442" s="442"/>
      <c r="V442" s="442"/>
      <c r="W442" s="442"/>
      <c r="X442" s="443"/>
      <c r="Y442" s="444"/>
      <c r="AD442" s="33"/>
      <c r="AE442" s="33"/>
    </row>
    <row r="443" spans="5:31" ht="11.25" customHeight="1" x14ac:dyDescent="0.2">
      <c r="E443" s="155"/>
      <c r="F443" s="155"/>
      <c r="G443" s="33"/>
      <c r="K443" s="33"/>
      <c r="L443" s="33"/>
      <c r="R443" s="442"/>
      <c r="S443" s="442"/>
      <c r="T443" s="442"/>
      <c r="U443" s="442"/>
      <c r="V443" s="442"/>
      <c r="W443" s="442"/>
      <c r="X443" s="443"/>
      <c r="Y443" s="444"/>
      <c r="AD443" s="33"/>
      <c r="AE443" s="33"/>
    </row>
    <row r="444" spans="5:31" ht="11.25" customHeight="1" x14ac:dyDescent="0.2">
      <c r="E444" s="155"/>
      <c r="F444" s="155"/>
      <c r="G444" s="33"/>
      <c r="K444" s="33"/>
      <c r="L444" s="33"/>
      <c r="R444" s="442"/>
      <c r="S444" s="442"/>
      <c r="T444" s="442"/>
      <c r="U444" s="442"/>
      <c r="V444" s="442"/>
      <c r="W444" s="442"/>
      <c r="X444" s="443"/>
      <c r="Y444" s="444"/>
      <c r="AD444" s="33"/>
      <c r="AE444" s="33"/>
    </row>
    <row r="445" spans="5:31" ht="11.25" customHeight="1" x14ac:dyDescent="0.2">
      <c r="E445" s="155"/>
      <c r="F445" s="155"/>
      <c r="G445" s="33"/>
      <c r="K445" s="33"/>
      <c r="L445" s="33"/>
      <c r="R445" s="442"/>
      <c r="S445" s="442"/>
      <c r="T445" s="442"/>
      <c r="U445" s="442"/>
      <c r="V445" s="442"/>
      <c r="W445" s="442"/>
      <c r="X445" s="443"/>
      <c r="Y445" s="444"/>
      <c r="AD445" s="33"/>
      <c r="AE445" s="33"/>
    </row>
    <row r="446" spans="5:31" ht="11.25" customHeight="1" x14ac:dyDescent="0.2">
      <c r="E446" s="155"/>
      <c r="F446" s="155"/>
      <c r="G446" s="33"/>
      <c r="K446" s="33"/>
      <c r="L446" s="33"/>
      <c r="R446" s="442"/>
      <c r="S446" s="442"/>
      <c r="T446" s="442"/>
      <c r="U446" s="442"/>
      <c r="V446" s="442"/>
      <c r="W446" s="442"/>
      <c r="X446" s="443"/>
      <c r="Y446" s="444"/>
      <c r="AD446" s="33"/>
      <c r="AE446" s="33"/>
    </row>
    <row r="447" spans="5:31" ht="11.25" customHeight="1" x14ac:dyDescent="0.2">
      <c r="E447" s="155"/>
      <c r="F447" s="155"/>
      <c r="G447" s="33"/>
      <c r="K447" s="33"/>
      <c r="L447" s="33"/>
      <c r="R447" s="442"/>
      <c r="S447" s="442"/>
      <c r="T447" s="442"/>
      <c r="U447" s="442"/>
      <c r="V447" s="442"/>
      <c r="W447" s="442"/>
      <c r="X447" s="443"/>
      <c r="Y447" s="444"/>
      <c r="AD447" s="33"/>
      <c r="AE447" s="33"/>
    </row>
    <row r="448" spans="5:31" ht="11.25" customHeight="1" x14ac:dyDescent="0.2">
      <c r="E448" s="155"/>
      <c r="F448" s="155"/>
      <c r="G448" s="33"/>
      <c r="K448" s="33"/>
      <c r="L448" s="33"/>
      <c r="R448" s="442"/>
      <c r="S448" s="442"/>
      <c r="T448" s="442"/>
      <c r="U448" s="442"/>
      <c r="V448" s="442"/>
      <c r="W448" s="442"/>
      <c r="X448" s="443"/>
      <c r="Y448" s="444"/>
      <c r="AD448" s="33"/>
      <c r="AE448" s="33"/>
    </row>
    <row r="449" spans="5:31" ht="11.25" customHeight="1" x14ac:dyDescent="0.2">
      <c r="E449" s="155"/>
      <c r="F449" s="155"/>
      <c r="G449" s="33"/>
      <c r="K449" s="33"/>
      <c r="L449" s="33"/>
      <c r="R449" s="442"/>
      <c r="S449" s="442"/>
      <c r="T449" s="442"/>
      <c r="U449" s="442"/>
      <c r="V449" s="442"/>
      <c r="W449" s="442"/>
      <c r="X449" s="443"/>
      <c r="Y449" s="444"/>
      <c r="AD449" s="33"/>
      <c r="AE449" s="33"/>
    </row>
    <row r="450" spans="5:31" ht="11.25" customHeight="1" x14ac:dyDescent="0.2">
      <c r="E450" s="155"/>
      <c r="F450" s="155"/>
      <c r="G450" s="33"/>
      <c r="K450" s="33"/>
      <c r="L450" s="33"/>
      <c r="R450" s="442"/>
      <c r="S450" s="442"/>
      <c r="T450" s="442"/>
      <c r="U450" s="442"/>
      <c r="V450" s="442"/>
      <c r="W450" s="442"/>
      <c r="X450" s="443"/>
      <c r="Y450" s="444"/>
      <c r="AD450" s="33"/>
      <c r="AE450" s="33"/>
    </row>
    <row r="451" spans="5:31" ht="11.25" customHeight="1" x14ac:dyDescent="0.2">
      <c r="E451" s="155"/>
      <c r="F451" s="155"/>
      <c r="G451" s="33"/>
      <c r="K451" s="33"/>
      <c r="L451" s="33"/>
      <c r="R451" s="442"/>
      <c r="S451" s="442"/>
      <c r="T451" s="442"/>
      <c r="U451" s="442"/>
      <c r="V451" s="442"/>
      <c r="W451" s="442"/>
      <c r="X451" s="443"/>
      <c r="Y451" s="444"/>
      <c r="AD451" s="33"/>
      <c r="AE451" s="33"/>
    </row>
    <row r="452" spans="5:31" ht="11.25" customHeight="1" x14ac:dyDescent="0.2">
      <c r="E452" s="155"/>
      <c r="F452" s="155"/>
      <c r="G452" s="33"/>
      <c r="K452" s="33"/>
      <c r="L452" s="33"/>
      <c r="R452" s="442"/>
      <c r="S452" s="442"/>
      <c r="T452" s="442"/>
      <c r="U452" s="442"/>
      <c r="V452" s="442"/>
      <c r="W452" s="442"/>
      <c r="X452" s="443"/>
      <c r="Y452" s="444"/>
      <c r="AD452" s="33"/>
      <c r="AE452" s="33"/>
    </row>
    <row r="453" spans="5:31" ht="11.25" customHeight="1" x14ac:dyDescent="0.2">
      <c r="E453" s="155"/>
      <c r="F453" s="155"/>
      <c r="G453" s="33"/>
      <c r="K453" s="33"/>
      <c r="L453" s="33"/>
      <c r="R453" s="442"/>
      <c r="S453" s="442"/>
      <c r="T453" s="442"/>
      <c r="U453" s="442"/>
      <c r="V453" s="442"/>
      <c r="W453" s="442"/>
      <c r="X453" s="443"/>
      <c r="Y453" s="444"/>
      <c r="AD453" s="33"/>
      <c r="AE453" s="33"/>
    </row>
    <row r="454" spans="5:31" ht="11.25" customHeight="1" x14ac:dyDescent="0.2">
      <c r="E454" s="155"/>
      <c r="F454" s="155"/>
      <c r="G454" s="33"/>
      <c r="K454" s="33"/>
      <c r="L454" s="33"/>
      <c r="R454" s="442"/>
      <c r="S454" s="442"/>
      <c r="T454" s="442"/>
      <c r="U454" s="442"/>
      <c r="V454" s="442"/>
      <c r="W454" s="442"/>
      <c r="X454" s="443"/>
      <c r="Y454" s="444"/>
      <c r="AD454" s="33"/>
      <c r="AE454" s="33"/>
    </row>
    <row r="455" spans="5:31" ht="11.25" customHeight="1" x14ac:dyDescent="0.2">
      <c r="E455" s="155"/>
      <c r="F455" s="155"/>
      <c r="G455" s="33"/>
      <c r="K455" s="33"/>
      <c r="L455" s="33"/>
      <c r="R455" s="442"/>
      <c r="S455" s="442"/>
      <c r="T455" s="442"/>
      <c r="U455" s="442"/>
      <c r="V455" s="442"/>
      <c r="W455" s="442"/>
      <c r="X455" s="443"/>
      <c r="Y455" s="444"/>
      <c r="AD455" s="33"/>
      <c r="AE455" s="33"/>
    </row>
    <row r="456" spans="5:31" ht="11.25" customHeight="1" x14ac:dyDescent="0.2">
      <c r="E456" s="155"/>
      <c r="F456" s="155"/>
      <c r="G456" s="33"/>
      <c r="K456" s="33"/>
      <c r="L456" s="33"/>
      <c r="R456" s="442"/>
      <c r="S456" s="442"/>
      <c r="T456" s="442"/>
      <c r="U456" s="442"/>
      <c r="V456" s="442"/>
      <c r="W456" s="442"/>
      <c r="X456" s="443"/>
      <c r="Y456" s="444"/>
      <c r="AD456" s="33"/>
      <c r="AE456" s="33"/>
    </row>
    <row r="457" spans="5:31" ht="11.25" customHeight="1" x14ac:dyDescent="0.2">
      <c r="E457" s="155"/>
      <c r="F457" s="155"/>
      <c r="G457" s="33"/>
      <c r="K457" s="33"/>
      <c r="L457" s="33"/>
      <c r="R457" s="442"/>
      <c r="S457" s="442"/>
      <c r="T457" s="442"/>
      <c r="U457" s="442"/>
      <c r="V457" s="442"/>
      <c r="W457" s="442"/>
      <c r="X457" s="443"/>
      <c r="Y457" s="444"/>
      <c r="AD457" s="33"/>
      <c r="AE457" s="33"/>
    </row>
    <row r="458" spans="5:31" ht="11.25" customHeight="1" x14ac:dyDescent="0.2">
      <c r="E458" s="155"/>
      <c r="F458" s="155"/>
      <c r="G458" s="33"/>
      <c r="K458" s="33"/>
      <c r="L458" s="33"/>
      <c r="R458" s="442"/>
      <c r="S458" s="442"/>
      <c r="T458" s="442"/>
      <c r="U458" s="442"/>
      <c r="V458" s="442"/>
      <c r="W458" s="442"/>
      <c r="X458" s="443"/>
      <c r="Y458" s="444"/>
      <c r="AD458" s="33"/>
      <c r="AE458" s="33"/>
    </row>
    <row r="459" spans="5:31" ht="11.25" customHeight="1" x14ac:dyDescent="0.2">
      <c r="E459" s="155"/>
      <c r="F459" s="155"/>
      <c r="G459" s="33"/>
      <c r="K459" s="33"/>
      <c r="L459" s="33"/>
      <c r="R459" s="442"/>
      <c r="S459" s="442"/>
      <c r="T459" s="442"/>
      <c r="U459" s="442"/>
      <c r="V459" s="442"/>
      <c r="W459" s="442"/>
      <c r="X459" s="443"/>
      <c r="Y459" s="444"/>
      <c r="AD459" s="33"/>
      <c r="AE459" s="33"/>
    </row>
    <row r="460" spans="5:31" ht="11.25" customHeight="1" x14ac:dyDescent="0.2">
      <c r="E460" s="155"/>
      <c r="F460" s="155"/>
      <c r="G460" s="33"/>
      <c r="K460" s="33"/>
      <c r="L460" s="33"/>
      <c r="R460" s="442"/>
      <c r="S460" s="442"/>
      <c r="T460" s="442"/>
      <c r="U460" s="442"/>
      <c r="V460" s="442"/>
      <c r="W460" s="442"/>
      <c r="X460" s="443"/>
      <c r="Y460" s="444"/>
      <c r="AD460" s="33"/>
      <c r="AE460" s="33"/>
    </row>
    <row r="461" spans="5:31" ht="11.25" customHeight="1" x14ac:dyDescent="0.2">
      <c r="E461" s="155"/>
      <c r="F461" s="155"/>
      <c r="G461" s="33"/>
      <c r="K461" s="33"/>
      <c r="L461" s="33"/>
      <c r="R461" s="442"/>
      <c r="S461" s="442"/>
      <c r="T461" s="442"/>
      <c r="U461" s="442"/>
      <c r="V461" s="442"/>
      <c r="W461" s="442"/>
      <c r="X461" s="443"/>
      <c r="Y461" s="444"/>
      <c r="AD461" s="33"/>
      <c r="AE461" s="33"/>
    </row>
    <row r="462" spans="5:31" ht="11.25" customHeight="1" x14ac:dyDescent="0.2">
      <c r="E462" s="155"/>
      <c r="F462" s="155"/>
      <c r="G462" s="33"/>
      <c r="K462" s="33"/>
      <c r="L462" s="33"/>
      <c r="R462" s="442"/>
      <c r="S462" s="442"/>
      <c r="T462" s="442"/>
      <c r="U462" s="442"/>
      <c r="V462" s="442"/>
      <c r="W462" s="442"/>
      <c r="X462" s="443"/>
      <c r="Y462" s="444"/>
      <c r="AD462" s="33"/>
      <c r="AE462" s="33"/>
    </row>
    <row r="463" spans="5:31" ht="11.25" customHeight="1" x14ac:dyDescent="0.2">
      <c r="E463" s="155"/>
      <c r="F463" s="155"/>
      <c r="G463" s="33"/>
      <c r="K463" s="33"/>
      <c r="L463" s="33"/>
      <c r="R463" s="442"/>
      <c r="S463" s="442"/>
      <c r="T463" s="442"/>
      <c r="U463" s="442"/>
      <c r="V463" s="442"/>
      <c r="W463" s="442"/>
      <c r="X463" s="443"/>
      <c r="Y463" s="444"/>
      <c r="AD463" s="33"/>
      <c r="AE463" s="33"/>
    </row>
    <row r="464" spans="5:31" ht="11.25" customHeight="1" x14ac:dyDescent="0.2">
      <c r="E464" s="155"/>
      <c r="F464" s="155"/>
      <c r="G464" s="33"/>
      <c r="K464" s="33"/>
      <c r="L464" s="33"/>
      <c r="R464" s="442"/>
      <c r="S464" s="442"/>
      <c r="T464" s="442"/>
      <c r="U464" s="442"/>
      <c r="V464" s="442"/>
      <c r="W464" s="442"/>
      <c r="X464" s="443"/>
      <c r="Y464" s="444"/>
      <c r="AD464" s="33"/>
      <c r="AE464" s="33"/>
    </row>
    <row r="465" spans="5:31" ht="11.25" customHeight="1" x14ac:dyDescent="0.2">
      <c r="E465" s="155"/>
      <c r="F465" s="155"/>
      <c r="G465" s="33"/>
      <c r="K465" s="33"/>
      <c r="L465" s="33"/>
      <c r="R465" s="442"/>
      <c r="S465" s="442"/>
      <c r="T465" s="442"/>
      <c r="U465" s="442"/>
      <c r="V465" s="442"/>
      <c r="W465" s="442"/>
      <c r="X465" s="443"/>
      <c r="Y465" s="444"/>
      <c r="AD465" s="33"/>
      <c r="AE465" s="33"/>
    </row>
    <row r="466" spans="5:31" ht="11.25" customHeight="1" x14ac:dyDescent="0.2">
      <c r="E466" s="155"/>
      <c r="F466" s="155"/>
      <c r="G466" s="33"/>
      <c r="K466" s="33"/>
      <c r="L466" s="33"/>
      <c r="R466" s="442"/>
      <c r="S466" s="442"/>
      <c r="T466" s="442"/>
      <c r="U466" s="442"/>
      <c r="V466" s="442"/>
      <c r="W466" s="442"/>
      <c r="X466" s="443"/>
      <c r="Y466" s="444"/>
      <c r="AD466" s="33"/>
      <c r="AE466" s="33"/>
    </row>
    <row r="467" spans="5:31" ht="11.25" customHeight="1" x14ac:dyDescent="0.2">
      <c r="E467" s="155"/>
      <c r="F467" s="155"/>
      <c r="G467" s="33"/>
      <c r="K467" s="33"/>
      <c r="L467" s="33"/>
      <c r="R467" s="442"/>
      <c r="S467" s="442"/>
      <c r="T467" s="442"/>
      <c r="U467" s="442"/>
      <c r="V467" s="442"/>
      <c r="W467" s="442"/>
      <c r="X467" s="443"/>
      <c r="Y467" s="444"/>
      <c r="AD467" s="33"/>
      <c r="AE467" s="33"/>
    </row>
    <row r="468" spans="5:31" ht="11.25" customHeight="1" x14ac:dyDescent="0.2">
      <c r="E468" s="155"/>
      <c r="F468" s="155"/>
      <c r="G468" s="33"/>
      <c r="K468" s="33"/>
      <c r="L468" s="33"/>
      <c r="R468" s="442"/>
      <c r="S468" s="442"/>
      <c r="T468" s="442"/>
      <c r="U468" s="442"/>
      <c r="V468" s="442"/>
      <c r="W468" s="442"/>
      <c r="X468" s="443"/>
      <c r="Y468" s="444"/>
      <c r="AD468" s="33"/>
      <c r="AE468" s="33"/>
    </row>
    <row r="469" spans="5:31" ht="11.25" customHeight="1" x14ac:dyDescent="0.2">
      <c r="E469" s="155"/>
      <c r="F469" s="155"/>
      <c r="G469" s="33"/>
      <c r="K469" s="33"/>
      <c r="L469" s="33"/>
      <c r="R469" s="442"/>
      <c r="S469" s="442"/>
      <c r="T469" s="442"/>
      <c r="U469" s="442"/>
      <c r="V469" s="442"/>
      <c r="W469" s="442"/>
      <c r="X469" s="443"/>
      <c r="Y469" s="444"/>
      <c r="AD469" s="33"/>
      <c r="AE469" s="33"/>
    </row>
    <row r="470" spans="5:31" ht="11.25" customHeight="1" x14ac:dyDescent="0.2">
      <c r="E470" s="155"/>
      <c r="F470" s="155"/>
      <c r="G470" s="33"/>
      <c r="K470" s="33"/>
      <c r="L470" s="33"/>
      <c r="R470" s="442"/>
      <c r="S470" s="442"/>
      <c r="T470" s="442"/>
      <c r="U470" s="442"/>
      <c r="V470" s="442"/>
      <c r="W470" s="442"/>
      <c r="X470" s="443"/>
      <c r="Y470" s="444"/>
      <c r="AD470" s="33"/>
      <c r="AE470" s="33"/>
    </row>
    <row r="471" spans="5:31" ht="11.25" customHeight="1" x14ac:dyDescent="0.2">
      <c r="E471" s="155"/>
      <c r="F471" s="155"/>
      <c r="G471" s="33"/>
      <c r="K471" s="33"/>
      <c r="L471" s="33"/>
      <c r="R471" s="442"/>
      <c r="S471" s="442"/>
      <c r="T471" s="442"/>
      <c r="U471" s="442"/>
      <c r="V471" s="442"/>
      <c r="W471" s="442"/>
      <c r="X471" s="443"/>
      <c r="Y471" s="444"/>
      <c r="AD471" s="33"/>
      <c r="AE471" s="33"/>
    </row>
    <row r="472" spans="5:31" ht="11.25" customHeight="1" x14ac:dyDescent="0.2">
      <c r="E472" s="155"/>
      <c r="F472" s="155"/>
      <c r="G472" s="33"/>
      <c r="K472" s="33"/>
      <c r="L472" s="33"/>
      <c r="R472" s="442"/>
      <c r="S472" s="442"/>
      <c r="T472" s="442"/>
      <c r="U472" s="442"/>
      <c r="V472" s="442"/>
      <c r="W472" s="442"/>
      <c r="X472" s="443"/>
      <c r="Y472" s="444"/>
      <c r="AD472" s="33"/>
      <c r="AE472" s="33"/>
    </row>
    <row r="473" spans="5:31" ht="11.25" customHeight="1" x14ac:dyDescent="0.2">
      <c r="E473" s="155"/>
      <c r="F473" s="155"/>
      <c r="G473" s="33"/>
      <c r="K473" s="33"/>
      <c r="L473" s="33"/>
      <c r="R473" s="442"/>
      <c r="S473" s="442"/>
      <c r="T473" s="442"/>
      <c r="U473" s="442"/>
      <c r="V473" s="442"/>
      <c r="W473" s="442"/>
      <c r="X473" s="443"/>
      <c r="Y473" s="444"/>
      <c r="AD473" s="33"/>
      <c r="AE473" s="33"/>
    </row>
    <row r="474" spans="5:31" ht="11.25" customHeight="1" x14ac:dyDescent="0.2">
      <c r="E474" s="155"/>
      <c r="F474" s="155"/>
      <c r="G474" s="33"/>
      <c r="K474" s="33"/>
      <c r="L474" s="33"/>
      <c r="R474" s="442"/>
      <c r="S474" s="442"/>
      <c r="T474" s="442"/>
      <c r="U474" s="442"/>
      <c r="V474" s="442"/>
      <c r="W474" s="442"/>
      <c r="X474" s="443"/>
      <c r="Y474" s="444"/>
      <c r="AD474" s="33"/>
      <c r="AE474" s="33"/>
    </row>
    <row r="475" spans="5:31" ht="11.25" customHeight="1" x14ac:dyDescent="0.2">
      <c r="E475" s="155"/>
      <c r="F475" s="155"/>
      <c r="G475" s="33"/>
      <c r="K475" s="33"/>
      <c r="L475" s="33"/>
      <c r="R475" s="442"/>
      <c r="S475" s="442"/>
      <c r="T475" s="442"/>
      <c r="U475" s="442"/>
      <c r="V475" s="442"/>
      <c r="W475" s="442"/>
      <c r="X475" s="443"/>
      <c r="Y475" s="444"/>
      <c r="AD475" s="33"/>
      <c r="AE475" s="33"/>
    </row>
    <row r="476" spans="5:31" ht="11.25" customHeight="1" x14ac:dyDescent="0.2">
      <c r="E476" s="155"/>
      <c r="F476" s="155"/>
      <c r="G476" s="33"/>
      <c r="K476" s="33"/>
      <c r="L476" s="33"/>
      <c r="R476" s="442"/>
      <c r="S476" s="442"/>
      <c r="T476" s="442"/>
      <c r="U476" s="442"/>
      <c r="V476" s="442"/>
      <c r="W476" s="442"/>
      <c r="X476" s="443"/>
      <c r="Y476" s="444"/>
      <c r="AD476" s="33"/>
      <c r="AE476" s="33"/>
    </row>
    <row r="477" spans="5:31" ht="11.25" customHeight="1" x14ac:dyDescent="0.2">
      <c r="E477" s="155"/>
      <c r="F477" s="155"/>
      <c r="G477" s="33"/>
      <c r="K477" s="33"/>
      <c r="L477" s="33"/>
      <c r="R477" s="442"/>
      <c r="S477" s="442"/>
      <c r="T477" s="442"/>
      <c r="U477" s="442"/>
      <c r="V477" s="442"/>
      <c r="W477" s="442"/>
      <c r="X477" s="443"/>
      <c r="Y477" s="444"/>
      <c r="AD477" s="33"/>
      <c r="AE477" s="33"/>
    </row>
    <row r="478" spans="5:31" ht="11.25" customHeight="1" x14ac:dyDescent="0.2">
      <c r="E478" s="155"/>
      <c r="F478" s="155"/>
      <c r="G478" s="33"/>
      <c r="K478" s="33"/>
      <c r="L478" s="33"/>
      <c r="R478" s="442"/>
      <c r="S478" s="442"/>
      <c r="T478" s="442"/>
      <c r="U478" s="442"/>
      <c r="V478" s="442"/>
      <c r="W478" s="442"/>
      <c r="X478" s="443"/>
      <c r="Y478" s="444"/>
      <c r="AD478" s="33"/>
      <c r="AE478" s="33"/>
    </row>
    <row r="479" spans="5:31" ht="11.25" customHeight="1" x14ac:dyDescent="0.2">
      <c r="E479" s="155"/>
      <c r="F479" s="155"/>
      <c r="G479" s="33"/>
      <c r="K479" s="33"/>
      <c r="L479" s="33"/>
      <c r="R479" s="442"/>
      <c r="S479" s="442"/>
      <c r="T479" s="442"/>
      <c r="U479" s="442"/>
      <c r="V479" s="442"/>
      <c r="W479" s="442"/>
      <c r="X479" s="443"/>
      <c r="Y479" s="444"/>
      <c r="AD479" s="33"/>
      <c r="AE479" s="33"/>
    </row>
    <row r="480" spans="5:31" ht="11.25" customHeight="1" x14ac:dyDescent="0.2">
      <c r="E480" s="155"/>
      <c r="F480" s="155"/>
      <c r="G480" s="33"/>
      <c r="K480" s="33"/>
      <c r="L480" s="33"/>
      <c r="R480" s="442"/>
      <c r="S480" s="442"/>
      <c r="T480" s="442"/>
      <c r="U480" s="442"/>
      <c r="V480" s="442"/>
      <c r="W480" s="442"/>
      <c r="X480" s="443"/>
      <c r="Y480" s="444"/>
      <c r="AB480" s="33"/>
      <c r="AD480" s="33"/>
      <c r="AE480" s="33"/>
    </row>
    <row r="481" spans="5:31" ht="11.25" customHeight="1" x14ac:dyDescent="0.2">
      <c r="E481" s="155"/>
      <c r="F481" s="155"/>
      <c r="G481" s="33"/>
      <c r="K481" s="33"/>
      <c r="L481" s="33"/>
      <c r="R481" s="442"/>
      <c r="S481" s="442"/>
      <c r="T481" s="442"/>
      <c r="U481" s="442"/>
      <c r="V481" s="442"/>
      <c r="W481" s="442"/>
      <c r="X481" s="443"/>
      <c r="Y481" s="444"/>
      <c r="AB481" s="33"/>
      <c r="AD481" s="33"/>
      <c r="AE481" s="33"/>
    </row>
    <row r="482" spans="5:31" ht="11.25" customHeight="1" x14ac:dyDescent="0.2">
      <c r="E482" s="155"/>
      <c r="F482" s="155"/>
      <c r="G482" s="33"/>
      <c r="K482" s="33"/>
      <c r="L482" s="33"/>
      <c r="R482" s="442"/>
      <c r="S482" s="442"/>
      <c r="T482" s="442"/>
      <c r="U482" s="442"/>
      <c r="V482" s="442"/>
      <c r="W482" s="442"/>
      <c r="X482" s="443"/>
      <c r="Y482" s="444"/>
      <c r="AB482" s="33"/>
      <c r="AD482" s="33"/>
      <c r="AE482" s="33"/>
    </row>
    <row r="483" spans="5:31" ht="11.25" customHeight="1" x14ac:dyDescent="0.2">
      <c r="E483" s="155"/>
      <c r="F483" s="155"/>
      <c r="G483" s="33"/>
      <c r="K483" s="33"/>
      <c r="L483" s="33"/>
      <c r="R483" s="442"/>
      <c r="S483" s="442"/>
      <c r="T483" s="442"/>
      <c r="U483" s="442"/>
      <c r="V483" s="442"/>
      <c r="W483" s="442"/>
      <c r="X483" s="443"/>
      <c r="Y483" s="444"/>
      <c r="AB483" s="33"/>
      <c r="AD483" s="33"/>
      <c r="AE483" s="33"/>
    </row>
    <row r="484" spans="5:31" ht="11.25" customHeight="1" x14ac:dyDescent="0.2">
      <c r="E484" s="155"/>
      <c r="F484" s="155"/>
      <c r="G484" s="33"/>
      <c r="K484" s="33"/>
      <c r="L484" s="33"/>
      <c r="R484" s="442"/>
      <c r="S484" s="442"/>
      <c r="T484" s="442"/>
      <c r="U484" s="442"/>
      <c r="V484" s="442"/>
      <c r="W484" s="442"/>
      <c r="X484" s="443"/>
      <c r="Y484" s="444"/>
      <c r="AB484" s="33"/>
      <c r="AD484" s="33"/>
      <c r="AE484" s="33"/>
    </row>
    <row r="485" spans="5:31" ht="11.25" customHeight="1" x14ac:dyDescent="0.2">
      <c r="E485" s="155"/>
      <c r="F485" s="155"/>
      <c r="G485" s="33"/>
      <c r="K485" s="33"/>
      <c r="L485" s="33"/>
      <c r="R485" s="442"/>
      <c r="S485" s="442"/>
      <c r="T485" s="442"/>
      <c r="U485" s="442"/>
      <c r="V485" s="442"/>
      <c r="W485" s="442"/>
      <c r="X485" s="443"/>
      <c r="Y485" s="444"/>
      <c r="AB485" s="33"/>
      <c r="AD485" s="33"/>
      <c r="AE485" s="33"/>
    </row>
    <row r="486" spans="5:31" ht="11.25" customHeight="1" x14ac:dyDescent="0.2">
      <c r="E486" s="155"/>
      <c r="F486" s="155"/>
      <c r="G486" s="33"/>
      <c r="K486" s="33"/>
      <c r="L486" s="33"/>
      <c r="R486" s="442"/>
      <c r="S486" s="442"/>
      <c r="T486" s="442"/>
      <c r="U486" s="442"/>
      <c r="V486" s="442"/>
      <c r="W486" s="442"/>
      <c r="X486" s="443"/>
      <c r="Y486" s="444"/>
      <c r="AB486" s="33"/>
      <c r="AD486" s="33"/>
      <c r="AE486" s="33"/>
    </row>
    <row r="487" spans="5:31" ht="11.25" customHeight="1" x14ac:dyDescent="0.2">
      <c r="E487" s="155"/>
      <c r="F487" s="155"/>
      <c r="G487" s="33"/>
      <c r="K487" s="33"/>
      <c r="L487" s="33"/>
      <c r="R487" s="442"/>
      <c r="S487" s="442"/>
      <c r="T487" s="442"/>
      <c r="U487" s="442"/>
      <c r="V487" s="442"/>
      <c r="W487" s="442"/>
      <c r="X487" s="443"/>
      <c r="Y487" s="444"/>
      <c r="AB487" s="33"/>
      <c r="AD487" s="33"/>
      <c r="AE487" s="33"/>
    </row>
    <row r="488" spans="5:31" ht="11.25" customHeight="1" x14ac:dyDescent="0.2">
      <c r="E488" s="155"/>
      <c r="F488" s="155"/>
      <c r="G488" s="33"/>
      <c r="K488" s="33"/>
      <c r="L488" s="33"/>
      <c r="R488" s="442"/>
      <c r="S488" s="442"/>
      <c r="T488" s="442"/>
      <c r="U488" s="442"/>
      <c r="V488" s="442"/>
      <c r="W488" s="442"/>
      <c r="X488" s="443"/>
      <c r="Y488" s="444"/>
      <c r="AB488" s="33"/>
      <c r="AD488" s="33"/>
      <c r="AE488" s="33"/>
    </row>
    <row r="489" spans="5:31" ht="11.25" customHeight="1" x14ac:dyDescent="0.2">
      <c r="E489" s="155"/>
      <c r="F489" s="155"/>
      <c r="G489" s="33"/>
      <c r="K489" s="33"/>
      <c r="L489" s="33"/>
      <c r="R489" s="442"/>
      <c r="S489" s="442"/>
      <c r="T489" s="442"/>
      <c r="U489" s="442"/>
      <c r="V489" s="442"/>
      <c r="W489" s="442"/>
      <c r="X489" s="443"/>
      <c r="Y489" s="444"/>
      <c r="AB489" s="33"/>
      <c r="AD489" s="33"/>
      <c r="AE489" s="33"/>
    </row>
    <row r="490" spans="5:31" ht="11.25" customHeight="1" x14ac:dyDescent="0.2">
      <c r="E490" s="155"/>
      <c r="F490" s="155"/>
      <c r="G490" s="33"/>
      <c r="K490" s="33"/>
      <c r="L490" s="33"/>
      <c r="R490" s="442"/>
      <c r="S490" s="442"/>
      <c r="T490" s="442"/>
      <c r="U490" s="442"/>
      <c r="V490" s="442"/>
      <c r="W490" s="442"/>
      <c r="X490" s="443"/>
      <c r="Y490" s="444"/>
      <c r="AB490" s="33"/>
      <c r="AD490" s="33"/>
      <c r="AE490" s="33"/>
    </row>
    <row r="491" spans="5:31" ht="11.25" customHeight="1" x14ac:dyDescent="0.2">
      <c r="E491" s="155"/>
      <c r="F491" s="155"/>
      <c r="G491" s="33"/>
      <c r="K491" s="33"/>
      <c r="L491" s="33"/>
      <c r="R491" s="442"/>
      <c r="S491" s="442"/>
      <c r="T491" s="442"/>
      <c r="U491" s="442"/>
      <c r="V491" s="442"/>
      <c r="W491" s="442"/>
      <c r="X491" s="443"/>
      <c r="Y491" s="444"/>
      <c r="AB491" s="33"/>
      <c r="AD491" s="33"/>
      <c r="AE491" s="33"/>
    </row>
    <row r="492" spans="5:31" ht="11.25" customHeight="1" x14ac:dyDescent="0.2">
      <c r="E492" s="155"/>
      <c r="F492" s="155"/>
      <c r="G492" s="33"/>
      <c r="K492" s="33"/>
      <c r="L492" s="33"/>
      <c r="R492" s="442"/>
      <c r="S492" s="442"/>
      <c r="T492" s="442"/>
      <c r="U492" s="442"/>
      <c r="V492" s="442"/>
      <c r="W492" s="442"/>
      <c r="X492" s="443"/>
      <c r="Y492" s="444"/>
      <c r="AB492" s="33"/>
      <c r="AD492" s="33"/>
      <c r="AE492" s="33"/>
    </row>
    <row r="493" spans="5:31" ht="11.25" customHeight="1" x14ac:dyDescent="0.2">
      <c r="E493" s="155"/>
      <c r="F493" s="155"/>
      <c r="G493" s="33"/>
      <c r="K493" s="33"/>
      <c r="L493" s="33"/>
      <c r="R493" s="442"/>
      <c r="S493" s="442"/>
      <c r="T493" s="442"/>
      <c r="U493" s="442"/>
      <c r="V493" s="442"/>
      <c r="W493" s="442"/>
      <c r="X493" s="443"/>
      <c r="Y493" s="444"/>
      <c r="AB493" s="33"/>
      <c r="AD493" s="33"/>
      <c r="AE493" s="33"/>
    </row>
    <row r="494" spans="5:31" ht="11.25" customHeight="1" x14ac:dyDescent="0.2">
      <c r="E494" s="155"/>
      <c r="F494" s="155"/>
      <c r="G494" s="33"/>
      <c r="K494" s="33"/>
      <c r="L494" s="33"/>
      <c r="R494" s="442"/>
      <c r="S494" s="442"/>
      <c r="T494" s="442"/>
      <c r="U494" s="442"/>
      <c r="V494" s="442"/>
      <c r="W494" s="442"/>
      <c r="X494" s="443"/>
      <c r="Y494" s="444"/>
      <c r="AB494" s="33"/>
      <c r="AD494" s="33"/>
      <c r="AE494" s="33"/>
    </row>
    <row r="495" spans="5:31" ht="11.25" customHeight="1" x14ac:dyDescent="0.2">
      <c r="E495" s="155"/>
      <c r="F495" s="155"/>
      <c r="G495" s="33"/>
      <c r="K495" s="33"/>
      <c r="L495" s="33"/>
      <c r="R495" s="442"/>
      <c r="S495" s="442"/>
      <c r="T495" s="442"/>
      <c r="U495" s="442"/>
      <c r="V495" s="442"/>
      <c r="W495" s="442"/>
      <c r="X495" s="443"/>
      <c r="Y495" s="444"/>
      <c r="AB495" s="33"/>
      <c r="AD495" s="33"/>
      <c r="AE495" s="33"/>
    </row>
    <row r="496" spans="5:31" ht="11.25" customHeight="1" x14ac:dyDescent="0.2">
      <c r="E496" s="155"/>
      <c r="F496" s="155"/>
      <c r="G496" s="33"/>
      <c r="K496" s="33"/>
      <c r="L496" s="33"/>
      <c r="R496" s="442"/>
      <c r="S496" s="442"/>
      <c r="T496" s="442"/>
      <c r="U496" s="442"/>
      <c r="V496" s="442"/>
      <c r="W496" s="442"/>
      <c r="X496" s="443"/>
      <c r="Y496" s="444"/>
      <c r="AB496" s="33"/>
      <c r="AD496" s="33"/>
      <c r="AE496" s="33"/>
    </row>
    <row r="497" spans="5:31" ht="11.25" customHeight="1" x14ac:dyDescent="0.2">
      <c r="E497" s="155"/>
      <c r="F497" s="155"/>
      <c r="G497" s="33"/>
      <c r="K497" s="33"/>
      <c r="L497" s="33"/>
      <c r="R497" s="442"/>
      <c r="S497" s="442"/>
      <c r="T497" s="442"/>
      <c r="U497" s="442"/>
      <c r="V497" s="442"/>
      <c r="W497" s="442"/>
      <c r="X497" s="443"/>
      <c r="Y497" s="444"/>
      <c r="AB497" s="33"/>
      <c r="AD497" s="33"/>
      <c r="AE497" s="33"/>
    </row>
    <row r="498" spans="5:31" ht="11.25" customHeight="1" x14ac:dyDescent="0.2">
      <c r="E498" s="155"/>
      <c r="F498" s="155"/>
      <c r="G498" s="33"/>
      <c r="K498" s="33"/>
      <c r="L498" s="33"/>
      <c r="R498" s="442"/>
      <c r="S498" s="442"/>
      <c r="T498" s="442"/>
      <c r="U498" s="442"/>
      <c r="V498" s="442"/>
      <c r="W498" s="442"/>
      <c r="X498" s="443"/>
      <c r="Y498" s="444"/>
      <c r="AB498" s="33"/>
      <c r="AD498" s="33"/>
      <c r="AE498" s="33"/>
    </row>
    <row r="499" spans="5:31" ht="11.25" customHeight="1" x14ac:dyDescent="0.2">
      <c r="E499" s="155"/>
      <c r="F499" s="155"/>
      <c r="G499" s="33"/>
      <c r="K499" s="33"/>
      <c r="L499" s="33"/>
      <c r="R499" s="442"/>
      <c r="S499" s="442"/>
      <c r="T499" s="442"/>
      <c r="U499" s="442"/>
      <c r="V499" s="442"/>
      <c r="W499" s="442"/>
      <c r="X499" s="443"/>
      <c r="Y499" s="444"/>
      <c r="AB499" s="33"/>
      <c r="AD499" s="33"/>
      <c r="AE499" s="33"/>
    </row>
    <row r="500" spans="5:31" ht="11.25" customHeight="1" x14ac:dyDescent="0.2">
      <c r="E500" s="155"/>
      <c r="F500" s="155"/>
      <c r="G500" s="33"/>
      <c r="K500" s="33"/>
      <c r="L500" s="33"/>
      <c r="R500" s="442"/>
      <c r="S500" s="442"/>
      <c r="T500" s="442"/>
      <c r="U500" s="442"/>
      <c r="V500" s="442"/>
      <c r="W500" s="442"/>
      <c r="X500" s="443"/>
      <c r="Y500" s="444"/>
      <c r="AB500" s="33"/>
      <c r="AD500" s="33"/>
      <c r="AE500" s="33"/>
    </row>
    <row r="501" spans="5:31" ht="11.25" customHeight="1" x14ac:dyDescent="0.2">
      <c r="E501" s="155"/>
      <c r="F501" s="155"/>
      <c r="G501" s="33"/>
      <c r="K501" s="33"/>
      <c r="L501" s="33"/>
      <c r="R501" s="442"/>
      <c r="S501" s="442"/>
      <c r="T501" s="442"/>
      <c r="U501" s="442"/>
      <c r="V501" s="442"/>
      <c r="W501" s="442"/>
      <c r="X501" s="443"/>
      <c r="Y501" s="444"/>
      <c r="AB501" s="33"/>
      <c r="AD501" s="33"/>
      <c r="AE501" s="33"/>
    </row>
    <row r="502" spans="5:31" ht="11.25" customHeight="1" x14ac:dyDescent="0.2">
      <c r="E502" s="155"/>
      <c r="F502" s="155"/>
      <c r="G502" s="33"/>
      <c r="K502" s="33"/>
      <c r="L502" s="33"/>
      <c r="R502" s="442"/>
      <c r="S502" s="442"/>
      <c r="T502" s="442"/>
      <c r="U502" s="442"/>
      <c r="V502" s="442"/>
      <c r="W502" s="442"/>
      <c r="X502" s="443"/>
      <c r="Y502" s="444"/>
      <c r="AB502" s="33"/>
      <c r="AD502" s="33"/>
      <c r="AE502" s="33"/>
    </row>
    <row r="503" spans="5:31" ht="11.25" customHeight="1" x14ac:dyDescent="0.2">
      <c r="E503" s="155"/>
      <c r="F503" s="155"/>
      <c r="G503" s="33"/>
      <c r="K503" s="33"/>
      <c r="L503" s="33"/>
      <c r="R503" s="442"/>
      <c r="S503" s="442"/>
      <c r="T503" s="442"/>
      <c r="U503" s="442"/>
      <c r="V503" s="442"/>
      <c r="W503" s="442"/>
      <c r="X503" s="443"/>
      <c r="Y503" s="444"/>
      <c r="AB503" s="33"/>
      <c r="AD503" s="33"/>
      <c r="AE503" s="33"/>
    </row>
    <row r="504" spans="5:31" ht="11.25" customHeight="1" x14ac:dyDescent="0.2">
      <c r="E504" s="155"/>
      <c r="F504" s="155"/>
      <c r="G504" s="33"/>
      <c r="K504" s="33"/>
      <c r="L504" s="33"/>
      <c r="R504" s="442"/>
      <c r="S504" s="442"/>
      <c r="T504" s="442"/>
      <c r="U504" s="442"/>
      <c r="V504" s="442"/>
      <c r="W504" s="442"/>
      <c r="X504" s="443"/>
      <c r="Y504" s="444"/>
      <c r="AB504" s="33"/>
      <c r="AD504" s="33"/>
      <c r="AE504" s="33"/>
    </row>
    <row r="505" spans="5:31" ht="11.25" customHeight="1" x14ac:dyDescent="0.2">
      <c r="E505" s="155"/>
      <c r="F505" s="155"/>
      <c r="G505" s="33"/>
      <c r="K505" s="33"/>
      <c r="L505" s="33"/>
      <c r="R505" s="442"/>
      <c r="S505" s="442"/>
      <c r="T505" s="442"/>
      <c r="U505" s="442"/>
      <c r="V505" s="442"/>
      <c r="W505" s="442"/>
      <c r="X505" s="443"/>
      <c r="Y505" s="444"/>
      <c r="AB505" s="33"/>
      <c r="AD505" s="33"/>
      <c r="AE505" s="33"/>
    </row>
    <row r="506" spans="5:31" ht="11.25" customHeight="1" x14ac:dyDescent="0.2">
      <c r="E506" s="155"/>
      <c r="F506" s="155"/>
      <c r="G506" s="33"/>
      <c r="K506" s="33"/>
      <c r="L506" s="33"/>
      <c r="R506" s="442"/>
      <c r="S506" s="442"/>
      <c r="T506" s="442"/>
      <c r="U506" s="442"/>
      <c r="V506" s="442"/>
      <c r="W506" s="442"/>
      <c r="X506" s="443"/>
      <c r="Y506" s="444"/>
      <c r="AB506" s="33"/>
      <c r="AD506" s="33"/>
      <c r="AE506" s="33"/>
    </row>
    <row r="507" spans="5:31" ht="11.25" customHeight="1" x14ac:dyDescent="0.2">
      <c r="E507" s="155"/>
      <c r="F507" s="155"/>
      <c r="G507" s="33"/>
      <c r="K507" s="33"/>
      <c r="L507" s="33"/>
      <c r="R507" s="442"/>
      <c r="S507" s="442"/>
      <c r="T507" s="442"/>
      <c r="U507" s="442"/>
      <c r="V507" s="442"/>
      <c r="W507" s="442"/>
      <c r="X507" s="443"/>
      <c r="Y507" s="444"/>
      <c r="AB507" s="33"/>
      <c r="AD507" s="33"/>
      <c r="AE507" s="33"/>
    </row>
    <row r="508" spans="5:31" ht="11.25" customHeight="1" x14ac:dyDescent="0.2">
      <c r="E508" s="155"/>
      <c r="F508" s="155"/>
      <c r="G508" s="33"/>
      <c r="K508" s="33"/>
      <c r="L508" s="33"/>
      <c r="R508" s="442"/>
      <c r="S508" s="442"/>
      <c r="T508" s="442"/>
      <c r="U508" s="442"/>
      <c r="V508" s="442"/>
      <c r="W508" s="442"/>
      <c r="X508" s="443"/>
      <c r="Y508" s="444"/>
      <c r="AB508" s="33"/>
      <c r="AD508" s="33"/>
      <c r="AE508" s="33"/>
    </row>
    <row r="509" spans="5:31" ht="11.25" customHeight="1" x14ac:dyDescent="0.2">
      <c r="E509" s="155"/>
      <c r="F509" s="155"/>
      <c r="G509" s="33"/>
      <c r="K509" s="33"/>
      <c r="L509" s="33"/>
      <c r="R509" s="442"/>
      <c r="S509" s="442"/>
      <c r="T509" s="442"/>
      <c r="U509" s="442"/>
      <c r="V509" s="442"/>
      <c r="W509" s="442"/>
      <c r="X509" s="443"/>
      <c r="Y509" s="444"/>
      <c r="AB509" s="33"/>
      <c r="AD509" s="33"/>
      <c r="AE509" s="33"/>
    </row>
    <row r="510" spans="5:31" ht="11.25" customHeight="1" x14ac:dyDescent="0.2">
      <c r="E510" s="155"/>
      <c r="F510" s="155"/>
      <c r="G510" s="33"/>
      <c r="K510" s="33"/>
      <c r="L510" s="33"/>
      <c r="R510" s="442"/>
      <c r="S510" s="442"/>
      <c r="T510" s="442"/>
      <c r="U510" s="442"/>
      <c r="V510" s="442"/>
      <c r="W510" s="442"/>
      <c r="X510" s="443"/>
      <c r="Y510" s="444"/>
      <c r="AB510" s="33"/>
      <c r="AD510" s="33"/>
      <c r="AE510" s="33"/>
    </row>
    <row r="511" spans="5:31" ht="11.25" customHeight="1" x14ac:dyDescent="0.2">
      <c r="E511" s="155"/>
      <c r="F511" s="155"/>
      <c r="G511" s="33"/>
      <c r="K511" s="33"/>
      <c r="L511" s="33"/>
      <c r="R511" s="442"/>
      <c r="S511" s="442"/>
      <c r="T511" s="442"/>
      <c r="U511" s="442"/>
      <c r="V511" s="442"/>
      <c r="W511" s="442"/>
      <c r="X511" s="443"/>
      <c r="Y511" s="444"/>
      <c r="AB511" s="33"/>
      <c r="AD511" s="33"/>
      <c r="AE511" s="33"/>
    </row>
    <row r="512" spans="5:31" ht="11.25" customHeight="1" x14ac:dyDescent="0.2">
      <c r="E512" s="155"/>
      <c r="F512" s="155"/>
      <c r="G512" s="33"/>
      <c r="K512" s="33"/>
      <c r="L512" s="33"/>
      <c r="R512" s="442"/>
      <c r="S512" s="442"/>
      <c r="T512" s="442"/>
      <c r="U512" s="442"/>
      <c r="V512" s="442"/>
      <c r="W512" s="442"/>
      <c r="X512" s="443"/>
      <c r="Y512" s="444"/>
      <c r="AB512" s="33"/>
      <c r="AD512" s="33"/>
      <c r="AE512" s="33"/>
    </row>
    <row r="513" spans="5:31" ht="11.25" customHeight="1" x14ac:dyDescent="0.2">
      <c r="E513" s="155"/>
      <c r="F513" s="155"/>
      <c r="G513" s="33"/>
      <c r="K513" s="33"/>
      <c r="L513" s="33"/>
      <c r="R513" s="442"/>
      <c r="S513" s="442"/>
      <c r="T513" s="442"/>
      <c r="U513" s="442"/>
      <c r="V513" s="442"/>
      <c r="W513" s="442"/>
      <c r="X513" s="443"/>
      <c r="Y513" s="444"/>
      <c r="AB513" s="33"/>
      <c r="AD513" s="33"/>
      <c r="AE513" s="33"/>
    </row>
    <row r="514" spans="5:31" ht="11.25" customHeight="1" x14ac:dyDescent="0.2">
      <c r="E514" s="155"/>
      <c r="F514" s="155"/>
      <c r="G514" s="33"/>
      <c r="K514" s="33"/>
      <c r="L514" s="33"/>
      <c r="R514" s="442"/>
      <c r="S514" s="442"/>
      <c r="T514" s="442"/>
      <c r="U514" s="442"/>
      <c r="V514" s="442"/>
      <c r="W514" s="442"/>
      <c r="X514" s="443"/>
      <c r="Y514" s="444"/>
      <c r="AB514" s="33"/>
      <c r="AD514" s="33"/>
      <c r="AE514" s="33"/>
    </row>
    <row r="515" spans="5:31" ht="11.25" customHeight="1" x14ac:dyDescent="0.2">
      <c r="E515" s="155"/>
      <c r="F515" s="155"/>
      <c r="G515" s="33"/>
      <c r="K515" s="33"/>
      <c r="L515" s="33"/>
      <c r="R515" s="442"/>
      <c r="S515" s="442"/>
      <c r="T515" s="442"/>
      <c r="U515" s="442"/>
      <c r="V515" s="442"/>
      <c r="W515" s="442"/>
      <c r="X515" s="443"/>
      <c r="Y515" s="444"/>
      <c r="AB515" s="33"/>
      <c r="AD515" s="33"/>
      <c r="AE515" s="33"/>
    </row>
    <row r="516" spans="5:31" ht="11.25" customHeight="1" x14ac:dyDescent="0.2">
      <c r="E516" s="155"/>
      <c r="F516" s="155"/>
      <c r="G516" s="33"/>
      <c r="K516" s="33"/>
      <c r="L516" s="33"/>
      <c r="R516" s="442"/>
      <c r="S516" s="442"/>
      <c r="T516" s="442"/>
      <c r="U516" s="442"/>
      <c r="V516" s="442"/>
      <c r="W516" s="442"/>
      <c r="X516" s="443"/>
      <c r="Y516" s="444"/>
      <c r="AB516" s="33"/>
      <c r="AD516" s="33"/>
      <c r="AE516" s="33"/>
    </row>
    <row r="517" spans="5:31" ht="11.25" customHeight="1" x14ac:dyDescent="0.2">
      <c r="E517" s="155"/>
      <c r="F517" s="155"/>
      <c r="G517" s="33"/>
      <c r="K517" s="33"/>
      <c r="L517" s="33"/>
      <c r="R517" s="442"/>
      <c r="S517" s="442"/>
      <c r="T517" s="442"/>
      <c r="U517" s="442"/>
      <c r="V517" s="442"/>
      <c r="W517" s="442"/>
      <c r="X517" s="443"/>
      <c r="Y517" s="444"/>
      <c r="AB517" s="33"/>
      <c r="AD517" s="33"/>
      <c r="AE517" s="33"/>
    </row>
    <row r="518" spans="5:31" ht="11.25" customHeight="1" x14ac:dyDescent="0.2">
      <c r="E518" s="155"/>
      <c r="F518" s="155"/>
      <c r="G518" s="33"/>
      <c r="K518" s="33"/>
      <c r="L518" s="33"/>
      <c r="R518" s="442"/>
      <c r="S518" s="442"/>
      <c r="T518" s="442"/>
      <c r="U518" s="442"/>
      <c r="V518" s="442"/>
      <c r="W518" s="442"/>
      <c r="X518" s="443"/>
      <c r="Y518" s="444"/>
      <c r="AB518" s="33"/>
      <c r="AD518" s="33"/>
      <c r="AE518" s="33"/>
    </row>
    <row r="519" spans="5:31" ht="11.25" customHeight="1" x14ac:dyDescent="0.2">
      <c r="E519" s="155"/>
      <c r="F519" s="155"/>
      <c r="G519" s="33"/>
      <c r="K519" s="33"/>
      <c r="L519" s="33"/>
      <c r="R519" s="442"/>
      <c r="S519" s="442"/>
      <c r="T519" s="442"/>
      <c r="U519" s="442"/>
      <c r="V519" s="442"/>
      <c r="W519" s="442"/>
      <c r="X519" s="443"/>
      <c r="Y519" s="444"/>
      <c r="AB519" s="33"/>
      <c r="AD519" s="33"/>
      <c r="AE519" s="33"/>
    </row>
    <row r="520" spans="5:31" ht="11.25" customHeight="1" x14ac:dyDescent="0.2">
      <c r="E520" s="155"/>
      <c r="F520" s="155"/>
      <c r="G520" s="33"/>
      <c r="K520" s="33"/>
      <c r="L520" s="33"/>
      <c r="R520" s="442"/>
      <c r="S520" s="442"/>
      <c r="T520" s="442"/>
      <c r="U520" s="442"/>
      <c r="V520" s="442"/>
      <c r="W520" s="442"/>
      <c r="X520" s="443"/>
      <c r="Y520" s="444"/>
      <c r="AB520" s="33"/>
      <c r="AD520" s="33"/>
      <c r="AE520" s="33"/>
    </row>
    <row r="521" spans="5:31" ht="11.25" customHeight="1" x14ac:dyDescent="0.2">
      <c r="E521" s="155"/>
      <c r="F521" s="155"/>
      <c r="G521" s="33"/>
      <c r="K521" s="33"/>
      <c r="L521" s="33"/>
      <c r="R521" s="442"/>
      <c r="S521" s="442"/>
      <c r="T521" s="442"/>
      <c r="U521" s="442"/>
      <c r="V521" s="442"/>
      <c r="W521" s="442"/>
      <c r="X521" s="443"/>
      <c r="Y521" s="444"/>
      <c r="AB521" s="33"/>
      <c r="AD521" s="33"/>
      <c r="AE521" s="33"/>
    </row>
    <row r="522" spans="5:31" ht="11.25" customHeight="1" x14ac:dyDescent="0.2">
      <c r="E522" s="155"/>
      <c r="F522" s="155"/>
      <c r="G522" s="33"/>
      <c r="K522" s="33"/>
      <c r="L522" s="33"/>
      <c r="R522" s="442"/>
      <c r="S522" s="442"/>
      <c r="T522" s="442"/>
      <c r="U522" s="442"/>
      <c r="V522" s="442"/>
      <c r="W522" s="442"/>
      <c r="X522" s="443"/>
      <c r="Y522" s="444"/>
      <c r="AB522" s="33"/>
      <c r="AD522" s="33"/>
      <c r="AE522" s="33"/>
    </row>
    <row r="523" spans="5:31" ht="11.25" customHeight="1" x14ac:dyDescent="0.2">
      <c r="E523" s="155"/>
      <c r="F523" s="155"/>
      <c r="G523" s="33"/>
      <c r="K523" s="33"/>
      <c r="L523" s="33"/>
      <c r="R523" s="442"/>
      <c r="S523" s="442"/>
      <c r="T523" s="442"/>
      <c r="U523" s="442"/>
      <c r="V523" s="442"/>
      <c r="W523" s="442"/>
      <c r="X523" s="443"/>
      <c r="Y523" s="444"/>
      <c r="AB523" s="33"/>
      <c r="AD523" s="33"/>
      <c r="AE523" s="33"/>
    </row>
    <row r="524" spans="5:31" ht="11.25" customHeight="1" x14ac:dyDescent="0.2">
      <c r="E524" s="155"/>
      <c r="F524" s="155"/>
      <c r="G524" s="33"/>
      <c r="K524" s="33"/>
      <c r="L524" s="33"/>
      <c r="R524" s="442"/>
      <c r="S524" s="442"/>
      <c r="T524" s="442"/>
      <c r="U524" s="442"/>
      <c r="V524" s="442"/>
      <c r="W524" s="442"/>
      <c r="X524" s="443"/>
      <c r="Y524" s="444"/>
      <c r="AB524" s="33"/>
      <c r="AD524" s="33"/>
      <c r="AE524" s="33"/>
    </row>
    <row r="525" spans="5:31" ht="11.25" customHeight="1" x14ac:dyDescent="0.2">
      <c r="E525" s="155"/>
      <c r="F525" s="155"/>
      <c r="G525" s="33"/>
      <c r="K525" s="33"/>
      <c r="L525" s="33"/>
      <c r="R525" s="442"/>
      <c r="S525" s="442"/>
      <c r="T525" s="442"/>
      <c r="U525" s="442"/>
      <c r="V525" s="442"/>
      <c r="W525" s="442"/>
      <c r="X525" s="443"/>
      <c r="Y525" s="444"/>
      <c r="AB525" s="33"/>
      <c r="AD525" s="33"/>
      <c r="AE525" s="33"/>
    </row>
    <row r="526" spans="5:31" ht="11.25" customHeight="1" x14ac:dyDescent="0.2">
      <c r="E526" s="155"/>
      <c r="F526" s="155"/>
      <c r="G526" s="33"/>
      <c r="K526" s="33"/>
      <c r="L526" s="33"/>
      <c r="R526" s="442"/>
      <c r="S526" s="442"/>
      <c r="T526" s="442"/>
      <c r="U526" s="442"/>
      <c r="V526" s="442"/>
      <c r="W526" s="442"/>
      <c r="X526" s="443"/>
      <c r="Y526" s="444"/>
      <c r="AB526" s="33"/>
      <c r="AD526" s="33"/>
      <c r="AE526" s="33"/>
    </row>
    <row r="527" spans="5:31" ht="11.25" customHeight="1" x14ac:dyDescent="0.2">
      <c r="E527" s="155"/>
      <c r="F527" s="155"/>
      <c r="G527" s="33"/>
      <c r="K527" s="33"/>
      <c r="L527" s="33"/>
      <c r="R527" s="442"/>
      <c r="S527" s="442"/>
      <c r="T527" s="442"/>
      <c r="U527" s="442"/>
      <c r="V527" s="442"/>
      <c r="W527" s="442"/>
      <c r="X527" s="443"/>
      <c r="Y527" s="444"/>
      <c r="AB527" s="33"/>
      <c r="AD527" s="33"/>
      <c r="AE527" s="33"/>
    </row>
    <row r="528" spans="5:31" ht="11.25" customHeight="1" x14ac:dyDescent="0.2">
      <c r="E528" s="155"/>
      <c r="F528" s="155"/>
      <c r="G528" s="33"/>
      <c r="K528" s="33"/>
      <c r="L528" s="33"/>
      <c r="R528" s="442"/>
      <c r="S528" s="442"/>
      <c r="T528" s="442"/>
      <c r="U528" s="442"/>
      <c r="V528" s="442"/>
      <c r="W528" s="442"/>
      <c r="X528" s="443"/>
      <c r="Y528" s="444"/>
      <c r="AB528" s="33"/>
      <c r="AD528" s="33"/>
      <c r="AE528" s="33"/>
    </row>
    <row r="529" spans="5:31" ht="11.25" customHeight="1" x14ac:dyDescent="0.2">
      <c r="E529" s="155"/>
      <c r="F529" s="155"/>
      <c r="G529" s="33"/>
      <c r="K529" s="33"/>
      <c r="L529" s="33"/>
      <c r="R529" s="442"/>
      <c r="S529" s="442"/>
      <c r="T529" s="442"/>
      <c r="U529" s="442"/>
      <c r="V529" s="442"/>
      <c r="W529" s="442"/>
      <c r="X529" s="443"/>
      <c r="Y529" s="444"/>
      <c r="AB529" s="33"/>
      <c r="AD529" s="33"/>
      <c r="AE529" s="33"/>
    </row>
    <row r="530" spans="5:31" ht="11.25" customHeight="1" x14ac:dyDescent="0.2">
      <c r="E530" s="155"/>
      <c r="F530" s="155"/>
      <c r="G530" s="33"/>
      <c r="K530" s="33"/>
      <c r="L530" s="33"/>
      <c r="R530" s="442"/>
      <c r="S530" s="442"/>
      <c r="T530" s="442"/>
      <c r="U530" s="442"/>
      <c r="V530" s="442"/>
      <c r="W530" s="442"/>
      <c r="X530" s="443"/>
      <c r="Y530" s="444"/>
      <c r="AB530" s="33"/>
      <c r="AD530" s="33"/>
      <c r="AE530" s="33"/>
    </row>
    <row r="531" spans="5:31" ht="11.25" customHeight="1" x14ac:dyDescent="0.2">
      <c r="E531" s="155"/>
      <c r="F531" s="155"/>
      <c r="G531" s="33"/>
      <c r="K531" s="33"/>
      <c r="L531" s="33"/>
      <c r="R531" s="442"/>
      <c r="S531" s="442"/>
      <c r="T531" s="442"/>
      <c r="U531" s="442"/>
      <c r="V531" s="442"/>
      <c r="W531" s="442"/>
      <c r="X531" s="443"/>
      <c r="Y531" s="444"/>
      <c r="AB531" s="33"/>
      <c r="AD531" s="33"/>
      <c r="AE531" s="33"/>
    </row>
    <row r="532" spans="5:31" ht="11.25" customHeight="1" x14ac:dyDescent="0.2">
      <c r="E532" s="155"/>
      <c r="F532" s="155"/>
      <c r="G532" s="33"/>
      <c r="K532" s="33"/>
      <c r="L532" s="33"/>
      <c r="R532" s="442"/>
      <c r="S532" s="442"/>
      <c r="T532" s="442"/>
      <c r="U532" s="442"/>
      <c r="V532" s="442"/>
      <c r="W532" s="442"/>
      <c r="X532" s="443"/>
      <c r="Y532" s="444"/>
      <c r="AB532" s="33"/>
      <c r="AD532" s="33"/>
      <c r="AE532" s="33"/>
    </row>
    <row r="533" spans="5:31" ht="11.25" customHeight="1" x14ac:dyDescent="0.2">
      <c r="E533" s="155"/>
      <c r="F533" s="155"/>
      <c r="G533" s="33"/>
      <c r="K533" s="33"/>
      <c r="L533" s="33"/>
      <c r="R533" s="442"/>
      <c r="S533" s="442"/>
      <c r="T533" s="442"/>
      <c r="U533" s="442"/>
      <c r="V533" s="442"/>
      <c r="W533" s="442"/>
      <c r="X533" s="443"/>
      <c r="Y533" s="444"/>
      <c r="AB533" s="33"/>
      <c r="AD533" s="33"/>
      <c r="AE533" s="33"/>
    </row>
    <row r="534" spans="5:31" ht="11.25" customHeight="1" x14ac:dyDescent="0.2">
      <c r="E534" s="155"/>
      <c r="F534" s="155"/>
      <c r="G534" s="33"/>
      <c r="K534" s="33"/>
      <c r="L534" s="33"/>
      <c r="R534" s="442"/>
      <c r="S534" s="442"/>
      <c r="T534" s="442"/>
      <c r="U534" s="442"/>
      <c r="V534" s="442"/>
      <c r="W534" s="442"/>
      <c r="X534" s="443"/>
      <c r="Y534" s="444"/>
      <c r="AB534" s="33"/>
      <c r="AD534" s="33"/>
      <c r="AE534" s="33"/>
    </row>
    <row r="535" spans="5:31" ht="11.25" customHeight="1" x14ac:dyDescent="0.2">
      <c r="E535" s="155"/>
      <c r="F535" s="155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55"/>
      <c r="F536" s="155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55"/>
      <c r="F537" s="155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55"/>
      <c r="F538" s="155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55"/>
      <c r="F539" s="155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55"/>
      <c r="F540" s="155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55"/>
      <c r="F541" s="155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55"/>
      <c r="F542" s="155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55"/>
      <c r="F543" s="155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55"/>
      <c r="F544" s="155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55"/>
      <c r="F545" s="155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55"/>
      <c r="F546" s="155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55"/>
      <c r="F547" s="155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55"/>
      <c r="F548" s="155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55"/>
      <c r="F549" s="155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55"/>
      <c r="F550" s="155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55"/>
      <c r="F551" s="155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55"/>
      <c r="F552" s="155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55"/>
      <c r="F553" s="155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55"/>
      <c r="F554" s="155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55"/>
      <c r="F555" s="155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55"/>
      <c r="F556" s="155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55"/>
      <c r="F557" s="155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55"/>
      <c r="F558" s="155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55"/>
      <c r="F559" s="155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55"/>
      <c r="F560" s="155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55"/>
      <c r="F561" s="155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55"/>
      <c r="F562" s="155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55"/>
      <c r="F563" s="155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55"/>
      <c r="F564" s="155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55"/>
      <c r="F565" s="155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55"/>
      <c r="F566" s="155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55"/>
      <c r="F567" s="155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55"/>
      <c r="F568" s="155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55"/>
      <c r="F569" s="155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55"/>
      <c r="F570" s="155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55"/>
      <c r="F571" s="155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55"/>
      <c r="F572" s="155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55"/>
      <c r="F573" s="155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55"/>
      <c r="F574" s="155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55"/>
      <c r="F575" s="155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55"/>
      <c r="F576" s="155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55"/>
      <c r="F577" s="155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55"/>
      <c r="F578" s="155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55"/>
      <c r="F579" s="155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55"/>
      <c r="F580" s="155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55"/>
      <c r="F581" s="155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112</v>
      </c>
      <c r="F1" s="398" t="s">
        <v>40</v>
      </c>
      <c r="N1" s="30" t="str">
        <f>_xll.qlInterpolation(,interpolator6M,_xll.ohFilter(E3:E21,M3:M21),_xll.ohFilter(L3:L21,M3:M21))</f>
        <v>obj_00625#0028</v>
      </c>
    </row>
    <row r="2" spans="1:25" ht="26.25" customHeight="1" thickBot="1" x14ac:dyDescent="0.25">
      <c r="D2" s="217" t="str">
        <f>F1&amp;" Instruments"</f>
        <v>6M Instruments</v>
      </c>
      <c r="E2" s="218" t="s">
        <v>113</v>
      </c>
      <c r="F2" s="218" t="s">
        <v>114</v>
      </c>
      <c r="G2" s="218" t="s">
        <v>137</v>
      </c>
      <c r="H2" s="218" t="str">
        <f>F1&amp;" Market quote"</f>
        <v>6M Market quote</v>
      </c>
      <c r="I2" s="218" t="s">
        <v>138</v>
      </c>
      <c r="J2" s="218" t="s">
        <v>139</v>
      </c>
      <c r="K2" s="218" t="s">
        <v>140</v>
      </c>
      <c r="L2" s="338" t="s">
        <v>151</v>
      </c>
      <c r="M2" s="218" t="s">
        <v>84</v>
      </c>
      <c r="N2" s="218" t="s">
        <v>144</v>
      </c>
      <c r="O2" s="338" t="s">
        <v>155</v>
      </c>
      <c r="P2" s="339" t="s">
        <v>141</v>
      </c>
      <c r="R2" s="213" t="s">
        <v>113</v>
      </c>
      <c r="S2" s="448" t="s">
        <v>114</v>
      </c>
      <c r="T2" s="448" t="s">
        <v>137</v>
      </c>
      <c r="U2" s="338" t="s">
        <v>144</v>
      </c>
      <c r="V2" s="218" t="s">
        <v>138</v>
      </c>
      <c r="W2" s="218" t="s">
        <v>139</v>
      </c>
      <c r="X2" s="338" t="s">
        <v>140</v>
      </c>
      <c r="Y2" s="339" t="s">
        <v>154</v>
      </c>
    </row>
    <row r="3" spans="1:25" ht="11.25" customHeight="1" x14ac:dyDescent="0.2">
      <c r="C3" s="399" t="str">
        <f>SUBSTITUTE(F1,"M","")</f>
        <v>6</v>
      </c>
      <c r="D3" s="334" t="str">
        <f>PROPER(Currency&amp;IborType)&amp;F1&amp;"LastFixing"&amp;QuoteSuffix</f>
        <v>Gbplibor6MLastFixing_Quote</v>
      </c>
      <c r="E3" s="335">
        <f>_xll.qlCalendarAdvance(Calendar,_xll.qlLastFixingQuoteReferenceDate(D3),_xll.qlInterestRateIndexFixingDays(PROPER(Currency)&amp;IborType&amp;$F$1)&amp;"D","f",,LastFixingsTrigger)</f>
        <v>42066</v>
      </c>
      <c r="F3" s="335">
        <f>_xll.qlCalendarAdvance(Calendar,E3,$F$1,"mf",,Trigger)</f>
        <v>42250</v>
      </c>
      <c r="G3" s="341">
        <f>_xll.qlDayCounterYearFraction(DayCounter,E3,F3,,,Trigger)</f>
        <v>0.50410958904109593</v>
      </c>
      <c r="H3" s="336">
        <f>_xll.qlQuoteValue(D3,LastFixingsTrigger)</f>
        <v>6.8405999999999996E-3</v>
      </c>
      <c r="I3" s="344">
        <f>_xll.qlYieldTSDiscount(Discounting,E3,,AllTriggers)</f>
        <v>1</v>
      </c>
      <c r="J3" s="344">
        <f>_xll.qlYieldTSDiscount(Discounting,F3,,AllTriggers)</f>
        <v>0.99768077537065136</v>
      </c>
      <c r="K3" s="336">
        <f>(I3/J3-1)/G3</f>
        <v>4.611330524981248E-3</v>
      </c>
      <c r="L3" s="384">
        <f>H3-K3</f>
        <v>2.2292694750187516E-3</v>
      </c>
      <c r="M3" s="337" t="b">
        <v>0</v>
      </c>
      <c r="N3" s="340">
        <f>_xll.qlInterpolationInterpolate($N$1,E3,TRUE)</f>
        <v>2.2063538267241894E-3</v>
      </c>
      <c r="O3" s="457">
        <f>(L3-N3)*10000</f>
        <v>0.22915648294562219</v>
      </c>
      <c r="P3" s="454">
        <f t="shared" ref="P3:P5" si="0">LN((1+H3*G3)/(1+K3*G3))</f>
        <v>1.1205617194199769E-3</v>
      </c>
      <c r="R3" s="422">
        <f>E3</f>
        <v>42066</v>
      </c>
      <c r="S3" s="449">
        <f>_xll.qlCalendarAdvance(Calendar,R3,$F$1,"mf",,Trigger)</f>
        <v>42250</v>
      </c>
      <c r="T3" s="450">
        <f>_xll.qlDayCounterYearFraction(DayCounter,R3,S3,,,Trigger)</f>
        <v>0.50410958904109593</v>
      </c>
      <c r="U3" s="423">
        <f>_xll.qlInterpolationInterpolate(B6Minterpolation,R3,TRUE)</f>
        <v>2.2063538267241894E-3</v>
      </c>
      <c r="V3" s="374">
        <f>_xll.qlYieldTSDiscount(Discounting,R3,,AllTriggers)</f>
        <v>1</v>
      </c>
      <c r="W3" s="374">
        <f>_xll.qlYieldTSDiscount(Discounting,S3,,AllTriggers)</f>
        <v>0.99768077537065136</v>
      </c>
      <c r="X3" s="373">
        <f>(V3/W3-1)/T3</f>
        <v>4.611330524981248E-3</v>
      </c>
      <c r="Y3" s="451">
        <f>LN((1+(U3+X3)*T3)/(1+X3*T3))</f>
        <v>1.109049354258699E-3</v>
      </c>
    </row>
    <row r="4" spans="1:25" ht="11.25" customHeight="1" x14ac:dyDescent="0.2">
      <c r="A4" s="30">
        <v>1</v>
      </c>
      <c r="B4" s="30" t="s">
        <v>35</v>
      </c>
      <c r="C4" s="30">
        <f>A4+SUBSTITUTE($F$1,"M","")</f>
        <v>7</v>
      </c>
      <c r="D4" s="220" t="str">
        <f t="shared" ref="D4:D21" si="1">Currency&amp;A4&amp;B4&amp;C4&amp;"F"&amp;QuoteSuffix</f>
        <v>GBP1x7F_Quote</v>
      </c>
      <c r="E4" s="221">
        <f>_xll.qlCalendarAdvance("target",$E$3,A4&amp;"M","mf",,Trigger)</f>
        <v>42101</v>
      </c>
      <c r="F4" s="221">
        <f>_xll.qlCalendarAdvance(Calendar,E4,$F$1,"mf",,Trigger)</f>
        <v>42284</v>
      </c>
      <c r="G4" s="342">
        <f>_xll.qlDayCounterYearFraction(DayCounter,E4,F4,,,Trigger)</f>
        <v>0.50136986301369868</v>
      </c>
      <c r="H4" s="32">
        <f>_xll.qlQuoteValue(D4,AllTriggers)</f>
        <v>6.9500000000000004E-3</v>
      </c>
      <c r="I4" s="381">
        <f>_xll.qlYieldTSDiscount(Discounting,E4,,AllTriggers)</f>
        <v>0.9995632792414465</v>
      </c>
      <c r="J4" s="381">
        <f>_xll.qlYieldTSDiscount(Discounting,F4,,AllTriggers)</f>
        <v>0.99722970080020645</v>
      </c>
      <c r="K4" s="32">
        <f t="shared" ref="K4:K21" si="2">(I4/J4-1)/G4</f>
        <v>4.6673350021406868E-3</v>
      </c>
      <c r="L4" s="380">
        <f t="shared" ref="L4:L21" si="3">H4-K4</f>
        <v>2.2826649978593136E-3</v>
      </c>
      <c r="M4" s="332" t="b">
        <v>1</v>
      </c>
      <c r="N4" s="32">
        <f>_xll.qlInterpolationInterpolate($N$1,E4,TRUE)</f>
        <v>2.2826649978593136E-3</v>
      </c>
      <c r="O4" s="447">
        <f t="shared" ref="O4:O21" si="4">(L4-N4)*10000</f>
        <v>0</v>
      </c>
      <c r="P4" s="455">
        <f t="shared" si="0"/>
        <v>1.1411362408657835E-3</v>
      </c>
      <c r="R4" s="422">
        <f>_xll.qlCalendarAdvance(Calendar,R3,"1D","f")</f>
        <v>42067</v>
      </c>
      <c r="S4" s="449">
        <f>_xll.qlCalendarAdvance(Calendar,R4,$F$1,"mf",,Trigger)</f>
        <v>42251</v>
      </c>
      <c r="T4" s="450">
        <f>_xll.qlDayCounterYearFraction(DayCounter,R4,S4,,,Trigger)</f>
        <v>0.50410958904109593</v>
      </c>
      <c r="U4" s="423">
        <f>_xll.qlInterpolationInterpolate(B6Minterpolation,R4,TRUE)</f>
        <v>2.2064474181583988E-3</v>
      </c>
      <c r="V4" s="345">
        <f>_xll.qlYieldTSDiscount(Discounting,R4,,AllTriggers)</f>
        <v>0.99998748888755595</v>
      </c>
      <c r="W4" s="345">
        <f>_xll.qlYieldTSDiscount(Discounting,S4,,AllTriggers)</f>
        <v>0.99766752966415539</v>
      </c>
      <c r="X4" s="32">
        <f t="shared" ref="X4:X67" si="5">(V4/W4-1)/T4</f>
        <v>4.6128523659879576E-3</v>
      </c>
      <c r="Y4" s="452">
        <f t="shared" ref="Y4:Y67" si="6">LN((1+(U4+X4)*T4)/(1+X4*T4))</f>
        <v>1.1090955245742114E-3</v>
      </c>
    </row>
    <row r="5" spans="1:25" ht="11.25" customHeight="1" x14ac:dyDescent="0.2">
      <c r="A5" s="30">
        <v>2</v>
      </c>
      <c r="B5" s="30" t="s">
        <v>35</v>
      </c>
      <c r="C5" s="30">
        <f t="shared" ref="C5:C21" si="7">A5+SUBSTITUTE($F$1,"M","")</f>
        <v>8</v>
      </c>
      <c r="D5" s="220" t="str">
        <f t="shared" si="1"/>
        <v>GBP2x8F_Quote</v>
      </c>
      <c r="E5" s="221">
        <f>_xll.qlCalendarAdvance("target",$E$3,A5&amp;"M","mf",,Trigger)</f>
        <v>42128</v>
      </c>
      <c r="F5" s="221">
        <f>_xll.qlCalendarAdvance(Calendar,E5,$F$1,"mf",,Trigger)</f>
        <v>42312</v>
      </c>
      <c r="G5" s="342">
        <f>_xll.qlDayCounterYearFraction(DayCounter,E5,F5,,,Trigger)</f>
        <v>0.50410958904109593</v>
      </c>
      <c r="H5" s="32">
        <f>_xll.qlQuoteValue(D5,AllTriggers)</f>
        <v>7.0999999999999995E-3</v>
      </c>
      <c r="I5" s="345">
        <f>_xll.qlYieldTSDiscount(Discounting,E5,,AllTriggers)</f>
        <v>0.99922617640052713</v>
      </c>
      <c r="J5" s="345">
        <f>_xll.qlYieldTSDiscount(Discounting,F5,,AllTriggers)</f>
        <v>0.99684095171914266</v>
      </c>
      <c r="K5" s="32">
        <f t="shared" si="2"/>
        <v>4.7465544245150612E-3</v>
      </c>
      <c r="L5" s="32">
        <f t="shared" si="3"/>
        <v>2.3534455754849384E-3</v>
      </c>
      <c r="M5" s="332" t="b">
        <v>1</v>
      </c>
      <c r="N5" s="32">
        <f>_xll.qlInterpolationInterpolate($N$1,E5,TRUE)</f>
        <v>2.3534455754849384E-3</v>
      </c>
      <c r="O5" s="447">
        <f t="shared" si="4"/>
        <v>0</v>
      </c>
      <c r="P5" s="455">
        <f t="shared" si="0"/>
        <v>1.182862615111828E-3</v>
      </c>
      <c r="R5" s="422">
        <f>_xll.qlCalendarAdvance(Calendar,R4,"1D","f")</f>
        <v>42068</v>
      </c>
      <c r="S5" s="449">
        <f>_xll.qlCalendarAdvance(Calendar,R5,$F$1,"mf",,Trigger)</f>
        <v>42254</v>
      </c>
      <c r="T5" s="450">
        <f>_xll.qlDayCounterYearFraction(DayCounter,R5,S5,,,Trigger)</f>
        <v>0.50958904109589043</v>
      </c>
      <c r="U5" s="423">
        <f>_xll.qlInterpolationInterpolate(B6Minterpolation,R5,TRUE)</f>
        <v>2.2067224641787887E-3</v>
      </c>
      <c r="V5" s="345">
        <f>_xll.qlYieldTSDiscount(Discounting,R5,,AllTriggers)</f>
        <v>0.99997497706066252</v>
      </c>
      <c r="W5" s="345">
        <f>_xll.qlYieldTSDiscount(Discounting,S5,,AllTriggers)</f>
        <v>0.99762779911033095</v>
      </c>
      <c r="X5" s="32">
        <f t="shared" si="5"/>
        <v>4.6169736355842275E-3</v>
      </c>
      <c r="Y5" s="452">
        <f t="shared" si="6"/>
        <v>1.121253226762661E-3</v>
      </c>
    </row>
    <row r="6" spans="1:25" ht="11.25" customHeight="1" x14ac:dyDescent="0.2">
      <c r="A6" s="30">
        <f>A5+1</f>
        <v>3</v>
      </c>
      <c r="B6" s="30" t="s">
        <v>35</v>
      </c>
      <c r="C6" s="30">
        <f t="shared" si="7"/>
        <v>9</v>
      </c>
      <c r="D6" s="220" t="str">
        <f t="shared" si="1"/>
        <v>GBP3x9F_Quote</v>
      </c>
      <c r="E6" s="221">
        <f>_xll.qlCalendarAdvance("target",$E$3,A6&amp;"M","mf",,Trigger)</f>
        <v>42158</v>
      </c>
      <c r="F6" s="221">
        <f>_xll.qlCalendarAdvance(Calendar,E6,$F$1,"mf",,Trigger)</f>
        <v>42341</v>
      </c>
      <c r="G6" s="342">
        <f>_xll.qlDayCounterYearFraction(DayCounter,E6,F6,,,Trigger)</f>
        <v>0.50136986301369868</v>
      </c>
      <c r="H6" s="32">
        <f>_xll.qlQuoteValue(D6,AllTriggers)</f>
        <v>7.3000000000000001E-3</v>
      </c>
      <c r="I6" s="345">
        <f>_xll.qlYieldTSDiscount(Discounting,E6,,AllTriggers)</f>
        <v>0.99885190848149896</v>
      </c>
      <c r="J6" s="345">
        <f>_xll.qlYieldTSDiscount(Discounting,F6,,AllTriggers)</f>
        <v>0.99638782922356262</v>
      </c>
      <c r="K6" s="32">
        <f t="shared" si="2"/>
        <v>4.932510672801798E-3</v>
      </c>
      <c r="L6" s="32">
        <f t="shared" si="3"/>
        <v>2.3674893271982021E-3</v>
      </c>
      <c r="M6" s="332" t="b">
        <v>1</v>
      </c>
      <c r="N6" s="32">
        <f>_xll.qlInterpolationInterpolate($N$1,E6,TRUE)</f>
        <v>2.3674893271982021E-3</v>
      </c>
      <c r="O6" s="447">
        <f t="shared" si="4"/>
        <v>0</v>
      </c>
      <c r="P6" s="455">
        <f t="shared" ref="P6:P21" si="8">LN((1+H6*G6)/(1+K6*G6))</f>
        <v>1.183359160095987E-3</v>
      </c>
      <c r="R6" s="422">
        <f>_xll.qlCalendarAdvance(Calendar,R5,"1D","f")</f>
        <v>42069</v>
      </c>
      <c r="S6" s="449">
        <f>_xll.qlCalendarAdvance(Calendar,R6,$F$1,"mf",,Trigger)</f>
        <v>42254</v>
      </c>
      <c r="T6" s="450">
        <f>_xll.qlDayCounterYearFraction(DayCounter,R6,S6,,,Trigger)</f>
        <v>0.50684931506849318</v>
      </c>
      <c r="U6" s="423">
        <f>_xll.qlInterpolationInterpolate(B6Minterpolation,R6,TRUE)</f>
        <v>2.2071736278857662E-3</v>
      </c>
      <c r="V6" s="345">
        <f>_xll.qlYieldTSDiscount(Discounting,R6,,AllTriggers)</f>
        <v>0.99996246364838381</v>
      </c>
      <c r="W6" s="345">
        <f>_xll.qlYieldTSDiscount(Discounting,S6,,AllTriggers)</f>
        <v>0.99762779911033095</v>
      </c>
      <c r="X6" s="32">
        <f t="shared" si="5"/>
        <v>4.6171829199670566E-3</v>
      </c>
      <c r="Y6" s="452">
        <f t="shared" si="6"/>
        <v>1.1154701756558216E-3</v>
      </c>
    </row>
    <row r="7" spans="1:25" ht="11.25" customHeight="1" x14ac:dyDescent="0.2">
      <c r="A7" s="30">
        <f t="shared" ref="A7:A21" si="9">A6+1</f>
        <v>4</v>
      </c>
      <c r="B7" s="30" t="s">
        <v>35</v>
      </c>
      <c r="C7" s="30">
        <f t="shared" si="7"/>
        <v>10</v>
      </c>
      <c r="D7" s="220" t="str">
        <f t="shared" si="1"/>
        <v>GBP4x10F_Quote</v>
      </c>
      <c r="E7" s="221">
        <f>_xll.qlCalendarAdvance("target",$E$3,A7&amp;"M","mf",,Trigger)</f>
        <v>42188</v>
      </c>
      <c r="F7" s="221">
        <f>_xll.qlCalendarAdvance(Calendar,E7,$F$1,"mf",,Trigger)</f>
        <v>42373</v>
      </c>
      <c r="G7" s="342">
        <f>_xll.qlDayCounterYearFraction(DayCounter,E7,F7,,,Trigger)</f>
        <v>0.50684931506849318</v>
      </c>
      <c r="H7" s="32">
        <f>_xll.qlQuoteValue(D7,AllTriggers)</f>
        <v>7.6E-3</v>
      </c>
      <c r="I7" s="345">
        <f>_xll.qlYieldTSDiscount(Discounting,E7,,AllTriggers)</f>
        <v>0.99847374401128286</v>
      </c>
      <c r="J7" s="345">
        <f>_xll.qlYieldTSDiscount(Discounting,F7,,AllTriggers)</f>
        <v>0.99587527715663748</v>
      </c>
      <c r="K7" s="32">
        <f t="shared" si="2"/>
        <v>5.1479386957158663E-3</v>
      </c>
      <c r="L7" s="32">
        <f t="shared" si="3"/>
        <v>2.4520613042841337E-3</v>
      </c>
      <c r="M7" s="332" t="b">
        <v>1</v>
      </c>
      <c r="N7" s="32">
        <f>_xll.qlInterpolationInterpolate($N$1,E7,TRUE)</f>
        <v>2.4520613042841337E-3</v>
      </c>
      <c r="O7" s="447">
        <f t="shared" si="4"/>
        <v>0</v>
      </c>
      <c r="P7" s="455">
        <f t="shared" si="8"/>
        <v>1.238823556118793E-3</v>
      </c>
      <c r="R7" s="422">
        <f>_xll.qlCalendarAdvance(Calendar,R6,"1D","f")</f>
        <v>42072</v>
      </c>
      <c r="S7" s="449">
        <f>_xll.qlCalendarAdvance(Calendar,R7,$F$1,"mf",,Trigger)</f>
        <v>42256</v>
      </c>
      <c r="T7" s="450">
        <f>_xll.qlDayCounterYearFraction(DayCounter,R7,S7,,,Trigger)</f>
        <v>0.50410958904109593</v>
      </c>
      <c r="U7" s="423">
        <f>_xll.qlInterpolationInterpolate(B6Minterpolation,R7,TRUE)</f>
        <v>2.2095304561302871E-3</v>
      </c>
      <c r="V7" s="345">
        <f>_xll.qlYieldTSDiscount(Discounting,R7,,AllTriggers)</f>
        <v>0.99992490519053412</v>
      </c>
      <c r="W7" s="345">
        <f>_xll.qlYieldTSDiscount(Discounting,S7,,AllTriggers)</f>
        <v>0.99760131517260764</v>
      </c>
      <c r="X7" s="32">
        <f t="shared" si="5"/>
        <v>4.6203782471939811E-3</v>
      </c>
      <c r="Y7" s="452">
        <f t="shared" si="6"/>
        <v>1.110640186373704E-3</v>
      </c>
    </row>
    <row r="8" spans="1:25" ht="11.25" customHeight="1" x14ac:dyDescent="0.2">
      <c r="A8" s="30">
        <f t="shared" si="9"/>
        <v>5</v>
      </c>
      <c r="B8" s="30" t="s">
        <v>35</v>
      </c>
      <c r="C8" s="30">
        <f t="shared" si="7"/>
        <v>11</v>
      </c>
      <c r="D8" s="220" t="str">
        <f t="shared" si="1"/>
        <v>GBP5x11F_Quote</v>
      </c>
      <c r="E8" s="221">
        <f>_xll.qlCalendarAdvance("target",$E$3,A8&amp;"M","mf",,Trigger)</f>
        <v>42219</v>
      </c>
      <c r="F8" s="221">
        <f>_xll.qlCalendarAdvance(Calendar,E8,$F$1,"mf",,Trigger)</f>
        <v>42403</v>
      </c>
      <c r="G8" s="342">
        <f>_xll.qlDayCounterYearFraction(DayCounter,E8,F8,,,Trigger)</f>
        <v>0.50410958904109593</v>
      </c>
      <c r="H8" s="32">
        <f>_xll.qlQuoteValue(D8,AllTriggers)</f>
        <v>8.0000000000000002E-3</v>
      </c>
      <c r="I8" s="345">
        <f>_xll.qlYieldTSDiscount(Discounting,E8,,AllTriggers)</f>
        <v>0.99808651801068549</v>
      </c>
      <c r="J8" s="345">
        <f>_xll.qlYieldTSDiscount(Discounting,F8,,AllTriggers)</f>
        <v>0.99537105603561071</v>
      </c>
      <c r="K8" s="32">
        <f t="shared" si="2"/>
        <v>5.4117005723005058E-3</v>
      </c>
      <c r="L8" s="32">
        <f t="shared" si="3"/>
        <v>2.5882994276994944E-3</v>
      </c>
      <c r="M8" s="332" t="b">
        <v>1</v>
      </c>
      <c r="N8" s="32">
        <f>_xll.qlInterpolationInterpolate($N$1,E8,TRUE)</f>
        <v>2.5882994276994944E-3</v>
      </c>
      <c r="O8" s="447">
        <f t="shared" si="4"/>
        <v>0</v>
      </c>
      <c r="P8" s="455">
        <f t="shared" si="8"/>
        <v>1.3003907951428203E-3</v>
      </c>
      <c r="R8" s="422">
        <f>_xll.qlCalendarAdvance(Calendar,R7,"1D","f")</f>
        <v>42073</v>
      </c>
      <c r="S8" s="449">
        <f>_xll.qlCalendarAdvance(Calendar,R8,$F$1,"mf",,Trigger)</f>
        <v>42257</v>
      </c>
      <c r="T8" s="450">
        <f>_xll.qlDayCounterYearFraction(DayCounter,R8,S8,,,Trigger)</f>
        <v>0.50410958904109593</v>
      </c>
      <c r="U8" s="423">
        <f>_xll.qlInterpolationInterpolate(B6Minterpolation,R8,TRUE)</f>
        <v>2.2106327215876782E-3</v>
      </c>
      <c r="V8" s="345">
        <f>_xll.qlYieldTSDiscount(Discounting,R8,,AllTriggers)</f>
        <v>0.99991237672823008</v>
      </c>
      <c r="W8" s="345">
        <f>_xll.qlYieldTSDiscount(Discounting,S8,,AllTriggers)</f>
        <v>0.99758807342129197</v>
      </c>
      <c r="X8" s="32">
        <f t="shared" si="5"/>
        <v>4.6218579463304134E-3</v>
      </c>
      <c r="Y8" s="452">
        <f t="shared" si="6"/>
        <v>1.1111931157253019E-3</v>
      </c>
    </row>
    <row r="9" spans="1:25" ht="11.25" customHeight="1" x14ac:dyDescent="0.2">
      <c r="A9" s="30">
        <f t="shared" si="9"/>
        <v>6</v>
      </c>
      <c r="B9" s="30" t="s">
        <v>35</v>
      </c>
      <c r="C9" s="30">
        <f t="shared" si="7"/>
        <v>12</v>
      </c>
      <c r="D9" s="220" t="str">
        <f t="shared" si="1"/>
        <v>GBP6x12F_Quote</v>
      </c>
      <c r="E9" s="221">
        <f>_xll.qlCalendarAdvance("target",$E$3,A9&amp;"M","mf",,Trigger)</f>
        <v>42250</v>
      </c>
      <c r="F9" s="221">
        <f>_xll.qlCalendarAdvance(Calendar,E9,$F$1,"mf",,Trigger)</f>
        <v>42432</v>
      </c>
      <c r="G9" s="342">
        <f>_xll.qlDayCounterYearFraction(DayCounter,E9,F9,,,Trigger)</f>
        <v>0.49863013698630138</v>
      </c>
      <c r="H9" s="32">
        <f>_xll.qlQuoteValue(D9,AllTriggers)</f>
        <v>8.3000000000000001E-3</v>
      </c>
      <c r="I9" s="345">
        <f>_xll.qlYieldTSDiscount(Discounting,E9,,AllTriggers)</f>
        <v>0.99768077537065136</v>
      </c>
      <c r="J9" s="345">
        <f>_xll.qlYieldTSDiscount(Discounting,F9,,AllTriggers)</f>
        <v>0.99481338588579293</v>
      </c>
      <c r="K9" s="32">
        <f t="shared" si="2"/>
        <v>5.7805151585045705E-3</v>
      </c>
      <c r="L9" s="32">
        <f t="shared" si="3"/>
        <v>2.5194848414954295E-3</v>
      </c>
      <c r="M9" s="332" t="b">
        <v>1</v>
      </c>
      <c r="N9" s="32">
        <f>_xll.qlInterpolationInterpolate($N$1,E9,TRUE)</f>
        <v>2.5194848414954295E-3</v>
      </c>
      <c r="O9" s="447">
        <f t="shared" si="4"/>
        <v>0</v>
      </c>
      <c r="P9" s="455">
        <f t="shared" si="8"/>
        <v>1.2518964724373505E-3</v>
      </c>
      <c r="R9" s="422">
        <f>_xll.qlCalendarAdvance(Calendar,R8,"1D","f")</f>
        <v>42074</v>
      </c>
      <c r="S9" s="449">
        <f>_xll.qlCalendarAdvance(Calendar,R9,$F$1,"mf",,Trigger)</f>
        <v>42258</v>
      </c>
      <c r="T9" s="450">
        <f>_xll.qlDayCounterYearFraction(DayCounter,R9,S9,,,Trigger)</f>
        <v>0.50410958904109593</v>
      </c>
      <c r="U9" s="423">
        <f>_xll.qlInterpolationInterpolate(B6Minterpolation,R9,TRUE)</f>
        <v>2.2118844202336889E-3</v>
      </c>
      <c r="V9" s="345">
        <f>_xll.qlYieldTSDiscount(Discounting,R9,,AllTriggers)</f>
        <v>0.99989984290291745</v>
      </c>
      <c r="W9" s="345">
        <f>_xll.qlYieldTSDiscount(Discounting,S9,,AllTriggers)</f>
        <v>0.99757483149863557</v>
      </c>
      <c r="X9" s="32">
        <f t="shared" si="5"/>
        <v>4.623327361817889E-3</v>
      </c>
      <c r="Y9" s="452">
        <f t="shared" si="6"/>
        <v>1.1118211217257183E-3</v>
      </c>
    </row>
    <row r="10" spans="1:25" ht="11.25" customHeight="1" x14ac:dyDescent="0.2">
      <c r="A10" s="30">
        <f t="shared" si="9"/>
        <v>7</v>
      </c>
      <c r="B10" s="30" t="s">
        <v>35</v>
      </c>
      <c r="C10" s="30">
        <f t="shared" si="7"/>
        <v>13</v>
      </c>
      <c r="D10" s="220" t="str">
        <f t="shared" si="1"/>
        <v>GBP7x13F_Quote</v>
      </c>
      <c r="E10" s="221">
        <f>_xll.qlCalendarAdvance("target",$E$3,A10&amp;"M","mf",,Trigger)</f>
        <v>42282</v>
      </c>
      <c r="F10" s="221">
        <f>_xll.qlCalendarAdvance(Calendar,E10,$F$1,"mf",,Trigger)</f>
        <v>42465</v>
      </c>
      <c r="G10" s="342">
        <f>_xll.qlDayCounterYearFraction(DayCounter,E10,F10,,,Trigger)</f>
        <v>0.50136986301369868</v>
      </c>
      <c r="H10" s="32" t="e">
        <f>_xll.qlQuoteValue(D10,AllTriggers)</f>
        <v>#NUM!</v>
      </c>
      <c r="I10" s="345">
        <f>_xll.qlYieldTSDiscount(Discounting,E10,,AllTriggers)</f>
        <v>0.99725635725786721</v>
      </c>
      <c r="J10" s="345">
        <f>_xll.qlYieldTSDiscount(Discounting,F10,,AllTriggers)</f>
        <v>0.99413556605708631</v>
      </c>
      <c r="K10" s="32">
        <f t="shared" si="2"/>
        <v>6.2612475705100526E-3</v>
      </c>
      <c r="L10" s="32" t="e">
        <f t="shared" si="3"/>
        <v>#NUM!</v>
      </c>
      <c r="M10" s="332" t="b">
        <v>0</v>
      </c>
      <c r="N10" s="32">
        <f>_xll.qlInterpolationInterpolate($N$1,E10,TRUE)</f>
        <v>2.5075503119345133E-3</v>
      </c>
      <c r="O10" s="447" t="e">
        <f t="shared" si="4"/>
        <v>#NUM!</v>
      </c>
      <c r="P10" s="455" t="e">
        <f t="shared" si="8"/>
        <v>#NUM!</v>
      </c>
      <c r="R10" s="422">
        <f>_xll.qlCalendarAdvance(Calendar,R9,"1D","f")</f>
        <v>42075</v>
      </c>
      <c r="S10" s="449">
        <f>_xll.qlCalendarAdvance(Calendar,R10,$F$1,"mf",,Trigger)</f>
        <v>42261</v>
      </c>
      <c r="T10" s="450">
        <f>_xll.qlDayCounterYearFraction(DayCounter,R10,S10,,,Trigger)</f>
        <v>0.50958904109589043</v>
      </c>
      <c r="U10" s="423">
        <f>_xll.qlInterpolationInterpolate(B6Minterpolation,R10,TRUE)</f>
        <v>2.2132802151687255E-3</v>
      </c>
      <c r="V10" s="345">
        <f>_xll.qlYieldTSDiscount(Discounting,R10,,AllTriggers)</f>
        <v>0.99988730572586781</v>
      </c>
      <c r="W10" s="345">
        <f>_xll.qlYieldTSDiscount(Discounting,S10,,AllTriggers)</f>
        <v>0.99753510233005638</v>
      </c>
      <c r="X10" s="32">
        <f t="shared" si="5"/>
        <v>4.6272888012938822E-3</v>
      </c>
      <c r="Y10" s="452">
        <f t="shared" si="6"/>
        <v>1.1245775051458547E-3</v>
      </c>
    </row>
    <row r="11" spans="1:25" ht="11.25" customHeight="1" x14ac:dyDescent="0.2">
      <c r="A11" s="30">
        <f t="shared" si="9"/>
        <v>8</v>
      </c>
      <c r="B11" s="30" t="s">
        <v>35</v>
      </c>
      <c r="C11" s="30">
        <f t="shared" si="7"/>
        <v>14</v>
      </c>
      <c r="D11" s="220" t="str">
        <f t="shared" si="1"/>
        <v>GBP8x14F_Quote</v>
      </c>
      <c r="E11" s="221">
        <f>_xll.qlCalendarAdvance("target",$E$3,A11&amp;"M","mf",,Trigger)</f>
        <v>42311</v>
      </c>
      <c r="F11" s="221">
        <f>_xll.qlCalendarAdvance(Calendar,E11,$F$1,"mf",,Trigger)</f>
        <v>42493</v>
      </c>
      <c r="G11" s="342">
        <f>_xll.qlDayCounterYearFraction(DayCounter,E11,F11,,,Trigger)</f>
        <v>0.49863013698630138</v>
      </c>
      <c r="H11" s="32" t="e">
        <f>_xll.qlQuoteValue(D11,AllTriggers)</f>
        <v>#NUM!</v>
      </c>
      <c r="I11" s="345">
        <f>_xll.qlYieldTSDiscount(Discounting,E11,,AllTriggers)</f>
        <v>0.99685571323436273</v>
      </c>
      <c r="J11" s="345">
        <f>_xll.qlYieldTSDiscount(Discounting,F11,,AllTriggers)</f>
        <v>0.99353140203339319</v>
      </c>
      <c r="K11" s="32">
        <f t="shared" si="2"/>
        <v>6.7102940424970635E-3</v>
      </c>
      <c r="L11" s="32" t="e">
        <f t="shared" si="3"/>
        <v>#NUM!</v>
      </c>
      <c r="M11" s="332" t="b">
        <v>0</v>
      </c>
      <c r="N11" s="32">
        <f>_xll.qlInterpolationInterpolate($N$1,E11,TRUE)</f>
        <v>2.5176695107369958E-3</v>
      </c>
      <c r="O11" s="447" t="e">
        <f t="shared" si="4"/>
        <v>#NUM!</v>
      </c>
      <c r="P11" s="455" t="e">
        <f t="shared" si="8"/>
        <v>#NUM!</v>
      </c>
      <c r="R11" s="422">
        <f>_xll.qlCalendarAdvance(Calendar,R10,"1D","f")</f>
        <v>42076</v>
      </c>
      <c r="S11" s="449">
        <f>_xll.qlCalendarAdvance(Calendar,R11,$F$1,"mf",,Trigger)</f>
        <v>42261</v>
      </c>
      <c r="T11" s="450">
        <f>_xll.qlDayCounterYearFraction(DayCounter,R11,S11,,,Trigger)</f>
        <v>0.50684931506849318</v>
      </c>
      <c r="U11" s="423">
        <f>_xll.qlInterpolationInterpolate(B6Minterpolation,R11,TRUE)</f>
        <v>2.2148147694931947E-3</v>
      </c>
      <c r="V11" s="345">
        <f>_xll.qlYieldTSDiscount(Discounting,R11,,AllTriggers)</f>
        <v>0.99987476778463813</v>
      </c>
      <c r="W11" s="345">
        <f>_xll.qlYieldTSDiscount(Discounting,S11,,AllTriggers)</f>
        <v>0.99753510233005638</v>
      </c>
      <c r="X11" s="32">
        <f t="shared" si="5"/>
        <v>4.6275030291226286E-3</v>
      </c>
      <c r="Y11" s="452">
        <f t="shared" si="6"/>
        <v>1.1193238877407377E-3</v>
      </c>
    </row>
    <row r="12" spans="1:25" ht="11.25" customHeight="1" x14ac:dyDescent="0.2">
      <c r="A12" s="30">
        <f t="shared" si="9"/>
        <v>9</v>
      </c>
      <c r="B12" s="30" t="s">
        <v>35</v>
      </c>
      <c r="C12" s="30">
        <f t="shared" si="7"/>
        <v>15</v>
      </c>
      <c r="D12" s="220" t="str">
        <f t="shared" si="1"/>
        <v>GBP9x15F_Quote</v>
      </c>
      <c r="E12" s="221">
        <f>_xll.qlCalendarAdvance("target",$E$3,A12&amp;"M","mf",,Trigger)</f>
        <v>42341</v>
      </c>
      <c r="F12" s="221">
        <f>_xll.qlCalendarAdvance(Calendar,E12,$F$1,"mf",,Trigger)</f>
        <v>42524</v>
      </c>
      <c r="G12" s="342">
        <f>_xll.qlDayCounterYearFraction(DayCounter,E12,F12,,,Trigger)</f>
        <v>0.50136986301369868</v>
      </c>
      <c r="H12" s="32">
        <f>_xll.qlQuoteValue(D12,AllTriggers)</f>
        <v>9.7000000000000003E-3</v>
      </c>
      <c r="I12" s="345">
        <f>_xll.qlYieldTSDiscount(Discounting,E12,,AllTriggers)</f>
        <v>0.99638782922356262</v>
      </c>
      <c r="J12" s="345">
        <f>_xll.qlYieldTSDiscount(Discounting,F12,,AllTriggers)</f>
        <v>0.99282582206522496</v>
      </c>
      <c r="K12" s="32">
        <f t="shared" si="2"/>
        <v>7.155887406217914E-3</v>
      </c>
      <c r="L12" s="32">
        <f t="shared" si="3"/>
        <v>2.5441125937820863E-3</v>
      </c>
      <c r="M12" s="332" t="b">
        <v>1</v>
      </c>
      <c r="N12" s="32">
        <f>_xll.qlInterpolationInterpolate($N$1,E12,TRUE)</f>
        <v>2.5441125937820863E-3</v>
      </c>
      <c r="O12" s="447">
        <f t="shared" si="4"/>
        <v>0</v>
      </c>
      <c r="P12" s="455">
        <f t="shared" si="8"/>
        <v>1.2701744105869533E-3</v>
      </c>
      <c r="R12" s="422">
        <f>_xll.qlCalendarAdvance(Calendar,R11,"1D","f")</f>
        <v>42079</v>
      </c>
      <c r="S12" s="449">
        <f>_xll.qlCalendarAdvance(Calendar,R12,$F$1,"mf",,Trigger)</f>
        <v>42263</v>
      </c>
      <c r="T12" s="450">
        <f>_xll.qlDayCounterYearFraction(DayCounter,R12,S12,,,Trigger)</f>
        <v>0.50410958904109593</v>
      </c>
      <c r="U12" s="423">
        <f>_xll.qlInterpolationInterpolate(B6Minterpolation,R12,TRUE)</f>
        <v>2.2201976198072612E-3</v>
      </c>
      <c r="V12" s="345">
        <f>_xll.qlYieldTSDiscount(Discounting,R12,,AllTriggers)</f>
        <v>0.99983717524949267</v>
      </c>
      <c r="W12" s="345">
        <f>_xll.qlYieldTSDiscount(Discounting,S12,,AllTriggers)</f>
        <v>0.99750861101148391</v>
      </c>
      <c r="X12" s="32">
        <f t="shared" si="5"/>
        <v>4.6306996288097736E-3</v>
      </c>
      <c r="Y12" s="452">
        <f t="shared" si="6"/>
        <v>1.1159933505543113E-3</v>
      </c>
    </row>
    <row r="13" spans="1:25" ht="11.25" customHeight="1" x14ac:dyDescent="0.2">
      <c r="A13" s="30">
        <f t="shared" si="9"/>
        <v>10</v>
      </c>
      <c r="B13" s="30" t="s">
        <v>35</v>
      </c>
      <c r="C13" s="30">
        <f t="shared" si="7"/>
        <v>16</v>
      </c>
      <c r="D13" s="220" t="str">
        <f t="shared" si="1"/>
        <v>GBP10x16F_Quote</v>
      </c>
      <c r="E13" s="221">
        <f>_xll.qlCalendarAdvance("target",$E$3,A13&amp;"M","mf",,Trigger)</f>
        <v>42373</v>
      </c>
      <c r="F13" s="221">
        <f>_xll.qlCalendarAdvance(Calendar,E13,$F$1,"mf",,Trigger)</f>
        <v>42555</v>
      </c>
      <c r="G13" s="342">
        <f>_xll.qlDayCounterYearFraction(DayCounter,E13,F13,,,Trigger)</f>
        <v>0.49863013698630138</v>
      </c>
      <c r="H13" s="32" t="e">
        <f>_xll.qlQuoteValue(D13,AllTriggers)</f>
        <v>#NUM!</v>
      </c>
      <c r="I13" s="345">
        <f>_xll.qlYieldTSDiscount(Discounting,E13,,AllTriggers)</f>
        <v>0.99587527715663748</v>
      </c>
      <c r="J13" s="345">
        <f>_xll.qlYieldTSDiscount(Discounting,F13,,AllTriggers)</f>
        <v>0.9920771387951991</v>
      </c>
      <c r="K13" s="32">
        <f t="shared" si="2"/>
        <v>7.6779771623636615E-3</v>
      </c>
      <c r="L13" s="32" t="e">
        <f t="shared" si="3"/>
        <v>#NUM!</v>
      </c>
      <c r="M13" s="332" t="b">
        <v>0</v>
      </c>
      <c r="N13" s="32">
        <f>_xll.qlInterpolationInterpolate($N$1,E13,TRUE)</f>
        <v>2.582508665057878E-3</v>
      </c>
      <c r="O13" s="447" t="e">
        <f t="shared" si="4"/>
        <v>#NUM!</v>
      </c>
      <c r="P13" s="455" t="e">
        <f t="shared" si="8"/>
        <v>#NUM!</v>
      </c>
      <c r="R13" s="422">
        <f>_xll.qlCalendarAdvance(Calendar,R12,"1D","f")</f>
        <v>42080</v>
      </c>
      <c r="S13" s="449">
        <f>_xll.qlCalendarAdvance(Calendar,R13,$F$1,"mf",,Trigger)</f>
        <v>42264</v>
      </c>
      <c r="T13" s="450">
        <f>_xll.qlDayCounterYearFraction(DayCounter,R13,S13,,,Trigger)</f>
        <v>0.50410958904109593</v>
      </c>
      <c r="U13" s="423">
        <f>_xll.qlInterpolationInterpolate(B6Minterpolation,R13,TRUE)</f>
        <v>2.2222338426935244E-3</v>
      </c>
      <c r="V13" s="345">
        <f>_xll.qlYieldTSDiscount(Discounting,R13,,AllTriggers)</f>
        <v>0.99982466012451821</v>
      </c>
      <c r="W13" s="345">
        <f>_xll.qlYieldTSDiscount(Discounting,S13,,AllTriggers)</f>
        <v>0.99749536307870446</v>
      </c>
      <c r="X13" s="32">
        <f t="shared" si="5"/>
        <v>4.632218447753955E-3</v>
      </c>
      <c r="Y13" s="452">
        <f t="shared" si="6"/>
        <v>1.1170154438861532E-3</v>
      </c>
    </row>
    <row r="14" spans="1:25" ht="11.25" customHeight="1" x14ac:dyDescent="0.2">
      <c r="A14" s="30">
        <f t="shared" si="9"/>
        <v>11</v>
      </c>
      <c r="B14" s="30" t="s">
        <v>35</v>
      </c>
      <c r="C14" s="30">
        <f t="shared" si="7"/>
        <v>17</v>
      </c>
      <c r="D14" s="220" t="str">
        <f t="shared" si="1"/>
        <v>GBP11x17F_Quote</v>
      </c>
      <c r="E14" s="221">
        <f>_xll.qlCalendarAdvance("target",$E$3,A14&amp;"M","mf",,Trigger)</f>
        <v>42403</v>
      </c>
      <c r="F14" s="221">
        <f>_xll.qlCalendarAdvance(Calendar,E14,$F$1,"mf",,Trigger)</f>
        <v>42585</v>
      </c>
      <c r="G14" s="342">
        <f>_xll.qlDayCounterYearFraction(DayCounter,E14,F14,,,Trigger)</f>
        <v>0.49863013698630138</v>
      </c>
      <c r="H14" s="32" t="e">
        <f>_xll.qlQuoteValue(D14,AllTriggers)</f>
        <v>#NUM!</v>
      </c>
      <c r="I14" s="345">
        <f>_xll.qlYieldTSDiscount(Discounting,E14,,AllTriggers)</f>
        <v>0.99537105603561071</v>
      </c>
      <c r="J14" s="345">
        <f>_xll.qlYieldTSDiscount(Discounting,F14,,AllTriggers)</f>
        <v>0.99131148754196663</v>
      </c>
      <c r="K14" s="32">
        <f t="shared" si="2"/>
        <v>8.2127993178704502E-3</v>
      </c>
      <c r="L14" s="32" t="e">
        <f t="shared" si="3"/>
        <v>#NUM!</v>
      </c>
      <c r="M14" s="332" t="b">
        <v>0</v>
      </c>
      <c r="N14" s="32">
        <f>_xll.qlInterpolationInterpolate($N$1,E14,TRUE)</f>
        <v>2.6202478042340362E-3</v>
      </c>
      <c r="O14" s="447" t="e">
        <f t="shared" si="4"/>
        <v>#NUM!</v>
      </c>
      <c r="P14" s="455" t="e">
        <f t="shared" si="8"/>
        <v>#NUM!</v>
      </c>
      <c r="R14" s="422">
        <f>_xll.qlCalendarAdvance(Calendar,R13,"1D","f")</f>
        <v>42081</v>
      </c>
      <c r="S14" s="449">
        <f>_xll.qlCalendarAdvance(Calendar,R14,$F$1,"mf",,Trigger)</f>
        <v>42265</v>
      </c>
      <c r="T14" s="450">
        <f>_xll.qlDayCounterYearFraction(DayCounter,R14,S14,,,Trigger)</f>
        <v>0.50410958904109593</v>
      </c>
      <c r="U14" s="423">
        <f>_xll.qlInterpolationInterpolate(B6Minterpolation,R14,TRUE)</f>
        <v>2.2243821404712523E-3</v>
      </c>
      <c r="V14" s="345">
        <f>_xll.qlYieldTSDiscount(Discounting,R14,,AllTriggers)</f>
        <v>0.99981215659254585</v>
      </c>
      <c r="W14" s="345">
        <f>_xll.qlYieldTSDiscount(Discounting,S14,,AllTriggers)</f>
        <v>0.99748211331400916</v>
      </c>
      <c r="X14" s="32">
        <f t="shared" si="5"/>
        <v>4.6337640137265089E-3</v>
      </c>
      <c r="Y14" s="452">
        <f t="shared" si="6"/>
        <v>1.1180938229540104E-3</v>
      </c>
    </row>
    <row r="15" spans="1:25" ht="11.25" customHeight="1" x14ac:dyDescent="0.2">
      <c r="A15" s="30">
        <f t="shared" si="9"/>
        <v>12</v>
      </c>
      <c r="B15" s="30" t="s">
        <v>35</v>
      </c>
      <c r="C15" s="30">
        <f t="shared" si="7"/>
        <v>18</v>
      </c>
      <c r="D15" s="220" t="str">
        <f t="shared" si="1"/>
        <v>GBP12x18F_Quote</v>
      </c>
      <c r="E15" s="221">
        <f>_xll.qlCalendarAdvance("target",$E$3,A15&amp;"M","mf",,Trigger)</f>
        <v>42432</v>
      </c>
      <c r="F15" s="221">
        <f>_xll.qlCalendarAdvance(Calendar,E15,$F$1,"mf",,Trigger)</f>
        <v>42618</v>
      </c>
      <c r="G15" s="342">
        <f>_xll.qlDayCounterYearFraction(DayCounter,E15,F15,,,Trigger)</f>
        <v>0.50958904109589043</v>
      </c>
      <c r="H15" s="32">
        <f>_xll.qlQuoteValue(D15,AllTriggers)</f>
        <v>1.1350000000000001E-2</v>
      </c>
      <c r="I15" s="345">
        <f>_xll.qlYieldTSDiscount(Discounting,E15,,AllTriggers)</f>
        <v>0.99481338588579293</v>
      </c>
      <c r="J15" s="345">
        <f>_xll.qlYieldTSDiscount(Discounting,F15,,AllTriggers)</f>
        <v>0.99042375720996378</v>
      </c>
      <c r="K15" s="32">
        <f t="shared" si="2"/>
        <v>8.6973441516855262E-3</v>
      </c>
      <c r="L15" s="32">
        <f t="shared" si="3"/>
        <v>2.6526558483144745E-3</v>
      </c>
      <c r="M15" s="332" t="b">
        <v>1</v>
      </c>
      <c r="N15" s="32">
        <f>_xll.qlInterpolationInterpolate($N$1,E15,TRUE)</f>
        <v>2.6526558483144745E-3</v>
      </c>
      <c r="O15" s="447">
        <f t="shared" si="4"/>
        <v>0</v>
      </c>
      <c r="P15" s="455">
        <f t="shared" si="8"/>
        <v>1.344894893350633E-3</v>
      </c>
      <c r="R15" s="422">
        <f>_xll.qlCalendarAdvance(Calendar,R14,"1D","f")</f>
        <v>42082</v>
      </c>
      <c r="S15" s="449">
        <f>_xll.qlCalendarAdvance(Calendar,R15,$F$1,"mf",,Trigger)</f>
        <v>42268</v>
      </c>
      <c r="T15" s="450">
        <f>_xll.qlDayCounterYearFraction(DayCounter,R15,S15,,,Trigger)</f>
        <v>0.50958904109589043</v>
      </c>
      <c r="U15" s="423">
        <f>_xll.qlInterpolationInterpolate(B6Minterpolation,R15,TRUE)</f>
        <v>2.2266371762408514E-3</v>
      </c>
      <c r="V15" s="345">
        <f>_xll.qlYieldTSDiscount(Discounting,R15,,AllTriggers)</f>
        <v>0.99979966434712586</v>
      </c>
      <c r="W15" s="345">
        <f>_xll.qlYieldTSDiscount(Discounting,S15,,AllTriggers)</f>
        <v>0.9974423506567448</v>
      </c>
      <c r="X15" s="32">
        <f t="shared" si="5"/>
        <v>4.6377730713852046E-3</v>
      </c>
      <c r="Y15" s="452">
        <f t="shared" si="6"/>
        <v>1.1313543718775116E-3</v>
      </c>
    </row>
    <row r="16" spans="1:25" ht="11.25" customHeight="1" x14ac:dyDescent="0.2">
      <c r="A16" s="30">
        <f t="shared" si="9"/>
        <v>13</v>
      </c>
      <c r="B16" s="30" t="s">
        <v>35</v>
      </c>
      <c r="C16" s="30">
        <f t="shared" si="7"/>
        <v>19</v>
      </c>
      <c r="D16" s="220" t="str">
        <f t="shared" si="1"/>
        <v>GBP13x19F_Quote</v>
      </c>
      <c r="E16" s="221">
        <f>_xll.qlCalendarAdvance("target",$E$3,A16&amp;"M","mf",,Trigger)</f>
        <v>42464</v>
      </c>
      <c r="F16" s="221">
        <f>_xll.qlCalendarAdvance(Calendar,E16,$F$1,"mf",,Trigger)</f>
        <v>42647</v>
      </c>
      <c r="G16" s="342">
        <f>_xll.qlDayCounterYearFraction(DayCounter,E16,F16,,,Trigger)</f>
        <v>0.50136986301369868</v>
      </c>
      <c r="H16" s="32" t="e">
        <f>_xll.qlQuoteValue(D16,AllTriggers)</f>
        <v>#NUM!</v>
      </c>
      <c r="I16" s="345">
        <f>_xll.qlYieldTSDiscount(Discounting,E16,,AllTriggers)</f>
        <v>0.99415661936856381</v>
      </c>
      <c r="J16" s="345">
        <f>_xll.qlYieldTSDiscount(Discounting,F16,,AllTriggers)</f>
        <v>0.98960539582335616</v>
      </c>
      <c r="K16" s="32">
        <f t="shared" si="2"/>
        <v>9.1729259507981713E-3</v>
      </c>
      <c r="L16" s="32" t="e">
        <f t="shared" si="3"/>
        <v>#NUM!</v>
      </c>
      <c r="M16" s="332" t="b">
        <v>0</v>
      </c>
      <c r="N16" s="32">
        <f>_xll.qlInterpolationInterpolate($N$1,E16,TRUE)</f>
        <v>2.6772937487559729E-3</v>
      </c>
      <c r="O16" s="447" t="e">
        <f t="shared" si="4"/>
        <v>#NUM!</v>
      </c>
      <c r="P16" s="455" t="e">
        <f t="shared" si="8"/>
        <v>#NUM!</v>
      </c>
      <c r="R16" s="422">
        <f>_xll.qlCalendarAdvance(Calendar,R15,"1D","f")</f>
        <v>42083</v>
      </c>
      <c r="S16" s="449">
        <f>_xll.qlCalendarAdvance(Calendar,R16,$F$1,"mf",,Trigger)</f>
        <v>42268</v>
      </c>
      <c r="T16" s="450">
        <f>_xll.qlDayCounterYearFraction(DayCounter,R16,S16,,,Trigger)</f>
        <v>0.50684931506849318</v>
      </c>
      <c r="U16" s="423">
        <f>_xll.qlInterpolationInterpolate(B6Minterpolation,R16,TRUE)</f>
        <v>2.2289936131027277E-3</v>
      </c>
      <c r="V16" s="345">
        <f>_xll.qlYieldTSDiscount(Discounting,R16,,AllTriggers)</f>
        <v>0.99978718250318099</v>
      </c>
      <c r="W16" s="345">
        <f>_xll.qlYieldTSDiscount(Discounting,S16,,AllTriggers)</f>
        <v>0.9974423506567448</v>
      </c>
      <c r="X16" s="32">
        <f t="shared" si="5"/>
        <v>4.6381526272058146E-3</v>
      </c>
      <c r="Y16" s="452">
        <f t="shared" si="6"/>
        <v>1.1264794995172924E-3</v>
      </c>
    </row>
    <row r="17" spans="1:25" ht="11.25" customHeight="1" x14ac:dyDescent="0.2">
      <c r="A17" s="30">
        <f t="shared" si="9"/>
        <v>14</v>
      </c>
      <c r="B17" s="30" t="s">
        <v>35</v>
      </c>
      <c r="C17" s="30">
        <f t="shared" si="7"/>
        <v>20</v>
      </c>
      <c r="D17" s="220" t="str">
        <f t="shared" si="1"/>
        <v>GBP14x20F_Quote</v>
      </c>
      <c r="E17" s="221">
        <f>_xll.qlCalendarAdvance("target",$E$3,A17&amp;"M","mf",,Trigger)</f>
        <v>42493</v>
      </c>
      <c r="F17" s="221">
        <f>_xll.qlCalendarAdvance(Calendar,E17,$F$1,"mf",,Trigger)</f>
        <v>42677</v>
      </c>
      <c r="G17" s="342">
        <f>_xll.qlDayCounterYearFraction(DayCounter,E17,F17,,,Trigger)</f>
        <v>0.50410958904109593</v>
      </c>
      <c r="H17" s="32" t="e">
        <f>_xll.qlQuoteValue(D17,AllTriggers)</f>
        <v>#NUM!</v>
      </c>
      <c r="I17" s="345">
        <f>_xll.qlYieldTSDiscount(Discounting,E17,,AllTriggers)</f>
        <v>0.99353140203339319</v>
      </c>
      <c r="J17" s="345">
        <f>_xll.qlYieldTSDiscount(Discounting,F17,,AllTriggers)</f>
        <v>0.98872277170080169</v>
      </c>
      <c r="K17" s="32">
        <f t="shared" si="2"/>
        <v>9.6476579246422781E-3</v>
      </c>
      <c r="L17" s="32" t="e">
        <f t="shared" si="3"/>
        <v>#NUM!</v>
      </c>
      <c r="M17" s="332" t="b">
        <v>0</v>
      </c>
      <c r="N17" s="32">
        <f>_xll.qlInterpolationInterpolate($N$1,E17,TRUE)</f>
        <v>2.6837376399726238E-3</v>
      </c>
      <c r="O17" s="447" t="e">
        <f t="shared" si="4"/>
        <v>#NUM!</v>
      </c>
      <c r="P17" s="455" t="e">
        <f t="shared" si="8"/>
        <v>#NUM!</v>
      </c>
      <c r="R17" s="422">
        <f>_xll.qlCalendarAdvance(Calendar,R16,"1D","f")</f>
        <v>42086</v>
      </c>
      <c r="S17" s="449">
        <f>_xll.qlCalendarAdvance(Calendar,R17,$F$1,"mf",,Trigger)</f>
        <v>42270</v>
      </c>
      <c r="T17" s="450">
        <f>_xll.qlDayCounterYearFraction(DayCounter,R17,S17,,,Trigger)</f>
        <v>0.50410958904109593</v>
      </c>
      <c r="U17" s="423">
        <f>_xll.qlInterpolationInterpolate(B6Minterpolation,R17,TRUE)</f>
        <v>2.2366179612460873E-3</v>
      </c>
      <c r="V17" s="345">
        <f>_xll.qlYieldTSDiscount(Discounting,R17,,AllTriggers)</f>
        <v>0.99974979053009161</v>
      </c>
      <c r="W17" s="345">
        <f>_xll.qlYieldTSDiscount(Discounting,S17,,AllTriggers)</f>
        <v>0.99741582871112489</v>
      </c>
      <c r="X17" s="32">
        <f t="shared" si="5"/>
        <v>4.6418652876275383E-3</v>
      </c>
      <c r="Y17" s="452">
        <f t="shared" si="6"/>
        <v>1.1242361690528041E-3</v>
      </c>
    </row>
    <row r="18" spans="1:25" ht="11.25" customHeight="1" x14ac:dyDescent="0.2">
      <c r="A18" s="30">
        <f t="shared" si="9"/>
        <v>15</v>
      </c>
      <c r="B18" s="30" t="s">
        <v>35</v>
      </c>
      <c r="C18" s="30">
        <f t="shared" si="7"/>
        <v>21</v>
      </c>
      <c r="D18" s="220" t="str">
        <f t="shared" si="1"/>
        <v>GBP15x21F_Quote</v>
      </c>
      <c r="E18" s="221">
        <f>_xll.qlCalendarAdvance("target",$E$3,A18&amp;"M","mf",,Trigger)</f>
        <v>42524</v>
      </c>
      <c r="F18" s="221">
        <f>_xll.qlCalendarAdvance(Calendar,E18,$F$1,"mf",,Trigger)</f>
        <v>42709</v>
      </c>
      <c r="G18" s="342">
        <f>_xll.qlDayCounterYearFraction(DayCounter,E18,F18,,,Trigger)</f>
        <v>0.50684931506849318</v>
      </c>
      <c r="H18" s="32" t="e">
        <f>_xll.qlQuoteValue(D18,AllTriggers)</f>
        <v>#NUM!</v>
      </c>
      <c r="I18" s="345">
        <f>_xll.qlYieldTSDiscount(Discounting,E18,,AllTriggers)</f>
        <v>0.99282582206522496</v>
      </c>
      <c r="J18" s="345">
        <f>_xll.qlYieldTSDiscount(Discounting,F18,,AllTriggers)</f>
        <v>0.98774282791500745</v>
      </c>
      <c r="K18" s="32">
        <f t="shared" si="2"/>
        <v>1.0153057857507176E-2</v>
      </c>
      <c r="L18" s="32" t="e">
        <f t="shared" si="3"/>
        <v>#NUM!</v>
      </c>
      <c r="M18" s="332" t="b">
        <v>0</v>
      </c>
      <c r="N18" s="32">
        <f>_xll.qlInterpolationInterpolate($N$1,E18,TRUE)</f>
        <v>2.6676861665009895E-3</v>
      </c>
      <c r="O18" s="447" t="e">
        <f t="shared" si="4"/>
        <v>#NUM!</v>
      </c>
      <c r="P18" s="455" t="e">
        <f t="shared" si="8"/>
        <v>#NUM!</v>
      </c>
      <c r="R18" s="422">
        <f>_xll.qlCalendarAdvance(Calendar,R17,"1D","f")</f>
        <v>42087</v>
      </c>
      <c r="S18" s="449">
        <f>_xll.qlCalendarAdvance(Calendar,R18,$F$1,"mf",,Trigger)</f>
        <v>42271</v>
      </c>
      <c r="T18" s="450">
        <f>_xll.qlDayCounterYearFraction(DayCounter,R18,S18,,,Trigger)</f>
        <v>0.50410958904109593</v>
      </c>
      <c r="U18" s="423">
        <f>_xll.qlInterpolationInterpolate(B6Minterpolation,R18,TRUE)</f>
        <v>2.2393266334811385E-3</v>
      </c>
      <c r="V18" s="345">
        <f>_xll.qlYieldTSDiscount(Discounting,R18,,AllTriggers)</f>
        <v>0.99973734144216364</v>
      </c>
      <c r="W18" s="345">
        <f>_xll.qlYieldTSDiscount(Discounting,S18,,AllTriggers)</f>
        <v>0.99740256297470953</v>
      </c>
      <c r="X18" s="32">
        <f t="shared" si="5"/>
        <v>4.6435512265627305E-3</v>
      </c>
      <c r="Y18" s="452">
        <f t="shared" si="6"/>
        <v>1.125595963492044E-3</v>
      </c>
    </row>
    <row r="19" spans="1:25" ht="11.25" customHeight="1" x14ac:dyDescent="0.2">
      <c r="A19" s="30">
        <f t="shared" si="9"/>
        <v>16</v>
      </c>
      <c r="B19" s="30" t="s">
        <v>35</v>
      </c>
      <c r="C19" s="30">
        <f t="shared" si="7"/>
        <v>22</v>
      </c>
      <c r="D19" s="220" t="str">
        <f t="shared" si="1"/>
        <v>GBP16x22F_Quote</v>
      </c>
      <c r="E19" s="221">
        <f>_xll.qlCalendarAdvance("target",$E$3,A19&amp;"M","mf",,Trigger)</f>
        <v>42555</v>
      </c>
      <c r="F19" s="221">
        <f>_xll.qlCalendarAdvance(Calendar,E19,$F$1,"mf",,Trigger)</f>
        <v>42739</v>
      </c>
      <c r="G19" s="342">
        <f>_xll.qlDayCounterYearFraction(DayCounter,E19,F19,,,Trigger)</f>
        <v>0.50410958904109593</v>
      </c>
      <c r="H19" s="32" t="e">
        <f>_xll.qlQuoteValue(D19,AllTriggers)</f>
        <v>#NUM!</v>
      </c>
      <c r="I19" s="345">
        <f>_xll.qlYieldTSDiscount(Discounting,E19,,AllTriggers)</f>
        <v>0.9920771387951991</v>
      </c>
      <c r="J19" s="345">
        <f>_xll.qlYieldTSDiscount(Discounting,F19,,AllTriggers)</f>
        <v>0.98678987778158189</v>
      </c>
      <c r="K19" s="32">
        <f t="shared" si="2"/>
        <v>1.0628723420025438E-2</v>
      </c>
      <c r="L19" s="32" t="e">
        <f t="shared" si="3"/>
        <v>#NUM!</v>
      </c>
      <c r="M19" s="332" t="b">
        <v>0</v>
      </c>
      <c r="N19" s="32">
        <f>_xll.qlInterpolationInterpolate($N$1,E19,TRUE)</f>
        <v>2.6215539264062972E-3</v>
      </c>
      <c r="O19" s="447" t="e">
        <f t="shared" si="4"/>
        <v>#NUM!</v>
      </c>
      <c r="P19" s="455" t="e">
        <f t="shared" si="8"/>
        <v>#NUM!</v>
      </c>
      <c r="R19" s="422">
        <f>_xll.qlCalendarAdvance(Calendar,R18,"1D","f")</f>
        <v>42088</v>
      </c>
      <c r="S19" s="449">
        <f>_xll.qlCalendarAdvance(Calendar,R19,$F$1,"mf",,Trigger)</f>
        <v>42272</v>
      </c>
      <c r="T19" s="450">
        <f>_xll.qlDayCounterYearFraction(DayCounter,R19,S19,,,Trigger)</f>
        <v>0.50410958904109593</v>
      </c>
      <c r="U19" s="423">
        <f>_xll.qlInterpolationInterpolate(B6Minterpolation,R19,TRUE)</f>
        <v>2.2421100223104997E-3</v>
      </c>
      <c r="V19" s="345">
        <f>_xll.qlYieldTSDiscount(Discounting,R19,,AllTriggers)</f>
        <v>0.99972489833099087</v>
      </c>
      <c r="W19" s="345">
        <f>_xll.qlYieldTSDiscount(Discounting,S19,,AllTriggers)</f>
        <v>0.99738929374642149</v>
      </c>
      <c r="X19" s="32">
        <f t="shared" si="5"/>
        <v>4.645256058649681E-3</v>
      </c>
      <c r="Y19" s="452">
        <f t="shared" si="6"/>
        <v>1.1269932781052445E-3</v>
      </c>
    </row>
    <row r="20" spans="1:25" ht="11.25" customHeight="1" x14ac:dyDescent="0.2">
      <c r="A20" s="30">
        <f t="shared" si="9"/>
        <v>17</v>
      </c>
      <c r="B20" s="30" t="s">
        <v>35</v>
      </c>
      <c r="C20" s="30">
        <f t="shared" si="7"/>
        <v>23</v>
      </c>
      <c r="D20" s="220" t="str">
        <f t="shared" si="1"/>
        <v>GBP17x23F_Quote</v>
      </c>
      <c r="E20" s="221">
        <f>_xll.qlCalendarAdvance("target",$E$3,A20&amp;"M","mf",,Trigger)</f>
        <v>42585</v>
      </c>
      <c r="F20" s="221">
        <f>_xll.qlCalendarAdvance(Calendar,E20,$F$1,"mf",,Trigger)</f>
        <v>42769</v>
      </c>
      <c r="G20" s="342">
        <f>_xll.qlDayCounterYearFraction(DayCounter,E20,F20,,,Trigger)</f>
        <v>0.50410958904109593</v>
      </c>
      <c r="H20" s="32" t="e">
        <f>_xll.qlQuoteValue(D20,AllTriggers)</f>
        <v>#NUM!</v>
      </c>
      <c r="I20" s="345">
        <f>_xll.qlYieldTSDiscount(Discounting,E20,,AllTriggers)</f>
        <v>0.99131148754196663</v>
      </c>
      <c r="J20" s="345">
        <f>_xll.qlYieldTSDiscount(Discounting,F20,,AllTriggers)</f>
        <v>0.98580553843485719</v>
      </c>
      <c r="K20" s="32">
        <f t="shared" si="2"/>
        <v>1.1079393327617636E-2</v>
      </c>
      <c r="L20" s="32" t="e">
        <f t="shared" si="3"/>
        <v>#NUM!</v>
      </c>
      <c r="M20" s="332" t="b">
        <v>0</v>
      </c>
      <c r="N20" s="32">
        <f>_xll.qlInterpolationInterpolate($N$1,E20,TRUE)</f>
        <v>2.5421310892972332E-3</v>
      </c>
      <c r="O20" s="447" t="e">
        <f t="shared" si="4"/>
        <v>#NUM!</v>
      </c>
      <c r="P20" s="455" t="e">
        <f t="shared" si="8"/>
        <v>#NUM!</v>
      </c>
      <c r="R20" s="422">
        <f>_xll.qlCalendarAdvance(Calendar,R19,"1D","f")</f>
        <v>42089</v>
      </c>
      <c r="S20" s="449">
        <f>_xll.qlCalendarAdvance(Calendar,R20,$F$1,"mf",,Trigger)</f>
        <v>42275</v>
      </c>
      <c r="T20" s="450">
        <f>_xll.qlDayCounterYearFraction(DayCounter,R20,S20,,,Trigger)</f>
        <v>0.50958904109589043</v>
      </c>
      <c r="U20" s="423">
        <f>_xll.qlInterpolationInterpolate(B6Minterpolation,R20,TRUE)</f>
        <v>2.2449627908345767E-3</v>
      </c>
      <c r="V20" s="345">
        <f>_xll.qlYieldTSDiscount(Discounting,R20,,AllTriggers)</f>
        <v>0.99971246031176175</v>
      </c>
      <c r="W20" s="345">
        <f>_xll.qlYieldTSDiscount(Discounting,S20,,AllTriggers)</f>
        <v>0.9973494627395223</v>
      </c>
      <c r="X20" s="32">
        <f t="shared" si="5"/>
        <v>4.6493885057923559E-3</v>
      </c>
      <c r="Y20" s="452">
        <f t="shared" si="6"/>
        <v>1.14065357648409E-3</v>
      </c>
    </row>
    <row r="21" spans="1:25" ht="11.25" customHeight="1" thickBot="1" x14ac:dyDescent="0.25">
      <c r="A21" s="30">
        <f t="shared" si="9"/>
        <v>18</v>
      </c>
      <c r="B21" s="30" t="s">
        <v>35</v>
      </c>
      <c r="C21" s="30">
        <f t="shared" si="7"/>
        <v>24</v>
      </c>
      <c r="D21" s="222" t="str">
        <f t="shared" si="1"/>
        <v>GBP18x24F_Quote</v>
      </c>
      <c r="E21" s="223">
        <f>_xll.qlCalendarAdvance("target",$E$3,A21&amp;"M","mf",,Trigger)</f>
        <v>42618</v>
      </c>
      <c r="F21" s="223">
        <f>_xll.qlCalendarAdvance(Calendar,E21,$F$1,"mf",,Trigger)</f>
        <v>42800</v>
      </c>
      <c r="G21" s="343">
        <f>_xll.qlDayCounterYearFraction(DayCounter,E21,F21,,,Trigger)</f>
        <v>0.49863013698630138</v>
      </c>
      <c r="H21" s="224" t="e">
        <f>_xll.qlQuoteValue(D21,AllTriggers)</f>
        <v>#NUM!</v>
      </c>
      <c r="I21" s="346">
        <f>_xll.qlYieldTSDiscount(Discounting,E21,,AllTriggers)</f>
        <v>0.99042375720996378</v>
      </c>
      <c r="J21" s="346">
        <f>_xll.qlYieldTSDiscount(Discounting,F21,,AllTriggers)</f>
        <v>0.98475723539976501</v>
      </c>
      <c r="K21" s="224">
        <f t="shared" si="2"/>
        <v>1.1540081095220301E-2</v>
      </c>
      <c r="L21" s="224" t="e">
        <f t="shared" si="3"/>
        <v>#NUM!</v>
      </c>
      <c r="M21" s="333" t="b">
        <v>0</v>
      </c>
      <c r="N21" s="224">
        <f>_xll.qlInterpolationInterpolate($N$1,E21,TRUE)</f>
        <v>2.4081304739361339E-3</v>
      </c>
      <c r="O21" s="447" t="e">
        <f t="shared" si="4"/>
        <v>#NUM!</v>
      </c>
      <c r="P21" s="456" t="e">
        <f t="shared" si="8"/>
        <v>#NUM!</v>
      </c>
      <c r="R21" s="422">
        <f>_xll.qlCalendarAdvance(Calendar,R20,"1D","f")</f>
        <v>42090</v>
      </c>
      <c r="S21" s="449">
        <f>_xll.qlCalendarAdvance(Calendar,R21,$F$1,"mf",,Trigger)</f>
        <v>42275</v>
      </c>
      <c r="T21" s="450">
        <f>_xll.qlDayCounterYearFraction(DayCounter,R21,S21,,,Trigger)</f>
        <v>0.50684931506849318</v>
      </c>
      <c r="U21" s="423">
        <f>_xll.qlInterpolationInterpolate(B6Minterpolation,R21,TRUE)</f>
        <v>2.2478796021537764E-3</v>
      </c>
      <c r="V21" s="345">
        <f>_xll.qlYieldTSDiscount(Discounting,R21,,AllTriggers)</f>
        <v>0.99970002649970924</v>
      </c>
      <c r="W21" s="345">
        <f>_xll.qlYieldTSDiscount(Discounting,S21,,AllTriggers)</f>
        <v>0.9973494627395223</v>
      </c>
      <c r="X21" s="32">
        <f t="shared" si="5"/>
        <v>4.6499235657678261E-3</v>
      </c>
      <c r="Y21" s="452">
        <f t="shared" si="6"/>
        <v>1.1360118447779103E-3</v>
      </c>
    </row>
    <row r="22" spans="1:25" ht="11.25" customHeight="1" x14ac:dyDescent="0.2">
      <c r="E22" s="155"/>
      <c r="F22" s="155"/>
      <c r="G22" s="155"/>
      <c r="H22" s="33"/>
      <c r="I22" s="225"/>
      <c r="J22" s="31"/>
      <c r="K22" s="33"/>
      <c r="L22" s="33"/>
      <c r="O22" s="225"/>
      <c r="P22" s="225"/>
      <c r="R22" s="422">
        <f>_xll.qlCalendarAdvance(Calendar,R21,"1D","f")</f>
        <v>42093</v>
      </c>
      <c r="S22" s="449">
        <f>_xll.qlCalendarAdvance(Calendar,R22,$F$1,"mf",,Trigger)</f>
        <v>42277</v>
      </c>
      <c r="T22" s="450">
        <f>_xll.qlDayCounterYearFraction(DayCounter,R22,S22,,,Trigger)</f>
        <v>0.50410958904109593</v>
      </c>
      <c r="U22" s="423">
        <f>_xll.qlInterpolationInterpolate(B6Minterpolation,R22,TRUE)</f>
        <v>2.2569609238861765E-3</v>
      </c>
      <c r="V22" s="345">
        <f>_xll.qlYieldTSDiscount(Discounting,R22,,AllTriggers)</f>
        <v>0.99966274145960043</v>
      </c>
      <c r="W22" s="345">
        <f>_xll.qlYieldTSDiscount(Discounting,S22,,AllTriggers)</f>
        <v>0.99732288692931781</v>
      </c>
      <c r="X22" s="32">
        <f t="shared" si="5"/>
        <v>4.6540185924460412E-3</v>
      </c>
      <c r="Y22" s="452">
        <f t="shared" si="6"/>
        <v>1.1344488324976417E-3</v>
      </c>
    </row>
    <row r="23" spans="1:25" ht="11.25" customHeight="1" x14ac:dyDescent="0.2">
      <c r="E23" s="155"/>
      <c r="F23" s="155"/>
      <c r="G23" s="155"/>
      <c r="H23" s="33"/>
      <c r="K23" s="33"/>
      <c r="L23" s="33"/>
      <c r="P23" s="31"/>
      <c r="R23" s="422">
        <f>_xll.qlCalendarAdvance(Calendar,R22,"1D","f")</f>
        <v>42094</v>
      </c>
      <c r="S23" s="449">
        <f>_xll.qlCalendarAdvance(Calendar,R23,$F$1,"mf",,Trigger)</f>
        <v>42277</v>
      </c>
      <c r="T23" s="450">
        <f>_xll.qlDayCounterYearFraction(DayCounter,R23,S23,,,Trigger)</f>
        <v>0.50136986301369868</v>
      </c>
      <c r="U23" s="423">
        <f>_xll.qlInterpolationInterpolate(B6Minterpolation,R23,TRUE)</f>
        <v>2.2600805373899314E-3</v>
      </c>
      <c r="V23" s="345">
        <f>_xll.qlYieldTSDiscount(Discounting,R23,,AllTriggers)</f>
        <v>0.99965031562946349</v>
      </c>
      <c r="W23" s="345">
        <f>_xll.qlYieldTSDiscount(Discounting,S23,,AllTriggers)</f>
        <v>0.99732288692931781</v>
      </c>
      <c r="X23" s="32">
        <f t="shared" si="5"/>
        <v>4.6546001014432748E-3</v>
      </c>
      <c r="Y23" s="452">
        <f t="shared" si="6"/>
        <v>1.1298595212833602E-3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R24" s="422">
        <f>_xll.qlCalendarAdvance(Calendar,R23,"1D","f")</f>
        <v>42095</v>
      </c>
      <c r="S24" s="449">
        <f>_xll.qlCalendarAdvance(Calendar,R24,$F$1,"mf",,Trigger)</f>
        <v>42278</v>
      </c>
      <c r="T24" s="450">
        <f>_xll.qlDayCounterYearFraction(DayCounter,R24,S24,,,Trigger)</f>
        <v>0.50136986301369868</v>
      </c>
      <c r="U24" s="423">
        <f>_xll.qlInterpolationInterpolate(B6Minterpolation,R24,TRUE)</f>
        <v>2.2632375091908414E-3</v>
      </c>
      <c r="V24" s="345">
        <f>_xll.qlYieldTSDiscount(Discounting,R24,,AllTriggers)</f>
        <v>0.99963788958332789</v>
      </c>
      <c r="W24" s="345">
        <f>_xll.qlYieldTSDiscount(Discounting,S24,,AllTriggers)</f>
        <v>0.99730959177142797</v>
      </c>
      <c r="X24" s="32">
        <f t="shared" si="5"/>
        <v>4.656400302626788E-3</v>
      </c>
      <c r="Y24" s="452">
        <f t="shared" si="6"/>
        <v>1.1314358439666349E-3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42096</v>
      </c>
      <c r="S25" s="449">
        <f>_xll.qlCalendarAdvance(Calendar,R25,$F$1,"mf",,Trigger)</f>
        <v>42279</v>
      </c>
      <c r="T25" s="450">
        <f>_xll.qlDayCounterYearFraction(DayCounter,R25,S25,,,Trigger)</f>
        <v>0.50136986301369868</v>
      </c>
      <c r="U25" s="423">
        <f>_xll.qlInterpolationInterpolate(B6Minterpolation,R25,TRUE)</f>
        <v>2.2664265023893122E-3</v>
      </c>
      <c r="V25" s="345">
        <f>_xll.qlYieldTSDiscount(Discounting,R25,,AllTriggers)</f>
        <v>0.99962546243669037</v>
      </c>
      <c r="W25" s="345">
        <f>_xll.qlYieldTSDiscount(Discounting,S25,,AllTriggers)</f>
        <v>0.9972962914623289</v>
      </c>
      <c r="X25" s="32">
        <f t="shared" si="5"/>
        <v>4.6582086770509219E-3</v>
      </c>
      <c r="Y25" s="452">
        <f t="shared" si="6"/>
        <v>1.1330281557152414E-3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42101</v>
      </c>
      <c r="S26" s="449">
        <f>_xll.qlCalendarAdvance(Calendar,R26,$F$1,"mf",,Trigger)</f>
        <v>42284</v>
      </c>
      <c r="T26" s="450">
        <f>_xll.qlDayCounterYearFraction(DayCounter,R26,S26,,,Trigger)</f>
        <v>0.50136986301369868</v>
      </c>
      <c r="U26" s="423">
        <f>_xll.qlInterpolationInterpolate(B6Minterpolation,R26,TRUE)</f>
        <v>2.2826649978593136E-3</v>
      </c>
      <c r="V26" s="345">
        <f>_xll.qlYieldTSDiscount(Discounting,R26,,AllTriggers)</f>
        <v>0.9995632792414465</v>
      </c>
      <c r="W26" s="345">
        <f>_xll.qlYieldTSDiscount(Discounting,S26,,AllTriggers)</f>
        <v>0.99722970080020645</v>
      </c>
      <c r="X26" s="32">
        <f t="shared" si="5"/>
        <v>4.6673350021406868E-3</v>
      </c>
      <c r="Y26" s="452">
        <f t="shared" si="6"/>
        <v>1.1411362408657835E-3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42102</v>
      </c>
      <c r="S27" s="449">
        <f>_xll.qlCalendarAdvance(Calendar,R27,$F$1,"mf",,Trigger)</f>
        <v>42285</v>
      </c>
      <c r="T27" s="450">
        <f>_xll.qlDayCounterYearFraction(DayCounter,R27,S27,,,Trigger)</f>
        <v>0.50136986301369868</v>
      </c>
      <c r="U27" s="423">
        <f>_xll.qlInterpolationInterpolate(B6Minterpolation,R27,TRUE)</f>
        <v>2.2859340445516882E-3</v>
      </c>
      <c r="V27" s="345">
        <f>_xll.qlYieldTSDiscount(Discounting,R27,,AllTriggers)</f>
        <v>0.99955082713590737</v>
      </c>
      <c r="W27" s="345">
        <f>_xll.qlYieldTSDiscount(Discounting,S27,,AllTriggers)</f>
        <v>0.99721635616669391</v>
      </c>
      <c r="X27" s="32">
        <f t="shared" si="5"/>
        <v>4.6691826078368043E-3</v>
      </c>
      <c r="Y27" s="452">
        <f t="shared" si="6"/>
        <v>1.1427684942108224E-3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42103</v>
      </c>
      <c r="S28" s="449">
        <f>_xll.qlCalendarAdvance(Calendar,R28,$F$1,"mf",,Trigger)</f>
        <v>42286</v>
      </c>
      <c r="T28" s="450">
        <f>_xll.qlDayCounterYearFraction(DayCounter,R28,S28,,,Trigger)</f>
        <v>0.50136986301369868</v>
      </c>
      <c r="U28" s="423">
        <f>_xll.qlInterpolationInterpolate(B6Minterpolation,R28,TRUE)</f>
        <v>2.289197754344469E-3</v>
      </c>
      <c r="V28" s="345">
        <f>_xll.qlYieldTSDiscount(Discounting,R28,,AllTriggers)</f>
        <v>0.99953836903681514</v>
      </c>
      <c r="W28" s="345">
        <f>_xll.qlYieldTSDiscount(Discounting,S28,,AllTriggers)</f>
        <v>0.99720299672713053</v>
      </c>
      <c r="X28" s="32">
        <f t="shared" si="5"/>
        <v>4.6710479584761537E-3</v>
      </c>
      <c r="Y28" s="452">
        <f t="shared" si="6"/>
        <v>1.1443980652671958E-3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42104</v>
      </c>
      <c r="S29" s="449">
        <f>_xll.qlCalendarAdvance(Calendar,R29,$F$1,"mf",,Trigger)</f>
        <v>42289</v>
      </c>
      <c r="T29" s="450">
        <f>_xll.qlDayCounterYearFraction(DayCounter,R29,S29,,,Trigger)</f>
        <v>0.50684931506849318</v>
      </c>
      <c r="U29" s="423">
        <f>_xll.qlInterpolationInterpolate(B6Minterpolation,R29,TRUE)</f>
        <v>2.2924507903380629E-3</v>
      </c>
      <c r="V29" s="345">
        <f>_xll.qlYieldTSDiscount(Discounting,R29,,AllTriggers)</f>
        <v>0.99952590535719799</v>
      </c>
      <c r="W29" s="345">
        <f>_xll.qlYieldTSDiscount(Discounting,S29,,AllTriggers)</f>
        <v>0.9971628005529003</v>
      </c>
      <c r="X29" s="32">
        <f t="shared" si="5"/>
        <v>4.675607542315996E-3</v>
      </c>
      <c r="Y29" s="452">
        <f t="shared" si="6"/>
        <v>1.1585087245480246E-3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42107</v>
      </c>
      <c r="S30" s="449">
        <f>_xll.qlCalendarAdvance(Calendar,R30,$F$1,"mf",,Trigger)</f>
        <v>42290</v>
      </c>
      <c r="T30" s="450">
        <f>_xll.qlDayCounterYearFraction(DayCounter,R30,S30,,,Trigger)</f>
        <v>0.50136986301369868</v>
      </c>
      <c r="U30" s="423">
        <f>_xll.qlInterpolationInterpolate(B6Minterpolation,R30,TRUE)</f>
        <v>2.3020924865277859E-3</v>
      </c>
      <c r="V30" s="345">
        <f>_xll.qlYieldTSDiscount(Discounting,R30,,AllTriggers)</f>
        <v>0.99948848496516773</v>
      </c>
      <c r="W30" s="345">
        <f>_xll.qlYieldTSDiscount(Discounting,S30,,AllTriggers)</f>
        <v>0.99714935287068374</v>
      </c>
      <c r="X30" s="32">
        <f t="shared" si="5"/>
        <v>4.6788197103511016E-3</v>
      </c>
      <c r="Y30" s="452">
        <f t="shared" si="6"/>
        <v>1.1508361211297492E-3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42108</v>
      </c>
      <c r="S31" s="449">
        <f>_xll.qlCalendarAdvance(Calendar,R31,$F$1,"mf",,Trigger)</f>
        <v>42291</v>
      </c>
      <c r="T31" s="450">
        <f>_xll.qlDayCounterYearFraction(DayCounter,R31,S31,,,Trigger)</f>
        <v>0.50136986301369868</v>
      </c>
      <c r="U31" s="423">
        <f>_xll.qlInterpolationInterpolate(B6Minterpolation,R31,TRUE)</f>
        <v>2.3052494583286958E-3</v>
      </c>
      <c r="V31" s="345">
        <f>_xll.qlYieldTSDiscount(Discounting,R31,,AllTriggers)</f>
        <v>0.9994760030933193</v>
      </c>
      <c r="W31" s="345">
        <f>_xll.qlYieldTSDiscount(Discounting,S31,,AllTriggers)</f>
        <v>0.99713587587397901</v>
      </c>
      <c r="X31" s="32">
        <f t="shared" si="5"/>
        <v>4.6808734608572511E-3</v>
      </c>
      <c r="Y31" s="452">
        <f t="shared" si="6"/>
        <v>1.1524122266935769E-3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42109</v>
      </c>
      <c r="S32" s="449">
        <f>_xll.qlCalendarAdvance(Calendar,R32,$F$1,"mf",,Trigger)</f>
        <v>42292</v>
      </c>
      <c r="T32" s="450">
        <f>_xll.qlDayCounterYearFraction(DayCounter,R32,S32,,,Trigger)</f>
        <v>0.50136986301369868</v>
      </c>
      <c r="U32" s="423">
        <f>_xll.qlInterpolationInterpolate(B6Minterpolation,R32,TRUE)</f>
        <v>2.3083690718324508E-3</v>
      </c>
      <c r="V32" s="345">
        <f>_xll.qlYieldTSDiscount(Discounting,R32,,AllTriggers)</f>
        <v>0.99946351770577757</v>
      </c>
      <c r="W32" s="345">
        <f>_xll.qlYieldTSDiscount(Discounting,S32,,AllTriggers)</f>
        <v>0.99712236666157361</v>
      </c>
      <c r="X32" s="32">
        <f t="shared" si="5"/>
        <v>4.6829848265634378E-3</v>
      </c>
      <c r="Y32" s="452">
        <f t="shared" si="6"/>
        <v>1.1539696283984634E-3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42110</v>
      </c>
      <c r="S33" s="449">
        <f>_xll.qlCalendarAdvance(Calendar,R33,$F$1,"mf",,Trigger)</f>
        <v>42293</v>
      </c>
      <c r="T33" s="450">
        <f>_xll.qlDayCounterYearFraction(DayCounter,R33,S33,,,Trigger)</f>
        <v>0.50136986301369868</v>
      </c>
      <c r="U33" s="423">
        <f>_xll.qlInterpolationInterpolate(B6Minterpolation,R33,TRUE)</f>
        <v>2.3114459901394575E-3</v>
      </c>
      <c r="V33" s="345">
        <f>_xll.qlYieldTSDiscount(Discounting,R33,,AllTriggers)</f>
        <v>0.99945102921544715</v>
      </c>
      <c r="W33" s="345">
        <f>_xll.qlYieldTSDiscount(Discounting,S33,,AllTriggers)</f>
        <v>0.99710882233241527</v>
      </c>
      <c r="X33" s="32">
        <f t="shared" si="5"/>
        <v>4.6851604526172014E-3</v>
      </c>
      <c r="Y33" s="452">
        <f t="shared" si="6"/>
        <v>1.1555056560114325E-3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42111</v>
      </c>
      <c r="S34" s="449">
        <f>_xll.qlCalendarAdvance(Calendar,R34,$F$1,"mf",,Trigger)</f>
        <v>42296</v>
      </c>
      <c r="T34" s="450">
        <f>_xll.qlDayCounterYearFraction(DayCounter,R34,S34,,,Trigger)</f>
        <v>0.50684931506849318</v>
      </c>
      <c r="U34" s="423">
        <f>_xll.qlInterpolationInterpolate(B6Minterpolation,R34,TRUE)</f>
        <v>2.3144748763501218E-3</v>
      </c>
      <c r="V34" s="345">
        <f>_xll.qlYieldTSDiscount(Discounting,R34,,AllTriggers)</f>
        <v>0.99943853803521232</v>
      </c>
      <c r="W34" s="345">
        <f>_xll.qlYieldTSDiscount(Discounting,S34,,AllTriggers)</f>
        <v>0.99706794963632528</v>
      </c>
      <c r="X34" s="32">
        <f t="shared" si="5"/>
        <v>4.6908606808127385E-3</v>
      </c>
      <c r="Y34" s="452">
        <f t="shared" si="6"/>
        <v>1.1696232539744067E-3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42114</v>
      </c>
      <c r="S35" s="449">
        <f>_xll.qlCalendarAdvance(Calendar,R35,$F$1,"mf",,Trigger)</f>
        <v>42297</v>
      </c>
      <c r="T35" s="450">
        <f>_xll.qlDayCounterYearFraction(DayCounter,R35,S35,,,Trigger)</f>
        <v>0.50136986301369868</v>
      </c>
      <c r="U35" s="423">
        <f>_xll.qlInterpolationInterpolate(B6Minterpolation,R35,TRUE)</f>
        <v>2.3232199734081276E-3</v>
      </c>
      <c r="V35" s="345">
        <f>_xll.qlYieldTSDiscount(Discounting,R35,,AllTriggers)</f>
        <v>0.99940105248361166</v>
      </c>
      <c r="W35" s="345">
        <f>_xll.qlYieldTSDiscount(Discounting,S35,,AllTriggers)</f>
        <v>0.99705423583287367</v>
      </c>
      <c r="X35" s="32">
        <f t="shared" si="5"/>
        <v>4.6946384645387591E-3</v>
      </c>
      <c r="Y35" s="452">
        <f t="shared" si="6"/>
        <v>1.1613826212423641E-3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42115</v>
      </c>
      <c r="S36" s="449">
        <f>_xll.qlCalendarAdvance(Calendar,R36,$F$1,"mf",,Trigger)</f>
        <v>42298</v>
      </c>
      <c r="T36" s="450">
        <f>_xll.qlDayCounterYearFraction(DayCounter,R36,S36,,,Trigger)</f>
        <v>0.50136986301369868</v>
      </c>
      <c r="U36" s="423">
        <f>_xll.qlInterpolationInterpolate(B6Minterpolation,R36,TRUE)</f>
        <v>2.3260033622374888E-3</v>
      </c>
      <c r="V36" s="345">
        <f>_xll.qlYieldTSDiscount(Discounting,R36,,AllTriggers)</f>
        <v>0.9993885546721869</v>
      </c>
      <c r="W36" s="345">
        <f>_xll.qlYieldTSDiscount(Discounting,S36,,AllTriggers)</f>
        <v>0.99704047240984883</v>
      </c>
      <c r="X36" s="32">
        <f t="shared" si="5"/>
        <v>4.6972350708517794E-3</v>
      </c>
      <c r="Y36" s="452">
        <f t="shared" si="6"/>
        <v>1.1627717252815255E-3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42116</v>
      </c>
      <c r="S37" s="449">
        <f>_xll.qlCalendarAdvance(Calendar,R37,$F$1,"mf",,Trigger)</f>
        <v>42299</v>
      </c>
      <c r="T37" s="450">
        <f>_xll.qlDayCounterYearFraction(DayCounter,R37,S37,,,Trigger)</f>
        <v>0.50136986301369868</v>
      </c>
      <c r="U37" s="423">
        <f>_xll.qlInterpolationInterpolate(B6Minterpolation,R37,TRUE)</f>
        <v>2.32871203447254E-3</v>
      </c>
      <c r="V37" s="345">
        <f>_xll.qlYieldTSDiscount(Discounting,R37,,AllTriggers)</f>
        <v>0.9993760562349685</v>
      </c>
      <c r="W37" s="345">
        <f>_xll.qlYieldTSDiscount(Discounting,S37,,AllTriggers)</f>
        <v>0.99702665646718325</v>
      </c>
      <c r="X37" s="32">
        <f t="shared" si="5"/>
        <v>4.6999358092164991E-3</v>
      </c>
      <c r="Y37" s="452">
        <f t="shared" si="6"/>
        <v>1.1641234340799508E-3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42117</v>
      </c>
      <c r="S38" s="449">
        <f>_xll.qlCalendarAdvance(Calendar,R38,$F$1,"mf",,Trigger)</f>
        <v>42300</v>
      </c>
      <c r="T38" s="450">
        <f>_xll.qlDayCounterYearFraction(DayCounter,R38,S38,,,Trigger)</f>
        <v>0.50136986301369868</v>
      </c>
      <c r="U38" s="423">
        <f>_xll.qlInterpolationInterpolate(B6Minterpolation,R38,TRUE)</f>
        <v>2.3313406532136879E-3</v>
      </c>
      <c r="V38" s="345">
        <f>_xll.qlYieldTSDiscount(Discounting,R38,,AllTriggers)</f>
        <v>0.99936355758471673</v>
      </c>
      <c r="W38" s="345">
        <f>_xll.qlYieldTSDiscount(Discounting,S38,,AllTriggers)</f>
        <v>0.9970127851049787</v>
      </c>
      <c r="X38" s="32">
        <f t="shared" si="5"/>
        <v>4.7027473250776299E-3</v>
      </c>
      <c r="Y38" s="452">
        <f t="shared" si="6"/>
        <v>1.1654350775003131E-3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42118</v>
      </c>
      <c r="S39" s="449">
        <f>_xll.qlCalendarAdvance(Calendar,R39,$F$1,"mf",,Trigger)</f>
        <v>42303</v>
      </c>
      <c r="T39" s="450">
        <f>_xll.qlDayCounterYearFraction(DayCounter,R39,S39,,,Trigger)</f>
        <v>0.50684931506849318</v>
      </c>
      <c r="U39" s="423">
        <f>_xll.qlInterpolationInterpolate(B6Minterpolation,R39,TRUE)</f>
        <v>2.3338838815613388E-3</v>
      </c>
      <c r="V39" s="345">
        <f>_xll.qlYieldTSDiscount(Discounting,R39,,AllTriggers)</f>
        <v>0.99935105913417144</v>
      </c>
      <c r="W39" s="345">
        <f>_xll.qlYieldTSDiscount(Discounting,S39,,AllTriggers)</f>
        <v>0.9969708095047124</v>
      </c>
      <c r="X39" s="32">
        <f t="shared" si="5"/>
        <v>4.7104369988371867E-3</v>
      </c>
      <c r="Y39" s="452">
        <f t="shared" si="6"/>
        <v>1.1794141734087563E-3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42121</v>
      </c>
      <c r="S40" s="449">
        <f>_xll.qlCalendarAdvance(Calendar,R40,$F$1,"mf",,Trigger)</f>
        <v>42304</v>
      </c>
      <c r="T40" s="450">
        <f>_xll.qlDayCounterYearFraction(DayCounter,R40,S40,,,Trigger)</f>
        <v>0.50136986301369868</v>
      </c>
      <c r="U40" s="423">
        <f>_xll.qlInterpolationInterpolate(B6Minterpolation,R40,TRUE)</f>
        <v>2.340947855247375E-3</v>
      </c>
      <c r="V40" s="345">
        <f>_xll.qlYieldTSDiscount(Discounting,R40,,AllTriggers)</f>
        <v>0.99931356910785984</v>
      </c>
      <c r="W40" s="345">
        <f>_xll.qlYieldTSDiscount(Discounting,S40,,AllTriggers)</f>
        <v>0.99695668746880095</v>
      </c>
      <c r="X40" s="32">
        <f t="shared" si="5"/>
        <v>4.7152340744243473E-3</v>
      </c>
      <c r="Y40" s="452">
        <f t="shared" si="6"/>
        <v>1.1702275953930519E-3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42122</v>
      </c>
      <c r="S41" s="449">
        <f>_xll.qlCalendarAdvance(Calendar,R41,$F$1,"mf",,Trigger)</f>
        <v>42305</v>
      </c>
      <c r="T41" s="450">
        <f>_xll.qlDayCounterYearFraction(DayCounter,R41,S41,,,Trigger)</f>
        <v>0.50136986301369868</v>
      </c>
      <c r="U41" s="423">
        <f>_xll.qlInterpolationInterpolate(B6Minterpolation,R41,TRUE)</f>
        <v>2.3430961530251028E-3</v>
      </c>
      <c r="V41" s="345">
        <f>_xll.qlYieldTSDiscount(Discounting,R41,,AllTriggers)</f>
        <v>0.9993010755831232</v>
      </c>
      <c r="W41" s="345">
        <f>_xll.qlYieldTSDiscount(Discounting,S41,,AllTriggers)</f>
        <v>0.99694249551644909</v>
      </c>
      <c r="X41" s="32">
        <f t="shared" si="5"/>
        <v>4.718699161526352E-3</v>
      </c>
      <c r="Y41" s="452">
        <f t="shared" si="6"/>
        <v>1.1712988606253196E-3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42123</v>
      </c>
      <c r="S42" s="449">
        <f>_xll.qlCalendarAdvance(Calendar,R42,$F$1,"mf",,Trigger)</f>
        <v>42306</v>
      </c>
      <c r="T42" s="450">
        <f>_xll.qlDayCounterYearFraction(DayCounter,R42,S42,,,Trigger)</f>
        <v>0.50136986301369868</v>
      </c>
      <c r="U42" s="423">
        <f>_xll.qlInterpolationInterpolate(B6Minterpolation,R42,TRUE)</f>
        <v>2.345132375911366E-3</v>
      </c>
      <c r="V42" s="345">
        <f>_xll.qlYieldTSDiscount(Discounting,R42,,AllTriggers)</f>
        <v>0.99928858432148149</v>
      </c>
      <c r="W42" s="345">
        <f>_xll.qlYieldTSDiscount(Discounting,S42,,AllTriggers)</f>
        <v>0.99692823074880743</v>
      </c>
      <c r="X42" s="32">
        <f t="shared" si="5"/>
        <v>4.7223149000981861E-3</v>
      </c>
      <c r="Y42" s="452">
        <f t="shared" si="6"/>
        <v>1.1723140401391425E-3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42124</v>
      </c>
      <c r="S43" s="449">
        <f>_xll.qlCalendarAdvance(Calendar,R43,$F$1,"mf",,Trigger)</f>
        <v>42307</v>
      </c>
      <c r="T43" s="450">
        <f>_xll.qlDayCounterYearFraction(DayCounter,R43,S43,,,Trigger)</f>
        <v>0.50136986301369868</v>
      </c>
      <c r="U43" s="423">
        <f>_xll.qlInterpolationInterpolate(B6Minterpolation,R43,TRUE)</f>
        <v>2.3470511870065714E-3</v>
      </c>
      <c r="V43" s="345">
        <f>_xll.qlYieldTSDiscount(Discounting,R43,,AllTriggers)</f>
        <v>0.99927609573555032</v>
      </c>
      <c r="W43" s="345">
        <f>_xll.qlYieldTSDiscount(Discounting,S43,,AllTriggers)</f>
        <v>0.99691389026720834</v>
      </c>
      <c r="X43" s="32">
        <f t="shared" si="5"/>
        <v>4.7260879360584377E-3</v>
      </c>
      <c r="Y43" s="452">
        <f t="shared" si="6"/>
        <v>1.1732704639765676E-3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42125</v>
      </c>
      <c r="S44" s="449">
        <f>_xll.qlCalendarAdvance(Calendar,R44,$F$1,"mf",,Trigger)</f>
        <v>42310</v>
      </c>
      <c r="T44" s="450">
        <f>_xll.qlDayCounterYearFraction(DayCounter,R44,S44,,,Trigger)</f>
        <v>0.50684931506849318</v>
      </c>
      <c r="U44" s="423">
        <f>_xll.qlInterpolationInterpolate(B6Minterpolation,R44,TRUE)</f>
        <v>2.3488472494111244E-3</v>
      </c>
      <c r="V44" s="345">
        <f>_xll.qlYieldTSDiscount(Discounting,R44,,AllTriggers)</f>
        <v>0.99926361023792498</v>
      </c>
      <c r="W44" s="345">
        <f>_xll.qlYieldTSDiscount(Discounting,S44,,AllTriggers)</f>
        <v>0.99687038555475904</v>
      </c>
      <c r="X44" s="32">
        <f t="shared" si="5"/>
        <v>4.7365913227630143E-3</v>
      </c>
      <c r="Y44" s="452">
        <f t="shared" si="6"/>
        <v>1.1869556474842769E-3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42129</v>
      </c>
      <c r="S45" s="449">
        <f>_xll.qlCalendarAdvance(Calendar,R45,$F$1,"mf",,Trigger)</f>
        <v>42313</v>
      </c>
      <c r="T45" s="450">
        <f>_xll.qlDayCounterYearFraction(DayCounter,R45,S45,,,Trigger)</f>
        <v>0.50410958904109593</v>
      </c>
      <c r="U45" s="423">
        <f>_xll.qlInterpolationInterpolate(B6Minterpolation,R45,TRUE)</f>
        <v>2.3546996135399021E-3</v>
      </c>
      <c r="V45" s="345">
        <f>_xll.qlYieldTSDiscount(Discounting,R45,,AllTriggers)</f>
        <v>0.99921370738166537</v>
      </c>
      <c r="W45" s="345">
        <f>_xll.qlYieldTSDiscount(Discounting,S45,,AllTriggers)</f>
        <v>0.99682610315979614</v>
      </c>
      <c r="X45" s="32">
        <f t="shared" si="5"/>
        <v>4.7513604419272956E-3</v>
      </c>
      <c r="Y45" s="452">
        <f t="shared" si="6"/>
        <v>1.1834896741589639E-3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42130</v>
      </c>
      <c r="S46" s="449">
        <f>_xll.qlCalendarAdvance(Calendar,R46,$F$1,"mf",,Trigger)</f>
        <v>42314</v>
      </c>
      <c r="T46" s="450">
        <f>_xll.qlDayCounterYearFraction(DayCounter,R46,S46,,,Trigger)</f>
        <v>0.50410958904109593</v>
      </c>
      <c r="U46" s="423">
        <f>_xll.qlInterpolationInterpolate(B6Minterpolation,R46,TRUE)</f>
        <v>2.3558182548599647E-3</v>
      </c>
      <c r="V46" s="345">
        <f>_xll.qlYieldTSDiscount(Discounting,R46,,AllTriggers)</f>
        <v>0.99920124334511318</v>
      </c>
      <c r="W46" s="345">
        <f>_xll.qlYieldTSDiscount(Discounting,S46,,AllTriggers)</f>
        <v>0.99681117071655501</v>
      </c>
      <c r="X46" s="32">
        <f t="shared" si="5"/>
        <v>4.7563438502023743E-3</v>
      </c>
      <c r="Y46" s="452">
        <f t="shared" si="6"/>
        <v>1.1840486132584152E-3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42131</v>
      </c>
      <c r="S47" s="449">
        <f>_xll.qlCalendarAdvance(Calendar,R47,$F$1,"mf",,Trigger)</f>
        <v>42317</v>
      </c>
      <c r="T47" s="450">
        <f>_xll.qlDayCounterYearFraction(DayCounter,R47,S47,,,Trigger)</f>
        <v>0.50958904109589043</v>
      </c>
      <c r="U47" s="423">
        <f>_xll.qlInterpolationInterpolate(B6Minterpolation,R47,TRUE)</f>
        <v>2.3568101989992507E-3</v>
      </c>
      <c r="V47" s="345">
        <f>_xll.qlYieldTSDiscount(Discounting,R47,,AllTriggers)</f>
        <v>0.99918878386004173</v>
      </c>
      <c r="W47" s="345">
        <f>_xll.qlYieldTSDiscount(Discounting,S47,,AllTriggers)</f>
        <v>0.99676590168325374</v>
      </c>
      <c r="X47" s="32">
        <f t="shared" si="5"/>
        <v>4.7700072882817263E-3</v>
      </c>
      <c r="Y47" s="452">
        <f t="shared" si="6"/>
        <v>1.1973752541758569E-3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42132</v>
      </c>
      <c r="S48" s="449">
        <f>_xll.qlCalendarAdvance(Calendar,R48,$F$1,"mf",,Trigger)</f>
        <v>42317</v>
      </c>
      <c r="T48" s="450">
        <f>_xll.qlDayCounterYearFraction(DayCounter,R48,S48,,,Trigger)</f>
        <v>0.50684931506849318</v>
      </c>
      <c r="U48" s="423">
        <f>_xll.qlInterpolationInterpolate(B6Minterpolation,R48,TRUE)</f>
        <v>2.3576841455118847E-3</v>
      </c>
      <c r="V48" s="345">
        <f>_xll.qlYieldTSDiscount(Discounting,R48,,AllTriggers)</f>
        <v>0.99917632832698411</v>
      </c>
      <c r="W48" s="345">
        <f>_xll.qlYieldTSDiscount(Discounting,S48,,AllTriggers)</f>
        <v>0.99676590168325374</v>
      </c>
      <c r="X48" s="32">
        <f t="shared" si="5"/>
        <v>4.7711369473846001E-3</v>
      </c>
      <c r="Y48" s="452">
        <f t="shared" si="6"/>
        <v>1.1913977863653245E-3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42135</v>
      </c>
      <c r="S49" s="449">
        <f>_xll.qlCalendarAdvance(Calendar,R49,$F$1,"mf",,Trigger)</f>
        <v>42319</v>
      </c>
      <c r="T49" s="450">
        <f>_xll.qlDayCounterYearFraction(DayCounter,R49,S49,,,Trigger)</f>
        <v>0.50410958904109593</v>
      </c>
      <c r="U49" s="423">
        <f>_xll.qlInterpolationInterpolate(B6Minterpolation,R49,TRUE)</f>
        <v>2.3596849948311236E-3</v>
      </c>
      <c r="V49" s="345">
        <f>_xll.qlYieldTSDiscount(Discounting,R49,,AllTriggers)</f>
        <v>0.99913897944567676</v>
      </c>
      <c r="W49" s="345">
        <f>_xll.qlYieldTSDiscount(Discounting,S49,,AllTriggers)</f>
        <v>0.99673536083817715</v>
      </c>
      <c r="X49" s="32">
        <f t="shared" si="5"/>
        <v>4.7836647203645518E-3</v>
      </c>
      <c r="Y49" s="452">
        <f t="shared" si="6"/>
        <v>1.1859746229772948E-3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42136</v>
      </c>
      <c r="S50" s="449">
        <f>_xll.qlCalendarAdvance(Calendar,R50,$F$1,"mf",,Trigger)</f>
        <v>42320</v>
      </c>
      <c r="T50" s="450">
        <f>_xll.qlDayCounterYearFraction(DayCounter,R50,S50,,,Trigger)</f>
        <v>0.50410958904109593</v>
      </c>
      <c r="U50" s="423">
        <f>_xll.qlInterpolationInterpolate(B6Minterpolation,R50,TRUE)</f>
        <v>2.3601739463783981E-3</v>
      </c>
      <c r="V50" s="345">
        <f>_xll.qlYieldTSDiscount(Discounting,R50,,AllTriggers)</f>
        <v>0.99912653372660609</v>
      </c>
      <c r="W50" s="345">
        <f>_xll.qlYieldTSDiscount(Discounting,S50,,AllTriggers)</f>
        <v>0.99671999144688228</v>
      </c>
      <c r="X50" s="32">
        <f t="shared" si="5"/>
        <v>4.7895572457927168E-3</v>
      </c>
      <c r="Y50" s="452">
        <f t="shared" si="6"/>
        <v>1.1862167106241586E-3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42137</v>
      </c>
      <c r="S51" s="449">
        <f>_xll.qlCalendarAdvance(Calendar,R51,$F$1,"mf",,Trigger)</f>
        <v>42321</v>
      </c>
      <c r="T51" s="450">
        <f>_xll.qlDayCounterYearFraction(DayCounter,R51,S51,,,Trigger)</f>
        <v>0.50410958904109593</v>
      </c>
      <c r="U51" s="423">
        <f>_xll.qlInterpolationInterpolate(B6Minterpolation,R51,TRUE)</f>
        <v>2.3605883980696439E-3</v>
      </c>
      <c r="V51" s="345">
        <f>_xll.qlYieldTSDiscount(Discounting,R51,,AllTriggers)</f>
        <v>0.99911408896266451</v>
      </c>
      <c r="W51" s="345">
        <f>_xll.qlYieldTSDiscount(Discounting,S51,,AllTriggers)</f>
        <v>0.99670456028848842</v>
      </c>
      <c r="X51" s="32">
        <f t="shared" si="5"/>
        <v>4.7955750833205638E-3</v>
      </c>
      <c r="Y51" s="452">
        <f t="shared" si="6"/>
        <v>1.186421300958257E-3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42138</v>
      </c>
      <c r="S52" s="449">
        <f>_xll.qlCalendarAdvance(Calendar,R52,$F$1,"mf",,Trigger)</f>
        <v>42324</v>
      </c>
      <c r="T52" s="450">
        <f>_xll.qlDayCounterYearFraction(DayCounter,R52,S52,,,Trigger)</f>
        <v>0.50958904109589043</v>
      </c>
      <c r="U52" s="423">
        <f>_xll.qlInterpolationInterpolate(B6Minterpolation,R52,TRUE)</f>
        <v>2.3609370494589868E-3</v>
      </c>
      <c r="V52" s="345">
        <f>_xll.qlYieldTSDiscount(Discounting,R52,,AllTriggers)</f>
        <v>0.99910164455456441</v>
      </c>
      <c r="W52" s="345">
        <f>_xll.qlYieldTSDiscount(Discounting,S52,,AllTriggers)</f>
        <v>0.99665792779803364</v>
      </c>
      <c r="X52" s="32">
        <f t="shared" si="5"/>
        <v>4.8115462129850878E-3</v>
      </c>
      <c r="Y52" s="452">
        <f t="shared" si="6"/>
        <v>1.1994453269824185E-3</v>
      </c>
    </row>
    <row r="53" spans="5:25" x14ac:dyDescent="0.2">
      <c r="R53" s="422">
        <f>_xll.qlCalendarAdvance(Calendar,R52,"1D","f")</f>
        <v>42139</v>
      </c>
      <c r="S53" s="449">
        <f>_xll.qlCalendarAdvance(Calendar,R53,$F$1,"mf",,Trigger)</f>
        <v>42324</v>
      </c>
      <c r="T53" s="450">
        <f>_xll.qlDayCounterYearFraction(DayCounter,R53,S53,,,Trigger)</f>
        <v>0.50684931506849318</v>
      </c>
      <c r="U53" s="423">
        <f>_xll.qlInterpolationInterpolate(B6Minterpolation,R53,TRUE)</f>
        <v>2.3612286001005508E-3</v>
      </c>
      <c r="V53" s="345">
        <f>_xll.qlYieldTSDiscount(Discounting,R53,,AllTriggers)</f>
        <v>0.99908919990304856</v>
      </c>
      <c r="W53" s="345">
        <f>_xll.qlYieldTSDiscount(Discounting,S53,,AllTriggers)</f>
        <v>0.99665792779803364</v>
      </c>
      <c r="X53" s="32">
        <f t="shared" si="5"/>
        <v>4.8129192768632647E-3</v>
      </c>
      <c r="Y53" s="452">
        <f t="shared" si="6"/>
        <v>1.1931626292881047E-3</v>
      </c>
    </row>
    <row r="54" spans="5:25" x14ac:dyDescent="0.2">
      <c r="R54" s="422">
        <f>_xll.qlCalendarAdvance(Calendar,R53,"1D","f")</f>
        <v>42142</v>
      </c>
      <c r="S54" s="449">
        <f>_xll.qlCalendarAdvance(Calendar,R54,$F$1,"mf",,Trigger)</f>
        <v>42326</v>
      </c>
      <c r="T54" s="450">
        <f>_xll.qlDayCounterYearFraction(DayCounter,R54,S54,,,Trigger)</f>
        <v>0.50410958904109593</v>
      </c>
      <c r="U54" s="423">
        <f>_xll.qlInterpolationInterpolate(B6Minterpolation,R54,TRUE)</f>
        <v>2.3618476430798179E-3</v>
      </c>
      <c r="V54" s="345">
        <f>_xll.qlYieldTSDiscount(Discounting,R54,,AllTriggers)</f>
        <v>0.99905185849587819</v>
      </c>
      <c r="W54" s="345">
        <f>_xll.qlYieldTSDiscount(Discounting,S54,,AllTriggers)</f>
        <v>0.99662658854238106</v>
      </c>
      <c r="X54" s="32">
        <f t="shared" si="5"/>
        <v>4.827281870069919E-3</v>
      </c>
      <c r="Y54" s="452">
        <f t="shared" si="6"/>
        <v>1.1870349002308575E-3</v>
      </c>
    </row>
    <row r="55" spans="5:25" x14ac:dyDescent="0.2">
      <c r="R55" s="422">
        <f>_xll.qlCalendarAdvance(Calendar,R54,"1D","f")</f>
        <v>42143</v>
      </c>
      <c r="S55" s="449">
        <f>_xll.qlCalendarAdvance(Calendar,R55,$F$1,"mf",,Trigger)</f>
        <v>42327</v>
      </c>
      <c r="T55" s="450">
        <f>_xll.qlDayCounterYearFraction(DayCounter,R55,S55,,,Trigger)</f>
        <v>0.50410958904109593</v>
      </c>
      <c r="U55" s="423">
        <f>_xll.qlInterpolationInterpolate(B6Minterpolation,R55,TRUE)</f>
        <v>2.3619977862715143E-3</v>
      </c>
      <c r="V55" s="345">
        <f>_xll.qlYieldTSDiscount(Discounting,R55,,AllTriggers)</f>
        <v>0.99903940687872084</v>
      </c>
      <c r="W55" s="345">
        <f>_xll.qlYieldTSDiscount(Discounting,S55,,AllTriggers)</f>
        <v>0.99661085311016617</v>
      </c>
      <c r="X55" s="32">
        <f t="shared" si="5"/>
        <v>4.8338943296857293E-3</v>
      </c>
      <c r="Y55" s="452">
        <f t="shared" si="6"/>
        <v>1.1871063703802597E-3</v>
      </c>
    </row>
    <row r="56" spans="5:25" x14ac:dyDescent="0.2">
      <c r="R56" s="422">
        <f>_xll.qlCalendarAdvance(Calendar,R55,"1D","f")</f>
        <v>42144</v>
      </c>
      <c r="S56" s="449">
        <f>_xll.qlCalendarAdvance(Calendar,R56,$F$1,"mf",,Trigger)</f>
        <v>42328</v>
      </c>
      <c r="T56" s="450">
        <f>_xll.qlDayCounterYearFraction(DayCounter,R56,S56,,,Trigger)</f>
        <v>0.50410958904109593</v>
      </c>
      <c r="U56" s="423">
        <f>_xll.qlInterpolationInterpolate(B6Minterpolation,R56,TRUE)</f>
        <v>2.3621343264860557E-3</v>
      </c>
      <c r="V56" s="345">
        <f>_xll.qlYieldTSDiscount(Discounting,R56,,AllTriggers)</f>
        <v>0.99902695202230796</v>
      </c>
      <c r="W56" s="345">
        <f>_xll.qlYieldTSDiscount(Discounting,S56,,AllTriggers)</f>
        <v>0.99659507801867309</v>
      </c>
      <c r="X56" s="32">
        <f t="shared" si="5"/>
        <v>4.8405796838130715E-3</v>
      </c>
      <c r="Y56" s="452">
        <f t="shared" si="6"/>
        <v>1.1871709639736056E-3</v>
      </c>
    </row>
    <row r="57" spans="5:25" x14ac:dyDescent="0.2">
      <c r="R57" s="422">
        <f>_xll.qlCalendarAdvance(Calendar,R56,"1D","f")</f>
        <v>42145</v>
      </c>
      <c r="S57" s="449">
        <f>_xll.qlCalendarAdvance(Calendar,R57,$F$1,"mf",,Trigger)</f>
        <v>42331</v>
      </c>
      <c r="T57" s="450">
        <f>_xll.qlDayCounterYearFraction(DayCounter,R57,S57,,,Trigger)</f>
        <v>0.50958904109589043</v>
      </c>
      <c r="U57" s="423">
        <f>_xll.qlInterpolationInterpolate(B6Minterpolation,R57,TRUE)</f>
        <v>2.3622659632775668E-3</v>
      </c>
      <c r="V57" s="345">
        <f>_xll.qlYieldTSDiscount(Discounting,R57,,AllTriggers)</f>
        <v>0.99901449332756143</v>
      </c>
      <c r="W57" s="345">
        <f>_xll.qlYieldTSDiscount(Discounting,S57,,AllTriggers)</f>
        <v>0.99654754636246579</v>
      </c>
      <c r="X57" s="32">
        <f t="shared" si="5"/>
        <v>4.8578232496556848E-3</v>
      </c>
      <c r="Y57" s="452">
        <f t="shared" si="6"/>
        <v>1.2000918457734169E-3</v>
      </c>
    </row>
    <row r="58" spans="5:25" x14ac:dyDescent="0.2">
      <c r="R58" s="422">
        <f>_xll.qlCalendarAdvance(Calendar,R57,"1D","f")</f>
        <v>42146</v>
      </c>
      <c r="S58" s="449">
        <f>_xll.qlCalendarAdvance(Calendar,R58,$F$1,"mf",,Trigger)</f>
        <v>42331</v>
      </c>
      <c r="T58" s="450">
        <f>_xll.qlDayCounterYearFraction(DayCounter,R58,S58,,,Trigger)</f>
        <v>0.50684931506849318</v>
      </c>
      <c r="U58" s="423">
        <f>_xll.qlInterpolationInterpolate(B6Minterpolation,R58,TRUE)</f>
        <v>2.3624013962001721E-3</v>
      </c>
      <c r="V58" s="345">
        <f>_xll.qlYieldTSDiscount(Discounting,R58,,AllTriggers)</f>
        <v>0.99900203019543288</v>
      </c>
      <c r="W58" s="345">
        <f>_xll.qlYieldTSDiscount(Discounting,S58,,AllTriggers)</f>
        <v>0.99654754636246579</v>
      </c>
      <c r="X58" s="32">
        <f t="shared" si="5"/>
        <v>4.8594071429097652E-3</v>
      </c>
      <c r="Y58" s="452">
        <f t="shared" si="6"/>
        <v>1.1937268645527139E-3</v>
      </c>
    </row>
    <row r="59" spans="5:25" x14ac:dyDescent="0.2">
      <c r="R59" s="422">
        <f>_xll.qlCalendarAdvance(Calendar,R58,"1D","f")</f>
        <v>42150</v>
      </c>
      <c r="S59" s="449">
        <f>_xll.qlCalendarAdvance(Calendar,R59,$F$1,"mf",,Trigger)</f>
        <v>42334</v>
      </c>
      <c r="T59" s="450">
        <f>_xll.qlDayCounterYearFraction(DayCounter,R59,S59,,,Trigger)</f>
        <v>0.50410958904109593</v>
      </c>
      <c r="U59" s="423">
        <f>_xll.qlInterpolationInterpolate(B6Minterpolation,R59,TRUE)</f>
        <v>2.3631550802840325E-3</v>
      </c>
      <c r="V59" s="345">
        <f>_xll.qlYieldTSDiscount(Discounting,R59,,AllTriggers)</f>
        <v>0.99895212131318134</v>
      </c>
      <c r="W59" s="345">
        <f>_xll.qlYieldTSDiscount(Discounting,S59,,AllTriggers)</f>
        <v>0.99649977143065949</v>
      </c>
      <c r="X59" s="32">
        <f t="shared" si="5"/>
        <v>4.8818032266916174E-3</v>
      </c>
      <c r="Y59" s="452">
        <f t="shared" si="6"/>
        <v>1.1876590677249459E-3</v>
      </c>
    </row>
    <row r="60" spans="5:25" x14ac:dyDescent="0.2">
      <c r="R60" s="422">
        <f>_xll.qlCalendarAdvance(Calendar,R59,"1D","f")</f>
        <v>42151</v>
      </c>
      <c r="S60" s="449">
        <f>_xll.qlCalendarAdvance(Calendar,R60,$F$1,"mf",,Trigger)</f>
        <v>42335</v>
      </c>
      <c r="T60" s="450">
        <f>_xll.qlDayCounterYearFraction(DayCounter,R60,S60,,,Trigger)</f>
        <v>0.50410958904109593</v>
      </c>
      <c r="U60" s="423">
        <f>_xll.qlInterpolationInterpolate(B6Minterpolation,R60,TRUE)</f>
        <v>2.3634399871739812E-3</v>
      </c>
      <c r="V60" s="345">
        <f>_xll.qlYieldTSDiscount(Discounting,R60,,AllTriggers)</f>
        <v>0.99893962700946748</v>
      </c>
      <c r="W60" s="345">
        <f>_xll.qlYieldTSDiscount(Discounting,S60,,AllTriggers)</f>
        <v>0.99648380712295459</v>
      </c>
      <c r="X60" s="32">
        <f t="shared" si="5"/>
        <v>4.8887891570090327E-3</v>
      </c>
      <c r="Y60" s="452">
        <f t="shared" si="6"/>
        <v>1.1877979990749772E-3</v>
      </c>
    </row>
    <row r="61" spans="5:25" x14ac:dyDescent="0.2">
      <c r="R61" s="422">
        <f>_xll.qlCalendarAdvance(Calendar,R60,"1D","f")</f>
        <v>42152</v>
      </c>
      <c r="S61" s="449">
        <f>_xll.qlCalendarAdvance(Calendar,R61,$F$1,"mf",,Trigger)</f>
        <v>42338</v>
      </c>
      <c r="T61" s="450">
        <f>_xll.qlDayCounterYearFraction(DayCounter,R61,S61,,,Trigger)</f>
        <v>0.50958904109589043</v>
      </c>
      <c r="U61" s="423">
        <f>_xll.qlInterpolationInterpolate(B6Minterpolation,R61,TRUE)</f>
        <v>2.3637808875197723E-3</v>
      </c>
      <c r="V61" s="345">
        <f>_xll.qlYieldTSDiscount(Discounting,R61,,AllTriggers)</f>
        <v>0.9989271246747119</v>
      </c>
      <c r="W61" s="345">
        <f>_xll.qlYieldTSDiscount(Discounting,S61,,AllTriggers)</f>
        <v>0.99643584039393485</v>
      </c>
      <c r="X61" s="32">
        <f t="shared" si="5"/>
        <v>4.9062973779167469E-3</v>
      </c>
      <c r="Y61" s="452">
        <f t="shared" si="6"/>
        <v>1.2008314325288605E-3</v>
      </c>
    </row>
    <row r="62" spans="5:25" x14ac:dyDescent="0.2">
      <c r="R62" s="422">
        <f>_xll.qlCalendarAdvance(Calendar,R61,"1D","f")</f>
        <v>42153</v>
      </c>
      <c r="S62" s="449">
        <f>_xll.qlCalendarAdvance(Calendar,R62,$F$1,"mf",,Trigger)</f>
        <v>42338</v>
      </c>
      <c r="T62" s="450">
        <f>_xll.qlDayCounterYearFraction(DayCounter,R62,S62,,,Trigger)</f>
        <v>0.50684931506849318</v>
      </c>
      <c r="U62" s="423">
        <f>_xll.qlInterpolationInterpolate(B6Minterpolation,R62,TRUE)</f>
        <v>2.3641864808755307E-3</v>
      </c>
      <c r="V62" s="345">
        <f>_xll.qlYieldTSDiscount(Discounting,R62,,AllTriggers)</f>
        <v>0.99891461371007673</v>
      </c>
      <c r="W62" s="345">
        <f>_xll.qlYieldTSDiscount(Discounting,S62,,AllTriggers)</f>
        <v>0.99643584039393485</v>
      </c>
      <c r="X62" s="32">
        <f t="shared" si="5"/>
        <v>4.9080458175221869E-3</v>
      </c>
      <c r="Y62" s="452">
        <f t="shared" si="6"/>
        <v>1.1945989734525096E-3</v>
      </c>
    </row>
    <row r="63" spans="5:25" x14ac:dyDescent="0.2">
      <c r="R63" s="422">
        <f>_xll.qlCalendarAdvance(Calendar,R62,"1D","f")</f>
        <v>42156</v>
      </c>
      <c r="S63" s="449">
        <f>_xll.qlCalendarAdvance(Calendar,R63,$F$1,"mf",,Trigger)</f>
        <v>42339</v>
      </c>
      <c r="T63" s="450">
        <f>_xll.qlDayCounterYearFraction(DayCounter,R63,S63,,,Trigger)</f>
        <v>0.50136986301369868</v>
      </c>
      <c r="U63" s="423">
        <f>_xll.qlInterpolationInterpolate(B6Minterpolation,R63,TRUE)</f>
        <v>2.365878414543859E-3</v>
      </c>
      <c r="V63" s="345">
        <f>_xll.qlYieldTSDiscount(Discounting,R63,,AllTriggers)</f>
        <v>0.99887702304896819</v>
      </c>
      <c r="W63" s="345">
        <f>_xll.qlYieldTSDiscount(Discounting,S63,,AllTriggers)</f>
        <v>0.99641983740128215</v>
      </c>
      <c r="X63" s="32">
        <f t="shared" si="5"/>
        <v>4.9185532718591558E-3</v>
      </c>
      <c r="Y63" s="452">
        <f t="shared" si="6"/>
        <v>1.1825626920500092E-3</v>
      </c>
    </row>
    <row r="64" spans="5:25" x14ac:dyDescent="0.2">
      <c r="R64" s="422">
        <f>_xll.qlCalendarAdvance(Calendar,R63,"1D","f")</f>
        <v>42157</v>
      </c>
      <c r="S64" s="449">
        <f>_xll.qlCalendarAdvance(Calendar,R64,$F$1,"mf",,Trigger)</f>
        <v>42340</v>
      </c>
      <c r="T64" s="450">
        <f>_xll.qlDayCounterYearFraction(DayCounter,R64,S64,,,Trigger)</f>
        <v>0.50136986301369868</v>
      </c>
      <c r="U64" s="423">
        <f>_xll.qlInterpolationInterpolate(B6Minterpolation,R64,TRUE)</f>
        <v>2.3666297754807351E-3</v>
      </c>
      <c r="V64" s="345">
        <f>_xll.qlYieldTSDiscount(Discounting,R64,,AllTriggers)</f>
        <v>0.99886447157704084</v>
      </c>
      <c r="W64" s="345">
        <f>_xll.qlYieldTSDiscount(Discounting,S64,,AllTriggers)</f>
        <v>0.99640383262612842</v>
      </c>
      <c r="X64" s="32">
        <f t="shared" si="5"/>
        <v>4.9255448711031553E-3</v>
      </c>
      <c r="Y64" s="452">
        <f t="shared" si="6"/>
        <v>1.1829338969155656E-3</v>
      </c>
    </row>
    <row r="65" spans="18:25" x14ac:dyDescent="0.2">
      <c r="R65" s="422">
        <f>_xll.qlCalendarAdvance(Calendar,R64,"1D","f")</f>
        <v>42158</v>
      </c>
      <c r="S65" s="449">
        <f>_xll.qlCalendarAdvance(Calendar,R65,$F$1,"mf",,Trigger)</f>
        <v>42341</v>
      </c>
      <c r="T65" s="450">
        <f>_xll.qlDayCounterYearFraction(DayCounter,R65,S65,,,Trigger)</f>
        <v>0.50136986301369868</v>
      </c>
      <c r="U65" s="423">
        <f>_xll.qlInterpolationInterpolate(B6Minterpolation,R65,TRUE)</f>
        <v>2.3674893271982021E-3</v>
      </c>
      <c r="V65" s="345">
        <f>_xll.qlYieldTSDiscount(Discounting,R65,,AllTriggers)</f>
        <v>0.99885190848149896</v>
      </c>
      <c r="W65" s="345">
        <f>_xll.qlYieldTSDiscount(Discounting,S65,,AllTriggers)</f>
        <v>0.99638782922356262</v>
      </c>
      <c r="X65" s="32">
        <f t="shared" si="5"/>
        <v>4.932510672801798E-3</v>
      </c>
      <c r="Y65" s="452">
        <f t="shared" si="6"/>
        <v>1.183359160095987E-3</v>
      </c>
    </row>
    <row r="66" spans="18:25" x14ac:dyDescent="0.2">
      <c r="R66" s="422">
        <f>_xll.qlCalendarAdvance(Calendar,R65,"1D","f")</f>
        <v>42159</v>
      </c>
      <c r="S66" s="449">
        <f>_xll.qlCalendarAdvance(Calendar,R66,$F$1,"mf",,Trigger)</f>
        <v>42342</v>
      </c>
      <c r="T66" s="450">
        <f>_xll.qlDayCounterYearFraction(DayCounter,R66,S66,,,Trigger)</f>
        <v>0.50136986301369868</v>
      </c>
      <c r="U66" s="423">
        <f>_xll.qlInterpolationInterpolate(B6Minterpolation,R66,TRUE)</f>
        <v>2.3684644850623898E-3</v>
      </c>
      <c r="V66" s="345">
        <f>_xll.qlYieldTSDiscount(Discounting,R66,,AllTriggers)</f>
        <v>0.99883933342680598</v>
      </c>
      <c r="W66" s="345">
        <f>_xll.qlYieldTSDiscount(Discounting,S66,,AllTriggers)</f>
        <v>0.99637182973667515</v>
      </c>
      <c r="X66" s="32">
        <f t="shared" si="5"/>
        <v>4.9394449006453746E-3</v>
      </c>
      <c r="Y66" s="452">
        <f t="shared" si="6"/>
        <v>1.183842188661241E-3</v>
      </c>
    </row>
    <row r="67" spans="18:25" x14ac:dyDescent="0.2">
      <c r="R67" s="422">
        <f>_xll.qlCalendarAdvance(Calendar,R66,"1D","f")</f>
        <v>42160</v>
      </c>
      <c r="S67" s="449">
        <f>_xll.qlCalendarAdvance(Calendar,R67,$F$1,"mf",,Trigger)</f>
        <v>42345</v>
      </c>
      <c r="T67" s="450">
        <f>_xll.qlDayCounterYearFraction(DayCounter,R67,S67,,,Trigger)</f>
        <v>0.50684931506849318</v>
      </c>
      <c r="U67" s="423">
        <f>_xll.qlInterpolationInterpolate(B6Minterpolation,R67,TRUE)</f>
        <v>2.3695575276874467E-3</v>
      </c>
      <c r="V67" s="345">
        <f>_xll.qlYieldTSDiscount(Discounting,R67,,AllTriggers)</f>
        <v>0.9988267471299056</v>
      </c>
      <c r="W67" s="345">
        <f>_xll.qlYieldTSDiscount(Discounting,S67,,AllTriggers)</f>
        <v>0.99632385328080708</v>
      </c>
      <c r="X67" s="32">
        <f t="shared" si="5"/>
        <v>4.9563622332545829E-3</v>
      </c>
      <c r="Y67" s="452">
        <f t="shared" si="6"/>
        <v>1.1972820536326272E-3</v>
      </c>
    </row>
    <row r="68" spans="18:25" x14ac:dyDescent="0.2">
      <c r="R68" s="422">
        <f>_xll.qlCalendarAdvance(Calendar,R67,"1D","f")</f>
        <v>42163</v>
      </c>
      <c r="S68" s="449">
        <f>_xll.qlCalendarAdvance(Calendar,R68,$F$1,"mf",,Trigger)</f>
        <v>42346</v>
      </c>
      <c r="T68" s="450">
        <f>_xll.qlDayCounterYearFraction(DayCounter,R68,S68,,,Trigger)</f>
        <v>0.50136986301369868</v>
      </c>
      <c r="U68" s="423">
        <f>_xll.qlInterpolationInterpolate(B6Minterpolation,R68,TRUE)</f>
        <v>2.3735539083893642E-3</v>
      </c>
      <c r="V68" s="345">
        <f>_xll.qlYieldTSDiscount(Discounting,R68,,AllTriggers)</f>
        <v>0.99878893058592189</v>
      </c>
      <c r="W68" s="345">
        <f>_xll.qlYieldTSDiscount(Discounting,S68,,AllTriggers)</f>
        <v>0.99630786674389127</v>
      </c>
      <c r="X68" s="32">
        <f t="shared" ref="X68:X131" si="10">(V68/W68-1)/T68</f>
        <v>4.9669084460018361E-3</v>
      </c>
      <c r="Y68" s="452">
        <f t="shared" ref="Y68:Y131" si="11">LN((1+(U68+X68)*T68)/(1+X68*T68))</f>
        <v>1.1863682682006662E-3</v>
      </c>
    </row>
    <row r="69" spans="18:25" x14ac:dyDescent="0.2">
      <c r="R69" s="422">
        <f>_xll.qlCalendarAdvance(Calendar,R68,"1D","f")</f>
        <v>42164</v>
      </c>
      <c r="S69" s="449">
        <f>_xll.qlCalendarAdvance(Calendar,R69,$F$1,"mf",,Trigger)</f>
        <v>42347</v>
      </c>
      <c r="T69" s="450">
        <f>_xll.qlDayCounterYearFraction(DayCounter,R69,S69,,,Trigger)</f>
        <v>0.50136986301369868</v>
      </c>
      <c r="U69" s="423">
        <f>_xll.qlInterpolationInterpolate(B6Minterpolation,R69,TRUE)</f>
        <v>2.3751284343194305E-3</v>
      </c>
      <c r="V69" s="345">
        <f>_xll.qlYieldTSDiscount(Discounting,R69,,AllTriggers)</f>
        <v>0.99877630911990745</v>
      </c>
      <c r="W69" s="345">
        <f>_xll.qlYieldTSDiscount(Discounting,S69,,AllTriggers)</f>
        <v>0.99629188215463305</v>
      </c>
      <c r="X69" s="32">
        <f t="shared" si="10"/>
        <v>4.9737209704015682E-3</v>
      </c>
      <c r="Y69" s="452">
        <f t="shared" si="11"/>
        <v>1.187150750750092E-3</v>
      </c>
    </row>
    <row r="70" spans="18:25" x14ac:dyDescent="0.2">
      <c r="R70" s="422">
        <f>_xll.qlCalendarAdvance(Calendar,R69,"1D","f")</f>
        <v>42165</v>
      </c>
      <c r="S70" s="449">
        <f>_xll.qlCalendarAdvance(Calendar,R70,$F$1,"mf",,Trigger)</f>
        <v>42348</v>
      </c>
      <c r="T70" s="450">
        <f>_xll.qlDayCounterYearFraction(DayCounter,R70,S70,,,Trigger)</f>
        <v>0.50136986301369868</v>
      </c>
      <c r="U70" s="423">
        <f>_xll.qlInterpolationInterpolate(B6Minterpolation,R70,TRUE)</f>
        <v>2.3768258171411316E-3</v>
      </c>
      <c r="V70" s="345">
        <f>_xll.qlYieldTSDiscount(Discounting,R70,,AllTriggers)</f>
        <v>0.99876368131129711</v>
      </c>
      <c r="W70" s="345">
        <f>_xll.qlYieldTSDiscount(Discounting,S70,,AllTriggers)</f>
        <v>0.9962758989971644</v>
      </c>
      <c r="X70" s="32">
        <f t="shared" si="10"/>
        <v>4.9805181419975064E-3</v>
      </c>
      <c r="Y70" s="452">
        <f t="shared" si="11"/>
        <v>1.1879946068357142E-3</v>
      </c>
    </row>
    <row r="71" spans="18:25" x14ac:dyDescent="0.2">
      <c r="R71" s="422">
        <f>_xll.qlCalendarAdvance(Calendar,R70,"1D","f")</f>
        <v>42166</v>
      </c>
      <c r="S71" s="449">
        <f>_xll.qlCalendarAdvance(Calendar,R71,$F$1,"mf",,Trigger)</f>
        <v>42349</v>
      </c>
      <c r="T71" s="450">
        <f>_xll.qlDayCounterYearFraction(DayCounter,R71,S71,,,Trigger)</f>
        <v>0.50136986301369868</v>
      </c>
      <c r="U71" s="423">
        <f>_xll.qlInterpolationInterpolate(B6Minterpolation,R71,TRUE)</f>
        <v>2.3786470512806215E-3</v>
      </c>
      <c r="V71" s="345">
        <f>_xll.qlYieldTSDiscount(Discounting,R71,,AllTriggers)</f>
        <v>0.99875104813986526</v>
      </c>
      <c r="W71" s="345">
        <f>_xll.qlYieldTSDiscount(Discounting,S71,,AllTriggers)</f>
        <v>0.9962599167556504</v>
      </c>
      <c r="X71" s="32">
        <f t="shared" si="10"/>
        <v>4.9873029568487702E-3</v>
      </c>
      <c r="Y71" s="452">
        <f t="shared" si="11"/>
        <v>1.1889003306566046E-3</v>
      </c>
    </row>
    <row r="72" spans="18:25" x14ac:dyDescent="0.2">
      <c r="R72" s="422">
        <f>_xll.qlCalendarAdvance(Calendar,R71,"1D","f")</f>
        <v>42167</v>
      </c>
      <c r="S72" s="449">
        <f>_xll.qlCalendarAdvance(Calendar,R72,$F$1,"mf",,Trigger)</f>
        <v>42352</v>
      </c>
      <c r="T72" s="450">
        <f>_xll.qlDayCounterYearFraction(DayCounter,R72,S72,,,Trigger)</f>
        <v>0.50684931506849318</v>
      </c>
      <c r="U72" s="423">
        <f>_xll.qlInterpolationInterpolate(B6Minterpolation,R72,TRUE)</f>
        <v>2.3805931311640534E-3</v>
      </c>
      <c r="V72" s="345">
        <f>_xll.qlYieldTSDiscount(Discounting,R72,,AllTriggers)</f>
        <v>0.99873841058533686</v>
      </c>
      <c r="W72" s="345">
        <f>_xll.qlYieldTSDiscount(Discounting,S72,,AllTriggers)</f>
        <v>0.99621197036898534</v>
      </c>
      <c r="X72" s="32">
        <f t="shared" si="10"/>
        <v>5.0035518674275406E-3</v>
      </c>
      <c r="Y72" s="452">
        <f t="shared" si="11"/>
        <v>1.2028260540923445E-3</v>
      </c>
    </row>
    <row r="73" spans="18:25" x14ac:dyDescent="0.2">
      <c r="R73" s="422">
        <f>_xll.qlCalendarAdvance(Calendar,R72,"1D","f")</f>
        <v>42170</v>
      </c>
      <c r="S73" s="449">
        <f>_xll.qlCalendarAdvance(Calendar,R73,$F$1,"mf",,Trigger)</f>
        <v>42353</v>
      </c>
      <c r="T73" s="450">
        <f>_xll.qlDayCounterYearFraction(DayCounter,R73,S73,,,Trigger)</f>
        <v>0.50136986301369868</v>
      </c>
      <c r="U73" s="423">
        <f>_xll.qlInterpolationInterpolate(B6Minterpolation,R73,TRUE)</f>
        <v>2.3871903895395338E-3</v>
      </c>
      <c r="V73" s="345">
        <f>_xll.qlYieldTSDiscount(Discounting,R73,,AllTriggers)</f>
        <v>0.99870048141967771</v>
      </c>
      <c r="W73" s="345">
        <f>_xll.qlYieldTSDiscount(Discounting,S73,,AllTriggers)</f>
        <v>0.9961959866336042</v>
      </c>
      <c r="X73" s="32">
        <f t="shared" si="10"/>
        <v>5.0143785713982767E-3</v>
      </c>
      <c r="Y73" s="452">
        <f t="shared" si="11"/>
        <v>1.193151786435016E-3</v>
      </c>
    </row>
    <row r="74" spans="18:25" x14ac:dyDescent="0.2">
      <c r="R74" s="422">
        <f>_xll.qlCalendarAdvance(Calendar,R73,"1D","f")</f>
        <v>42171</v>
      </c>
      <c r="S74" s="449">
        <f>_xll.qlCalendarAdvance(Calendar,R74,$F$1,"mf",,Trigger)</f>
        <v>42354</v>
      </c>
      <c r="T74" s="450">
        <f>_xll.qlDayCounterYearFraction(DayCounter,R74,S74,,,Trigger)</f>
        <v>0.50136986301369868</v>
      </c>
      <c r="U74" s="423">
        <f>_xll.qlInterpolationInterpolate(B6Minterpolation,R74,TRUE)</f>
        <v>2.3896457966602661E-3</v>
      </c>
      <c r="V74" s="345">
        <f>_xll.qlYieldTSDiscount(Discounting,R74,,AllTriggers)</f>
        <v>0.99868783612902101</v>
      </c>
      <c r="W74" s="345">
        <f>_xll.qlYieldTSDiscount(Discounting,S74,,AllTriggers)</f>
        <v>0.9961800012355001</v>
      </c>
      <c r="X74" s="32">
        <f t="shared" si="10"/>
        <v>5.0211465448279612E-3</v>
      </c>
      <c r="Y74" s="452">
        <f t="shared" si="11"/>
        <v>1.1943742610656294E-3</v>
      </c>
    </row>
    <row r="75" spans="18:25" x14ac:dyDescent="0.2">
      <c r="R75" s="422">
        <f>_xll.qlCalendarAdvance(Calendar,R74,"1D","f")</f>
        <v>42172</v>
      </c>
      <c r="S75" s="449">
        <f>_xll.qlCalendarAdvance(Calendar,R75,$F$1,"mf",,Trigger)</f>
        <v>42355</v>
      </c>
      <c r="T75" s="450">
        <f>_xll.qlDayCounterYearFraction(DayCounter,R75,S75,,,Trigger)</f>
        <v>0.50136986301369868</v>
      </c>
      <c r="U75" s="423">
        <f>_xll.qlInterpolationInterpolate(B6Minterpolation,R75,TRUE)</f>
        <v>2.3922310216557066E-3</v>
      </c>
      <c r="V75" s="345">
        <f>_xll.qlYieldTSDiscount(Discounting,R75,,AllTriggers)</f>
        <v>0.99867519135314886</v>
      </c>
      <c r="W75" s="345">
        <f>_xll.qlYieldTSDiscount(Discounting,S75,,AllTriggers)</f>
        <v>0.99616401365903695</v>
      </c>
      <c r="X75" s="32">
        <f t="shared" si="10"/>
        <v>5.0279201387180162E-3</v>
      </c>
      <c r="Y75" s="452">
        <f t="shared" si="11"/>
        <v>1.1956615680987948E-3</v>
      </c>
    </row>
    <row r="76" spans="18:25" x14ac:dyDescent="0.2">
      <c r="R76" s="422">
        <f>_xll.qlCalendarAdvance(Calendar,R75,"1D","f")</f>
        <v>42173</v>
      </c>
      <c r="S76" s="449">
        <f>_xll.qlCalendarAdvance(Calendar,R76,$F$1,"mf",,Trigger)</f>
        <v>42356</v>
      </c>
      <c r="T76" s="450">
        <f>_xll.qlDayCounterYearFraction(DayCounter,R76,S76,,,Trigger)</f>
        <v>0.50136986301369868</v>
      </c>
      <c r="U76" s="423">
        <f>_xll.qlInterpolationInterpolate(B6Minterpolation,R76,TRUE)</f>
        <v>2.3949470589520083E-3</v>
      </c>
      <c r="V76" s="345">
        <f>_xll.qlYieldTSDiscount(Discounting,R76,,AllTriggers)</f>
        <v>0.99866254807148869</v>
      </c>
      <c r="W76" s="345">
        <f>_xll.qlYieldTSDiscount(Discounting,S76,,AllTriggers)</f>
        <v>0.99614802338861175</v>
      </c>
      <c r="X76" s="32">
        <f t="shared" si="10"/>
        <v>5.0347023494114428E-3</v>
      </c>
      <c r="Y76" s="452">
        <f t="shared" si="11"/>
        <v>1.1970142015471847E-3</v>
      </c>
    </row>
    <row r="77" spans="18:25" x14ac:dyDescent="0.2">
      <c r="R77" s="422">
        <f>_xll.qlCalendarAdvance(Calendar,R76,"1D","f")</f>
        <v>42174</v>
      </c>
      <c r="S77" s="449">
        <f>_xll.qlCalendarAdvance(Calendar,R77,$F$1,"mf",,Trigger)</f>
        <v>42359</v>
      </c>
      <c r="T77" s="450">
        <f>_xll.qlDayCounterYearFraction(DayCounter,R77,S77,,,Trigger)</f>
        <v>0.50684931506849318</v>
      </c>
      <c r="U77" s="423">
        <f>_xll.qlInterpolationInterpolate(B6Minterpolation,R77,TRUE)</f>
        <v>2.3977949029753251E-3</v>
      </c>
      <c r="V77" s="345">
        <f>_xll.qlYieldTSDiscount(Discounting,R77,,AllTriggers)</f>
        <v>0.9986499072634184</v>
      </c>
      <c r="W77" s="345">
        <f>_xll.qlYieldTSDiscount(Discounting,S77,,AllTriggers)</f>
        <v>0.99610003125802882</v>
      </c>
      <c r="X77" s="32">
        <f t="shared" si="10"/>
        <v>5.0505333653211269E-3</v>
      </c>
      <c r="Y77" s="452">
        <f t="shared" si="11"/>
        <v>1.2114834551451503E-3</v>
      </c>
    </row>
    <row r="78" spans="18:25" x14ac:dyDescent="0.2">
      <c r="R78" s="422">
        <f>_xll.qlCalendarAdvance(Calendar,R77,"1D","f")</f>
        <v>42177</v>
      </c>
      <c r="S78" s="449">
        <f>_xll.qlCalendarAdvance(Calendar,R78,$F$1,"mf",,Trigger)</f>
        <v>42360</v>
      </c>
      <c r="T78" s="450">
        <f>_xll.qlDayCounterYearFraction(DayCounter,R78,S78,,,Trigger)</f>
        <v>0.50136986301369868</v>
      </c>
      <c r="U78" s="423">
        <f>_xll.qlInterpolationInterpolate(B6Minterpolation,R78,TRUE)</f>
        <v>2.4071392196688968E-3</v>
      </c>
      <c r="V78" s="345">
        <f>_xll.qlYieldTSDiscount(Discounting,R78,,AllTriggers)</f>
        <v>0.99861200947378215</v>
      </c>
      <c r="W78" s="345">
        <f>_xll.qlYieldTSDiscount(Discounting,S78,,AllTriggers)</f>
        <v>0.99608402505638682</v>
      </c>
      <c r="X78" s="32">
        <f t="shared" si="10"/>
        <v>5.0619772885183009E-3</v>
      </c>
      <c r="Y78" s="452">
        <f t="shared" si="11"/>
        <v>1.2030878785954189E-3</v>
      </c>
    </row>
    <row r="79" spans="18:25" x14ac:dyDescent="0.2">
      <c r="R79" s="422">
        <f>_xll.qlCalendarAdvance(Calendar,R78,"1D","f")</f>
        <v>42178</v>
      </c>
      <c r="S79" s="449">
        <f>_xll.qlCalendarAdvance(Calendar,R79,$F$1,"mf",,Trigger)</f>
        <v>42361</v>
      </c>
      <c r="T79" s="450">
        <f>_xll.qlDayCounterYearFraction(DayCounter,R79,S79,,,Trigger)</f>
        <v>0.50136986301369868</v>
      </c>
      <c r="U79" s="423">
        <f>_xll.qlInterpolationInterpolate(B6Minterpolation,R79,TRUE)</f>
        <v>2.4105242348618052E-3</v>
      </c>
      <c r="V79" s="345">
        <f>_xll.qlYieldTSDiscount(Discounting,R79,,AllTriggers)</f>
        <v>0.998599388352859</v>
      </c>
      <c r="W79" s="345">
        <f>_xll.qlYieldTSDiscount(Discounting,S79,,AllTriggers)</f>
        <v>0.99606801358326436</v>
      </c>
      <c r="X79" s="32">
        <f t="shared" si="10"/>
        <v>5.0688475298107799E-3</v>
      </c>
      <c r="Y79" s="452">
        <f t="shared" si="11"/>
        <v>1.2047745531440081E-3</v>
      </c>
    </row>
    <row r="80" spans="18:25" x14ac:dyDescent="0.2">
      <c r="R80" s="422">
        <f>_xll.qlCalendarAdvance(Calendar,R79,"1D","f")</f>
        <v>42179</v>
      </c>
      <c r="S80" s="449">
        <f>_xll.qlCalendarAdvance(Calendar,R80,$F$1,"mf",,Trigger)</f>
        <v>42362</v>
      </c>
      <c r="T80" s="450">
        <f>_xll.qlDayCounterYearFraction(DayCounter,R80,S80,,,Trigger)</f>
        <v>0.50136986301369868</v>
      </c>
      <c r="U80" s="423">
        <f>_xll.qlInterpolationInterpolate(B6Minterpolation,R80,TRUE)</f>
        <v>2.4140460289124943E-3</v>
      </c>
      <c r="V80" s="345">
        <f>_xll.qlYieldTSDiscount(Discounting,R80,,AllTriggers)</f>
        <v>0.99858677460167222</v>
      </c>
      <c r="W80" s="345">
        <f>_xll.qlYieldTSDiscount(Discounting,S80,,AllTriggers)</f>
        <v>0.99605199632325769</v>
      </c>
      <c r="X80" s="32">
        <f t="shared" si="10"/>
        <v>5.0757443668282614E-3</v>
      </c>
      <c r="Y80" s="452">
        <f t="shared" si="11"/>
        <v>1.2065295174673322E-3</v>
      </c>
    </row>
    <row r="81" spans="18:25" x14ac:dyDescent="0.2">
      <c r="R81" s="422">
        <f>_xll.qlCalendarAdvance(Calendar,R80,"1D","f")</f>
        <v>42180</v>
      </c>
      <c r="S81" s="449">
        <f>_xll.qlCalendarAdvance(Calendar,R81,$F$1,"mf",,Trigger)</f>
        <v>42367</v>
      </c>
      <c r="T81" s="450">
        <f>_xll.qlDayCounterYearFraction(DayCounter,R81,S81,,,Trigger)</f>
        <v>0.51232876712328768</v>
      </c>
      <c r="U81" s="423">
        <f>_xll.qlInterpolationInterpolate(B6Minterpolation,R81,TRUE)</f>
        <v>2.4177055962471181E-3</v>
      </c>
      <c r="V81" s="345">
        <f>_xll.qlYieldTSDiscount(Discounting,R81,,AllTriggers)</f>
        <v>0.99857416919930264</v>
      </c>
      <c r="W81" s="345">
        <f>_xll.qlYieldTSDiscount(Discounting,S81,,AllTriggers)</f>
        <v>0.99597180518314898</v>
      </c>
      <c r="X81" s="32">
        <f t="shared" si="10"/>
        <v>5.100024458378107E-3</v>
      </c>
      <c r="Y81" s="452">
        <f t="shared" si="11"/>
        <v>1.2346695619488261E-3</v>
      </c>
    </row>
    <row r="82" spans="18:25" x14ac:dyDescent="0.2">
      <c r="R82" s="422">
        <f>_xll.qlCalendarAdvance(Calendar,R81,"1D","f")</f>
        <v>42181</v>
      </c>
      <c r="S82" s="449">
        <f>_xll.qlCalendarAdvance(Calendar,R82,$F$1,"mf",,Trigger)</f>
        <v>42367</v>
      </c>
      <c r="T82" s="450">
        <f>_xll.qlDayCounterYearFraction(DayCounter,R82,S82,,,Trigger)</f>
        <v>0.50958904109589043</v>
      </c>
      <c r="U82" s="423">
        <f>_xll.qlInterpolationInterpolate(B6Minterpolation,R82,TRUE)</f>
        <v>2.4215039312918294E-3</v>
      </c>
      <c r="V82" s="345">
        <f>_xll.qlYieldTSDiscount(Discounting,R82,,AllTriggers)</f>
        <v>0.99856157312478222</v>
      </c>
      <c r="W82" s="345">
        <f>_xll.qlYieldTSDiscount(Discounting,S82,,AllTriggers)</f>
        <v>0.99597180518314898</v>
      </c>
      <c r="X82" s="32">
        <f t="shared" si="10"/>
        <v>5.1026258694458577E-3</v>
      </c>
      <c r="Y82" s="452">
        <f t="shared" si="11"/>
        <v>1.2300147837379176E-3</v>
      </c>
    </row>
    <row r="83" spans="18:25" x14ac:dyDescent="0.2">
      <c r="R83" s="422">
        <f>_xll.qlCalendarAdvance(Calendar,R82,"1D","f")</f>
        <v>42184</v>
      </c>
      <c r="S83" s="449">
        <f>_xll.qlCalendarAdvance(Calendar,R83,$F$1,"mf",,Trigger)</f>
        <v>42367</v>
      </c>
      <c r="T83" s="450">
        <f>_xll.qlDayCounterYearFraction(DayCounter,R83,S83,,,Trigger)</f>
        <v>0.50136986301369868</v>
      </c>
      <c r="U83" s="423">
        <f>_xll.qlInterpolationInterpolate(B6Minterpolation,R83,TRUE)</f>
        <v>2.4337414869480211E-3</v>
      </c>
      <c r="V83" s="345">
        <f>_xll.qlYieldTSDiscount(Discounting,R83,,AllTriggers)</f>
        <v>0.99852385065789606</v>
      </c>
      <c r="W83" s="345">
        <f>_xll.qlYieldTSDiscount(Discounting,S83,,AllTriggers)</f>
        <v>0.99597180518314898</v>
      </c>
      <c r="X83" s="32">
        <f t="shared" si="10"/>
        <v>5.1107323714558823E-3</v>
      </c>
      <c r="Y83" s="452">
        <f t="shared" si="11"/>
        <v>1.2163459658761529E-3</v>
      </c>
    </row>
    <row r="84" spans="18:25" x14ac:dyDescent="0.2">
      <c r="R84" s="422">
        <f>_xll.qlCalendarAdvance(Calendar,R83,"1D","f")</f>
        <v>42185</v>
      </c>
      <c r="S84" s="449">
        <f>_xll.qlCalendarAdvance(Calendar,R84,$F$1,"mf",,Trigger)</f>
        <v>42368</v>
      </c>
      <c r="T84" s="450">
        <f>_xll.qlDayCounterYearFraction(DayCounter,R84,S84,,,Trigger)</f>
        <v>0.50136986301369868</v>
      </c>
      <c r="U84" s="423">
        <f>_xll.qlInterpolationInterpolate(B6Minterpolation,R84,TRUE)</f>
        <v>2.4381048370946154E-3</v>
      </c>
      <c r="V84" s="345">
        <f>_xll.qlYieldTSDiscount(Discounting,R84,,AllTriggers)</f>
        <v>0.99851130168410784</v>
      </c>
      <c r="W84" s="345">
        <f>_xll.qlYieldTSDiscount(Discounting,S84,,AllTriggers)</f>
        <v>0.995955742380217</v>
      </c>
      <c r="X84" s="32">
        <f t="shared" si="10"/>
        <v>5.1178517136319665E-3</v>
      </c>
      <c r="Y84" s="452">
        <f t="shared" si="11"/>
        <v>1.2185210363377895E-3</v>
      </c>
    </row>
    <row r="85" spans="18:25" x14ac:dyDescent="0.2">
      <c r="R85" s="422">
        <f>_xll.qlCalendarAdvance(Calendar,R84,"1D","f")</f>
        <v>42186</v>
      </c>
      <c r="S85" s="449">
        <f>_xll.qlCalendarAdvance(Calendar,R85,$F$1,"mf",,Trigger)</f>
        <v>42373</v>
      </c>
      <c r="T85" s="450">
        <f>_xll.qlDayCounterYearFraction(DayCounter,R85,S85,,,Trigger)</f>
        <v>0.51232876712328768</v>
      </c>
      <c r="U85" s="423">
        <f>_xll.qlInterpolationInterpolate(B6Minterpolation,R85,TRUE)</f>
        <v>2.4426119270820634E-3</v>
      </c>
      <c r="V85" s="345">
        <f>_xll.qlYieldTSDiscount(Discounting,R85,,AllTriggers)</f>
        <v>0.99849876693259199</v>
      </c>
      <c r="W85" s="345">
        <f>_xll.qlYieldTSDiscount(Discounting,S85,,AllTriggers)</f>
        <v>0.99587527715663748</v>
      </c>
      <c r="X85" s="32">
        <f t="shared" si="10"/>
        <v>5.1419243509218992E-3</v>
      </c>
      <c r="Y85" s="452">
        <f t="shared" si="11"/>
        <v>1.2473540629207248E-3</v>
      </c>
    </row>
    <row r="86" spans="18:25" x14ac:dyDescent="0.2">
      <c r="R86" s="422">
        <f>_xll.qlCalendarAdvance(Calendar,R85,"1D","f")</f>
        <v>42187</v>
      </c>
      <c r="S86" s="449">
        <f>_xll.qlCalendarAdvance(Calendar,R86,$F$1,"mf",,Trigger)</f>
        <v>42373</v>
      </c>
      <c r="T86" s="450">
        <f>_xll.qlDayCounterYearFraction(DayCounter,R86,S86,,,Trigger)</f>
        <v>0.50958904109589043</v>
      </c>
      <c r="U86" s="423">
        <f>_xll.qlInterpolationInterpolate(B6Minterpolation,R86,TRUE)</f>
        <v>2.447263751336518E-3</v>
      </c>
      <c r="V86" s="345">
        <f>_xll.qlYieldTSDiscount(Discounting,R86,,AllTriggers)</f>
        <v>0.99848624738208702</v>
      </c>
      <c r="W86" s="345">
        <f>_xll.qlYieldTSDiscount(Discounting,S86,,AllTriggers)</f>
        <v>0.99587527715663748</v>
      </c>
      <c r="X86" s="32">
        <f t="shared" si="10"/>
        <v>5.1448994147291127E-3</v>
      </c>
      <c r="Y86" s="452">
        <f t="shared" si="11"/>
        <v>1.2430647888213831E-3</v>
      </c>
    </row>
    <row r="87" spans="18:25" x14ac:dyDescent="0.2">
      <c r="R87" s="422">
        <f>_xll.qlCalendarAdvance(Calendar,R86,"1D","f")</f>
        <v>42188</v>
      </c>
      <c r="S87" s="449">
        <f>_xll.qlCalendarAdvance(Calendar,R87,$F$1,"mf",,Trigger)</f>
        <v>42373</v>
      </c>
      <c r="T87" s="450">
        <f>_xll.qlDayCounterYearFraction(DayCounter,R87,S87,,,Trigger)</f>
        <v>0.50684931506849318</v>
      </c>
      <c r="U87" s="423">
        <f>_xll.qlInterpolationInterpolate(B6Minterpolation,R87,TRUE)</f>
        <v>2.4520613042841337E-3</v>
      </c>
      <c r="V87" s="345">
        <f>_xll.qlYieldTSDiscount(Discounting,R87,,AllTriggers)</f>
        <v>0.99847374401128286</v>
      </c>
      <c r="W87" s="345">
        <f>_xll.qlYieldTSDiscount(Discounting,S87,,AllTriggers)</f>
        <v>0.99587527715663748</v>
      </c>
      <c r="X87" s="32">
        <f t="shared" si="10"/>
        <v>5.1479386957158663E-3</v>
      </c>
      <c r="Y87" s="452">
        <f t="shared" si="11"/>
        <v>1.238823556118793E-3</v>
      </c>
    </row>
    <row r="88" spans="18:25" x14ac:dyDescent="0.2">
      <c r="R88" s="422">
        <f>_xll.qlCalendarAdvance(Calendar,R87,"1D","f")</f>
        <v>42191</v>
      </c>
      <c r="S88" s="449">
        <f>_xll.qlCalendarAdvance(Calendar,R88,$F$1,"mf",,Trigger)</f>
        <v>42375</v>
      </c>
      <c r="T88" s="450">
        <f>_xll.qlDayCounterYearFraction(DayCounter,R88,S88,,,Trigger)</f>
        <v>0.50410958904109593</v>
      </c>
      <c r="U88" s="423">
        <f>_xll.qlInterpolationInterpolate(B6Minterpolation,R88,TRUE)</f>
        <v>2.4672565363347853E-3</v>
      </c>
      <c r="V88" s="345">
        <f>_xll.qlYieldTSDiscount(Discounting,R88,,AllTriggers)</f>
        <v>0.99843632899145185</v>
      </c>
      <c r="W88" s="345">
        <f>_xll.qlYieldTSDiscount(Discounting,S88,,AllTriggers)</f>
        <v>0.99584300706631068</v>
      </c>
      <c r="X88" s="32">
        <f t="shared" si="10"/>
        <v>5.1658357703838545E-3</v>
      </c>
      <c r="Y88" s="452">
        <f t="shared" si="11"/>
        <v>1.2397683066776657E-3</v>
      </c>
    </row>
    <row r="89" spans="18:25" x14ac:dyDescent="0.2">
      <c r="R89" s="422">
        <f>_xll.qlCalendarAdvance(Calendar,R88,"1D","f")</f>
        <v>42192</v>
      </c>
      <c r="S89" s="449">
        <f>_xll.qlCalendarAdvance(Calendar,R89,$F$1,"mf",,Trigger)</f>
        <v>42376</v>
      </c>
      <c r="T89" s="450">
        <f>_xll.qlDayCounterYearFraction(DayCounter,R89,S89,,,Trigger)</f>
        <v>0.50410958904109593</v>
      </c>
      <c r="U89" s="423">
        <f>_xll.qlInterpolationInterpolate(B6Minterpolation,R89,TRUE)</f>
        <v>2.4725349298399262E-3</v>
      </c>
      <c r="V89" s="345">
        <f>_xll.qlYieldTSDiscount(Discounting,R89,,AllTriggers)</f>
        <v>0.9984238839940095</v>
      </c>
      <c r="W89" s="345">
        <f>_xll.qlYieldTSDiscount(Discounting,S89,,AllTriggers)</f>
        <v>0.99582684561354695</v>
      </c>
      <c r="X89" s="32">
        <f t="shared" si="10"/>
        <v>5.1733228186657005E-3</v>
      </c>
      <c r="Y89" s="452">
        <f t="shared" si="11"/>
        <v>1.242414318167405E-3</v>
      </c>
    </row>
    <row r="90" spans="18:25" x14ac:dyDescent="0.2">
      <c r="R90" s="422">
        <f>_xll.qlCalendarAdvance(Calendar,R89,"1D","f")</f>
        <v>42193</v>
      </c>
      <c r="S90" s="449">
        <f>_xll.qlCalendarAdvance(Calendar,R90,$F$1,"mf",,Trigger)</f>
        <v>42377</v>
      </c>
      <c r="T90" s="450">
        <f>_xll.qlDayCounterYearFraction(DayCounter,R90,S90,,,Trigger)</f>
        <v>0.50410958904109593</v>
      </c>
      <c r="U90" s="423">
        <f>_xll.qlInterpolationInterpolate(B6Minterpolation,R90,TRUE)</f>
        <v>2.4778913635354924E-3</v>
      </c>
      <c r="V90" s="345">
        <f>_xll.qlYieldTSDiscount(Discounting,R90,,AllTriggers)</f>
        <v>0.99841144960583672</v>
      </c>
      <c r="W90" s="345">
        <f>_xll.qlYieldTSDiscount(Discounting,S90,,AllTriggers)</f>
        <v>0.99581066204734847</v>
      </c>
      <c r="X90" s="32">
        <f t="shared" si="10"/>
        <v>5.1808754099839562E-3</v>
      </c>
      <c r="Y90" s="452">
        <f t="shared" si="11"/>
        <v>1.2450994512326243E-3</v>
      </c>
    </row>
    <row r="91" spans="18:25" x14ac:dyDescent="0.2">
      <c r="R91" s="422">
        <f>_xll.qlCalendarAdvance(Calendar,R90,"1D","f")</f>
        <v>42194</v>
      </c>
      <c r="S91" s="449">
        <f>_xll.qlCalendarAdvance(Calendar,R91,$F$1,"mf",,Trigger)</f>
        <v>42380</v>
      </c>
      <c r="T91" s="450">
        <f>_xll.qlDayCounterYearFraction(DayCounter,R91,S91,,,Trigger)</f>
        <v>0.50958904109589043</v>
      </c>
      <c r="U91" s="423">
        <f>_xll.qlInterpolationInterpolate(B6Minterpolation,R91,TRUE)</f>
        <v>2.4833086666892607E-3</v>
      </c>
      <c r="V91" s="345">
        <f>_xll.qlYieldTSDiscount(Discounting,R91,,AllTriggers)</f>
        <v>0.99839902418986803</v>
      </c>
      <c r="W91" s="345">
        <f>_xll.qlYieldTSDiscount(Discounting,S91,,AllTriggers)</f>
        <v>0.9957619448592604</v>
      </c>
      <c r="X91" s="32">
        <f t="shared" si="10"/>
        <v>5.1969386527444495E-3</v>
      </c>
      <c r="Y91" s="452">
        <f t="shared" si="11"/>
        <v>1.2613285849455971E-3</v>
      </c>
    </row>
    <row r="92" spans="18:25" x14ac:dyDescent="0.2">
      <c r="R92" s="422">
        <f>_xll.qlCalendarAdvance(Calendar,R91,"1D","f")</f>
        <v>42195</v>
      </c>
      <c r="S92" s="449">
        <f>_xll.qlCalendarAdvance(Calendar,R92,$F$1,"mf",,Trigger)</f>
        <v>42380</v>
      </c>
      <c r="T92" s="450">
        <f>_xll.qlDayCounterYearFraction(DayCounter,R92,S92,,,Trigger)</f>
        <v>0.50684931506849318</v>
      </c>
      <c r="U92" s="423">
        <f>_xll.qlInterpolationInterpolate(B6Minterpolation,R92,TRUE)</f>
        <v>2.4887696685690101E-3</v>
      </c>
      <c r="V92" s="345">
        <f>_xll.qlYieldTSDiscount(Discounting,R92,,AllTriggers)</f>
        <v>0.99838660610911933</v>
      </c>
      <c r="W92" s="345">
        <f>_xll.qlYieldTSDiscount(Discounting,S92,,AllTriggers)</f>
        <v>0.9957619448592604</v>
      </c>
      <c r="X92" s="32">
        <f t="shared" si="10"/>
        <v>5.2004253987763399E-3</v>
      </c>
      <c r="Y92" s="452">
        <f t="shared" si="11"/>
        <v>1.2573242584520393E-3</v>
      </c>
    </row>
    <row r="93" spans="18:25" x14ac:dyDescent="0.2">
      <c r="R93" s="422">
        <f>_xll.qlCalendarAdvance(Calendar,R92,"1D","f")</f>
        <v>42198</v>
      </c>
      <c r="S93" s="449">
        <f>_xll.qlCalendarAdvance(Calendar,R93,$F$1,"mf",,Trigger)</f>
        <v>42382</v>
      </c>
      <c r="T93" s="450">
        <f>_xll.qlDayCounterYearFraction(DayCounter,R93,S93,,,Trigger)</f>
        <v>0.50410958904109593</v>
      </c>
      <c r="U93" s="423">
        <f>_xll.qlInterpolationInterpolate(B6Minterpolation,R93,TRUE)</f>
        <v>2.5052431592419194E-3</v>
      </c>
      <c r="V93" s="345">
        <f>_xll.qlYieldTSDiscount(Discounting,R93,,AllTriggers)</f>
        <v>0.99834937950957803</v>
      </c>
      <c r="W93" s="345">
        <f>_xll.qlYieldTSDiscount(Discounting,S93,,AllTriggers)</f>
        <v>0.99572929418764211</v>
      </c>
      <c r="X93" s="32">
        <f t="shared" si="10"/>
        <v>5.2197438518561878E-3</v>
      </c>
      <c r="Y93" s="452">
        <f t="shared" si="11"/>
        <v>1.2588100441259277E-3</v>
      </c>
    </row>
    <row r="94" spans="18:25" x14ac:dyDescent="0.2">
      <c r="R94" s="422">
        <f>_xll.qlCalendarAdvance(Calendar,R93,"1D","f")</f>
        <v>42199</v>
      </c>
      <c r="S94" s="449">
        <f>_xll.qlCalendarAdvance(Calendar,R94,$F$1,"mf",,Trigger)</f>
        <v>42383</v>
      </c>
      <c r="T94" s="450">
        <f>_xll.qlDayCounterYearFraction(DayCounter,R94,S94,,,Trigger)</f>
        <v>0.50410958904109593</v>
      </c>
      <c r="U94" s="423">
        <f>_xll.qlInterpolationInterpolate(B6Minterpolation,R94,TRUE)</f>
        <v>2.5107072487033687E-3</v>
      </c>
      <c r="V94" s="345">
        <f>_xll.qlYieldTSDiscount(Discounting,R94,,AllTriggers)</f>
        <v>0.99833697440150126</v>
      </c>
      <c r="W94" s="345">
        <f>_xll.qlYieldTSDiscount(Discounting,S94,,AllTriggers)</f>
        <v>0.99571290694765002</v>
      </c>
      <c r="X94" s="32">
        <f t="shared" si="10"/>
        <v>5.2277631061075037E-3</v>
      </c>
      <c r="Y94" s="452">
        <f t="shared" si="11"/>
        <v>1.2615487718568826E-3</v>
      </c>
    </row>
    <row r="95" spans="18:25" x14ac:dyDescent="0.2">
      <c r="R95" s="422">
        <f>_xll.qlCalendarAdvance(Calendar,R94,"1D","f")</f>
        <v>42200</v>
      </c>
      <c r="S95" s="449">
        <f>_xll.qlCalendarAdvance(Calendar,R95,$F$1,"mf",,Trigger)</f>
        <v>42384</v>
      </c>
      <c r="T95" s="450">
        <f>_xll.qlDayCounterYearFraction(DayCounter,R95,S95,,,Trigger)</f>
        <v>0.50410958904109593</v>
      </c>
      <c r="U95" s="423">
        <f>_xll.qlInterpolationInterpolate(B6Minterpolation,R95,TRUE)</f>
        <v>2.5161291832296881E-3</v>
      </c>
      <c r="V95" s="345">
        <f>_xll.qlYieldTSDiscount(Discounting,R95,,AllTriggers)</f>
        <v>0.99832456844494755</v>
      </c>
      <c r="W95" s="345">
        <f>_xll.qlYieldTSDiscount(Discounting,S95,,AllTriggers)</f>
        <v>0.99569647393192495</v>
      </c>
      <c r="X95" s="32">
        <f t="shared" si="10"/>
        <v>5.2358723722280643E-3</v>
      </c>
      <c r="Y95" s="452">
        <f t="shared" si="11"/>
        <v>1.264266244836389E-3</v>
      </c>
    </row>
    <row r="96" spans="18:25" x14ac:dyDescent="0.2">
      <c r="R96" s="422">
        <f>_xll.qlCalendarAdvance(Calendar,R95,"1D","f")</f>
        <v>42201</v>
      </c>
      <c r="S96" s="449">
        <f>_xll.qlCalendarAdvance(Calendar,R96,$F$1,"mf",,Trigger)</f>
        <v>42387</v>
      </c>
      <c r="T96" s="450">
        <f>_xll.qlDayCounterYearFraction(DayCounter,R96,S96,,,Trigger)</f>
        <v>0.50958904109589043</v>
      </c>
      <c r="U96" s="423">
        <f>_xll.qlInterpolationInterpolate(B6Minterpolation,R96,TRUE)</f>
        <v>2.5214917920886549E-3</v>
      </c>
      <c r="V96" s="345">
        <f>_xll.qlYieldTSDiscount(Discounting,R96,,AllTriggers)</f>
        <v>0.9983121600034216</v>
      </c>
      <c r="W96" s="345">
        <f>_xll.qlYieldTSDiscount(Discounting,S96,,AllTriggers)</f>
        <v>0.99564686643728628</v>
      </c>
      <c r="X96" s="32">
        <f t="shared" si="10"/>
        <v>5.2531480402017135E-3</v>
      </c>
      <c r="Y96" s="452">
        <f t="shared" si="11"/>
        <v>1.2806736803857462E-3</v>
      </c>
    </row>
    <row r="97" spans="18:25" x14ac:dyDescent="0.2">
      <c r="R97" s="422">
        <f>_xll.qlCalendarAdvance(Calendar,R96,"1D","f")</f>
        <v>42202</v>
      </c>
      <c r="S97" s="449">
        <f>_xll.qlCalendarAdvance(Calendar,R97,$F$1,"mf",,Trigger)</f>
        <v>42387</v>
      </c>
      <c r="T97" s="450">
        <f>_xll.qlDayCounterYearFraction(DayCounter,R97,S97,,,Trigger)</f>
        <v>0.50684931506849318</v>
      </c>
      <c r="U97" s="423">
        <f>_xll.qlInterpolationInterpolate(B6Minterpolation,R97,TRUE)</f>
        <v>2.5267779045480472E-3</v>
      </c>
      <c r="V97" s="345">
        <f>_xll.qlYieldTSDiscount(Discounting,R97,,AllTriggers)</f>
        <v>0.99829974744050953</v>
      </c>
      <c r="W97" s="345">
        <f>_xll.qlYieldTSDiscount(Discounting,S97,,AllTriggers)</f>
        <v>0.99564686643728628</v>
      </c>
      <c r="X97" s="32">
        <f t="shared" si="10"/>
        <v>5.2569467110380307E-3</v>
      </c>
      <c r="Y97" s="452">
        <f t="shared" si="11"/>
        <v>1.2764772866960959E-3</v>
      </c>
    </row>
    <row r="98" spans="18:25" x14ac:dyDescent="0.2">
      <c r="R98" s="422">
        <f>_xll.qlCalendarAdvance(Calendar,R97,"1D","f")</f>
        <v>42205</v>
      </c>
      <c r="S98" s="449">
        <f>_xll.qlCalendarAdvance(Calendar,R98,$F$1,"mf",,Trigger)</f>
        <v>42389</v>
      </c>
      <c r="T98" s="450">
        <f>_xll.qlDayCounterYearFraction(DayCounter,R98,S98,,,Trigger)</f>
        <v>0.50410958904109593</v>
      </c>
      <c r="U98" s="423">
        <f>_xll.qlInterpolationInterpolate(B6Minterpolation,R98,TRUE)</f>
        <v>2.5420055562065534E-3</v>
      </c>
      <c r="V98" s="345">
        <f>_xll.qlYieldTSDiscount(Discounting,R98,,AllTriggers)</f>
        <v>0.99826246866053936</v>
      </c>
      <c r="W98" s="345">
        <f>_xll.qlYieldTSDiscount(Discounting,S98,,AllTriggers)</f>
        <v>0.99561350394564774</v>
      </c>
      <c r="X98" s="32">
        <f t="shared" si="10"/>
        <v>5.277891236777933E-3</v>
      </c>
      <c r="Y98" s="452">
        <f t="shared" si="11"/>
        <v>1.2772329443854562E-3</v>
      </c>
    </row>
    <row r="99" spans="18:25" x14ac:dyDescent="0.2">
      <c r="R99" s="422">
        <f>_xll.qlCalendarAdvance(Calendar,R98,"1D","f")</f>
        <v>42206</v>
      </c>
      <c r="S99" s="449">
        <f>_xll.qlCalendarAdvance(Calendar,R99,$F$1,"mf",,Trigger)</f>
        <v>42390</v>
      </c>
      <c r="T99" s="450">
        <f>_xll.qlDayCounterYearFraction(DayCounter,R99,S99,,,Trigger)</f>
        <v>0.50410958904109593</v>
      </c>
      <c r="U99" s="423">
        <f>_xll.qlInterpolationInterpolate(B6Minterpolation,R99,TRUE)</f>
        <v>2.5468139757454252E-3</v>
      </c>
      <c r="V99" s="345">
        <f>_xll.qlYieldTSDiscount(Discounting,R99,,AllTriggers)</f>
        <v>0.99825002324957357</v>
      </c>
      <c r="W99" s="345">
        <f>_xll.qlYieldTSDiscount(Discounting,S99,,AllTriggers)</f>
        <v>0.99559672531580357</v>
      </c>
      <c r="X99" s="32">
        <f t="shared" si="10"/>
        <v>5.2866139886831786E-3</v>
      </c>
      <c r="Y99" s="452">
        <f t="shared" si="11"/>
        <v>1.279641785542259E-3</v>
      </c>
    </row>
    <row r="100" spans="18:25" x14ac:dyDescent="0.2">
      <c r="R100" s="422">
        <f>_xll.qlCalendarAdvance(Calendar,R99,"1D","f")</f>
        <v>42207</v>
      </c>
      <c r="S100" s="449">
        <f>_xll.qlCalendarAdvance(Calendar,R100,$F$1,"mf",,Trigger)</f>
        <v>42391</v>
      </c>
      <c r="T100" s="450">
        <f>_xll.qlDayCounterYearFraction(DayCounter,R100,S100,,,Trigger)</f>
        <v>0.50410958904109593</v>
      </c>
      <c r="U100" s="423">
        <f>_xll.qlInterpolationInterpolate(B6Minterpolation,R100,TRUE)</f>
        <v>2.5514600452236111E-3</v>
      </c>
      <c r="V100" s="345">
        <f>_xll.qlYieldTSDiscount(Discounting,R100,,AllTriggers)</f>
        <v>0.99823756553637577</v>
      </c>
      <c r="W100" s="345">
        <f>_xll.qlYieldTSDiscount(Discounting,S100,,AllTriggers)</f>
        <v>0.99557987725918462</v>
      </c>
      <c r="X100" s="32">
        <f t="shared" si="10"/>
        <v>5.2954512246785913E-3</v>
      </c>
      <c r="Y100" s="452">
        <f t="shared" si="11"/>
        <v>1.2819690062713218E-3</v>
      </c>
    </row>
    <row r="101" spans="18:25" x14ac:dyDescent="0.2">
      <c r="R101" s="422">
        <f>_xll.qlCalendarAdvance(Calendar,R100,"1D","f")</f>
        <v>42208</v>
      </c>
      <c r="S101" s="449">
        <f>_xll.qlCalendarAdvance(Calendar,R101,$F$1,"mf",,Trigger)</f>
        <v>42394</v>
      </c>
      <c r="T101" s="450">
        <f>_xll.qlDayCounterYearFraction(DayCounter,R101,S101,,,Trigger)</f>
        <v>0.50958904109589043</v>
      </c>
      <c r="U101" s="423">
        <f>_xll.qlInterpolationInterpolate(B6Minterpolation,R101,TRUE)</f>
        <v>2.5559265939088895E-3</v>
      </c>
      <c r="V101" s="345">
        <f>_xll.qlYieldTSDiscount(Discounting,R101,,AllTriggers)</f>
        <v>0.99822509388502223</v>
      </c>
      <c r="W101" s="345">
        <f>_xll.qlYieldTSDiscount(Discounting,S101,,AllTriggers)</f>
        <v>0.99552888275225015</v>
      </c>
      <c r="X101" s="32">
        <f t="shared" si="10"/>
        <v>5.3147146665082391E-3</v>
      </c>
      <c r="Y101" s="452">
        <f t="shared" si="11"/>
        <v>1.2981112868647158E-3</v>
      </c>
    </row>
    <row r="102" spans="18:25" x14ac:dyDescent="0.2">
      <c r="R102" s="422">
        <f>_xll.qlCalendarAdvance(Calendar,R101,"1D","f")</f>
        <v>42209</v>
      </c>
      <c r="S102" s="449">
        <f>_xll.qlCalendarAdvance(Calendar,R102,$F$1,"mf",,Trigger)</f>
        <v>42394</v>
      </c>
      <c r="T102" s="450">
        <f>_xll.qlDayCounterYearFraction(DayCounter,R102,S102,,,Trigger)</f>
        <v>0.50684931506849318</v>
      </c>
      <c r="U102" s="423">
        <f>_xll.qlInterpolationInterpolate(B6Minterpolation,R102,TRUE)</f>
        <v>2.5601964510690378E-3</v>
      </c>
      <c r="V102" s="345">
        <f>_xll.qlYieldTSDiscount(Discounting,R102,,AllTriggers)</f>
        <v>0.99821260665967171</v>
      </c>
      <c r="W102" s="345">
        <f>_xll.qlYieldTSDiscount(Discounting,S102,,AllTriggers)</f>
        <v>0.99552888275225015</v>
      </c>
      <c r="X102" s="32">
        <f t="shared" si="10"/>
        <v>5.318695246315383E-3</v>
      </c>
      <c r="Y102" s="452">
        <f t="shared" si="11"/>
        <v>1.2933084070630486E-3</v>
      </c>
    </row>
    <row r="103" spans="18:25" x14ac:dyDescent="0.2">
      <c r="R103" s="422">
        <f>_xll.qlCalendarAdvance(Calendar,R102,"1D","f")</f>
        <v>42212</v>
      </c>
      <c r="S103" s="449">
        <f>_xll.qlCalendarAdvance(Calendar,R103,$F$1,"mf",,Trigger)</f>
        <v>42396</v>
      </c>
      <c r="T103" s="450">
        <f>_xll.qlDayCounterYearFraction(DayCounter,R103,S103,,,Trigger)</f>
        <v>0.50410958904109593</v>
      </c>
      <c r="U103" s="423">
        <f>_xll.qlInterpolationInterpolate(B6Minterpolation,R103,TRUE)</f>
        <v>2.5716541660764812E-3</v>
      </c>
      <c r="V103" s="345">
        <f>_xll.qlYieldTSDiscount(Discounting,R103,,AllTriggers)</f>
        <v>0.9981750351824662</v>
      </c>
      <c r="W103" s="345">
        <f>_xll.qlYieldTSDiscount(Discounting,S103,,AllTriggers)</f>
        <v>0.99549447736130725</v>
      </c>
      <c r="X103" s="32">
        <f t="shared" si="10"/>
        <v>5.3414770409659553E-3</v>
      </c>
      <c r="Y103" s="452">
        <f t="shared" si="11"/>
        <v>1.2920790144702132E-3</v>
      </c>
    </row>
    <row r="104" spans="18:25" x14ac:dyDescent="0.2">
      <c r="R104" s="422">
        <f>_xll.qlCalendarAdvance(Calendar,R103,"1D","f")</f>
        <v>42213</v>
      </c>
      <c r="S104" s="449">
        <f>_xll.qlCalendarAdvance(Calendar,R104,$F$1,"mf",,Trigger)</f>
        <v>42397</v>
      </c>
      <c r="T104" s="450">
        <f>_xll.qlDayCounterYearFraction(DayCounter,R104,S104,,,Trigger)</f>
        <v>0.50410958904109593</v>
      </c>
      <c r="U104" s="423">
        <f>_xll.qlInterpolationInterpolate(B6Minterpolation,R104,TRUE)</f>
        <v>2.5749655498138878E-3</v>
      </c>
      <c r="V104" s="345">
        <f>_xll.qlYieldTSDiscount(Discounting,R104,,AllTriggers)</f>
        <v>0.99816246930437091</v>
      </c>
      <c r="W104" s="345">
        <f>_xll.qlYieldTSDiscount(Discounting,S104,,AllTriggers)</f>
        <v>0.99547714181963731</v>
      </c>
      <c r="X104" s="32">
        <f t="shared" si="10"/>
        <v>5.3510746076924787E-3</v>
      </c>
      <c r="Y104" s="452">
        <f t="shared" si="11"/>
        <v>1.2937354423216225E-3</v>
      </c>
    </row>
    <row r="105" spans="18:25" x14ac:dyDescent="0.2">
      <c r="R105" s="422">
        <f>_xll.qlCalendarAdvance(Calendar,R104,"1D","f")</f>
        <v>42214</v>
      </c>
      <c r="S105" s="449">
        <f>_xll.qlCalendarAdvance(Calendar,R105,$F$1,"mf",,Trigger)</f>
        <v>42398</v>
      </c>
      <c r="T105" s="450">
        <f>_xll.qlDayCounterYearFraction(DayCounter,R105,S105,,,Trigger)</f>
        <v>0.50410958904109593</v>
      </c>
      <c r="U105" s="423">
        <f>_xll.qlInterpolationInterpolate(B6Minterpolation,R105,TRUE)</f>
        <v>2.5779943883650538E-3</v>
      </c>
      <c r="V105" s="345">
        <f>_xll.qlYieldTSDiscount(Discounting,R105,,AllTriggers)</f>
        <v>0.99814987967431679</v>
      </c>
      <c r="W105" s="345">
        <f>_xll.qlYieldTSDiscount(Discounting,S105,,AllTriggers)</f>
        <v>0.99545971321207782</v>
      </c>
      <c r="X105" s="32">
        <f t="shared" si="10"/>
        <v>5.3608111347352751E-3</v>
      </c>
      <c r="Y105" s="452">
        <f t="shared" si="11"/>
        <v>1.2952498950271772E-3</v>
      </c>
    </row>
    <row r="106" spans="18:25" x14ac:dyDescent="0.2">
      <c r="R106" s="422">
        <f>_xll.qlCalendarAdvance(Calendar,R105,"1D","f")</f>
        <v>42215</v>
      </c>
      <c r="S106" s="449">
        <f>_xll.qlCalendarAdvance(Calendar,R106,$F$1,"mf",,Trigger)</f>
        <v>42398</v>
      </c>
      <c r="T106" s="450">
        <f>_xll.qlDayCounterYearFraction(DayCounter,R106,S106,,,Trigger)</f>
        <v>0.50136986301369868</v>
      </c>
      <c r="U106" s="423">
        <f>_xll.qlInterpolationInterpolate(B6Minterpolation,R106,TRUE)</f>
        <v>2.5807235109977567E-3</v>
      </c>
      <c r="V106" s="345">
        <f>_xll.qlYieldTSDiscount(Discounting,R106,,AllTriggers)</f>
        <v>0.99813726465696229</v>
      </c>
      <c r="W106" s="345">
        <f>_xll.qlYieldTSDiscount(Discounting,S106,,AllTriggers)</f>
        <v>0.99545971321207782</v>
      </c>
      <c r="X106" s="32">
        <f t="shared" si="10"/>
        <v>5.3648293248112072E-3</v>
      </c>
      <c r="Y106" s="452">
        <f t="shared" si="11"/>
        <v>1.2895941678587326E-3</v>
      </c>
    </row>
    <row r="107" spans="18:25" x14ac:dyDescent="0.2">
      <c r="R107" s="422">
        <f>_xll.qlCalendarAdvance(Calendar,R106,"1D","f")</f>
        <v>42216</v>
      </c>
      <c r="S107" s="449">
        <f>_xll.qlCalendarAdvance(Calendar,R107,$F$1,"mf",,Trigger)</f>
        <v>42398</v>
      </c>
      <c r="T107" s="450">
        <f>_xll.qlDayCounterYearFraction(DayCounter,R107,S107,,,Trigger)</f>
        <v>0.49863013698630138</v>
      </c>
      <c r="U107" s="423">
        <f>_xll.qlInterpolationInterpolate(B6Minterpolation,R107,TRUE)</f>
        <v>2.5831357469797743E-3</v>
      </c>
      <c r="V107" s="345">
        <f>_xll.qlYieldTSDiscount(Discounting,R107,,AllTriggers)</f>
        <v>0.99812462261705093</v>
      </c>
      <c r="W107" s="345">
        <f>_xll.qlYieldTSDiscount(Discounting,S107,,AllTriggers)</f>
        <v>0.99545971321207782</v>
      </c>
      <c r="X107" s="32">
        <f t="shared" si="10"/>
        <v>5.3688372300562748E-3</v>
      </c>
      <c r="Y107" s="452">
        <f t="shared" si="11"/>
        <v>1.2837660202685548E-3</v>
      </c>
    </row>
    <row r="108" spans="18:25" x14ac:dyDescent="0.2">
      <c r="R108" s="422">
        <f>_xll.qlCalendarAdvance(Calendar,R107,"1D","f")</f>
        <v>42219</v>
      </c>
      <c r="S108" s="449">
        <f>_xll.qlCalendarAdvance(Calendar,R108,$F$1,"mf",,Trigger)</f>
        <v>42403</v>
      </c>
      <c r="T108" s="450">
        <f>_xll.qlDayCounterYearFraction(DayCounter,R108,S108,,,Trigger)</f>
        <v>0.50410958904109593</v>
      </c>
      <c r="U108" s="423">
        <f>_xll.qlInterpolationInterpolate(B6Minterpolation,R108,TRUE)</f>
        <v>2.5882994276994944E-3</v>
      </c>
      <c r="V108" s="345">
        <f>_xll.qlYieldTSDiscount(Discounting,R108,,AllTriggers)</f>
        <v>0.99808651801068549</v>
      </c>
      <c r="W108" s="345">
        <f>_xll.qlYieldTSDiscount(Discounting,S108,,AllTriggers)</f>
        <v>0.99537105603561071</v>
      </c>
      <c r="X108" s="32">
        <f t="shared" si="10"/>
        <v>5.4117005723005058E-3</v>
      </c>
      <c r="Y108" s="452">
        <f t="shared" si="11"/>
        <v>1.3003907951428203E-3</v>
      </c>
    </row>
    <row r="109" spans="18:25" x14ac:dyDescent="0.2">
      <c r="R109" s="422">
        <f>_xll.qlCalendarAdvance(Calendar,R108,"1D","f")</f>
        <v>42220</v>
      </c>
      <c r="S109" s="449">
        <f>_xll.qlCalendarAdvance(Calendar,R109,$F$1,"mf",,Trigger)</f>
        <v>42404</v>
      </c>
      <c r="T109" s="450">
        <f>_xll.qlDayCounterYearFraction(DayCounter,R109,S109,,,Trigger)</f>
        <v>0.50410958904109593</v>
      </c>
      <c r="U109" s="423">
        <f>_xll.qlInterpolationInterpolate(B6Minterpolation,R109,TRUE)</f>
        <v>2.5892090206045392E-3</v>
      </c>
      <c r="V109" s="345">
        <f>_xll.qlYieldTSDiscount(Discounting,R109,,AllTriggers)</f>
        <v>0.99807375199076132</v>
      </c>
      <c r="W109" s="345">
        <f>_xll.qlYieldTSDiscount(Discounting,S109,,AllTriggers)</f>
        <v>0.99535299920093778</v>
      </c>
      <c r="X109" s="32">
        <f t="shared" si="10"/>
        <v>5.422343112589891E-3</v>
      </c>
      <c r="Y109" s="452">
        <f t="shared" si="11"/>
        <v>1.3008405322531527E-3</v>
      </c>
    </row>
    <row r="110" spans="18:25" x14ac:dyDescent="0.2">
      <c r="R110" s="422">
        <f>_xll.qlCalendarAdvance(Calendar,R109,"1D","f")</f>
        <v>42221</v>
      </c>
      <c r="S110" s="449">
        <f>_xll.qlCalendarAdvance(Calendar,R110,$F$1,"mf",,Trigger)</f>
        <v>42405</v>
      </c>
      <c r="T110" s="450">
        <f>_xll.qlDayCounterYearFraction(DayCounter,R110,S110,,,Trigger)</f>
        <v>0.50410958904109593</v>
      </c>
      <c r="U110" s="423">
        <f>_xll.qlInterpolationInterpolate(B6Minterpolation,R110,TRUE)</f>
        <v>2.5896205061502961E-3</v>
      </c>
      <c r="V110" s="345">
        <f>_xll.qlYieldTSDiscount(Discounting,R110,,AllTriggers)</f>
        <v>0.99806095353968527</v>
      </c>
      <c r="W110" s="345">
        <f>_xll.qlYieldTSDiscount(Discounting,S110,,AllTriggers)</f>
        <v>0.99533483200173489</v>
      </c>
      <c r="X110" s="32">
        <f t="shared" si="10"/>
        <v>5.4331419621416873E-3</v>
      </c>
      <c r="Y110" s="452">
        <f t="shared" si="11"/>
        <v>1.3010400729414422E-3</v>
      </c>
    </row>
    <row r="111" spans="18:25" x14ac:dyDescent="0.2">
      <c r="R111" s="422">
        <f>_xll.qlCalendarAdvance(Calendar,R110,"1D","f")</f>
        <v>42222</v>
      </c>
      <c r="S111" s="449">
        <f>_xll.qlCalendarAdvance(Calendar,R111,$F$1,"mf",,Trigger)</f>
        <v>42408</v>
      </c>
      <c r="T111" s="450">
        <f>_xll.qlDayCounterYearFraction(DayCounter,R111,S111,,,Trigger)</f>
        <v>0.50958904109589043</v>
      </c>
      <c r="U111" s="423">
        <f>_xll.qlInterpolationInterpolate(B6Minterpolation,R111,TRUE)</f>
        <v>2.5895638304893366E-3</v>
      </c>
      <c r="V111" s="345">
        <f>_xll.qlYieldTSDiscount(Discounting,R111,,AllTriggers)</f>
        <v>0.99804812378899166</v>
      </c>
      <c r="W111" s="345">
        <f>_xll.qlYieldTSDiscount(Discounting,S111,,AllTriggers)</f>
        <v>0.99527969774719749</v>
      </c>
      <c r="X111" s="32">
        <f t="shared" si="10"/>
        <v>5.4584294435456775E-3</v>
      </c>
      <c r="Y111" s="452">
        <f t="shared" si="11"/>
        <v>1.3150878454237401E-3</v>
      </c>
    </row>
    <row r="112" spans="18:25" x14ac:dyDescent="0.2">
      <c r="R112" s="422">
        <f>_xll.qlCalendarAdvance(Calendar,R111,"1D","f")</f>
        <v>42223</v>
      </c>
      <c r="S112" s="449">
        <f>_xll.qlCalendarAdvance(Calendar,R112,$F$1,"mf",,Trigger)</f>
        <v>42408</v>
      </c>
      <c r="T112" s="450">
        <f>_xll.qlDayCounterYearFraction(DayCounter,R112,S112,,,Trigger)</f>
        <v>0.50684931506849318</v>
      </c>
      <c r="U112" s="423">
        <f>_xll.qlInterpolationInterpolate(B6Minterpolation,R112,TRUE)</f>
        <v>2.5890689397742319E-3</v>
      </c>
      <c r="V112" s="345">
        <f>_xll.qlYieldTSDiscount(Discounting,R112,,AllTriggers)</f>
        <v>0.99803526387015973</v>
      </c>
      <c r="W112" s="345">
        <f>_xll.qlYieldTSDiscount(Discounting,S112,,AllTriggers)</f>
        <v>0.99527969774719749</v>
      </c>
      <c r="X112" s="32">
        <f t="shared" si="10"/>
        <v>5.4624418624737627E-3</v>
      </c>
      <c r="Y112" s="452">
        <f t="shared" si="11"/>
        <v>1.3077891303771988E-3</v>
      </c>
    </row>
    <row r="113" spans="18:25" x14ac:dyDescent="0.2">
      <c r="R113" s="422">
        <f>_xll.qlCalendarAdvance(Calendar,R112,"1D","f")</f>
        <v>42226</v>
      </c>
      <c r="S113" s="449">
        <f>_xll.qlCalendarAdvance(Calendar,R113,$F$1,"mf",,Trigger)</f>
        <v>42410</v>
      </c>
      <c r="T113" s="450">
        <f>_xll.qlDayCounterYearFraction(DayCounter,R113,S113,,,Trigger)</f>
        <v>0.50410958904109593</v>
      </c>
      <c r="U113" s="423">
        <f>_xll.qlInterpolationInterpolate(B6Minterpolation,R113,TRUE)</f>
        <v>2.585254438829762E-3</v>
      </c>
      <c r="V113" s="345">
        <f>_xll.qlYieldTSDiscount(Discounting,R113,,AllTriggers)</f>
        <v>0.99799651441879234</v>
      </c>
      <c r="W113" s="345">
        <f>_xll.qlYieldTSDiscount(Discounting,S113,,AllTriggers)</f>
        <v>0.99524244389042749</v>
      </c>
      <c r="X113" s="32">
        <f t="shared" si="10"/>
        <v>5.4893536408492623E-3</v>
      </c>
      <c r="Y113" s="452">
        <f t="shared" si="11"/>
        <v>1.2988112799406553E-3</v>
      </c>
    </row>
    <row r="114" spans="18:25" x14ac:dyDescent="0.2">
      <c r="R114" s="422">
        <f>_xll.qlCalendarAdvance(Calendar,R113,"1D","f")</f>
        <v>42227</v>
      </c>
      <c r="S114" s="449">
        <f>_xll.qlCalendarAdvance(Calendar,R114,$F$1,"mf",,Trigger)</f>
        <v>42411</v>
      </c>
      <c r="T114" s="450">
        <f>_xll.qlDayCounterYearFraction(DayCounter,R114,S114,,,Trigger)</f>
        <v>0.50410958904109593</v>
      </c>
      <c r="U114" s="423">
        <f>_xll.qlInterpolationInterpolate(B6Minterpolation,R114,TRUE)</f>
        <v>2.5833061494237911E-3</v>
      </c>
      <c r="V114" s="345">
        <f>_xll.qlYieldTSDiscount(Discounting,R114,,AllTriggers)</f>
        <v>0.99798354514108523</v>
      </c>
      <c r="W114" s="345">
        <f>_xll.qlYieldTSDiscount(Discounting,S114,,AllTriggers)</f>
        <v>0.99522367651303545</v>
      </c>
      <c r="X114" s="32">
        <f t="shared" si="10"/>
        <v>5.5010140205018383E-3</v>
      </c>
      <c r="Y114" s="452">
        <f t="shared" si="11"/>
        <v>1.2978255069449232E-3</v>
      </c>
    </row>
    <row r="115" spans="18:25" x14ac:dyDescent="0.2">
      <c r="R115" s="422">
        <f>_xll.qlCalendarAdvance(Calendar,R114,"1D","f")</f>
        <v>42228</v>
      </c>
      <c r="S115" s="449">
        <f>_xll.qlCalendarAdvance(Calendar,R115,$F$1,"mf",,Trigger)</f>
        <v>42412</v>
      </c>
      <c r="T115" s="450">
        <f>_xll.qlDayCounterYearFraction(DayCounter,R115,S115,,,Trigger)</f>
        <v>0.50410958904109593</v>
      </c>
      <c r="U115" s="423">
        <f>_xll.qlInterpolationInterpolate(B6Minterpolation,R115,TRUE)</f>
        <v>2.581069375726532E-3</v>
      </c>
      <c r="V115" s="345">
        <f>_xll.qlYieldTSDiscount(Discounting,R115,,AllTriggers)</f>
        <v>0.99797055135179757</v>
      </c>
      <c r="W115" s="345">
        <f>_xll.qlYieldTSDiscount(Discounting,S115,,AllTriggers)</f>
        <v>0.99520481943901662</v>
      </c>
      <c r="X115" s="32">
        <f t="shared" si="10"/>
        <v>5.5128052671155293E-3</v>
      </c>
      <c r="Y115" s="452">
        <f t="shared" si="11"/>
        <v>1.296694822548307E-3</v>
      </c>
    </row>
    <row r="116" spans="18:25" x14ac:dyDescent="0.2">
      <c r="R116" s="422">
        <f>_xll.qlCalendarAdvance(Calendar,R115,"1D","f")</f>
        <v>42229</v>
      </c>
      <c r="S116" s="449">
        <f>_xll.qlCalendarAdvance(Calendar,R116,$F$1,"mf",,Trigger)</f>
        <v>42415</v>
      </c>
      <c r="T116" s="450">
        <f>_xll.qlDayCounterYearFraction(DayCounter,R116,S116,,,Trigger)</f>
        <v>0.50958904109589043</v>
      </c>
      <c r="U116" s="423">
        <f>_xll.qlInterpolationInterpolate(B6Minterpolation,R116,TRUE)</f>
        <v>2.5785740638905562E-3</v>
      </c>
      <c r="V116" s="345">
        <f>_xll.qlYieldTSDiscount(Discounting,R116,,AllTriggers)</f>
        <v>0.99795753418207112</v>
      </c>
      <c r="W116" s="345">
        <f>_xll.qlYieldTSDiscount(Discounting,S116,,AllTriggers)</f>
        <v>0.99514773955405011</v>
      </c>
      <c r="X116" s="32">
        <f t="shared" si="10"/>
        <v>5.5407293588326263E-3</v>
      </c>
      <c r="Y116" s="452">
        <f t="shared" si="11"/>
        <v>1.3094557098051304E-3</v>
      </c>
    </row>
    <row r="117" spans="18:25" x14ac:dyDescent="0.2">
      <c r="R117" s="422">
        <f>_xll.qlCalendarAdvance(Calendar,R116,"1D","f")</f>
        <v>42230</v>
      </c>
      <c r="S117" s="449">
        <f>_xll.qlCalendarAdvance(Calendar,R117,$F$1,"mf",,Trigger)</f>
        <v>42415</v>
      </c>
      <c r="T117" s="450">
        <f>_xll.qlDayCounterYearFraction(DayCounter,R117,S117,,,Trigger)</f>
        <v>0.50684931506849318</v>
      </c>
      <c r="U117" s="423">
        <f>_xll.qlInterpolationInterpolate(B6Minterpolation,R117,TRUE)</f>
        <v>2.5758501600684353E-3</v>
      </c>
      <c r="V117" s="345">
        <f>_xll.qlYieldTSDiscount(Discounting,R117,,AllTriggers)</f>
        <v>0.9979444947629903</v>
      </c>
      <c r="W117" s="345">
        <f>_xll.qlYieldTSDiscount(Discounting,S117,,AllTriggers)</f>
        <v>0.99514773955405011</v>
      </c>
      <c r="X117" s="32">
        <f t="shared" si="10"/>
        <v>5.5448273858646072E-3</v>
      </c>
      <c r="Y117" s="452">
        <f t="shared" si="11"/>
        <v>1.3010622660241296E-3</v>
      </c>
    </row>
    <row r="118" spans="18:25" x14ac:dyDescent="0.2">
      <c r="R118" s="422">
        <f>_xll.qlCalendarAdvance(Calendar,R117,"1D","f")</f>
        <v>42233</v>
      </c>
      <c r="S118" s="449">
        <f>_xll.qlCalendarAdvance(Calendar,R118,$F$1,"mf",,Trigger)</f>
        <v>42417</v>
      </c>
      <c r="T118" s="450">
        <f>_xll.qlDayCounterYearFraction(DayCounter,R118,S118,,,Trigger)</f>
        <v>0.50410958904109593</v>
      </c>
      <c r="U118" s="423">
        <f>_xll.qlInterpolationInterpolate(B6Minterpolation,R118,TRUE)</f>
        <v>2.566606358210914E-3</v>
      </c>
      <c r="V118" s="345">
        <f>_xll.qlYieldTSDiscount(Discounting,R118,,AllTriggers)</f>
        <v>0.99790525431960198</v>
      </c>
      <c r="W118" s="345">
        <f>_xll.qlYieldTSDiscount(Discounting,S118,,AllTriggers)</f>
        <v>0.99510929192493391</v>
      </c>
      <c r="X118" s="32">
        <f t="shared" si="10"/>
        <v>5.5735972831849846E-3</v>
      </c>
      <c r="Y118" s="452">
        <f t="shared" si="11"/>
        <v>1.2893940983380555E-3</v>
      </c>
    </row>
    <row r="119" spans="18:25" x14ac:dyDescent="0.2">
      <c r="R119" s="422">
        <f>_xll.qlCalendarAdvance(Calendar,R118,"1D","f")</f>
        <v>42234</v>
      </c>
      <c r="S119" s="449">
        <f>_xll.qlCalendarAdvance(Calendar,R119,$F$1,"mf",,Trigger)</f>
        <v>42418</v>
      </c>
      <c r="T119" s="450">
        <f>_xll.qlDayCounterYearFraction(DayCounter,R119,S119,,,Trigger)</f>
        <v>0.50410958904109593</v>
      </c>
      <c r="U119" s="423">
        <f>_xll.qlInterpolationInterpolate(B6Minterpolation,R119,TRUE)</f>
        <v>2.5632675479699252E-3</v>
      </c>
      <c r="V119" s="345">
        <f>_xll.qlYieldTSDiscount(Discounting,R119,,AllTriggers)</f>
        <v>0.99789213721279424</v>
      </c>
      <c r="W119" s="345">
        <f>_xll.qlYieldTSDiscount(Discounting,S119,,AllTriggers)</f>
        <v>0.99508995865153094</v>
      </c>
      <c r="X119" s="32">
        <f t="shared" si="10"/>
        <v>5.5860973977927986E-3</v>
      </c>
      <c r="Y119" s="452">
        <f t="shared" si="11"/>
        <v>1.287709762781878E-3</v>
      </c>
    </row>
    <row r="120" spans="18:25" x14ac:dyDescent="0.2">
      <c r="R120" s="422">
        <f>_xll.qlCalendarAdvance(Calendar,R119,"1D","f")</f>
        <v>42235</v>
      </c>
      <c r="S120" s="449">
        <f>_xll.qlCalendarAdvance(Calendar,R120,$F$1,"mf",,Trigger)</f>
        <v>42419</v>
      </c>
      <c r="T120" s="450">
        <f>_xll.qlDayCounterYearFraction(DayCounter,R120,S120,,,Trigger)</f>
        <v>0.50410958904109593</v>
      </c>
      <c r="U120" s="423">
        <f>_xll.qlInterpolationInterpolate(B6Minterpolation,R120,TRUE)</f>
        <v>2.5598498765056483E-3</v>
      </c>
      <c r="V120" s="345">
        <f>_xll.qlYieldTSDiscount(Discounting,R120,,AllTriggers)</f>
        <v>0.99787900351118686</v>
      </c>
      <c r="W120" s="345">
        <f>_xll.qlYieldTSDiscount(Discounting,S120,,AllTriggers)</f>
        <v>0.99507055633969266</v>
      </c>
      <c r="X120" s="32">
        <f t="shared" si="10"/>
        <v>5.5987029341379177E-3</v>
      </c>
      <c r="Y120" s="452">
        <f t="shared" si="11"/>
        <v>1.2859857855831254E-3</v>
      </c>
    </row>
    <row r="121" spans="18:25" x14ac:dyDescent="0.2">
      <c r="R121" s="422">
        <f>_xll.qlCalendarAdvance(Calendar,R120,"1D","f")</f>
        <v>42236</v>
      </c>
      <c r="S121" s="449">
        <f>_xll.qlCalendarAdvance(Calendar,R121,$F$1,"mf",,Trigger)</f>
        <v>42422</v>
      </c>
      <c r="T121" s="450">
        <f>_xll.qlDayCounterYearFraction(DayCounter,R121,S121,,,Trigger)</f>
        <v>0.50958904109589043</v>
      </c>
      <c r="U121" s="423">
        <f>_xll.qlInterpolationInterpolate(B6Minterpolation,R121,TRUE)</f>
        <v>2.5563832899706544E-3</v>
      </c>
      <c r="V121" s="345">
        <f>_xll.qlYieldTSDiscount(Discounting,R121,,AllTriggers)</f>
        <v>0.99786585434551567</v>
      </c>
      <c r="W121" s="345">
        <f>_xll.qlYieldTSDiscount(Discounting,S121,,AllTriggers)</f>
        <v>0.99501196467575714</v>
      </c>
      <c r="X121" s="32">
        <f t="shared" si="10"/>
        <v>5.6284497959828922E-3</v>
      </c>
      <c r="Y121" s="452">
        <f t="shared" si="11"/>
        <v>1.298136238521936E-3</v>
      </c>
    </row>
    <row r="122" spans="18:25" x14ac:dyDescent="0.2">
      <c r="R122" s="422">
        <f>_xll.qlCalendarAdvance(Calendar,R121,"1D","f")</f>
        <v>42237</v>
      </c>
      <c r="S122" s="449">
        <f>_xll.qlCalendarAdvance(Calendar,R122,$F$1,"mf",,Trigger)</f>
        <v>42422</v>
      </c>
      <c r="T122" s="450">
        <f>_xll.qlDayCounterYearFraction(DayCounter,R122,S122,,,Trigger)</f>
        <v>0.50684931506849318</v>
      </c>
      <c r="U122" s="423">
        <f>_xll.qlInterpolationInterpolate(B6Minterpolation,R122,TRUE)</f>
        <v>2.5528977345175147E-3</v>
      </c>
      <c r="V122" s="345">
        <f>_xll.qlYieldTSDiscount(Discounting,R122,,AllTriggers)</f>
        <v>0.99785269084645778</v>
      </c>
      <c r="W122" s="345">
        <f>_xll.qlYieldTSDiscount(Discounting,S122,,AllTriggers)</f>
        <v>0.99501196467575714</v>
      </c>
      <c r="X122" s="32">
        <f t="shared" si="10"/>
        <v>5.6327724262446753E-3</v>
      </c>
      <c r="Y122" s="452">
        <f t="shared" si="11"/>
        <v>1.2894191864620825E-3</v>
      </c>
    </row>
    <row r="123" spans="18:25" x14ac:dyDescent="0.2">
      <c r="R123" s="422">
        <f>_xll.qlCalendarAdvance(Calendar,R122,"1D","f")</f>
        <v>42240</v>
      </c>
      <c r="S123" s="449">
        <f>_xll.qlCalendarAdvance(Calendar,R123,$F$1,"mf",,Trigger)</f>
        <v>42424</v>
      </c>
      <c r="T123" s="450">
        <f>_xll.qlDayCounterYearFraction(DayCounter,R123,S123,,,Trigger)</f>
        <v>0.50410958904109593</v>
      </c>
      <c r="U123" s="423">
        <f>_xll.qlInterpolationInterpolate(B6Minterpolation,R123,TRUE)</f>
        <v>2.5426267161749363E-3</v>
      </c>
      <c r="V123" s="345">
        <f>_xll.qlYieldTSDiscount(Discounting,R123,,AllTriggers)</f>
        <v>0.99781312565484848</v>
      </c>
      <c r="W123" s="345">
        <f>_xll.qlYieldTSDiscount(Discounting,S123,,AllTriggers)</f>
        <v>0.99497261245780966</v>
      </c>
      <c r="X123" s="32">
        <f t="shared" si="10"/>
        <v>5.6631847031339728E-3</v>
      </c>
      <c r="Y123" s="452">
        <f t="shared" si="11"/>
        <v>1.2772975741191137E-3</v>
      </c>
    </row>
    <row r="124" spans="18:25" x14ac:dyDescent="0.2">
      <c r="R124" s="422">
        <f>_xll.qlCalendarAdvance(Calendar,R123,"1D","f")</f>
        <v>42241</v>
      </c>
      <c r="S124" s="449">
        <f>_xll.qlCalendarAdvance(Calendar,R124,$F$1,"mf",,Trigger)</f>
        <v>42425</v>
      </c>
      <c r="T124" s="450">
        <f>_xll.qlDayCounterYearFraction(DayCounter,R124,S124,,,Trigger)</f>
        <v>0.50410958904109593</v>
      </c>
      <c r="U124" s="423">
        <f>_xll.qlInterpolationInterpolate(B6Minterpolation,R124,TRUE)</f>
        <v>2.5393647465749279E-3</v>
      </c>
      <c r="V124" s="345">
        <f>_xll.qlYieldTSDiscount(Discounting,R124,,AllTriggers)</f>
        <v>0.99779991612783225</v>
      </c>
      <c r="W124" s="345">
        <f>_xll.qlYieldTSDiscount(Discounting,S124,,AllTriggers)</f>
        <v>0.99495285786458254</v>
      </c>
      <c r="X124" s="32">
        <f t="shared" si="10"/>
        <v>5.6763464255137419E-3</v>
      </c>
      <c r="Y124" s="452">
        <f t="shared" si="11"/>
        <v>1.2756515224228969E-3</v>
      </c>
    </row>
    <row r="125" spans="18:25" x14ac:dyDescent="0.2">
      <c r="R125" s="422">
        <f>_xll.qlCalendarAdvance(Calendar,R124,"1D","f")</f>
        <v>42242</v>
      </c>
      <c r="S125" s="449">
        <f>_xll.qlCalendarAdvance(Calendar,R125,$F$1,"mf",,Trigger)</f>
        <v>42426</v>
      </c>
      <c r="T125" s="450">
        <f>_xll.qlDayCounterYearFraction(DayCounter,R125,S125,,,Trigger)</f>
        <v>0.50410958904109593</v>
      </c>
      <c r="U125" s="423">
        <f>_xll.qlInterpolationInterpolate(B6Minterpolation,R125,TRUE)</f>
        <v>2.536233538819631E-3</v>
      </c>
      <c r="V125" s="345">
        <f>_xll.qlYieldTSDiscount(Discounting,R125,,AllTriggers)</f>
        <v>0.99778669791992702</v>
      </c>
      <c r="W125" s="345">
        <f>_xll.qlYieldTSDiscount(Discounting,S125,,AllTriggers)</f>
        <v>0.99493305488059336</v>
      </c>
      <c r="X125" s="32">
        <f t="shared" si="10"/>
        <v>5.6895881207423074E-3</v>
      </c>
      <c r="Y125" s="452">
        <f t="shared" si="11"/>
        <v>1.274071084701584E-3</v>
      </c>
    </row>
    <row r="126" spans="18:25" x14ac:dyDescent="0.2">
      <c r="R126" s="422">
        <f>_xll.qlCalendarAdvance(Calendar,R125,"1D","f")</f>
        <v>42243</v>
      </c>
      <c r="S126" s="449">
        <f>_xll.qlCalendarAdvance(Calendar,R126,$F$1,"mf",,Trigger)</f>
        <v>42429</v>
      </c>
      <c r="T126" s="450">
        <f>_xll.qlDayCounterYearFraction(DayCounter,R126,S126,,,Trigger)</f>
        <v>0.50958904109589043</v>
      </c>
      <c r="U126" s="423">
        <f>_xll.qlInterpolationInterpolate(B6Minterpolation,R126,TRUE)</f>
        <v>2.5332630390616168E-3</v>
      </c>
      <c r="V126" s="345">
        <f>_xll.qlYieldTSDiscount(Discounting,R126,,AllTriggers)</f>
        <v>0.99777347216145373</v>
      </c>
      <c r="W126" s="345">
        <f>_xll.qlYieldTSDiscount(Discounting,S126,,AllTriggers)</f>
        <v>0.99487338507062528</v>
      </c>
      <c r="X126" s="32">
        <f t="shared" si="10"/>
        <v>5.7203571876586643E-3</v>
      </c>
      <c r="Y126" s="452">
        <f t="shared" si="11"/>
        <v>1.2863432449651954E-3</v>
      </c>
    </row>
    <row r="127" spans="18:25" x14ac:dyDescent="0.2">
      <c r="R127" s="422">
        <f>_xll.qlCalendarAdvance(Calendar,R126,"1D","f")</f>
        <v>42244</v>
      </c>
      <c r="S127" s="449">
        <f>_xll.qlCalendarAdvance(Calendar,R127,$F$1,"mf",,Trigger)</f>
        <v>42429</v>
      </c>
      <c r="T127" s="450">
        <f>_xll.qlDayCounterYearFraction(DayCounter,R127,S127,,,Trigger)</f>
        <v>0.50684931506849318</v>
      </c>
      <c r="U127" s="423">
        <f>_xll.qlInterpolationInterpolate(B6Minterpolation,R127,TRUE)</f>
        <v>2.5304831934534569E-3</v>
      </c>
      <c r="V127" s="345">
        <f>_xll.qlYieldTSDiscount(Discounting,R127,,AllTriggers)</f>
        <v>0.99776023998267394</v>
      </c>
      <c r="W127" s="345">
        <f>_xll.qlYieldTSDiscount(Discounting,S127,,AllTriggers)</f>
        <v>0.99487338507062528</v>
      </c>
      <c r="X127" s="32">
        <f t="shared" si="10"/>
        <v>5.725036777380196E-3</v>
      </c>
      <c r="Y127" s="452">
        <f t="shared" si="11"/>
        <v>1.2780457092689791E-3</v>
      </c>
    </row>
    <row r="128" spans="18:25" x14ac:dyDescent="0.2">
      <c r="R128" s="422">
        <f>_xll.qlCalendarAdvance(Calendar,R127,"1D","f")</f>
        <v>42248</v>
      </c>
      <c r="S128" s="449">
        <f>_xll.qlCalendarAdvance(Calendar,R128,$F$1,"mf",,Trigger)</f>
        <v>42430</v>
      </c>
      <c r="T128" s="450">
        <f>_xll.qlDayCounterYearFraction(DayCounter,R128,S128,,,Trigger)</f>
        <v>0.49863013698630138</v>
      </c>
      <c r="U128" s="423">
        <f>_xll.qlInterpolationInterpolate(B6Minterpolation,R128,TRUE)</f>
        <v>2.5218692755707849E-3</v>
      </c>
      <c r="V128" s="345">
        <f>_xll.qlYieldTSDiscount(Discounting,R128,,AllTriggers)</f>
        <v>0.99770726966762191</v>
      </c>
      <c r="W128" s="345">
        <f>_xll.qlYieldTSDiscount(Discounting,S128,,AllTriggers)</f>
        <v>0.99485341800901161</v>
      </c>
      <c r="X128" s="32">
        <f t="shared" si="10"/>
        <v>5.7529920662015305E-3</v>
      </c>
      <c r="Y128" s="452">
        <f t="shared" si="11"/>
        <v>1.253097659230104E-3</v>
      </c>
    </row>
    <row r="129" spans="18:25" x14ac:dyDescent="0.2">
      <c r="R129" s="422">
        <f>_xll.qlCalendarAdvance(Calendar,R128,"1D","f")</f>
        <v>42249</v>
      </c>
      <c r="S129" s="449">
        <f>_xll.qlCalendarAdvance(Calendar,R129,$F$1,"mf",,Trigger)</f>
        <v>42431</v>
      </c>
      <c r="T129" s="450">
        <f>_xll.qlDayCounterYearFraction(DayCounter,R129,S129,,,Trigger)</f>
        <v>0.49863013698630138</v>
      </c>
      <c r="U129" s="423">
        <f>_xll.qlInterpolationInterpolate(B6Minterpolation,R129,TRUE)</f>
        <v>2.5204918930004658E-3</v>
      </c>
      <c r="V129" s="345">
        <f>_xll.qlYieldTSDiscount(Discounting,R129,,AllTriggers)</f>
        <v>0.99769402233913462</v>
      </c>
      <c r="W129" s="345">
        <f>_xll.qlYieldTSDiscount(Discounting,S129,,AllTriggers)</f>
        <v>0.9948334172981953</v>
      </c>
      <c r="X129" s="32">
        <f t="shared" si="10"/>
        <v>5.7667219378037295E-3</v>
      </c>
      <c r="Y129" s="452">
        <f t="shared" si="11"/>
        <v>1.2524051324641057E-3</v>
      </c>
    </row>
    <row r="130" spans="18:25" x14ac:dyDescent="0.2">
      <c r="R130" s="422">
        <f>_xll.qlCalendarAdvance(Calendar,R129,"1D","f")</f>
        <v>42250</v>
      </c>
      <c r="S130" s="449">
        <f>_xll.qlCalendarAdvance(Calendar,R130,$F$1,"mf",,Trigger)</f>
        <v>42432</v>
      </c>
      <c r="T130" s="450">
        <f>_xll.qlDayCounterYearFraction(DayCounter,R130,S130,,,Trigger)</f>
        <v>0.49863013698630138</v>
      </c>
      <c r="U130" s="423">
        <f>_xll.qlInterpolationInterpolate(B6Minterpolation,R130,TRUE)</f>
        <v>2.5194848414954295E-3</v>
      </c>
      <c r="V130" s="345">
        <f>_xll.qlYieldTSDiscount(Discounting,R130,,AllTriggers)</f>
        <v>0.99768077537065136</v>
      </c>
      <c r="W130" s="345">
        <f>_xll.qlYieldTSDiscount(Discounting,S130,,AllTriggers)</f>
        <v>0.99481338588579293</v>
      </c>
      <c r="X130" s="32">
        <f t="shared" si="10"/>
        <v>5.7805151585045705E-3</v>
      </c>
      <c r="Y130" s="452">
        <f t="shared" si="11"/>
        <v>1.2518964724373505E-3</v>
      </c>
    </row>
    <row r="131" spans="18:25" x14ac:dyDescent="0.2">
      <c r="R131" s="422">
        <f>_xll.qlCalendarAdvance(Calendar,R130,"1D","f")</f>
        <v>42251</v>
      </c>
      <c r="S131" s="449">
        <f>_xll.qlCalendarAdvance(Calendar,R131,$F$1,"mf",,Trigger)</f>
        <v>42433</v>
      </c>
      <c r="T131" s="450">
        <f>_xll.qlDayCounterYearFraction(DayCounter,R131,S131,,,Trigger)</f>
        <v>0.49863013698630138</v>
      </c>
      <c r="U131" s="423">
        <f>_xll.qlInterpolationInterpolate(B6Minterpolation,R131,TRUE)</f>
        <v>2.51868761163566E-3</v>
      </c>
      <c r="V131" s="345">
        <f>_xll.qlYieldTSDiscount(Discounting,R131,,AllTriggers)</f>
        <v>0.99766752966415539</v>
      </c>
      <c r="W131" s="345">
        <f>_xll.qlYieldTSDiscount(Discounting,S131,,AllTriggers)</f>
        <v>0.99479332619465477</v>
      </c>
      <c r="X131" s="32">
        <f t="shared" si="10"/>
        <v>5.7943686532420579E-3</v>
      </c>
      <c r="Y131" s="452">
        <f t="shared" si="11"/>
        <v>1.2514919731633869E-3</v>
      </c>
    </row>
    <row r="132" spans="18:25" x14ac:dyDescent="0.2">
      <c r="R132" s="422">
        <f>_xll.qlCalendarAdvance(Calendar,R131,"1D","f")</f>
        <v>42254</v>
      </c>
      <c r="S132" s="449">
        <f>_xll.qlCalendarAdvance(Calendar,R132,$F$1,"mf",,Trigger)</f>
        <v>42436</v>
      </c>
      <c r="T132" s="450">
        <f>_xll.qlDayCounterYearFraction(DayCounter,R132,S132,,,Trigger)</f>
        <v>0.49863013698630138</v>
      </c>
      <c r="U132" s="423">
        <f>_xll.qlInterpolationInterpolate(B6Minterpolation,R132,TRUE)</f>
        <v>2.5164705291796474E-3</v>
      </c>
      <c r="V132" s="345">
        <f>_xll.qlYieldTSDiscount(Discounting,R132,,AllTriggers)</f>
        <v>0.99762779911033095</v>
      </c>
      <c r="W132" s="345">
        <f>_xll.qlYieldTSDiscount(Discounting,S132,,AllTriggers)</f>
        <v>0.99473297859641641</v>
      </c>
      <c r="X132" s="32">
        <f t="shared" ref="X132:X195" si="12">(V132/W132-1)/T132</f>
        <v>5.8362864808604422E-3</v>
      </c>
      <c r="Y132" s="452">
        <f t="shared" ref="Y132:Y195" si="13">LN((1+(U132+X132)*T132)/(1+X132*T132))</f>
        <v>1.2503649890646161E-3</v>
      </c>
    </row>
    <row r="133" spans="18:25" x14ac:dyDescent="0.2">
      <c r="R133" s="422">
        <f>_xll.qlCalendarAdvance(Calendar,R132,"1D","f")</f>
        <v>42255</v>
      </c>
      <c r="S133" s="449">
        <f>_xll.qlCalendarAdvance(Calendar,R133,$F$1,"mf",,Trigger)</f>
        <v>42437</v>
      </c>
      <c r="T133" s="450">
        <f>_xll.qlDayCounterYearFraction(DayCounter,R133,S133,,,Trigger)</f>
        <v>0.49863013698630138</v>
      </c>
      <c r="U133" s="423">
        <f>_xll.qlInterpolationInterpolate(B6Minterpolation,R133,TRUE)</f>
        <v>2.5157890867279391E-3</v>
      </c>
      <c r="V133" s="345">
        <f>_xll.qlYieldTSDiscount(Discounting,R133,,AllTriggers)</f>
        <v>0.9976145569898579</v>
      </c>
      <c r="W133" s="345">
        <f>_xll.qlYieldTSDiscount(Discounting,S133,,AllTriggers)</f>
        <v>0.99471280588891287</v>
      </c>
      <c r="X133" s="32">
        <f t="shared" si="12"/>
        <v>5.8503779732254138E-3</v>
      </c>
      <c r="Y133" s="452">
        <f t="shared" si="13"/>
        <v>1.2500178583676729E-3</v>
      </c>
    </row>
    <row r="134" spans="18:25" x14ac:dyDescent="0.2">
      <c r="R134" s="422">
        <f>_xll.qlCalendarAdvance(Calendar,R133,"1D","f")</f>
        <v>42256</v>
      </c>
      <c r="S134" s="449">
        <f>_xll.qlCalendarAdvance(Calendar,R134,$F$1,"mf",,Trigger)</f>
        <v>42438</v>
      </c>
      <c r="T134" s="450">
        <f>_xll.qlDayCounterYearFraction(DayCounter,R134,S134,,,Trigger)</f>
        <v>0.49863013698630138</v>
      </c>
      <c r="U134" s="423">
        <f>_xll.qlInterpolationInterpolate(B6Minterpolation,R134,TRUE)</f>
        <v>2.515136128122643E-3</v>
      </c>
      <c r="V134" s="345">
        <f>_xll.qlYieldTSDiscount(Discounting,R134,,AllTriggers)</f>
        <v>0.99760131517260764</v>
      </c>
      <c r="W134" s="345">
        <f>_xll.qlYieldTSDiscount(Discounting,S134,,AllTriggers)</f>
        <v>0.99469260442750296</v>
      </c>
      <c r="X134" s="32">
        <f t="shared" si="12"/>
        <v>5.864528791523149E-3</v>
      </c>
      <c r="Y134" s="452">
        <f t="shared" si="13"/>
        <v>1.2496848393839916E-3</v>
      </c>
    </row>
    <row r="135" spans="18:25" x14ac:dyDescent="0.2">
      <c r="R135" s="422">
        <f>_xll.qlCalendarAdvance(Calendar,R134,"1D","f")</f>
        <v>42257</v>
      </c>
      <c r="S135" s="449">
        <f>_xll.qlCalendarAdvance(Calendar,R135,$F$1,"mf",,Trigger)</f>
        <v>42439</v>
      </c>
      <c r="T135" s="450">
        <f>_xll.qlDayCounterYearFraction(DayCounter,R135,S135,,,Trigger)</f>
        <v>0.49863013698630138</v>
      </c>
      <c r="U135" s="423">
        <f>_xll.qlInterpolationInterpolate(B6Minterpolation,R135,TRUE)</f>
        <v>2.5145114681615192E-3</v>
      </c>
      <c r="V135" s="345">
        <f>_xll.qlYieldTSDiscount(Discounting,R135,,AllTriggers)</f>
        <v>0.99758807342129197</v>
      </c>
      <c r="W135" s="345">
        <f>_xll.qlYieldTSDiscount(Discounting,S135,,AllTriggers)</f>
        <v>0.99467237401229824</v>
      </c>
      <c r="X135" s="32">
        <f t="shared" si="12"/>
        <v>5.8787388663700136E-3</v>
      </c>
      <c r="Y135" s="452">
        <f t="shared" si="13"/>
        <v>1.2493658399398645E-3</v>
      </c>
    </row>
    <row r="136" spans="18:25" x14ac:dyDescent="0.2">
      <c r="R136" s="422">
        <f>_xll.qlCalendarAdvance(Calendar,R135,"1D","f")</f>
        <v>42258</v>
      </c>
      <c r="S136" s="449">
        <f>_xll.qlCalendarAdvance(Calendar,R136,$F$1,"mf",,Trigger)</f>
        <v>42440</v>
      </c>
      <c r="T136" s="450">
        <f>_xll.qlDayCounterYearFraction(DayCounter,R136,S136,,,Trigger)</f>
        <v>0.49863013698630138</v>
      </c>
      <c r="U136" s="423">
        <f>_xll.qlInterpolationInterpolate(B6Minterpolation,R136,TRUE)</f>
        <v>2.5139149216423262E-3</v>
      </c>
      <c r="V136" s="345">
        <f>_xll.qlYieldTSDiscount(Discounting,R136,,AllTriggers)</f>
        <v>0.99757483149863557</v>
      </c>
      <c r="W136" s="345">
        <f>_xll.qlYieldTSDiscount(Discounting,S136,,AllTriggers)</f>
        <v>0.99465211444342905</v>
      </c>
      <c r="X136" s="32">
        <f t="shared" si="12"/>
        <v>5.8930081283863848E-3</v>
      </c>
      <c r="Y136" s="452">
        <f t="shared" si="13"/>
        <v>1.2490607678610963E-3</v>
      </c>
    </row>
    <row r="137" spans="18:25" x14ac:dyDescent="0.2">
      <c r="R137" s="422">
        <f>_xll.qlCalendarAdvance(Calendar,R136,"1D","f")</f>
        <v>42261</v>
      </c>
      <c r="S137" s="449">
        <f>_xll.qlCalendarAdvance(Calendar,R137,$F$1,"mf",,Trigger)</f>
        <v>42443</v>
      </c>
      <c r="T137" s="450">
        <f>_xll.qlDayCounterYearFraction(DayCounter,R137,S137,,,Trigger)</f>
        <v>0.49863013698630138</v>
      </c>
      <c r="U137" s="423">
        <f>_xll.qlInterpolationInterpolate(B6Minterpolation,R137,TRUE)</f>
        <v>2.5122921107139239E-3</v>
      </c>
      <c r="V137" s="345">
        <f>_xll.qlYieldTSDiscount(Discounting,R137,,AllTriggers)</f>
        <v>0.99753510233005638</v>
      </c>
      <c r="W137" s="345">
        <f>_xll.qlYieldTSDiscount(Discounting,S137,,AllTriggers)</f>
        <v>0.99459115881642535</v>
      </c>
      <c r="X137" s="32">
        <f t="shared" si="12"/>
        <v>5.936170343700824E-3</v>
      </c>
      <c r="Y137" s="452">
        <f t="shared" si="13"/>
        <v>1.2482281940639477E-3</v>
      </c>
    </row>
    <row r="138" spans="18:25" x14ac:dyDescent="0.2">
      <c r="R138" s="422">
        <f>_xll.qlCalendarAdvance(Calendar,R137,"1D","f")</f>
        <v>42262</v>
      </c>
      <c r="S138" s="449">
        <f>_xll.qlCalendarAdvance(Calendar,R138,$F$1,"mf",,Trigger)</f>
        <v>42444</v>
      </c>
      <c r="T138" s="450">
        <f>_xll.qlDayCounterYearFraction(DayCounter,R138,S138,,,Trigger)</f>
        <v>0.49863013698630138</v>
      </c>
      <c r="U138" s="423">
        <f>_xll.qlInterpolationInterpolate(B6Minterpolation,R138,TRUE)</f>
        <v>2.5118061659400452E-3</v>
      </c>
      <c r="V138" s="345">
        <f>_xll.qlYieldTSDiscount(Discounting,R138,,AllTriggers)</f>
        <v>0.99752185734953458</v>
      </c>
      <c r="W138" s="345">
        <f>_xll.qlYieldTSDiscount(Discounting,S138,,AllTriggers)</f>
        <v>0.99457078063458415</v>
      </c>
      <c r="X138" s="32">
        <f t="shared" si="12"/>
        <v>5.9506756606599849E-3</v>
      </c>
      <c r="Y138" s="452">
        <f t="shared" si="13"/>
        <v>1.2479779096913563E-3</v>
      </c>
    </row>
    <row r="139" spans="18:25" x14ac:dyDescent="0.2">
      <c r="R139" s="422">
        <f>_xll.qlCalendarAdvance(Calendar,R138,"1D","f")</f>
        <v>42263</v>
      </c>
      <c r="S139" s="449">
        <f>_xll.qlCalendarAdvance(Calendar,R139,$F$1,"mf",,Trigger)</f>
        <v>42445</v>
      </c>
      <c r="T139" s="450">
        <f>_xll.qlDayCounterYearFraction(DayCounter,R139,S139,,,Trigger)</f>
        <v>0.49863013698630138</v>
      </c>
      <c r="U139" s="423">
        <f>_xll.qlInterpolationInterpolate(B6Minterpolation,R139,TRUE)</f>
        <v>2.5113474085968926E-3</v>
      </c>
      <c r="V139" s="345">
        <f>_xll.qlYieldTSDiscount(Discounting,R139,,AllTriggers)</f>
        <v>0.99750861101148391</v>
      </c>
      <c r="W139" s="345">
        <f>_xll.qlYieldTSDiscount(Discounting,S139,,AllTriggers)</f>
        <v>0.99455037230001708</v>
      </c>
      <c r="X139" s="32">
        <f t="shared" si="12"/>
        <v>5.9652398179368439E-3</v>
      </c>
      <c r="Y139" s="452">
        <f t="shared" si="13"/>
        <v>1.2477410918038335E-3</v>
      </c>
    </row>
    <row r="140" spans="18:25" x14ac:dyDescent="0.2">
      <c r="R140" s="422">
        <f>_xll.qlCalendarAdvance(Calendar,R139,"1D","f")</f>
        <v>42264</v>
      </c>
      <c r="S140" s="449">
        <f>_xll.qlCalendarAdvance(Calendar,R140,$F$1,"mf",,Trigger)</f>
        <v>42446</v>
      </c>
      <c r="T140" s="450">
        <f>_xll.qlDayCounterYearFraction(DayCounter,R140,S140,,,Trigger)</f>
        <v>0.49863013698630138</v>
      </c>
      <c r="U140" s="423">
        <f>_xll.qlInterpolationInterpolate(B6Minterpolation,R140,TRUE)</f>
        <v>2.5109156534822256E-3</v>
      </c>
      <c r="V140" s="345">
        <f>_xll.qlYieldTSDiscount(Discounting,R140,,AllTriggers)</f>
        <v>0.99749536307870446</v>
      </c>
      <c r="W140" s="345">
        <f>_xll.qlYieldTSDiscount(Discounting,S140,,AllTriggers)</f>
        <v>0.99452993361296937</v>
      </c>
      <c r="X140" s="32">
        <f t="shared" si="12"/>
        <v>5.9798627461700345E-3</v>
      </c>
      <c r="Y140" s="452">
        <f t="shared" si="13"/>
        <v>1.2475176482247446E-3</v>
      </c>
    </row>
    <row r="141" spans="18:25" x14ac:dyDescent="0.2">
      <c r="R141" s="422">
        <f>_xll.qlCalendarAdvance(Calendar,R140,"1D","f")</f>
        <v>42265</v>
      </c>
      <c r="S141" s="449">
        <f>_xll.qlCalendarAdvance(Calendar,R141,$F$1,"mf",,Trigger)</f>
        <v>42447</v>
      </c>
      <c r="T141" s="450">
        <f>_xll.qlDayCounterYearFraction(DayCounter,R141,S141,,,Trigger)</f>
        <v>0.49863013698630138</v>
      </c>
      <c r="U141" s="423">
        <f>_xll.qlInterpolationInterpolate(B6Minterpolation,R141,TRUE)</f>
        <v>2.5105107153938024E-3</v>
      </c>
      <c r="V141" s="345">
        <f>_xll.qlYieldTSDiscount(Discounting,R141,,AllTriggers)</f>
        <v>0.99748211331400916</v>
      </c>
      <c r="W141" s="345">
        <f>_xll.qlYieldTSDiscount(Discounting,S141,,AllTriggers)</f>
        <v>0.99450946437370547</v>
      </c>
      <c r="X141" s="32">
        <f t="shared" si="12"/>
        <v>5.9945443760030873E-3</v>
      </c>
      <c r="Y141" s="452">
        <f t="shared" si="13"/>
        <v>1.2473074867757248E-3</v>
      </c>
    </row>
    <row r="142" spans="18:25" x14ac:dyDescent="0.2">
      <c r="R142" s="422">
        <f>_xll.qlCalendarAdvance(Calendar,R141,"1D","f")</f>
        <v>42268</v>
      </c>
      <c r="S142" s="449">
        <f>_xll.qlCalendarAdvance(Calendar,R142,$F$1,"mf",,Trigger)</f>
        <v>42450</v>
      </c>
      <c r="T142" s="450">
        <f>_xll.qlDayCounterYearFraction(DayCounter,R142,S142,,,Trigger)</f>
        <v>0.49863013698630138</v>
      </c>
      <c r="U142" s="423">
        <f>_xll.qlInterpolationInterpolate(B6Minterpolation,R142,TRUE)</f>
        <v>2.5094549512635904E-3</v>
      </c>
      <c r="V142" s="345">
        <f>_xll.qlYieldTSDiscount(Discounting,R142,,AllTriggers)</f>
        <v>0.9974423506567448</v>
      </c>
      <c r="W142" s="345">
        <f>_xll.qlYieldTSDiscount(Discounting,S142,,AllTriggers)</f>
        <v>0.99444787134555535</v>
      </c>
      <c r="X142" s="32">
        <f t="shared" si="12"/>
        <v>6.0389407815630179E-3</v>
      </c>
      <c r="Y142" s="452">
        <f t="shared" si="13"/>
        <v>1.2467557734325528E-3</v>
      </c>
    </row>
    <row r="143" spans="18:25" x14ac:dyDescent="0.2">
      <c r="R143" s="422">
        <f>_xll.qlCalendarAdvance(Calendar,R142,"1D","f")</f>
        <v>42269</v>
      </c>
      <c r="S143" s="449">
        <f>_xll.qlCalendarAdvance(Calendar,R143,$F$1,"mf",,Trigger)</f>
        <v>42451</v>
      </c>
      <c r="T143" s="450">
        <f>_xll.qlDayCounterYearFraction(DayCounter,R143,S143,,,Trigger)</f>
        <v>0.49863013698630138</v>
      </c>
      <c r="U143" s="423">
        <f>_xll.qlInterpolationInterpolate(B6Minterpolation,R143,TRUE)</f>
        <v>2.5091554292577352E-3</v>
      </c>
      <c r="V143" s="345">
        <f>_xll.qlYieldTSDiscount(Discounting,R143,,AllTriggers)</f>
        <v>0.99742909119276624</v>
      </c>
      <c r="W143" s="345">
        <f>_xll.qlYieldTSDiscount(Discounting,S143,,AllTriggers)</f>
        <v>0.99442727790046248</v>
      </c>
      <c r="X143" s="32">
        <f t="shared" si="12"/>
        <v>6.0538565242758188E-3</v>
      </c>
      <c r="Y143" s="452">
        <f t="shared" si="13"/>
        <v>1.2465978187247895E-3</v>
      </c>
    </row>
    <row r="144" spans="18:25" x14ac:dyDescent="0.2">
      <c r="R144" s="422">
        <f>_xll.qlCalendarAdvance(Calendar,R143,"1D","f")</f>
        <v>42270</v>
      </c>
      <c r="S144" s="449">
        <f>_xll.qlCalendarAdvance(Calendar,R144,$F$1,"mf",,Trigger)</f>
        <v>42452</v>
      </c>
      <c r="T144" s="450">
        <f>_xll.qlDayCounterYearFraction(DayCounter,R144,S144,,,Trigger)</f>
        <v>0.49863013698630138</v>
      </c>
      <c r="U144" s="423">
        <f>_xll.qlInterpolationInterpolate(B6Minterpolation,R144,TRUE)</f>
        <v>2.5088817982669197E-3</v>
      </c>
      <c r="V144" s="345">
        <f>_xll.qlYieldTSDiscount(Discounting,R144,,AllTriggers)</f>
        <v>0.99741582871112489</v>
      </c>
      <c r="W144" s="345">
        <f>_xll.qlYieldTSDiscount(Discounting,S144,,AllTriggers)</f>
        <v>0.99440665290476904</v>
      </c>
      <c r="X144" s="32">
        <f t="shared" si="12"/>
        <v>6.0688306218439928E-3</v>
      </c>
      <c r="Y144" s="452">
        <f t="shared" si="13"/>
        <v>1.2464526852563544E-3</v>
      </c>
    </row>
    <row r="145" spans="18:25" x14ac:dyDescent="0.2">
      <c r="R145" s="422">
        <f>_xll.qlCalendarAdvance(Calendar,R144,"1D","f")</f>
        <v>42271</v>
      </c>
      <c r="S145" s="449">
        <f>_xll.qlCalendarAdvance(Calendar,R145,$F$1,"mf",,Trigger)</f>
        <v>42453</v>
      </c>
      <c r="T145" s="450">
        <f>_xll.qlDayCounterYearFraction(DayCounter,R145,S145,,,Trigger)</f>
        <v>0.49863013698630138</v>
      </c>
      <c r="U145" s="423">
        <f>_xll.qlInterpolationInterpolate(B6Minterpolation,R145,TRUE)</f>
        <v>2.5086338730889025E-3</v>
      </c>
      <c r="V145" s="345">
        <f>_xll.qlYieldTSDiscount(Discounting,R145,,AllTriggers)</f>
        <v>0.99740256297470953</v>
      </c>
      <c r="W145" s="345">
        <f>_xll.qlYieldTSDiscount(Discounting,S145,,AllTriggers)</f>
        <v>0.99438599615885681</v>
      </c>
      <c r="X145" s="32">
        <f t="shared" si="12"/>
        <v>6.0838630049284415E-3</v>
      </c>
      <c r="Y145" s="452">
        <f t="shared" si="13"/>
        <v>1.2463202808485133E-3</v>
      </c>
    </row>
    <row r="146" spans="18:25" x14ac:dyDescent="0.2">
      <c r="R146" s="422">
        <f>_xll.qlCalendarAdvance(Calendar,R145,"1D","f")</f>
        <v>42272</v>
      </c>
      <c r="S146" s="449">
        <f>_xll.qlCalendarAdvance(Calendar,R146,$F$1,"mf",,Trigger)</f>
        <v>42458</v>
      </c>
      <c r="T146" s="450">
        <f>_xll.qlDayCounterYearFraction(DayCounter,R146,S146,,,Trigger)</f>
        <v>0.50958904109589043</v>
      </c>
      <c r="U146" s="423">
        <f>_xll.qlInterpolationInterpolate(B6Minterpolation,R146,TRUE)</f>
        <v>2.5084114685214433E-3</v>
      </c>
      <c r="V146" s="345">
        <f>_xll.qlYieldTSDiscount(Discounting,R146,,AllTriggers)</f>
        <v>0.99738929374642149</v>
      </c>
      <c r="W146" s="345">
        <f>_xll.qlYieldTSDiscount(Discounting,S146,,AllTriggers)</f>
        <v>0.99428222919077303</v>
      </c>
      <c r="X146" s="32">
        <f t="shared" si="12"/>
        <v>6.1322594282096085E-3</v>
      </c>
      <c r="Y146" s="452">
        <f t="shared" si="13"/>
        <v>1.2734657639580458E-3</v>
      </c>
    </row>
    <row r="147" spans="18:25" x14ac:dyDescent="0.2">
      <c r="R147" s="422">
        <f>_xll.qlCalendarAdvance(Calendar,R146,"1D","f")</f>
        <v>42275</v>
      </c>
      <c r="S147" s="449">
        <f>_xll.qlCalendarAdvance(Calendar,R147,$F$1,"mf",,Trigger)</f>
        <v>42458</v>
      </c>
      <c r="T147" s="450">
        <f>_xll.qlDayCounterYearFraction(DayCounter,R147,S147,,,Trigger)</f>
        <v>0.50136986301369868</v>
      </c>
      <c r="U147" s="423">
        <f>_xll.qlInterpolationInterpolate(B6Minterpolation,R147,TRUE)</f>
        <v>2.5078955264600019E-3</v>
      </c>
      <c r="V147" s="345">
        <f>_xll.qlYieldTSDiscount(Discounting,R147,,AllTriggers)</f>
        <v>0.9973494627395223</v>
      </c>
      <c r="W147" s="345">
        <f>_xll.qlYieldTSDiscount(Discounting,S147,,AllTriggers)</f>
        <v>0.99428222919077303</v>
      </c>
      <c r="X147" s="32">
        <f t="shared" si="12"/>
        <v>6.1528870564381182E-3</v>
      </c>
      <c r="Y147" s="452">
        <f t="shared" si="13"/>
        <v>1.2527313034239808E-3</v>
      </c>
    </row>
    <row r="148" spans="18:25" x14ac:dyDescent="0.2">
      <c r="R148" s="422">
        <f>_xll.qlCalendarAdvance(Calendar,R147,"1D","f")</f>
        <v>42276</v>
      </c>
      <c r="S148" s="449">
        <f>_xll.qlCalendarAdvance(Calendar,R148,$F$1,"mf",,Trigger)</f>
        <v>42458</v>
      </c>
      <c r="T148" s="450">
        <f>_xll.qlDayCounterYearFraction(DayCounter,R148,S148,,,Trigger)</f>
        <v>0.49863013698630138</v>
      </c>
      <c r="U148" s="423">
        <f>_xll.qlInterpolationInterpolate(B6Minterpolation,R148,TRUE)</f>
        <v>2.5077733523123638E-3</v>
      </c>
      <c r="V148" s="345">
        <f>_xll.qlYieldTSDiscount(Discounting,R148,,AllTriggers)</f>
        <v>0.99733617717300838</v>
      </c>
      <c r="W148" s="345">
        <f>_xll.qlYieldTSDiscount(Discounting,S148,,AllTriggers)</f>
        <v>0.99428222919077303</v>
      </c>
      <c r="X148" s="32">
        <f t="shared" si="12"/>
        <v>6.1598967764150509E-3</v>
      </c>
      <c r="Y148" s="452">
        <f t="shared" si="13"/>
        <v>1.2458459684670372E-3</v>
      </c>
    </row>
    <row r="149" spans="18:25" x14ac:dyDescent="0.2">
      <c r="R149" s="422">
        <f>_xll.qlCalendarAdvance(Calendar,R148,"1D","f")</f>
        <v>42277</v>
      </c>
      <c r="S149" s="449">
        <f>_xll.qlCalendarAdvance(Calendar,R149,$F$1,"mf",,Trigger)</f>
        <v>42459</v>
      </c>
      <c r="T149" s="450">
        <f>_xll.qlDayCounterYearFraction(DayCounter,R149,S149,,,Trigger)</f>
        <v>0.49863013698630138</v>
      </c>
      <c r="U149" s="423">
        <f>_xll.qlInterpolationInterpolate(B6Minterpolation,R149,TRUE)</f>
        <v>2.5076757727640789E-3</v>
      </c>
      <c r="V149" s="345">
        <f>_xll.qlYieldTSDiscount(Discounting,R149,,AllTriggers)</f>
        <v>0.99732288692931781</v>
      </c>
      <c r="W149" s="345">
        <f>_xll.qlYieldTSDiscount(Discounting,S149,,AllTriggers)</f>
        <v>0.99426137775268242</v>
      </c>
      <c r="X149" s="32">
        <f t="shared" si="12"/>
        <v>6.1752774166296473E-3</v>
      </c>
      <c r="Y149" s="452">
        <f t="shared" si="13"/>
        <v>1.2457880026733354E-3</v>
      </c>
    </row>
    <row r="150" spans="18:25" x14ac:dyDescent="0.2">
      <c r="R150" s="422">
        <f>_xll.qlCalendarAdvance(Calendar,R149,"1D","f")</f>
        <v>42278</v>
      </c>
      <c r="S150" s="449">
        <f>_xll.qlCalendarAdvance(Calendar,R150,$F$1,"mf",,Trigger)</f>
        <v>42461</v>
      </c>
      <c r="T150" s="450">
        <f>_xll.qlDayCounterYearFraction(DayCounter,R150,S150,,,Trigger)</f>
        <v>0.50136986301369868</v>
      </c>
      <c r="U150" s="423">
        <f>_xll.qlInterpolationInterpolate(B6Minterpolation,R150,TRUE)</f>
        <v>2.5076026026129056E-3</v>
      </c>
      <c r="V150" s="345">
        <f>_xll.qlYieldTSDiscount(Discounting,R150,,AllTriggers)</f>
        <v>0.99730959177142797</v>
      </c>
      <c r="W150" s="345">
        <f>_xll.qlYieldTSDiscount(Discounting,S150,,AllTriggers)</f>
        <v>0.99421957523608095</v>
      </c>
      <c r="X150" s="32">
        <f t="shared" si="12"/>
        <v>6.1989804746820478E-3</v>
      </c>
      <c r="Y150" s="452">
        <f t="shared" si="13"/>
        <v>1.2525562358834958E-3</v>
      </c>
    </row>
    <row r="151" spans="18:25" x14ac:dyDescent="0.2">
      <c r="R151" s="422">
        <f>_xll.qlCalendarAdvance(Calendar,R150,"1D","f")</f>
        <v>42279</v>
      </c>
      <c r="S151" s="449">
        <f>_xll.qlCalendarAdvance(Calendar,R151,$F$1,"mf",,Trigger)</f>
        <v>42464</v>
      </c>
      <c r="T151" s="450">
        <f>_xll.qlDayCounterYearFraction(DayCounter,R151,S151,,,Trigger)</f>
        <v>0.50684931506849318</v>
      </c>
      <c r="U151" s="423">
        <f>_xll.qlInterpolationInterpolate(B6Minterpolation,R151,TRUE)</f>
        <v>2.5075536566566033E-3</v>
      </c>
      <c r="V151" s="345">
        <f>_xll.qlYieldTSDiscount(Discounting,R151,,AllTriggers)</f>
        <v>0.9972962914623289</v>
      </c>
      <c r="W151" s="345">
        <f>_xll.qlYieldTSDiscount(Discounting,S151,,AllTriggers)</f>
        <v>0.99415661936856381</v>
      </c>
      <c r="X151" s="32">
        <f t="shared" si="12"/>
        <v>6.2308976918851924E-3</v>
      </c>
      <c r="Y151" s="452">
        <f t="shared" si="13"/>
        <v>1.2661487585084715E-3</v>
      </c>
    </row>
    <row r="152" spans="18:25" x14ac:dyDescent="0.2">
      <c r="R152" s="422">
        <f>_xll.qlCalendarAdvance(Calendar,R151,"1D","f")</f>
        <v>42282</v>
      </c>
      <c r="S152" s="449">
        <f>_xll.qlCalendarAdvance(Calendar,R152,$F$1,"mf",,Trigger)</f>
        <v>42465</v>
      </c>
      <c r="T152" s="450">
        <f>_xll.qlDayCounterYearFraction(DayCounter,R152,S152,,,Trigger)</f>
        <v>0.50136986301369868</v>
      </c>
      <c r="U152" s="423">
        <f>_xll.qlInterpolationInterpolate(B6Minterpolation,R152,TRUE)</f>
        <v>2.5075503119345133E-3</v>
      </c>
      <c r="V152" s="345">
        <f>_xll.qlYieldTSDiscount(Discounting,R152,,AllTriggers)</f>
        <v>0.99725635725786721</v>
      </c>
      <c r="W152" s="345">
        <f>_xll.qlYieldTSDiscount(Discounting,S152,,AllTriggers)</f>
        <v>0.99413556605708631</v>
      </c>
      <c r="X152" s="32">
        <f t="shared" si="12"/>
        <v>6.2612475705100526E-3</v>
      </c>
      <c r="Y152" s="452">
        <f t="shared" si="13"/>
        <v>1.2524911770815644E-3</v>
      </c>
    </row>
    <row r="153" spans="18:25" x14ac:dyDescent="0.2">
      <c r="R153" s="422">
        <f>_xll.qlCalendarAdvance(Calendar,R152,"1D","f")</f>
        <v>42283</v>
      </c>
      <c r="S153" s="449">
        <f>_xll.qlCalendarAdvance(Calendar,R153,$F$1,"mf",,Trigger)</f>
        <v>42466</v>
      </c>
      <c r="T153" s="450">
        <f>_xll.qlDayCounterYearFraction(DayCounter,R153,S153,,,Trigger)</f>
        <v>0.50136986301369868</v>
      </c>
      <c r="U153" s="423">
        <f>_xll.qlInterpolationInterpolate(B6Minterpolation,R153,TRUE)</f>
        <v>2.5075964107352856E-3</v>
      </c>
      <c r="V153" s="345">
        <f>_xll.qlYieldTSDiscount(Discounting,R153,,AllTriggers)</f>
        <v>0.99724303352982635</v>
      </c>
      <c r="W153" s="345">
        <f>_xll.qlYieldTSDiscount(Discounting,S153,,AllTriggers)</f>
        <v>0.99411447840217948</v>
      </c>
      <c r="X153" s="32">
        <f t="shared" si="12"/>
        <v>6.2769574945370464E-3</v>
      </c>
      <c r="Y153" s="452">
        <f t="shared" si="13"/>
        <v>1.2525043601632935E-3</v>
      </c>
    </row>
    <row r="154" spans="18:25" x14ac:dyDescent="0.2">
      <c r="R154" s="422">
        <f>_xll.qlCalendarAdvance(Calendar,R153,"1D","f")</f>
        <v>42284</v>
      </c>
      <c r="S154" s="449">
        <f>_xll.qlCalendarAdvance(Calendar,R154,$F$1,"mf",,Trigger)</f>
        <v>42467</v>
      </c>
      <c r="T154" s="450">
        <f>_xll.qlDayCounterYearFraction(DayCounter,R154,S154,,,Trigger)</f>
        <v>0.50136986301369868</v>
      </c>
      <c r="U154" s="423">
        <f>_xll.qlInterpolationInterpolate(B6Minterpolation,R154,TRUE)</f>
        <v>2.5076658077197245E-3</v>
      </c>
      <c r="V154" s="345">
        <f>_xll.qlYieldTSDiscount(Discounting,R154,,AllTriggers)</f>
        <v>0.99722970080020645</v>
      </c>
      <c r="W154" s="345">
        <f>_xll.qlYieldTSDiscount(Discounting,S154,,AllTriggers)</f>
        <v>0.99409335620450834</v>
      </c>
      <c r="X154" s="32">
        <f t="shared" si="12"/>
        <v>6.2927195492200917E-3</v>
      </c>
      <c r="Y154" s="452">
        <f t="shared" si="13"/>
        <v>1.2525291401184508E-3</v>
      </c>
    </row>
    <row r="155" spans="18:25" x14ac:dyDescent="0.2">
      <c r="R155" s="422">
        <f>_xll.qlCalendarAdvance(Calendar,R154,"1D","f")</f>
        <v>42285</v>
      </c>
      <c r="S155" s="449">
        <f>_xll.qlCalendarAdvance(Calendar,R155,$F$1,"mf",,Trigger)</f>
        <v>42468</v>
      </c>
      <c r="T155" s="450">
        <f>_xll.qlDayCounterYearFraction(DayCounter,R155,S155,,,Trigger)</f>
        <v>0.50136986301369868</v>
      </c>
      <c r="U155" s="423">
        <f>_xll.qlInterpolationInterpolate(B6Minterpolation,R155,TRUE)</f>
        <v>2.5077583176855885E-3</v>
      </c>
      <c r="V155" s="345">
        <f>_xll.qlYieldTSDiscount(Discounting,R155,,AllTriggers)</f>
        <v>0.99721635616669391</v>
      </c>
      <c r="W155" s="345">
        <f>_xll.qlYieldTSDiscount(Discounting,S155,,AllTriggers)</f>
        <v>0.99407219926475832</v>
      </c>
      <c r="X155" s="32">
        <f t="shared" si="12"/>
        <v>6.3085283174129378E-3</v>
      </c>
      <c r="Y155" s="452">
        <f t="shared" si="13"/>
        <v>1.2525654276134654E-3</v>
      </c>
    </row>
    <row r="156" spans="18:25" x14ac:dyDescent="0.2">
      <c r="R156" s="422">
        <f>_xll.qlCalendarAdvance(Calendar,R155,"1D","f")</f>
        <v>42286</v>
      </c>
      <c r="S156" s="449">
        <f>_xll.qlCalendarAdvance(Calendar,R156,$F$1,"mf",,Trigger)</f>
        <v>42471</v>
      </c>
      <c r="T156" s="450">
        <f>_xll.qlDayCounterYearFraction(DayCounter,R156,S156,,,Trigger)</f>
        <v>0.50684931506849318</v>
      </c>
      <c r="U156" s="423">
        <f>_xll.qlInterpolationInterpolate(B6Minterpolation,R156,TRUE)</f>
        <v>2.5078737554306368E-3</v>
      </c>
      <c r="V156" s="345">
        <f>_xll.qlYieldTSDiscount(Discounting,R156,,AllTriggers)</f>
        <v>0.99720299672713053</v>
      </c>
      <c r="W156" s="345">
        <f>_xll.qlYieldTSDiscount(Discounting,S156,,AllTriggers)</f>
        <v>0.99400851800020351</v>
      </c>
      <c r="X156" s="32">
        <f t="shared" si="12"/>
        <v>6.3406098406922993E-3</v>
      </c>
      <c r="Y156" s="452">
        <f t="shared" si="13"/>
        <v>1.2662401385374557E-3</v>
      </c>
    </row>
    <row r="157" spans="18:25" x14ac:dyDescent="0.2">
      <c r="R157" s="422">
        <f>_xll.qlCalendarAdvance(Calendar,R156,"1D","f")</f>
        <v>42289</v>
      </c>
      <c r="S157" s="449">
        <f>_xll.qlCalendarAdvance(Calendar,R157,$F$1,"mf",,Trigger)</f>
        <v>42472</v>
      </c>
      <c r="T157" s="450">
        <f>_xll.qlDayCounterYearFraction(DayCounter,R157,S157,,,Trigger)</f>
        <v>0.50136986301369868</v>
      </c>
      <c r="U157" s="423">
        <f>_xll.qlInterpolationInterpolate(B6Minterpolation,R157,TRUE)</f>
        <v>2.508355783318479E-3</v>
      </c>
      <c r="V157" s="345">
        <f>_xll.qlYieldTSDiscount(Discounting,R157,,AllTriggers)</f>
        <v>0.9971628005529003</v>
      </c>
      <c r="W157" s="345">
        <f>_xll.qlYieldTSDiscount(Discounting,S157,,AllTriggers)</f>
        <v>0.99398722009941098</v>
      </c>
      <c r="X157" s="32">
        <f t="shared" si="12"/>
        <v>6.3721221764723463E-3</v>
      </c>
      <c r="Y157" s="452">
        <f t="shared" si="13"/>
        <v>1.2528238663619263E-3</v>
      </c>
    </row>
    <row r="158" spans="18:25" x14ac:dyDescent="0.2">
      <c r="R158" s="422">
        <f>_xll.qlCalendarAdvance(Calendar,R157,"1D","f")</f>
        <v>42290</v>
      </c>
      <c r="S158" s="449">
        <f>_xll.qlCalendarAdvance(Calendar,R158,$F$1,"mf",,Trigger)</f>
        <v>42473</v>
      </c>
      <c r="T158" s="450">
        <f>_xll.qlDayCounterYearFraction(DayCounter,R158,S158,,,Trigger)</f>
        <v>0.50136986301369868</v>
      </c>
      <c r="U158" s="423">
        <f>_xll.qlInterpolationInterpolate(B6Minterpolation,R158,TRUE)</f>
        <v>2.508561080157855E-3</v>
      </c>
      <c r="V158" s="345">
        <f>_xll.qlYieldTSDiscount(Discounting,R158,,AllTriggers)</f>
        <v>0.99714935287068374</v>
      </c>
      <c r="W158" s="345">
        <f>_xll.qlYieldTSDiscount(Discounting,S158,,AllTriggers)</f>
        <v>0.99396588646028083</v>
      </c>
      <c r="X158" s="32">
        <f t="shared" si="12"/>
        <v>6.3880832491186494E-3</v>
      </c>
      <c r="Y158" s="452">
        <f t="shared" si="13"/>
        <v>1.2529163516015935E-3</v>
      </c>
    </row>
    <row r="159" spans="18:25" x14ac:dyDescent="0.2">
      <c r="R159" s="422">
        <f>_xll.qlCalendarAdvance(Calendar,R158,"1D","f")</f>
        <v>42291</v>
      </c>
      <c r="S159" s="449">
        <f>_xll.qlCalendarAdvance(Calendar,R159,$F$1,"mf",,Trigger)</f>
        <v>42474</v>
      </c>
      <c r="T159" s="450">
        <f>_xll.qlDayCounterYearFraction(DayCounter,R159,S159,,,Trigger)</f>
        <v>0.50136986301369868</v>
      </c>
      <c r="U159" s="423">
        <f>_xll.qlInterpolationInterpolate(B6Minterpolation,R159,TRUE)</f>
        <v>2.5087883787652111E-3</v>
      </c>
      <c r="V159" s="345">
        <f>_xll.qlYieldTSDiscount(Discounting,R159,,AllTriggers)</f>
        <v>0.99713587587397901</v>
      </c>
      <c r="W159" s="345">
        <f>_xll.qlYieldTSDiscount(Discounting,S159,,AllTriggers)</f>
        <v>0.99394451688362428</v>
      </c>
      <c r="X159" s="32">
        <f t="shared" si="12"/>
        <v>6.4040585288413897E-3</v>
      </c>
      <c r="Y159" s="452">
        <f t="shared" si="13"/>
        <v>1.2530198084154012E-3</v>
      </c>
    </row>
    <row r="160" spans="18:25" x14ac:dyDescent="0.2">
      <c r="R160" s="422">
        <f>_xll.qlCalendarAdvance(Calendar,R159,"1D","f")</f>
        <v>42292</v>
      </c>
      <c r="S160" s="449">
        <f>_xll.qlCalendarAdvance(Calendar,R160,$F$1,"mf",,Trigger)</f>
        <v>42475</v>
      </c>
      <c r="T160" s="450">
        <f>_xll.qlDayCounterYearFraction(DayCounter,R160,S160,,,Trigger)</f>
        <v>0.50136986301369868</v>
      </c>
      <c r="U160" s="423">
        <f>_xll.qlInterpolationInterpolate(B6Minterpolation,R160,TRUE)</f>
        <v>2.509037493938306E-3</v>
      </c>
      <c r="V160" s="345">
        <f>_xll.qlYieldTSDiscount(Discounting,R160,,AllTriggers)</f>
        <v>0.99712236666157361</v>
      </c>
      <c r="W160" s="345">
        <f>_xll.qlYieldTSDiscount(Discounting,S160,,AllTriggers)</f>
        <v>0.99392311117027421</v>
      </c>
      <c r="X160" s="32">
        <f t="shared" si="12"/>
        <v>6.4200425973003237E-3</v>
      </c>
      <c r="Y160" s="452">
        <f t="shared" si="13"/>
        <v>1.2531341474854713E-3</v>
      </c>
    </row>
    <row r="161" spans="18:25" x14ac:dyDescent="0.2">
      <c r="R161" s="422">
        <f>_xll.qlCalendarAdvance(Calendar,R160,"1D","f")</f>
        <v>42293</v>
      </c>
      <c r="S161" s="449">
        <f>_xll.qlCalendarAdvance(Calendar,R161,$F$1,"mf",,Trigger)</f>
        <v>42478</v>
      </c>
      <c r="T161" s="450">
        <f>_xll.qlDayCounterYearFraction(DayCounter,R161,S161,,,Trigger)</f>
        <v>0.50684931506849318</v>
      </c>
      <c r="U161" s="423">
        <f>_xll.qlInterpolationInterpolate(B6Minterpolation,R161,TRUE)</f>
        <v>2.5093082404748987E-3</v>
      </c>
      <c r="V161" s="345">
        <f>_xll.qlYieldTSDiscount(Discounting,R161,,AllTriggers)</f>
        <v>0.99710882233241527</v>
      </c>
      <c r="W161" s="345">
        <f>_xll.qlYieldTSDiscount(Discounting,S161,,AllTriggers)</f>
        <v>0.99385867521870708</v>
      </c>
      <c r="X161" s="32">
        <f t="shared" si="12"/>
        <v>6.4520767121352606E-3</v>
      </c>
      <c r="Y161" s="452">
        <f t="shared" si="13"/>
        <v>1.2668926587562294E-3</v>
      </c>
    </row>
    <row r="162" spans="18:25" x14ac:dyDescent="0.2">
      <c r="R162" s="422">
        <f>_xll.qlCalendarAdvance(Calendar,R161,"1D","f")</f>
        <v>42296</v>
      </c>
      <c r="S162" s="449">
        <f>_xll.qlCalendarAdvance(Calendar,R162,$F$1,"mf",,Trigger)</f>
        <v>42479</v>
      </c>
      <c r="T162" s="450">
        <f>_xll.qlDayCounterYearFraction(DayCounter,R162,S162,,,Trigger)</f>
        <v>0.50136986301369868</v>
      </c>
      <c r="U162" s="423">
        <f>_xll.qlInterpolationInterpolate(B6Minterpolation,R162,TRUE)</f>
        <v>2.5102484162432531E-3</v>
      </c>
      <c r="V162" s="345">
        <f>_xll.qlYieldTSDiscount(Discounting,R162,,AllTriggers)</f>
        <v>0.99706794963632528</v>
      </c>
      <c r="W162" s="345">
        <f>_xll.qlYieldTSDiscount(Discounting,S162,,AllTriggers)</f>
        <v>0.99383712296733473</v>
      </c>
      <c r="X162" s="32">
        <f t="shared" si="12"/>
        <v>6.4839583856558013E-3</v>
      </c>
      <c r="Y162" s="452">
        <f t="shared" si="13"/>
        <v>1.2536985400903344E-3</v>
      </c>
    </row>
    <row r="163" spans="18:25" x14ac:dyDescent="0.2">
      <c r="R163" s="422">
        <f>_xll.qlCalendarAdvance(Calendar,R162,"1D","f")</f>
        <v>42297</v>
      </c>
      <c r="S163" s="449">
        <f>_xll.qlCalendarAdvance(Calendar,R163,$F$1,"mf",,Trigger)</f>
        <v>42480</v>
      </c>
      <c r="T163" s="450">
        <f>_xll.qlDayCounterYearFraction(DayCounter,R163,S163,,,Trigger)</f>
        <v>0.50136986301369868</v>
      </c>
      <c r="U163" s="423">
        <f>_xll.qlInterpolationInterpolate(B6Minterpolation,R163,TRUE)</f>
        <v>2.5106038362114271E-3</v>
      </c>
      <c r="V163" s="345">
        <f>_xll.qlYieldTSDiscount(Discounting,R163,,AllTriggers)</f>
        <v>0.99705423583287367</v>
      </c>
      <c r="W163" s="345">
        <f>_xll.qlYieldTSDiscount(Discounting,S163,,AllTriggers)</f>
        <v>0.99381553358375241</v>
      </c>
      <c r="X163" s="32">
        <f t="shared" si="12"/>
        <v>6.4999051166472095E-3</v>
      </c>
      <c r="Y163" s="452">
        <f t="shared" si="13"/>
        <v>1.2538659508016304E-3</v>
      </c>
    </row>
    <row r="164" spans="18:25" x14ac:dyDescent="0.2">
      <c r="R164" s="422">
        <f>_xll.qlCalendarAdvance(Calendar,R163,"1D","f")</f>
        <v>42298</v>
      </c>
      <c r="S164" s="449">
        <f>_xll.qlCalendarAdvance(Calendar,R164,$F$1,"mf",,Trigger)</f>
        <v>42481</v>
      </c>
      <c r="T164" s="450">
        <f>_xll.qlDayCounterYearFraction(DayCounter,R164,S164,,,Trigger)</f>
        <v>0.50136986301369868</v>
      </c>
      <c r="U164" s="423">
        <f>_xll.qlInterpolationInterpolate(B6Minterpolation,R164,TRUE)</f>
        <v>2.510979961531894E-3</v>
      </c>
      <c r="V164" s="345">
        <f>_xll.qlYieldTSDiscount(Discounting,R164,,AllTriggers)</f>
        <v>0.99704047240984883</v>
      </c>
      <c r="W164" s="345">
        <f>_xll.qlYieldTSDiscount(Discounting,S164,,AllTriggers)</f>
        <v>0.99379390686892144</v>
      </c>
      <c r="X164" s="32">
        <f t="shared" si="12"/>
        <v>6.5158281227048571E-3</v>
      </c>
      <c r="Y164" s="452">
        <f t="shared" si="13"/>
        <v>1.254043707944539E-3</v>
      </c>
    </row>
    <row r="165" spans="18:25" x14ac:dyDescent="0.2">
      <c r="R165" s="422">
        <f>_xll.qlCalendarAdvance(Calendar,R164,"1D","f")</f>
        <v>42299</v>
      </c>
      <c r="S165" s="449">
        <f>_xll.qlCalendarAdvance(Calendar,R165,$F$1,"mf",,Trigger)</f>
        <v>42482</v>
      </c>
      <c r="T165" s="450">
        <f>_xll.qlDayCounterYearFraction(DayCounter,R165,S165,,,Trigger)</f>
        <v>0.50136986301369868</v>
      </c>
      <c r="U165" s="423">
        <f>_xll.qlInterpolationInterpolate(B6Minterpolation,R165,TRUE)</f>
        <v>2.5113766070024128E-3</v>
      </c>
      <c r="V165" s="345">
        <f>_xll.qlYieldTSDiscount(Discounting,R165,,AllTriggers)</f>
        <v>0.99702665646718325</v>
      </c>
      <c r="W165" s="345">
        <f>_xll.qlYieldTSDiscount(Discounting,S165,,AllTriggers)</f>
        <v>0.99377224262382491</v>
      </c>
      <c r="X165" s="32">
        <f t="shared" si="12"/>
        <v>6.5317219842794495E-3</v>
      </c>
      <c r="Y165" s="452">
        <f t="shared" si="13"/>
        <v>1.2542317222317674E-3</v>
      </c>
    </row>
    <row r="166" spans="18:25" x14ac:dyDescent="0.2">
      <c r="R166" s="422">
        <f>_xll.qlCalendarAdvance(Calendar,R165,"1D","f")</f>
        <v>42300</v>
      </c>
      <c r="S166" s="449">
        <f>_xll.qlCalendarAdvance(Calendar,R166,$F$1,"mf",,Trigger)</f>
        <v>42485</v>
      </c>
      <c r="T166" s="450">
        <f>_xll.qlDayCounterYearFraction(DayCounter,R166,S166,,,Trigger)</f>
        <v>0.50684931506849318</v>
      </c>
      <c r="U166" s="423">
        <f>_xll.qlInterpolationInterpolate(B6Minterpolation,R166,TRUE)</f>
        <v>2.5117935874207431E-3</v>
      </c>
      <c r="V166" s="345">
        <f>_xll.qlYieldTSDiscount(Discounting,R166,,AllTriggers)</f>
        <v>0.9970127851049787</v>
      </c>
      <c r="W166" s="345">
        <f>_xll.qlYieldTSDiscount(Discounting,S166,,AllTriggers)</f>
        <v>0.9937070227171011</v>
      </c>
      <c r="X166" s="32">
        <f t="shared" si="12"/>
        <v>6.5634837001749885E-3</v>
      </c>
      <c r="Y166" s="452">
        <f t="shared" si="13"/>
        <v>1.2680753333925876E-3</v>
      </c>
    </row>
    <row r="167" spans="18:25" x14ac:dyDescent="0.2">
      <c r="R167" s="422">
        <f>_xll.qlCalendarAdvance(Calendar,R166,"1D","f")</f>
        <v>42303</v>
      </c>
      <c r="S167" s="449">
        <f>_xll.qlCalendarAdvance(Calendar,R167,$F$1,"mf",,Trigger)</f>
        <v>42486</v>
      </c>
      <c r="T167" s="450">
        <f>_xll.qlDayCounterYearFraction(DayCounter,R167,S167,,,Trigger)</f>
        <v>0.50136986301369868</v>
      </c>
      <c r="U167" s="423">
        <f>_xll.qlInterpolationInterpolate(B6Minterpolation,R167,TRUE)</f>
        <v>2.5131646863401904E-3</v>
      </c>
      <c r="V167" s="345">
        <f>_xll.qlYieldTSDiscount(Discounting,R167,,AllTriggers)</f>
        <v>0.9969708095047124</v>
      </c>
      <c r="W167" s="345">
        <f>_xll.qlYieldTSDiscount(Discounting,S167,,AllTriggers)</f>
        <v>0.99368520636121094</v>
      </c>
      <c r="X167" s="32">
        <f t="shared" si="12"/>
        <v>6.5948975888068598E-3</v>
      </c>
      <c r="Y167" s="452">
        <f t="shared" si="13"/>
        <v>1.2550845652839011E-3</v>
      </c>
    </row>
    <row r="168" spans="18:25" x14ac:dyDescent="0.2">
      <c r="R168" s="422">
        <f>_xll.qlCalendarAdvance(Calendar,R167,"1D","f")</f>
        <v>42304</v>
      </c>
      <c r="S168" s="449">
        <f>_xll.qlCalendarAdvance(Calendar,R168,$F$1,"mf",,Trigger)</f>
        <v>42487</v>
      </c>
      <c r="T168" s="450">
        <f>_xll.qlDayCounterYearFraction(DayCounter,R168,S168,,,Trigger)</f>
        <v>0.50136986301369868</v>
      </c>
      <c r="U168" s="423">
        <f>_xll.qlInterpolationInterpolate(B6Minterpolation,R168,TRUE)</f>
        <v>2.5136611545273557E-3</v>
      </c>
      <c r="V168" s="345">
        <f>_xll.qlYieldTSDiscount(Discounting,R168,,AllTriggers)</f>
        <v>0.99695668746880095</v>
      </c>
      <c r="W168" s="345">
        <f>_xll.qlYieldTSDiscount(Discounting,S168,,AllTriggers)</f>
        <v>0.99366335148029961</v>
      </c>
      <c r="X168" s="32">
        <f t="shared" si="12"/>
        <v>6.6105644287828879E-3</v>
      </c>
      <c r="Y168" s="452">
        <f t="shared" si="13"/>
        <v>1.2553225261911147E-3</v>
      </c>
    </row>
    <row r="169" spans="18:25" x14ac:dyDescent="0.2">
      <c r="R169" s="422">
        <f>_xll.qlCalendarAdvance(Calendar,R168,"1D","f")</f>
        <v>42305</v>
      </c>
      <c r="S169" s="449">
        <f>_xll.qlCalendarAdvance(Calendar,R169,$F$1,"mf",,Trigger)</f>
        <v>42488</v>
      </c>
      <c r="T169" s="450">
        <f>_xll.qlDayCounterYearFraction(DayCounter,R169,S169,,,Trigger)</f>
        <v>0.50136986301369868</v>
      </c>
      <c r="U169" s="423">
        <f>_xll.qlInterpolationInterpolate(B6Minterpolation,R169,TRUE)</f>
        <v>2.5141770316511269E-3</v>
      </c>
      <c r="V169" s="345">
        <f>_xll.qlYieldTSDiscount(Discounting,R169,,AllTriggers)</f>
        <v>0.99694249551644909</v>
      </c>
      <c r="W169" s="345">
        <f>_xll.qlYieldTSDiscount(Discounting,S169,,AllTriggers)</f>
        <v>0.99364145787548208</v>
      </c>
      <c r="X169" s="32">
        <f t="shared" si="12"/>
        <v>6.6261696034273319E-3</v>
      </c>
      <c r="Y169" s="452">
        <f t="shared" si="13"/>
        <v>1.2555702086461231E-3</v>
      </c>
    </row>
    <row r="170" spans="18:25" x14ac:dyDescent="0.2">
      <c r="R170" s="422">
        <f>_xll.qlCalendarAdvance(Calendar,R169,"1D","f")</f>
        <v>42306</v>
      </c>
      <c r="S170" s="449">
        <f>_xll.qlCalendarAdvance(Calendar,R170,$F$1,"mf",,Trigger)</f>
        <v>42489</v>
      </c>
      <c r="T170" s="450">
        <f>_xll.qlDayCounterYearFraction(DayCounter,R170,S170,,,Trigger)</f>
        <v>0.50136986301369868</v>
      </c>
      <c r="U170" s="423">
        <f>_xll.qlInterpolationInterpolate(B6Minterpolation,R170,TRUE)</f>
        <v>2.5147121325092637E-3</v>
      </c>
      <c r="V170" s="345">
        <f>_xll.qlYieldTSDiscount(Discounting,R170,,AllTriggers)</f>
        <v>0.99692823074880743</v>
      </c>
      <c r="W170" s="345">
        <f>_xll.qlYieldTSDiscount(Discounting,S170,,AllTriggers)</f>
        <v>0.99361952534789577</v>
      </c>
      <c r="X170" s="32">
        <f t="shared" si="12"/>
        <v>6.641707692016832E-3</v>
      </c>
      <c r="Y170" s="452">
        <f t="shared" si="13"/>
        <v>1.2558275234061972E-3</v>
      </c>
    </row>
    <row r="171" spans="18:25" x14ac:dyDescent="0.2">
      <c r="R171" s="422">
        <f>_xll.qlCalendarAdvance(Calendar,R170,"1D","f")</f>
        <v>42307</v>
      </c>
      <c r="S171" s="449">
        <f>_xll.qlCalendarAdvance(Calendar,R171,$F$1,"mf",,Trigger)</f>
        <v>42489</v>
      </c>
      <c r="T171" s="450">
        <f>_xll.qlDayCounterYearFraction(DayCounter,R171,S171,,,Trigger)</f>
        <v>0.49863013698630138</v>
      </c>
      <c r="U171" s="423">
        <f>_xll.qlInterpolationInterpolate(B6Minterpolation,R171,TRUE)</f>
        <v>2.515266271899525E-3</v>
      </c>
      <c r="V171" s="345">
        <f>_xll.qlYieldTSDiscount(Discounting,R171,,AllTriggers)</f>
        <v>0.99691389026720834</v>
      </c>
      <c r="W171" s="345">
        <f>_xll.qlYieldTSDiscount(Discounting,S171,,AllTriggers)</f>
        <v>0.99361952534789577</v>
      </c>
      <c r="X171" s="32">
        <f t="shared" si="12"/>
        <v>6.6492561551285611E-3</v>
      </c>
      <c r="Y171" s="452">
        <f t="shared" si="13"/>
        <v>1.2492623704026813E-3</v>
      </c>
    </row>
    <row r="172" spans="18:25" x14ac:dyDescent="0.2">
      <c r="R172" s="422">
        <f>_xll.qlCalendarAdvance(Calendar,R171,"1D","f")</f>
        <v>42310</v>
      </c>
      <c r="S172" s="449">
        <f>_xll.qlCalendarAdvance(Calendar,R172,$F$1,"mf",,Trigger)</f>
        <v>42493</v>
      </c>
      <c r="T172" s="450">
        <f>_xll.qlDayCounterYearFraction(DayCounter,R172,S172,,,Trigger)</f>
        <v>0.50136986301369868</v>
      </c>
      <c r="U172" s="423">
        <f>_xll.qlInterpolationInterpolate(B6Minterpolation,R172,TRUE)</f>
        <v>2.517041069240646E-3</v>
      </c>
      <c r="V172" s="345">
        <f>_xll.qlYieldTSDiscount(Discounting,R172,,AllTriggers)</f>
        <v>0.99687038555475904</v>
      </c>
      <c r="W172" s="345">
        <f>_xll.qlYieldTSDiscount(Discounting,S172,,AllTriggers)</f>
        <v>0.99353140203339319</v>
      </c>
      <c r="X172" s="32">
        <f t="shared" si="12"/>
        <v>6.7030807657509333E-3</v>
      </c>
      <c r="Y172" s="452">
        <f t="shared" si="13"/>
        <v>1.2569513209089306E-3</v>
      </c>
    </row>
    <row r="173" spans="18:25" x14ac:dyDescent="0.2">
      <c r="R173" s="422">
        <f>_xll.qlCalendarAdvance(Calendar,R172,"1D","f")</f>
        <v>42311</v>
      </c>
      <c r="S173" s="449">
        <f>_xll.qlCalendarAdvance(Calendar,R173,$F$1,"mf",,Trigger)</f>
        <v>42493</v>
      </c>
      <c r="T173" s="450">
        <f>_xll.qlDayCounterYearFraction(DayCounter,R173,S173,,,Trigger)</f>
        <v>0.49863013698630138</v>
      </c>
      <c r="U173" s="423">
        <f>_xll.qlInterpolationInterpolate(B6Minterpolation,R173,TRUE)</f>
        <v>2.5176695107369958E-3</v>
      </c>
      <c r="V173" s="345">
        <f>_xll.qlYieldTSDiscount(Discounting,R173,,AllTriggers)</f>
        <v>0.99685571323436273</v>
      </c>
      <c r="W173" s="345">
        <f>_xll.qlYieldTSDiscount(Discounting,S173,,AllTriggers)</f>
        <v>0.99353140203339319</v>
      </c>
      <c r="X173" s="32">
        <f t="shared" si="12"/>
        <v>6.7102940424970635E-3</v>
      </c>
      <c r="Y173" s="452">
        <f t="shared" si="13"/>
        <v>1.2504173385094448E-3</v>
      </c>
    </row>
    <row r="174" spans="18:25" x14ac:dyDescent="0.2">
      <c r="R174" s="422">
        <f>_xll.qlCalendarAdvance(Calendar,R173,"1D","f")</f>
        <v>42312</v>
      </c>
      <c r="S174" s="449">
        <f>_xll.qlCalendarAdvance(Calendar,R174,$F$1,"mf",,Trigger)</f>
        <v>42494</v>
      </c>
      <c r="T174" s="450">
        <f>_xll.qlDayCounterYearFraction(DayCounter,R174,S174,,,Trigger)</f>
        <v>0.49863013698630138</v>
      </c>
      <c r="U174" s="423">
        <f>_xll.qlInterpolationInterpolate(B6Minterpolation,R174,TRUE)</f>
        <v>2.5183160647542649E-3</v>
      </c>
      <c r="V174" s="345">
        <f>_xll.qlYieldTSDiscount(Discounting,R174,,AllTriggers)</f>
        <v>0.99684095171914266</v>
      </c>
      <c r="W174" s="345">
        <f>_xll.qlYieldTSDiscount(Discounting,S174,,AllTriggers)</f>
        <v>0.99350927190980798</v>
      </c>
      <c r="X174" s="32">
        <f t="shared" si="12"/>
        <v>6.7253177605918766E-3</v>
      </c>
      <c r="Y174" s="452">
        <f t="shared" si="13"/>
        <v>1.2507289206625078E-3</v>
      </c>
    </row>
    <row r="175" spans="18:25" x14ac:dyDescent="0.2">
      <c r="R175" s="422">
        <f>_xll.qlCalendarAdvance(Calendar,R174,"1D","f")</f>
        <v>42313</v>
      </c>
      <c r="S175" s="449">
        <f>_xll.qlCalendarAdvance(Calendar,R175,$F$1,"mf",,Trigger)</f>
        <v>42495</v>
      </c>
      <c r="T175" s="450">
        <f>_xll.qlDayCounterYearFraction(DayCounter,R175,S175,,,Trigger)</f>
        <v>0.49863013698630138</v>
      </c>
      <c r="U175" s="423">
        <f>_xll.qlInterpolationInterpolate(B6Minterpolation,R175,TRUE)</f>
        <v>2.5189805460902131E-3</v>
      </c>
      <c r="V175" s="345">
        <f>_xll.qlYieldTSDiscount(Discounting,R175,,AllTriggers)</f>
        <v>0.99682610315979614</v>
      </c>
      <c r="W175" s="345">
        <f>_xll.qlYieldTSDiscount(Discounting,S175,,AllTriggers)</f>
        <v>0.99348710167075027</v>
      </c>
      <c r="X175" s="32">
        <f t="shared" si="12"/>
        <v>6.7402476880256326E-3</v>
      </c>
      <c r="Y175" s="452">
        <f t="shared" si="13"/>
        <v>1.2510494543605919E-3</v>
      </c>
    </row>
    <row r="176" spans="18:25" x14ac:dyDescent="0.2">
      <c r="R176" s="422">
        <f>_xll.qlCalendarAdvance(Calendar,R175,"1D","f")</f>
        <v>42314</v>
      </c>
      <c r="S176" s="449">
        <f>_xll.qlCalendarAdvance(Calendar,R176,$F$1,"mf",,Trigger)</f>
        <v>42496</v>
      </c>
      <c r="T176" s="450">
        <f>_xll.qlDayCounterYearFraction(DayCounter,R176,S176,,,Trigger)</f>
        <v>0.49863013698630138</v>
      </c>
      <c r="U176" s="423">
        <f>_xll.qlInterpolationInterpolate(B6Minterpolation,R176,TRUE)</f>
        <v>2.5196627695425991E-3</v>
      </c>
      <c r="V176" s="345">
        <f>_xll.qlYieldTSDiscount(Discounting,R176,,AllTriggers)</f>
        <v>0.99681117071655501</v>
      </c>
      <c r="W176" s="345">
        <f>_xll.qlYieldTSDiscount(Discounting,S176,,AllTriggers)</f>
        <v>0.99346489111751535</v>
      </c>
      <c r="X176" s="32">
        <f t="shared" si="12"/>
        <v>6.7550906023193932E-3</v>
      </c>
      <c r="Y176" s="452">
        <f t="shared" si="13"/>
        <v>1.2513788433061112E-3</v>
      </c>
    </row>
    <row r="177" spans="18:25" x14ac:dyDescent="0.2">
      <c r="R177" s="422">
        <f>_xll.qlCalendarAdvance(Calendar,R176,"1D","f")</f>
        <v>42317</v>
      </c>
      <c r="S177" s="449">
        <f>_xll.qlCalendarAdvance(Calendar,R177,$F$1,"mf",,Trigger)</f>
        <v>42499</v>
      </c>
      <c r="T177" s="450">
        <f>_xll.qlDayCounterYearFraction(DayCounter,R177,S177,,,Trigger)</f>
        <v>0.49863013698630138</v>
      </c>
      <c r="U177" s="423">
        <f>_xll.qlInterpolationInterpolate(B6Minterpolation,R177,TRUE)</f>
        <v>2.5218140405759743E-3</v>
      </c>
      <c r="V177" s="345">
        <f>_xll.qlYieldTSDiscount(Discounting,R177,,AllTriggers)</f>
        <v>0.99676590168325374</v>
      </c>
      <c r="W177" s="345">
        <f>_xll.qlYieldTSDiscount(Discounting,S177,,AllTriggers)</f>
        <v>0.99339801558604568</v>
      </c>
      <c r="X177" s="32">
        <f t="shared" si="12"/>
        <v>6.7991650447352175E-3</v>
      </c>
      <c r="Y177" s="452">
        <f t="shared" si="13"/>
        <v>1.2524191786575894E-3</v>
      </c>
    </row>
    <row r="178" spans="18:25" x14ac:dyDescent="0.2">
      <c r="R178" s="422">
        <f>_xll.qlCalendarAdvance(Calendar,R177,"1D","f")</f>
        <v>42318</v>
      </c>
      <c r="S178" s="449">
        <f>_xll.qlCalendarAdvance(Calendar,R178,$F$1,"mf",,Trigger)</f>
        <v>42500</v>
      </c>
      <c r="T178" s="450">
        <f>_xll.qlDayCounterYearFraction(DayCounter,R178,S178,,,Trigger)</f>
        <v>0.49863013698630138</v>
      </c>
      <c r="U178" s="423">
        <f>_xll.qlInterpolationInterpolate(B6Minterpolation,R178,TRUE)</f>
        <v>2.5225653804717019E-3</v>
      </c>
      <c r="V178" s="345">
        <f>_xll.qlYieldTSDiscount(Discounting,R178,,AllTriggers)</f>
        <v>0.99675066530336431</v>
      </c>
      <c r="W178" s="345">
        <f>_xll.qlYieldTSDiscount(Discounting,S178,,AllTriggers)</f>
        <v>0.99337564178951565</v>
      </c>
      <c r="X178" s="32">
        <f t="shared" si="12"/>
        <v>6.8137276858784108E-3</v>
      </c>
      <c r="Y178" s="452">
        <f t="shared" si="13"/>
        <v>1.2527830256231266E-3</v>
      </c>
    </row>
    <row r="179" spans="18:25" x14ac:dyDescent="0.2">
      <c r="R179" s="422">
        <f>_xll.qlCalendarAdvance(Calendar,R178,"1D","f")</f>
        <v>42319</v>
      </c>
      <c r="S179" s="449">
        <f>_xll.qlCalendarAdvance(Calendar,R179,$F$1,"mf",,Trigger)</f>
        <v>42501</v>
      </c>
      <c r="T179" s="450">
        <f>_xll.qlDayCounterYearFraction(DayCounter,R179,S179,,,Trigger)</f>
        <v>0.49863013698630138</v>
      </c>
      <c r="U179" s="423">
        <f>_xll.qlInterpolationInterpolate(B6Minterpolation,R179,TRUE)</f>
        <v>2.5233335364726627E-3</v>
      </c>
      <c r="V179" s="345">
        <f>_xll.qlYieldTSDiscount(Discounting,R179,,AllTriggers)</f>
        <v>0.99673536083817715</v>
      </c>
      <c r="W179" s="345">
        <f>_xll.qlYieldTSDiscount(Discounting,S179,,AllTriggers)</f>
        <v>0.99335322668563086</v>
      </c>
      <c r="X179" s="32">
        <f t="shared" si="12"/>
        <v>6.8282372046125318E-3</v>
      </c>
      <c r="Y179" s="452">
        <f t="shared" si="13"/>
        <v>1.2531552463500154E-3</v>
      </c>
    </row>
    <row r="180" spans="18:25" x14ac:dyDescent="0.2">
      <c r="R180" s="422">
        <f>_xll.qlCalendarAdvance(Calendar,R179,"1D","f")</f>
        <v>42320</v>
      </c>
      <c r="S180" s="449">
        <f>_xll.qlCalendarAdvance(Calendar,R180,$F$1,"mf",,Trigger)</f>
        <v>42502</v>
      </c>
      <c r="T180" s="450">
        <f>_xll.qlDayCounterYearFraction(DayCounter,R180,S180,,,Trigger)</f>
        <v>0.49863013698630138</v>
      </c>
      <c r="U180" s="423">
        <f>_xll.qlInterpolationInterpolate(B6Minterpolation,R180,TRUE)</f>
        <v>2.5241183233766155E-3</v>
      </c>
      <c r="V180" s="345">
        <f>_xll.qlYieldTSDiscount(Discounting,R180,,AllTriggers)</f>
        <v>0.99671999144688228</v>
      </c>
      <c r="W180" s="345">
        <f>_xll.qlYieldTSDiscount(Discounting,S180,,AllTriggers)</f>
        <v>0.99333077007582526</v>
      </c>
      <c r="X180" s="32">
        <f t="shared" si="12"/>
        <v>6.8427003796939284E-3</v>
      </c>
      <c r="Y180" s="452">
        <f t="shared" si="13"/>
        <v>1.2535357445388048E-3</v>
      </c>
    </row>
    <row r="181" spans="18:25" x14ac:dyDescent="0.2">
      <c r="R181" s="422">
        <f>_xll.qlCalendarAdvance(Calendar,R180,"1D","f")</f>
        <v>42321</v>
      </c>
      <c r="S181" s="449">
        <f>_xll.qlCalendarAdvance(Calendar,R181,$F$1,"mf",,Trigger)</f>
        <v>42503</v>
      </c>
      <c r="T181" s="450">
        <f>_xll.qlDayCounterYearFraction(DayCounter,R181,S181,,,Trigger)</f>
        <v>0.49863013698630138</v>
      </c>
      <c r="U181" s="423">
        <f>_xll.qlInterpolationInterpolate(B6Minterpolation,R181,TRUE)</f>
        <v>2.5249195559813196E-3</v>
      </c>
      <c r="V181" s="345">
        <f>_xll.qlYieldTSDiscount(Discounting,R181,,AllTriggers)</f>
        <v>0.99670456028848842</v>
      </c>
      <c r="W181" s="345">
        <f>_xll.qlYieldTSDiscount(Discounting,S181,,AllTriggers)</f>
        <v>0.99330827176155634</v>
      </c>
      <c r="X181" s="32">
        <f t="shared" si="12"/>
        <v>6.8571239900753287E-3</v>
      </c>
      <c r="Y181" s="452">
        <f t="shared" si="13"/>
        <v>1.2539244238895394E-3</v>
      </c>
    </row>
    <row r="182" spans="18:25" x14ac:dyDescent="0.2">
      <c r="R182" s="422">
        <f>_xll.qlCalendarAdvance(Calendar,R181,"1D","f")</f>
        <v>42324</v>
      </c>
      <c r="S182" s="449">
        <f>_xll.qlCalendarAdvance(Calendar,R182,$F$1,"mf",,Trigger)</f>
        <v>42506</v>
      </c>
      <c r="T182" s="450">
        <f>_xll.qlDayCounterYearFraction(DayCounter,R182,S182,,,Trigger)</f>
        <v>0.49863013698630138</v>
      </c>
      <c r="U182" s="423">
        <f>_xll.qlInterpolationInterpolate(B6Minterpolation,R182,TRUE)</f>
        <v>2.5274200759775292E-3</v>
      </c>
      <c r="V182" s="345">
        <f>_xll.qlYieldTSDiscount(Discounting,R182,,AllTriggers)</f>
        <v>0.99665792779803364</v>
      </c>
      <c r="W182" s="345">
        <f>_xll.qlYieldTSDiscount(Discounting,S182,,AllTriggers)</f>
        <v>0.99324052460689771</v>
      </c>
      <c r="X182" s="32">
        <f t="shared" si="12"/>
        <v>6.9002252255010227E-3</v>
      </c>
      <c r="Y182" s="452">
        <f t="shared" si="13"/>
        <v>1.2551385858809608E-3</v>
      </c>
    </row>
    <row r="183" spans="18:25" x14ac:dyDescent="0.2">
      <c r="R183" s="422">
        <f>_xll.qlCalendarAdvance(Calendar,R182,"1D","f")</f>
        <v>42325</v>
      </c>
      <c r="S183" s="449">
        <f>_xll.qlCalendarAdvance(Calendar,R183,$F$1,"mf",,Trigger)</f>
        <v>42507</v>
      </c>
      <c r="T183" s="450">
        <f>_xll.qlDayCounterYearFraction(DayCounter,R183,S183,,,Trigger)</f>
        <v>0.49863013698630138</v>
      </c>
      <c r="U183" s="423">
        <f>_xll.qlInterpolationInterpolate(B6Minterpolation,R183,TRUE)</f>
        <v>2.5282852393628285E-3</v>
      </c>
      <c r="V183" s="345">
        <f>_xll.qlYieldTSDiscount(Discounting,R183,,AllTriggers)</f>
        <v>0.99664228115763043</v>
      </c>
      <c r="W183" s="345">
        <f>_xll.qlYieldTSDiscount(Discounting,S183,,AllTriggers)</f>
        <v>0.9932178574898215</v>
      </c>
      <c r="X183" s="32">
        <f t="shared" si="12"/>
        <v>6.9145583705400261E-3</v>
      </c>
      <c r="Y183" s="452">
        <f t="shared" si="13"/>
        <v>1.2555590268366285E-3</v>
      </c>
    </row>
    <row r="184" spans="18:25" x14ac:dyDescent="0.2">
      <c r="R184" s="422">
        <f>_xll.qlCalendarAdvance(Calendar,R183,"1D","f")</f>
        <v>42326</v>
      </c>
      <c r="S184" s="449">
        <f>_xll.qlCalendarAdvance(Calendar,R184,$F$1,"mf",,Trigger)</f>
        <v>42508</v>
      </c>
      <c r="T184" s="450">
        <f>_xll.qlDayCounterYearFraction(DayCounter,R184,S184,,,Trigger)</f>
        <v>0.49863013698630138</v>
      </c>
      <c r="U184" s="423">
        <f>_xll.qlInterpolationInterpolate(B6Minterpolation,R184,TRUE)</f>
        <v>2.5291659224376743E-3</v>
      </c>
      <c r="V184" s="345">
        <f>_xll.qlYieldTSDiscount(Discounting,R184,,AllTriggers)</f>
        <v>0.99662658854238106</v>
      </c>
      <c r="W184" s="345">
        <f>_xll.qlYieldTSDiscount(Discounting,S184,,AllTriggers)</f>
        <v>0.99319514767592321</v>
      </c>
      <c r="X184" s="32">
        <f t="shared" si="12"/>
        <v>6.9288858485803823E-3</v>
      </c>
      <c r="Y184" s="452">
        <f t="shared" si="13"/>
        <v>1.2559871674221173E-3</v>
      </c>
    </row>
    <row r="185" spans="18:25" x14ac:dyDescent="0.2">
      <c r="R185" s="422">
        <f>_xll.qlCalendarAdvance(Calendar,R184,"1D","f")</f>
        <v>42327</v>
      </c>
      <c r="S185" s="449">
        <f>_xll.qlCalendarAdvance(Calendar,R185,$F$1,"mf",,Trigger)</f>
        <v>42509</v>
      </c>
      <c r="T185" s="450">
        <f>_xll.qlDayCounterYearFraction(DayCounter,R185,S185,,,Trigger)</f>
        <v>0.49863013698630138</v>
      </c>
      <c r="U185" s="423">
        <f>_xll.qlInterpolationInterpolate(B6Minterpolation,R185,TRUE)</f>
        <v>2.5300619399998255E-3</v>
      </c>
      <c r="V185" s="345">
        <f>_xll.qlYieldTSDiscount(Discounting,R185,,AllTriggers)</f>
        <v>0.99661085311016617</v>
      </c>
      <c r="W185" s="345">
        <f>_xll.qlYieldTSDiscount(Discounting,S185,,AllTriggers)</f>
        <v>0.99317239496680265</v>
      </c>
      <c r="X185" s="32">
        <f t="shared" si="12"/>
        <v>6.9432144397437575E-3</v>
      </c>
      <c r="Y185" s="452">
        <f t="shared" si="13"/>
        <v>1.2564229113226351E-3</v>
      </c>
    </row>
    <row r="186" spans="18:25" x14ac:dyDescent="0.2">
      <c r="R186" s="422">
        <f>_xll.qlCalendarAdvance(Calendar,R185,"1D","f")</f>
        <v>42328</v>
      </c>
      <c r="S186" s="449">
        <f>_xll.qlCalendarAdvance(Calendar,R186,$F$1,"mf",,Trigger)</f>
        <v>42510</v>
      </c>
      <c r="T186" s="450">
        <f>_xll.qlDayCounterYearFraction(DayCounter,R186,S186,,,Trigger)</f>
        <v>0.49863013698630138</v>
      </c>
      <c r="U186" s="423">
        <f>_xll.qlInterpolationInterpolate(B6Minterpolation,R186,TRUE)</f>
        <v>2.5309731068470409E-3</v>
      </c>
      <c r="V186" s="345">
        <f>_xll.qlYieldTSDiscount(Discounting,R186,,AllTriggers)</f>
        <v>0.99659507801867309</v>
      </c>
      <c r="W186" s="345">
        <f>_xll.qlYieldTSDiscount(Discounting,S186,,AllTriggers)</f>
        <v>0.99314959916408341</v>
      </c>
      <c r="X186" s="32">
        <f t="shared" si="12"/>
        <v>6.9575509243450812E-3</v>
      </c>
      <c r="Y186" s="452">
        <f t="shared" si="13"/>
        <v>1.2568661622202779E-3</v>
      </c>
    </row>
    <row r="187" spans="18:25" x14ac:dyDescent="0.2">
      <c r="R187" s="422">
        <f>_xll.qlCalendarAdvance(Calendar,R186,"1D","f")</f>
        <v>42331</v>
      </c>
      <c r="S187" s="449">
        <f>_xll.qlCalendarAdvance(Calendar,R187,$F$1,"mf",,Trigger)</f>
        <v>42513</v>
      </c>
      <c r="T187" s="450">
        <f>_xll.qlDayCounterYearFraction(DayCounter,R187,S187,,,Trigger)</f>
        <v>0.49863013698630138</v>
      </c>
      <c r="U187" s="423">
        <f>_xll.qlInterpolationInterpolate(B6Minterpolation,R187,TRUE)</f>
        <v>2.5337956510766658E-3</v>
      </c>
      <c r="V187" s="345">
        <f>_xll.qlYieldTSDiscount(Discounting,R187,,AllTriggers)</f>
        <v>0.99654754636246579</v>
      </c>
      <c r="W187" s="345">
        <f>_xll.qlYieldTSDiscount(Discounting,S187,,AllTriggers)</f>
        <v>0.99308095121093121</v>
      </c>
      <c r="X187" s="32">
        <f t="shared" si="12"/>
        <v>7.0006755448276756E-3</v>
      </c>
      <c r="Y187" s="452">
        <f t="shared" si="13"/>
        <v>1.2582399936690615E-3</v>
      </c>
    </row>
    <row r="188" spans="18:25" x14ac:dyDescent="0.2">
      <c r="R188" s="422">
        <f>_xll.qlCalendarAdvance(Calendar,R187,"1D","f")</f>
        <v>42332</v>
      </c>
      <c r="S188" s="449">
        <f>_xll.qlCalendarAdvance(Calendar,R188,$F$1,"mf",,Trigger)</f>
        <v>42514</v>
      </c>
      <c r="T188" s="450">
        <f>_xll.qlDayCounterYearFraction(DayCounter,R188,S188,,,Trigger)</f>
        <v>0.49863013698630138</v>
      </c>
      <c r="U188" s="423">
        <f>_xll.qlInterpolationInterpolate(B6Minterpolation,R188,TRUE)</f>
        <v>2.5347655630417304E-3</v>
      </c>
      <c r="V188" s="345">
        <f>_xll.qlYieldTSDiscount(Discounting,R188,,AllTriggers)</f>
        <v>0.99653164420681695</v>
      </c>
      <c r="W188" s="345">
        <f>_xll.qlYieldTSDiscount(Discounting,S188,,AllTriggers)</f>
        <v>0.99305798105053622</v>
      </c>
      <c r="X188" s="32">
        <f t="shared" si="12"/>
        <v>7.0151114102020547E-3</v>
      </c>
      <c r="Y188" s="452">
        <f t="shared" si="13"/>
        <v>1.2587123093079726E-3</v>
      </c>
    </row>
    <row r="189" spans="18:25" x14ac:dyDescent="0.2">
      <c r="R189" s="422">
        <f>_xll.qlCalendarAdvance(Calendar,R188,"1D","f")</f>
        <v>42333</v>
      </c>
      <c r="S189" s="449">
        <f>_xll.qlCalendarAdvance(Calendar,R189,$F$1,"mf",,Trigger)</f>
        <v>42515</v>
      </c>
      <c r="T189" s="450">
        <f>_xll.qlDayCounterYearFraction(DayCounter,R189,S189,,,Trigger)</f>
        <v>0.49863013698630138</v>
      </c>
      <c r="U189" s="423">
        <f>_xll.qlInterpolationInterpolate(B6Minterpolation,R189,TRUE)</f>
        <v>2.5357496982806546E-3</v>
      </c>
      <c r="V189" s="345">
        <f>_xll.qlYieldTSDiscount(Discounting,R189,,AllTriggers)</f>
        <v>0.99651571817738083</v>
      </c>
      <c r="W189" s="345">
        <f>_xll.qlYieldTSDiscount(Discounting,S189,,AllTriggers)</f>
        <v>0.99303496680502346</v>
      </c>
      <c r="X189" s="32">
        <f t="shared" si="12"/>
        <v>7.0295890734991271E-3</v>
      </c>
      <c r="Y189" s="452">
        <f t="shared" si="13"/>
        <v>1.2591916502994152E-3</v>
      </c>
    </row>
    <row r="190" spans="18:25" x14ac:dyDescent="0.2">
      <c r="R190" s="422">
        <f>_xll.qlCalendarAdvance(Calendar,R189,"1D","f")</f>
        <v>42334</v>
      </c>
      <c r="S190" s="449">
        <f>_xll.qlCalendarAdvance(Calendar,R190,$F$1,"mf",,Trigger)</f>
        <v>42516</v>
      </c>
      <c r="T190" s="450">
        <f>_xll.qlDayCounterYearFraction(DayCounter,R190,S190,,,Trigger)</f>
        <v>0.49863013698630138</v>
      </c>
      <c r="U190" s="423">
        <f>_xll.qlInterpolationInterpolate(B6Minterpolation,R190,TRUE)</f>
        <v>2.5367478715911974E-3</v>
      </c>
      <c r="V190" s="345">
        <f>_xll.qlYieldTSDiscount(Discounting,R190,,AllTriggers)</f>
        <v>0.99649977143065949</v>
      </c>
      <c r="W190" s="345">
        <f>_xll.qlYieldTSDiscount(Discounting,S190,,AllTriggers)</f>
        <v>0.99301190827616248</v>
      </c>
      <c r="X190" s="32">
        <f t="shared" si="12"/>
        <v>7.0441153162032043E-3</v>
      </c>
      <c r="Y190" s="452">
        <f t="shared" si="13"/>
        <v>1.2596779203016422E-3</v>
      </c>
    </row>
    <row r="191" spans="18:25" x14ac:dyDescent="0.2">
      <c r="R191" s="422">
        <f>_xll.qlCalendarAdvance(Calendar,R190,"1D","f")</f>
        <v>42335</v>
      </c>
      <c r="S191" s="449">
        <f>_xll.qlCalendarAdvance(Calendar,R191,$F$1,"mf",,Trigger)</f>
        <v>42517</v>
      </c>
      <c r="T191" s="450">
        <f>_xll.qlDayCounterYearFraction(DayCounter,R191,S191,,,Trigger)</f>
        <v>0.49863013698630138</v>
      </c>
      <c r="U191" s="423">
        <f>_xll.qlInterpolationInterpolate(B6Minterpolation,R191,TRUE)</f>
        <v>2.5377598977711184E-3</v>
      </c>
      <c r="V191" s="345">
        <f>_xll.qlYieldTSDiscount(Discounting,R191,,AllTriggers)</f>
        <v>0.99648380712295459</v>
      </c>
      <c r="W191" s="345">
        <f>_xll.qlYieldTSDiscount(Discounting,S191,,AllTriggers)</f>
        <v>0.99298880526574718</v>
      </c>
      <c r="X191" s="32">
        <f t="shared" si="12"/>
        <v>7.0586969199985423E-3</v>
      </c>
      <c r="Y191" s="452">
        <f t="shared" si="13"/>
        <v>1.2601710229682914E-3</v>
      </c>
    </row>
    <row r="192" spans="18:25" x14ac:dyDescent="0.2">
      <c r="R192" s="422">
        <f>_xll.qlCalendarAdvance(Calendar,R191,"1D","f")</f>
        <v>42338</v>
      </c>
      <c r="S192" s="449">
        <f>_xll.qlCalendarAdvance(Calendar,R192,$F$1,"mf",,Trigger)</f>
        <v>42521</v>
      </c>
      <c r="T192" s="450">
        <f>_xll.qlDayCounterYearFraction(DayCounter,R192,S192,,,Trigger)</f>
        <v>0.50136986301369868</v>
      </c>
      <c r="U192" s="423">
        <f>_xll.qlInterpolationInterpolate(B6Minterpolation,R192,TRUE)</f>
        <v>2.5408772415047389E-3</v>
      </c>
      <c r="V192" s="345">
        <f>_xll.qlYieldTSDiscount(Discounting,R192,,AllTriggers)</f>
        <v>0.99643584039393485</v>
      </c>
      <c r="W192" s="345">
        <f>_xll.qlYieldTSDiscount(Discounting,S192,,AllTriggers)</f>
        <v>0.99289594444528939</v>
      </c>
      <c r="X192" s="32">
        <f t="shared" si="12"/>
        <v>7.1109648932316909E-3</v>
      </c>
      <c r="Y192" s="452">
        <f t="shared" si="13"/>
        <v>1.2685886037213491E-3</v>
      </c>
    </row>
    <row r="193" spans="18:25" x14ac:dyDescent="0.2">
      <c r="R193" s="422">
        <f>_xll.qlCalendarAdvance(Calendar,R192,"1D","f")</f>
        <v>42339</v>
      </c>
      <c r="S193" s="449">
        <f>_xll.qlCalendarAdvance(Calendar,R193,$F$1,"mf",,Trigger)</f>
        <v>42522</v>
      </c>
      <c r="T193" s="450">
        <f>_xll.qlDayCounterYearFraction(DayCounter,R193,S193,,,Trigger)</f>
        <v>0.50136986301369868</v>
      </c>
      <c r="U193" s="423">
        <f>_xll.qlInterpolationInterpolate(B6Minterpolation,R193,TRUE)</f>
        <v>2.5419428271397618E-3</v>
      </c>
      <c r="V193" s="345">
        <f>_xll.qlYieldTSDiscount(Discounting,R193,,AllTriggers)</f>
        <v>0.99641983740128215</v>
      </c>
      <c r="W193" s="345">
        <f>_xll.qlYieldTSDiscount(Discounting,S193,,AllTriggers)</f>
        <v>0.9928726160548802</v>
      </c>
      <c r="X193" s="32">
        <f t="shared" si="12"/>
        <v>7.1258476215323848E-3</v>
      </c>
      <c r="Y193" s="452">
        <f t="shared" si="13"/>
        <v>1.2691108530675204E-3</v>
      </c>
    </row>
    <row r="194" spans="18:25" x14ac:dyDescent="0.2">
      <c r="R194" s="422">
        <f>_xll.qlCalendarAdvance(Calendar,R193,"1D","f")</f>
        <v>42340</v>
      </c>
      <c r="S194" s="449">
        <f>_xll.qlCalendarAdvance(Calendar,R194,$F$1,"mf",,Trigger)</f>
        <v>42523</v>
      </c>
      <c r="T194" s="450">
        <f>_xll.qlDayCounterYearFraction(DayCounter,R194,S194,,,Trigger)</f>
        <v>0.50136986301369868</v>
      </c>
      <c r="U194" s="423">
        <f>_xll.qlInterpolationInterpolate(B6Minterpolation,R194,TRUE)</f>
        <v>2.543021339632958E-3</v>
      </c>
      <c r="V194" s="345">
        <f>_xll.qlYieldTSDiscount(Discounting,R194,,AllTriggers)</f>
        <v>0.99640383262612842</v>
      </c>
      <c r="W194" s="345">
        <f>_xll.qlYieldTSDiscount(Discounting,S194,,AllTriggers)</f>
        <v>0.99284924199420244</v>
      </c>
      <c r="X194" s="32">
        <f t="shared" si="12"/>
        <v>7.1408195438488345E-3</v>
      </c>
      <c r="Y194" s="452">
        <f t="shared" si="13"/>
        <v>1.2696394876585838E-3</v>
      </c>
    </row>
    <row r="195" spans="18:25" x14ac:dyDescent="0.2">
      <c r="R195" s="422">
        <f>_xll.qlCalendarAdvance(Calendar,R194,"1D","f")</f>
        <v>42341</v>
      </c>
      <c r="S195" s="449">
        <f>_xll.qlCalendarAdvance(Calendar,R195,$F$1,"mf",,Trigger)</f>
        <v>42524</v>
      </c>
      <c r="T195" s="450">
        <f>_xll.qlDayCounterYearFraction(DayCounter,R195,S195,,,Trigger)</f>
        <v>0.50136986301369868</v>
      </c>
      <c r="U195" s="423">
        <f>_xll.qlInterpolationInterpolate(B6Minterpolation,R195,TRUE)</f>
        <v>2.5441125937820863E-3</v>
      </c>
      <c r="V195" s="345">
        <f>_xll.qlYieldTSDiscount(Discounting,R195,,AllTriggers)</f>
        <v>0.99638782922356262</v>
      </c>
      <c r="W195" s="345">
        <f>_xll.qlYieldTSDiscount(Discounting,S195,,AllTriggers)</f>
        <v>0.99282582206522496</v>
      </c>
      <c r="X195" s="32">
        <f t="shared" si="12"/>
        <v>7.155887406217914E-3</v>
      </c>
      <c r="Y195" s="452">
        <f t="shared" si="13"/>
        <v>1.2701744105869533E-3</v>
      </c>
    </row>
    <row r="196" spans="18:25" x14ac:dyDescent="0.2">
      <c r="R196" s="422">
        <f>_xll.qlCalendarAdvance(Calendar,R195,"1D","f")</f>
        <v>42342</v>
      </c>
      <c r="S196" s="449">
        <f>_xll.qlCalendarAdvance(Calendar,R196,$F$1,"mf",,Trigger)</f>
        <v>42527</v>
      </c>
      <c r="T196" s="450">
        <f>_xll.qlDayCounterYearFraction(DayCounter,R196,S196,,,Trigger)</f>
        <v>0.50684931506849318</v>
      </c>
      <c r="U196" s="423">
        <f>_xll.qlInterpolationInterpolate(B6Minterpolation,R196,TRUE)</f>
        <v>2.545214484492484E-3</v>
      </c>
      <c r="V196" s="345">
        <f>_xll.qlYieldTSDiscount(Discounting,R196,,AllTriggers)</f>
        <v>0.99637182973667515</v>
      </c>
      <c r="W196" s="345">
        <f>_xll.qlYieldTSDiscount(Discounting,S196,,AllTriggers)</f>
        <v>0.9927552861446528</v>
      </c>
      <c r="X196" s="32">
        <f t="shared" ref="X196:X259" si="14">(V196/W196-1)/T196</f>
        <v>7.1874135169290709E-3</v>
      </c>
      <c r="Y196" s="452">
        <f t="shared" ref="Y196:Y259" si="15">LN((1+(U196+X196)*T196)/(1+X196*T196))</f>
        <v>1.2845323775851616E-3</v>
      </c>
    </row>
    <row r="197" spans="18:25" x14ac:dyDescent="0.2">
      <c r="R197" s="422">
        <f>_xll.qlCalendarAdvance(Calendar,R196,"1D","f")</f>
        <v>42345</v>
      </c>
      <c r="S197" s="449">
        <f>_xll.qlCalendarAdvance(Calendar,R197,$F$1,"mf",,Trigger)</f>
        <v>42528</v>
      </c>
      <c r="T197" s="450">
        <f>_xll.qlDayCounterYearFraction(DayCounter,R197,S197,,,Trigger)</f>
        <v>0.50136986301369868</v>
      </c>
      <c r="U197" s="423">
        <f>_xll.qlInterpolationInterpolate(B6Minterpolation,R197,TRUE)</f>
        <v>2.5485703363142828E-3</v>
      </c>
      <c r="V197" s="345">
        <f>_xll.qlYieldTSDiscount(Discounting,R197,,AllTriggers)</f>
        <v>0.99632385328080708</v>
      </c>
      <c r="W197" s="345">
        <f>_xll.qlYieldTSDiscount(Discounting,S197,,AllTriggers)</f>
        <v>0.99273168220984764</v>
      </c>
      <c r="X197" s="32">
        <f t="shared" si="14"/>
        <v>7.2171694730802068E-3</v>
      </c>
      <c r="Y197" s="452">
        <f t="shared" si="15"/>
        <v>1.2723596404418925E-3</v>
      </c>
    </row>
    <row r="198" spans="18:25" x14ac:dyDescent="0.2">
      <c r="R198" s="422">
        <f>_xll.qlCalendarAdvance(Calendar,R197,"1D","f")</f>
        <v>42346</v>
      </c>
      <c r="S198" s="449">
        <f>_xll.qlCalendarAdvance(Calendar,R198,$F$1,"mf",,Trigger)</f>
        <v>42529</v>
      </c>
      <c r="T198" s="450">
        <f>_xll.qlDayCounterYearFraction(DayCounter,R198,S198,,,Trigger)</f>
        <v>0.50136986301369868</v>
      </c>
      <c r="U198" s="423">
        <f>_xll.qlInterpolationInterpolate(B6Minterpolation,R198,TRUE)</f>
        <v>2.5497049510192532E-3</v>
      </c>
      <c r="V198" s="345">
        <f>_xll.qlYieldTSDiscount(Discounting,R198,,AllTriggers)</f>
        <v>0.99630786674389127</v>
      </c>
      <c r="W198" s="345">
        <f>_xll.qlYieldTSDiscount(Discounting,S198,,AllTriggers)</f>
        <v>0.9927080323556019</v>
      </c>
      <c r="X198" s="32">
        <f t="shared" si="14"/>
        <v>7.232738445135352E-3</v>
      </c>
      <c r="Y198" s="452">
        <f t="shared" si="15"/>
        <v>1.2729158361636467E-3</v>
      </c>
    </row>
    <row r="199" spans="18:25" x14ac:dyDescent="0.2">
      <c r="R199" s="422">
        <f>_xll.qlCalendarAdvance(Calendar,R198,"1D","f")</f>
        <v>42347</v>
      </c>
      <c r="S199" s="449">
        <f>_xll.qlCalendarAdvance(Calendar,R199,$F$1,"mf",,Trigger)</f>
        <v>42530</v>
      </c>
      <c r="T199" s="450">
        <f>_xll.qlDayCounterYearFraction(DayCounter,R199,S199,,,Trigger)</f>
        <v>0.50136986301369868</v>
      </c>
      <c r="U199" s="423">
        <f>_xll.qlInterpolationInterpolate(B6Minterpolation,R199,TRUE)</f>
        <v>2.5508471998734925E-3</v>
      </c>
      <c r="V199" s="345">
        <f>_xll.qlYieldTSDiscount(Discounting,R199,,AllTriggers)</f>
        <v>0.99629188215463305</v>
      </c>
      <c r="W199" s="345">
        <f>_xll.qlYieldTSDiscount(Discounting,S199,,AllTriggers)</f>
        <v>0.99268433661864031</v>
      </c>
      <c r="X199" s="32">
        <f t="shared" si="14"/>
        <v>7.2484045964806192E-3</v>
      </c>
      <c r="Y199" s="452">
        <f t="shared" si="15"/>
        <v>1.2734757699605157E-3</v>
      </c>
    </row>
    <row r="200" spans="18:25" x14ac:dyDescent="0.2">
      <c r="R200" s="422">
        <f>_xll.qlCalendarAdvance(Calendar,R199,"1D","f")</f>
        <v>42348</v>
      </c>
      <c r="S200" s="449">
        <f>_xll.qlCalendarAdvance(Calendar,R200,$F$1,"mf",,Trigger)</f>
        <v>42531</v>
      </c>
      <c r="T200" s="450">
        <f>_xll.qlDayCounterYearFraction(DayCounter,R200,S200,,,Trigger)</f>
        <v>0.50136986301369868</v>
      </c>
      <c r="U200" s="423">
        <f>_xll.qlInterpolationInterpolate(B6Minterpolation,R200,TRUE)</f>
        <v>2.5519968641372517E-3</v>
      </c>
      <c r="V200" s="345">
        <f>_xll.qlYieldTSDiscount(Discounting,R200,,AllTriggers)</f>
        <v>0.9962758989971644</v>
      </c>
      <c r="W200" s="345">
        <f>_xll.qlYieldTSDiscount(Discounting,S200,,AllTriggers)</f>
        <v>0.99266059503569071</v>
      </c>
      <c r="X200" s="32">
        <f t="shared" si="14"/>
        <v>7.2641668256567503E-3</v>
      </c>
      <c r="Y200" s="452">
        <f t="shared" si="15"/>
        <v>1.2740393332256515E-3</v>
      </c>
    </row>
    <row r="201" spans="18:25" x14ac:dyDescent="0.2">
      <c r="R201" s="422">
        <f>_xll.qlCalendarAdvance(Calendar,R200,"1D","f")</f>
        <v>42349</v>
      </c>
      <c r="S201" s="449">
        <f>_xll.qlCalendarAdvance(Calendar,R201,$F$1,"mf",,Trigger)</f>
        <v>42534</v>
      </c>
      <c r="T201" s="450">
        <f>_xll.qlDayCounterYearFraction(DayCounter,R201,S201,,,Trigger)</f>
        <v>0.50684931506849318</v>
      </c>
      <c r="U201" s="423">
        <f>_xll.qlInterpolationInterpolate(B6Minterpolation,R201,TRUE)</f>
        <v>2.5531537250707815E-3</v>
      </c>
      <c r="V201" s="345">
        <f>_xll.qlYieldTSDiscount(Discounting,R201,,AllTriggers)</f>
        <v>0.9962599167556504</v>
      </c>
      <c r="W201" s="345">
        <f>_xll.qlYieldTSDiscount(Discounting,S201,,AllTriggers)</f>
        <v>0.9925890955782406</v>
      </c>
      <c r="X201" s="32">
        <f t="shared" si="14"/>
        <v>7.2965046703715878E-3</v>
      </c>
      <c r="Y201" s="452">
        <f t="shared" si="15"/>
        <v>1.2884656768293449E-3</v>
      </c>
    </row>
    <row r="202" spans="18:25" x14ac:dyDescent="0.2">
      <c r="R202" s="422">
        <f>_xll.qlCalendarAdvance(Calendar,R201,"1D","f")</f>
        <v>42352</v>
      </c>
      <c r="S202" s="449">
        <f>_xll.qlCalendarAdvance(Calendar,R202,$F$1,"mf",,Trigger)</f>
        <v>42535</v>
      </c>
      <c r="T202" s="450">
        <f>_xll.qlDayCounterYearFraction(DayCounter,R202,S202,,,Trigger)</f>
        <v>0.50136986301369868</v>
      </c>
      <c r="U202" s="423">
        <f>_xll.qlInterpolationInterpolate(B6Minterpolation,R202,TRUE)</f>
        <v>2.5566653004924968E-3</v>
      </c>
      <c r="V202" s="345">
        <f>_xll.qlYieldTSDiscount(Discounting,R202,,AllTriggers)</f>
        <v>0.99621197036898534</v>
      </c>
      <c r="W202" s="345">
        <f>_xll.qlYieldTSDiscount(Discounting,S202,,AllTriggers)</f>
        <v>0.99256517097868124</v>
      </c>
      <c r="X202" s="32">
        <f t="shared" si="14"/>
        <v>7.3281544907681899E-3</v>
      </c>
      <c r="Y202" s="452">
        <f t="shared" si="15"/>
        <v>1.276327708951363E-3</v>
      </c>
    </row>
    <row r="203" spans="18:25" x14ac:dyDescent="0.2">
      <c r="R203" s="422">
        <f>_xll.qlCalendarAdvance(Calendar,R202,"1D","f")</f>
        <v>42353</v>
      </c>
      <c r="S203" s="449">
        <f>_xll.qlCalendarAdvance(Calendar,R203,$F$1,"mf",,Trigger)</f>
        <v>42536</v>
      </c>
      <c r="T203" s="450">
        <f>_xll.qlDayCounterYearFraction(DayCounter,R203,S203,,,Trigger)</f>
        <v>0.50136986301369868</v>
      </c>
      <c r="U203" s="423">
        <f>_xll.qlInterpolationInterpolate(B6Minterpolation,R203,TRUE)</f>
        <v>2.5578487607076129E-3</v>
      </c>
      <c r="V203" s="345">
        <f>_xll.qlYieldTSDiscount(Discounting,R203,,AllTriggers)</f>
        <v>0.9961959866336042</v>
      </c>
      <c r="W203" s="345">
        <f>_xll.qlYieldTSDiscount(Discounting,S203,,AllTriggers)</f>
        <v>0.9925412007168205</v>
      </c>
      <c r="X203" s="32">
        <f t="shared" si="14"/>
        <v>7.3443805864790304E-3</v>
      </c>
      <c r="Y203" s="452">
        <f t="shared" si="15"/>
        <v>1.2769077905806095E-3</v>
      </c>
    </row>
    <row r="204" spans="18:25" x14ac:dyDescent="0.2">
      <c r="R204" s="422">
        <f>_xll.qlCalendarAdvance(Calendar,R203,"1D","f")</f>
        <v>42354</v>
      </c>
      <c r="S204" s="449">
        <f>_xll.qlCalendarAdvance(Calendar,R204,$F$1,"mf",,Trigger)</f>
        <v>42537</v>
      </c>
      <c r="T204" s="450">
        <f>_xll.qlDayCounterYearFraction(DayCounter,R204,S204,,,Trigger)</f>
        <v>0.50136986301369868</v>
      </c>
      <c r="U204" s="423">
        <f>_xll.qlInterpolationInterpolate(B6Minterpolation,R204,TRUE)</f>
        <v>2.5590383238937517E-3</v>
      </c>
      <c r="V204" s="345">
        <f>_xll.qlYieldTSDiscount(Discounting,R204,,AllTriggers)</f>
        <v>0.9961800012355001</v>
      </c>
      <c r="W204" s="345">
        <f>_xll.qlYieldTSDiscount(Discounting,S204,,AllTriggers)</f>
        <v>0.99251718482940499</v>
      </c>
      <c r="X204" s="32">
        <f t="shared" si="14"/>
        <v>7.3606961508165562E-3</v>
      </c>
      <c r="Y204" s="452">
        <f t="shared" si="15"/>
        <v>1.2774908501159755E-3</v>
      </c>
    </row>
    <row r="205" spans="18:25" x14ac:dyDescent="0.2">
      <c r="R205" s="422">
        <f>_xll.qlCalendarAdvance(Calendar,R204,"1D","f")</f>
        <v>42355</v>
      </c>
      <c r="S205" s="449">
        <f>_xll.qlCalendarAdvance(Calendar,R205,$F$1,"mf",,Trigger)</f>
        <v>42538</v>
      </c>
      <c r="T205" s="450">
        <f>_xll.qlDayCounterYearFraction(DayCounter,R205,S205,,,Trigger)</f>
        <v>0.50136986301369868</v>
      </c>
      <c r="U205" s="423">
        <f>_xll.qlInterpolationInterpolate(B6Minterpolation,R205,TRUE)</f>
        <v>2.5602337713111637E-3</v>
      </c>
      <c r="V205" s="345">
        <f>_xll.qlYieldTSDiscount(Discounting,R205,,AllTriggers)</f>
        <v>0.99616401365903695</v>
      </c>
      <c r="W205" s="345">
        <f>_xll.qlYieldTSDiscount(Discounting,S205,,AllTriggers)</f>
        <v>0.99249312335318451</v>
      </c>
      <c r="X205" s="32">
        <f t="shared" si="14"/>
        <v>7.3771000821647309E-3</v>
      </c>
      <c r="Y205" s="452">
        <f t="shared" si="15"/>
        <v>1.2780767789780678E-3</v>
      </c>
    </row>
    <row r="206" spans="18:25" x14ac:dyDescent="0.2">
      <c r="R206" s="422">
        <f>_xll.qlCalendarAdvance(Calendar,R205,"1D","f")</f>
        <v>42356</v>
      </c>
      <c r="S206" s="449">
        <f>_xll.qlCalendarAdvance(Calendar,R206,$F$1,"mf",,Trigger)</f>
        <v>42541</v>
      </c>
      <c r="T206" s="450">
        <f>_xll.qlDayCounterYearFraction(DayCounter,R206,S206,,,Trigger)</f>
        <v>0.50684931506849318</v>
      </c>
      <c r="U206" s="423">
        <f>_xll.qlInterpolationInterpolate(B6Minterpolation,R206,TRUE)</f>
        <v>2.5614348842200995E-3</v>
      </c>
      <c r="V206" s="345">
        <f>_xll.qlYieldTSDiscount(Discounting,R206,,AllTriggers)</f>
        <v>0.99614802338861175</v>
      </c>
      <c r="W206" s="345">
        <f>_xll.qlYieldTSDiscount(Discounting,S206,,AllTriggers)</f>
        <v>0.99242066575923482</v>
      </c>
      <c r="X206" s="32">
        <f t="shared" si="14"/>
        <v>7.4101397896015582E-3</v>
      </c>
      <c r="Y206" s="452">
        <f t="shared" si="15"/>
        <v>1.2925679935218114E-3</v>
      </c>
    </row>
    <row r="207" spans="18:25" x14ac:dyDescent="0.2">
      <c r="R207" s="422">
        <f>_xll.qlCalendarAdvance(Calendar,R206,"1D","f")</f>
        <v>42359</v>
      </c>
      <c r="S207" s="449">
        <f>_xll.qlCalendarAdvance(Calendar,R207,$F$1,"mf",,Trigger)</f>
        <v>42542</v>
      </c>
      <c r="T207" s="450">
        <f>_xll.qlDayCounterYearFraction(DayCounter,R207,S207,,,Trigger)</f>
        <v>0.50136986301369868</v>
      </c>
      <c r="U207" s="423">
        <f>_xll.qlInterpolationInterpolate(B6Minterpolation,R207,TRUE)</f>
        <v>2.5650700284985542E-3</v>
      </c>
      <c r="V207" s="345">
        <f>_xll.qlYieldTSDiscount(Discounting,R207,,AllTriggers)</f>
        <v>0.99610003125802882</v>
      </c>
      <c r="W207" s="345">
        <f>_xll.qlYieldTSDiscount(Discounting,S207,,AllTriggers)</f>
        <v>0.99239642229535141</v>
      </c>
      <c r="X207" s="32">
        <f t="shared" si="14"/>
        <v>7.4435774445123642E-3</v>
      </c>
      <c r="Y207" s="452">
        <f t="shared" si="15"/>
        <v>1.2804470162651699E-3</v>
      </c>
    </row>
    <row r="208" spans="18:25" x14ac:dyDescent="0.2">
      <c r="R208" s="422">
        <f>_xll.qlCalendarAdvance(Calendar,R207,"1D","f")</f>
        <v>42360</v>
      </c>
      <c r="S208" s="449">
        <f>_xll.qlCalendarAdvance(Calendar,R208,$F$1,"mf",,Trigger)</f>
        <v>42543</v>
      </c>
      <c r="T208" s="450">
        <f>_xll.qlDayCounterYearFraction(DayCounter,R208,S208,,,Trigger)</f>
        <v>0.50136986301369868</v>
      </c>
      <c r="U208" s="423">
        <f>_xll.qlInterpolationInterpolate(B6Minterpolation,R208,TRUE)</f>
        <v>2.5662916159760905E-3</v>
      </c>
      <c r="V208" s="345">
        <f>_xll.qlYieldTSDiscount(Discounting,R208,,AllTriggers)</f>
        <v>0.99608402505638682</v>
      </c>
      <c r="W208" s="345">
        <f>_xll.qlYieldTSDiscount(Discounting,S208,,AllTriggers)</f>
        <v>0.99237213342645669</v>
      </c>
      <c r="X208" s="32">
        <f t="shared" si="14"/>
        <v>7.4604066858246958E-3</v>
      </c>
      <c r="Y208" s="452">
        <f t="shared" si="15"/>
        <v>1.2810456632278151E-3</v>
      </c>
    </row>
    <row r="209" spans="18:25" x14ac:dyDescent="0.2">
      <c r="R209" s="422">
        <f>_xll.qlCalendarAdvance(Calendar,R208,"1D","f")</f>
        <v>42361</v>
      </c>
      <c r="S209" s="449">
        <f>_xll.qlCalendarAdvance(Calendar,R209,$F$1,"mf",,Trigger)</f>
        <v>42544</v>
      </c>
      <c r="T209" s="450">
        <f>_xll.qlDayCounterYearFraction(DayCounter,R209,S209,,,Trigger)</f>
        <v>0.50136986301369868</v>
      </c>
      <c r="U209" s="423">
        <f>_xll.qlInterpolationInterpolate(B6Minterpolation,R209,TRUE)</f>
        <v>2.5675177752464023E-3</v>
      </c>
      <c r="V209" s="345">
        <f>_xll.qlYieldTSDiscount(Discounting,R209,,AllTriggers)</f>
        <v>0.99606801358326436</v>
      </c>
      <c r="W209" s="345">
        <f>_xll.qlYieldTSDiscount(Discounting,S209,,AllTriggers)</f>
        <v>0.99234779918931837</v>
      </c>
      <c r="X209" s="32">
        <f t="shared" si="14"/>
        <v>7.4773176839306385E-3</v>
      </c>
      <c r="Y209" s="452">
        <f t="shared" si="15"/>
        <v>1.2816465281351142E-3</v>
      </c>
    </row>
    <row r="210" spans="18:25" x14ac:dyDescent="0.2">
      <c r="R210" s="422">
        <f>_xll.qlCalendarAdvance(Calendar,R209,"1D","f")</f>
        <v>42362</v>
      </c>
      <c r="S210" s="449">
        <f>_xll.qlCalendarAdvance(Calendar,R210,$F$1,"mf",,Trigger)</f>
        <v>42545</v>
      </c>
      <c r="T210" s="450">
        <f>_xll.qlDayCounterYearFraction(DayCounter,R210,S210,,,Trigger)</f>
        <v>0.50136986301369868</v>
      </c>
      <c r="U210" s="423">
        <f>_xll.qlInterpolationInterpolate(B6Minterpolation,R210,TRUE)</f>
        <v>2.5687482875697415E-3</v>
      </c>
      <c r="V210" s="345">
        <f>_xll.qlYieldTSDiscount(Discounting,R210,,AllTriggers)</f>
        <v>0.99605199632325769</v>
      </c>
      <c r="W210" s="345">
        <f>_xll.qlYieldTSDiscount(Discounting,S210,,AllTriggers)</f>
        <v>0.99232341962070703</v>
      </c>
      <c r="X210" s="32">
        <f t="shared" si="14"/>
        <v>7.4943093370347926E-3</v>
      </c>
      <c r="Y210" s="452">
        <f t="shared" si="15"/>
        <v>1.2822495024399408E-3</v>
      </c>
    </row>
    <row r="211" spans="18:25" x14ac:dyDescent="0.2">
      <c r="R211" s="422">
        <f>_xll.qlCalendarAdvance(Calendar,R210,"1D","f")</f>
        <v>42367</v>
      </c>
      <c r="S211" s="449">
        <f>_xll.qlCalendarAdvance(Calendar,R211,$F$1,"mf",,Trigger)</f>
        <v>42550</v>
      </c>
      <c r="T211" s="450">
        <f>_xll.qlDayCounterYearFraction(DayCounter,R211,S211,,,Trigger)</f>
        <v>0.50136986301369868</v>
      </c>
      <c r="U211" s="423">
        <f>_xll.qlInterpolationInterpolate(B6Minterpolation,R211,TRUE)</f>
        <v>2.5749584890906048E-3</v>
      </c>
      <c r="V211" s="345">
        <f>_xll.qlYieldTSDiscount(Discounting,R211,,AllTriggers)</f>
        <v>0.99597180518314898</v>
      </c>
      <c r="W211" s="345">
        <f>_xll.qlYieldTSDiscount(Discounting,S211,,AllTriggers)</f>
        <v>0.99220084309273293</v>
      </c>
      <c r="X211" s="32">
        <f t="shared" si="14"/>
        <v>7.5804388627277791E-3</v>
      </c>
      <c r="Y211" s="452">
        <f t="shared" si="15"/>
        <v>1.285292216093989E-3</v>
      </c>
    </row>
    <row r="212" spans="18:25" x14ac:dyDescent="0.2">
      <c r="R212" s="422">
        <f>_xll.qlCalendarAdvance(Calendar,R211,"1D","f")</f>
        <v>42368</v>
      </c>
      <c r="S212" s="449">
        <f>_xll.qlCalendarAdvance(Calendar,R212,$F$1,"mf",,Trigger)</f>
        <v>42551</v>
      </c>
      <c r="T212" s="450">
        <f>_xll.qlDayCounterYearFraction(DayCounter,R212,S212,,,Trigger)</f>
        <v>0.50136986301369868</v>
      </c>
      <c r="U212" s="423">
        <f>_xll.qlInterpolationInterpolate(B6Minterpolation,R212,TRUE)</f>
        <v>2.576210526197365E-3</v>
      </c>
      <c r="V212" s="345">
        <f>_xll.qlYieldTSDiscount(Discounting,R212,,AllTriggers)</f>
        <v>0.995955742380217</v>
      </c>
      <c r="W212" s="345">
        <f>_xll.qlYieldTSDiscount(Discounting,S212,,AllTriggers)</f>
        <v>0.99217619230763043</v>
      </c>
      <c r="X212" s="32">
        <f t="shared" si="14"/>
        <v>7.5978913065380535E-3</v>
      </c>
      <c r="Y212" s="452">
        <f t="shared" si="15"/>
        <v>1.2859055675534148E-3</v>
      </c>
    </row>
    <row r="213" spans="18:25" x14ac:dyDescent="0.2">
      <c r="R213" s="422">
        <f>_xll.qlCalendarAdvance(Calendar,R212,"1D","f")</f>
        <v>42369</v>
      </c>
      <c r="S213" s="449">
        <f>_xll.qlCalendarAdvance(Calendar,R213,$F$1,"mf",,Trigger)</f>
        <v>42551</v>
      </c>
      <c r="T213" s="450">
        <f>_xll.qlDayCounterYearFraction(DayCounter,R213,S213,,,Trigger)</f>
        <v>0.49863013698630138</v>
      </c>
      <c r="U213" s="423">
        <f>_xll.qlInterpolationInterpolate(B6Minterpolation,R213,TRUE)</f>
        <v>2.577465385178905E-3</v>
      </c>
      <c r="V213" s="345">
        <f>_xll.qlYieldTSDiscount(Discounting,R213,,AllTriggers)</f>
        <v>0.99593967018350604</v>
      </c>
      <c r="W213" s="345">
        <f>_xll.qlYieldTSDiscount(Discounting,S213,,AllTriggers)</f>
        <v>0.99217619230763043</v>
      </c>
      <c r="X213" s="32">
        <f t="shared" si="14"/>
        <v>7.6071510888244855E-3</v>
      </c>
      <c r="Y213" s="452">
        <f t="shared" si="15"/>
        <v>1.279526426729471E-3</v>
      </c>
    </row>
    <row r="214" spans="18:25" x14ac:dyDescent="0.2">
      <c r="R214" s="422">
        <f>_xll.qlCalendarAdvance(Calendar,R213,"1D","f")</f>
        <v>42373</v>
      </c>
      <c r="S214" s="449">
        <f>_xll.qlCalendarAdvance(Calendar,R214,$F$1,"mf",,Trigger)</f>
        <v>42555</v>
      </c>
      <c r="T214" s="450">
        <f>_xll.qlDayCounterYearFraction(DayCounter,R214,S214,,,Trigger)</f>
        <v>0.49863013698630138</v>
      </c>
      <c r="U214" s="423">
        <f>_xll.qlInterpolationInterpolate(B6Minterpolation,R214,TRUE)</f>
        <v>2.582508665057878E-3</v>
      </c>
      <c r="V214" s="345">
        <f>_xll.qlYieldTSDiscount(Discounting,R214,,AllTriggers)</f>
        <v>0.99587527715663748</v>
      </c>
      <c r="W214" s="345">
        <f>_xll.qlYieldTSDiscount(Discounting,S214,,AllTriggers)</f>
        <v>0.9920771387951991</v>
      </c>
      <c r="X214" s="32">
        <f t="shared" si="14"/>
        <v>7.6779771623636615E-3</v>
      </c>
      <c r="Y214" s="452">
        <f t="shared" si="15"/>
        <v>1.2819833742002706E-3</v>
      </c>
    </row>
    <row r="215" spans="18:25" x14ac:dyDescent="0.2">
      <c r="R215" s="422">
        <f>_xll.qlCalendarAdvance(Calendar,R214,"1D","f")</f>
        <v>42374</v>
      </c>
      <c r="S215" s="449">
        <f>_xll.qlCalendarAdvance(Calendar,R215,$F$1,"mf",,Trigger)</f>
        <v>42556</v>
      </c>
      <c r="T215" s="450">
        <f>_xll.qlDayCounterYearFraction(DayCounter,R215,S215,,,Trigger)</f>
        <v>0.49863013698630138</v>
      </c>
      <c r="U215" s="423">
        <f>_xll.qlInterpolationInterpolate(B6Minterpolation,R215,TRUE)</f>
        <v>2.5837743523170766E-3</v>
      </c>
      <c r="V215" s="345">
        <f>_xll.qlYieldTSDiscount(Discounting,R215,,AllTriggers)</f>
        <v>0.99585914978686052</v>
      </c>
      <c r="W215" s="345">
        <f>_xll.qlYieldTSDiscount(Discounting,S215,,AllTriggers)</f>
        <v>0.99205226300807503</v>
      </c>
      <c r="X215" s="32">
        <f t="shared" si="14"/>
        <v>7.695855150558783E-3</v>
      </c>
      <c r="Y215" s="452">
        <f t="shared" si="15"/>
        <v>1.2825998885408136E-3</v>
      </c>
    </row>
    <row r="216" spans="18:25" x14ac:dyDescent="0.2">
      <c r="R216" s="422">
        <f>_xll.qlCalendarAdvance(Calendar,R215,"1D","f")</f>
        <v>42375</v>
      </c>
      <c r="S216" s="449">
        <f>_xll.qlCalendarAdvance(Calendar,R216,$F$1,"mf",,Trigger)</f>
        <v>42557</v>
      </c>
      <c r="T216" s="450">
        <f>_xll.qlDayCounterYearFraction(DayCounter,R216,S216,,,Trigger)</f>
        <v>0.49863013698630138</v>
      </c>
      <c r="U216" s="423">
        <f>_xll.qlInterpolationInterpolate(B6Minterpolation,R216,TRUE)</f>
        <v>2.5850415490125582E-3</v>
      </c>
      <c r="V216" s="345">
        <f>_xll.qlYieldTSDiscount(Discounting,R216,,AllTriggers)</f>
        <v>0.99584300706631068</v>
      </c>
      <c r="W216" s="345">
        <f>_xll.qlYieldTSDiscount(Discounting,S216,,AllTriggers)</f>
        <v>0.99202734233095002</v>
      </c>
      <c r="X216" s="32">
        <f t="shared" si="14"/>
        <v>7.7137941012738074E-3</v>
      </c>
      <c r="Y216" s="452">
        <f t="shared" si="15"/>
        <v>1.2832171015240373E-3</v>
      </c>
    </row>
    <row r="217" spans="18:25" x14ac:dyDescent="0.2">
      <c r="R217" s="422">
        <f>_xll.qlCalendarAdvance(Calendar,R216,"1D","f")</f>
        <v>42376</v>
      </c>
      <c r="S217" s="449">
        <f>_xll.qlCalendarAdvance(Calendar,R217,$F$1,"mf",,Trigger)</f>
        <v>42558</v>
      </c>
      <c r="T217" s="450">
        <f>_xll.qlDayCounterYearFraction(DayCounter,R217,S217,,,Trigger)</f>
        <v>0.49863013698630138</v>
      </c>
      <c r="U217" s="423">
        <f>_xll.qlInterpolationInterpolate(B6Minterpolation,R217,TRUE)</f>
        <v>2.5863100364045739E-3</v>
      </c>
      <c r="V217" s="345">
        <f>_xll.qlYieldTSDiscount(Discounting,R217,,AllTriggers)</f>
        <v>0.99582684561354695</v>
      </c>
      <c r="W217" s="345">
        <f>_xll.qlYieldTSDiscount(Discounting,S217,,AllTriggers)</f>
        <v>0.99200237680063141</v>
      </c>
      <c r="X217" s="32">
        <f t="shared" si="14"/>
        <v>7.7317871107064392E-3</v>
      </c>
      <c r="Y217" s="452">
        <f t="shared" si="15"/>
        <v>1.2838349089617186E-3</v>
      </c>
    </row>
    <row r="218" spans="18:25" x14ac:dyDescent="0.2">
      <c r="R218" s="422">
        <f>_xll.qlCalendarAdvance(Calendar,R217,"1D","f")</f>
        <v>42377</v>
      </c>
      <c r="S218" s="449">
        <f>_xll.qlCalendarAdvance(Calendar,R218,$F$1,"mf",,Trigger)</f>
        <v>42559</v>
      </c>
      <c r="T218" s="450">
        <f>_xll.qlDayCounterYearFraction(DayCounter,R218,S218,,,Trigger)</f>
        <v>0.49863013698630138</v>
      </c>
      <c r="U218" s="423">
        <f>_xll.qlInterpolationInterpolate(B6Minterpolation,R218,TRUE)</f>
        <v>2.5875795957533737E-3</v>
      </c>
      <c r="V218" s="345">
        <f>_xll.qlYieldTSDiscount(Discounting,R218,,AllTriggers)</f>
        <v>0.99581066204734847</v>
      </c>
      <c r="W218" s="345">
        <f>_xll.qlYieldTSDiscount(Discounting,S218,,AllTriggers)</f>
        <v>0.99197736645392953</v>
      </c>
      <c r="X218" s="32">
        <f t="shared" si="14"/>
        <v>7.7498272748090132E-3</v>
      </c>
      <c r="Y218" s="452">
        <f t="shared" si="15"/>
        <v>1.2844532066780866E-3</v>
      </c>
    </row>
    <row r="219" spans="18:25" x14ac:dyDescent="0.2">
      <c r="R219" s="422">
        <f>_xll.qlCalendarAdvance(Calendar,R218,"1D","f")</f>
        <v>42380</v>
      </c>
      <c r="S219" s="449">
        <f>_xll.qlCalendarAdvance(Calendar,R219,$F$1,"mf",,Trigger)</f>
        <v>42562</v>
      </c>
      <c r="T219" s="450">
        <f>_xll.qlDayCounterYearFraction(DayCounter,R219,S219,,,Trigger)</f>
        <v>0.49863013698630138</v>
      </c>
      <c r="U219" s="423">
        <f>_xll.qlInterpolationInterpolate(B6Minterpolation,R219,TRUE)</f>
        <v>2.591392518142983E-3</v>
      </c>
      <c r="V219" s="345">
        <f>_xll.qlYieldTSDiscount(Discounting,R219,,AllTriggers)</f>
        <v>0.9957619448592604</v>
      </c>
      <c r="W219" s="345">
        <f>_xll.qlYieldTSDiscount(Discounting,S219,,AllTriggers)</f>
        <v>0.99190206688366722</v>
      </c>
      <c r="X219" s="32">
        <f t="shared" si="14"/>
        <v>7.8041616510104508E-3</v>
      </c>
      <c r="Y219" s="452">
        <f t="shared" si="15"/>
        <v>1.2863099999306333E-3</v>
      </c>
    </row>
    <row r="220" spans="18:25" x14ac:dyDescent="0.2">
      <c r="R220" s="422">
        <f>_xll.qlCalendarAdvance(Calendar,R219,"1D","f")</f>
        <v>42381</v>
      </c>
      <c r="S220" s="449">
        <f>_xll.qlCalendarAdvance(Calendar,R220,$F$1,"mf",,Trigger)</f>
        <v>42563</v>
      </c>
      <c r="T220" s="450">
        <f>_xll.qlDayCounterYearFraction(DayCounter,R220,S220,,,Trigger)</f>
        <v>0.49863013698630138</v>
      </c>
      <c r="U220" s="423">
        <f>_xll.qlInterpolationInterpolate(B6Minterpolation,R220,TRUE)</f>
        <v>2.5926641779214247E-3</v>
      </c>
      <c r="V220" s="345">
        <f>_xll.qlYieldTSDiscount(Discounting,R220,,AllTriggers)</f>
        <v>0.99574563903155255</v>
      </c>
      <c r="W220" s="345">
        <f>_xll.qlYieldTSDiscount(Discounting,S220,,AllTriggers)</f>
        <v>0.99187687763958865</v>
      </c>
      <c r="X220" s="32">
        <f t="shared" si="14"/>
        <v>7.8223213884337939E-3</v>
      </c>
      <c r="Y220" s="452">
        <f t="shared" si="15"/>
        <v>1.2869292172560062E-3</v>
      </c>
    </row>
    <row r="221" spans="18:25" x14ac:dyDescent="0.2">
      <c r="R221" s="422">
        <f>_xll.qlCalendarAdvance(Calendar,R220,"1D","f")</f>
        <v>42382</v>
      </c>
      <c r="S221" s="449">
        <f>_xll.qlCalendarAdvance(Calendar,R221,$F$1,"mf",,Trigger)</f>
        <v>42564</v>
      </c>
      <c r="T221" s="450">
        <f>_xll.qlDayCounterYearFraction(DayCounter,R221,S221,,,Trigger)</f>
        <v>0.49863013698630138</v>
      </c>
      <c r="U221" s="423">
        <f>_xll.qlInterpolationInterpolate(B6Minterpolation,R221,TRUE)</f>
        <v>2.5939358159579027E-3</v>
      </c>
      <c r="V221" s="345">
        <f>_xll.qlYieldTSDiscount(Discounting,R221,,AllTriggers)</f>
        <v>0.99572929418764211</v>
      </c>
      <c r="W221" s="345">
        <f>_xll.qlYieldTSDiscount(Discounting,S221,,AllTriggers)</f>
        <v>0.99185164376321833</v>
      </c>
      <c r="X221" s="32">
        <f t="shared" si="14"/>
        <v>7.840493756611399E-3</v>
      </c>
      <c r="Y221" s="452">
        <f t="shared" si="15"/>
        <v>1.2875484041700205E-3</v>
      </c>
    </row>
    <row r="222" spans="18:25" x14ac:dyDescent="0.2">
      <c r="R222" s="422">
        <f>_xll.qlCalendarAdvance(Calendar,R221,"1D","f")</f>
        <v>42383</v>
      </c>
      <c r="S222" s="449">
        <f>_xll.qlCalendarAdvance(Calendar,R222,$F$1,"mf",,Trigger)</f>
        <v>42565</v>
      </c>
      <c r="T222" s="450">
        <f>_xll.qlDayCounterYearFraction(DayCounter,R222,S222,,,Trigger)</f>
        <v>0.49863013698630138</v>
      </c>
      <c r="U222" s="423">
        <f>_xll.qlInterpolationInterpolate(B6Minterpolation,R222,TRUE)</f>
        <v>2.595207213512668E-3</v>
      </c>
      <c r="V222" s="345">
        <f>_xll.qlYieldTSDiscount(Discounting,R222,,AllTriggers)</f>
        <v>0.99571290694765002</v>
      </c>
      <c r="W222" s="345">
        <f>_xll.qlYieldTSDiscount(Discounting,S222,,AllTriggers)</f>
        <v>0.99182636529138246</v>
      </c>
      <c r="X222" s="32">
        <f t="shared" si="14"/>
        <v>7.8586718500171775E-3</v>
      </c>
      <c r="Y222" s="452">
        <f t="shared" si="15"/>
        <v>1.2881674565731842E-3</v>
      </c>
    </row>
    <row r="223" spans="18:25" x14ac:dyDescent="0.2">
      <c r="R223" s="422">
        <f>_xll.qlCalendarAdvance(Calendar,R222,"1D","f")</f>
        <v>42384</v>
      </c>
      <c r="S223" s="449">
        <f>_xll.qlCalendarAdvance(Calendar,R223,$F$1,"mf",,Trigger)</f>
        <v>42566</v>
      </c>
      <c r="T223" s="450">
        <f>_xll.qlDayCounterYearFraction(DayCounter,R223,S223,,,Trigger)</f>
        <v>0.49863013698630138</v>
      </c>
      <c r="U223" s="423">
        <f>_xll.qlInterpolationInterpolate(B6Minterpolation,R223,TRUE)</f>
        <v>2.5964781518459708E-3</v>
      </c>
      <c r="V223" s="345">
        <f>_xll.qlYieldTSDiscount(Discounting,R223,,AllTriggers)</f>
        <v>0.99569647393192495</v>
      </c>
      <c r="W223" s="345">
        <f>_xll.qlYieldTSDiscount(Discounting,S223,,AllTriggers)</f>
        <v>0.99180104226090993</v>
      </c>
      <c r="X223" s="32">
        <f t="shared" si="14"/>
        <v>7.8768487628738844E-3</v>
      </c>
      <c r="Y223" s="452">
        <f t="shared" si="15"/>
        <v>1.2887862703777936E-3</v>
      </c>
    </row>
    <row r="224" spans="18:25" x14ac:dyDescent="0.2">
      <c r="R224" s="422">
        <f>_xll.qlCalendarAdvance(Calendar,R223,"1D","f")</f>
        <v>42387</v>
      </c>
      <c r="S224" s="449">
        <f>_xll.qlCalendarAdvance(Calendar,R224,$F$1,"mf",,Trigger)</f>
        <v>42569</v>
      </c>
      <c r="T224" s="450">
        <f>_xll.qlDayCounterYearFraction(DayCounter,R224,S224,,,Trigger)</f>
        <v>0.49863013698630138</v>
      </c>
      <c r="U224" s="423">
        <f>_xll.qlInterpolationInterpolate(B6Minterpolation,R224,TRUE)</f>
        <v>2.6002860241196102E-3</v>
      </c>
      <c r="V224" s="345">
        <f>_xll.qlYieldTSDiscount(Discounting,R224,,AllTriggers)</f>
        <v>0.99564686643728628</v>
      </c>
      <c r="W224" s="345">
        <f>_xll.qlYieldTSDiscount(Discounting,S224,,AllTriggers)</f>
        <v>0.99172480618600045</v>
      </c>
      <c r="X224" s="32">
        <f t="shared" si="14"/>
        <v>7.9313033566458923E-3</v>
      </c>
      <c r="Y224" s="452">
        <f t="shared" si="15"/>
        <v>1.2906402395162853E-3</v>
      </c>
    </row>
    <row r="225" spans="18:25" x14ac:dyDescent="0.2">
      <c r="R225" s="422">
        <f>_xll.qlCalendarAdvance(Calendar,R224,"1D","f")</f>
        <v>42388</v>
      </c>
      <c r="S225" s="449">
        <f>_xll.qlCalendarAdvance(Calendar,R225,$F$1,"mf",,Trigger)</f>
        <v>42570</v>
      </c>
      <c r="T225" s="450">
        <f>_xll.qlDayCounterYearFraction(DayCounter,R225,S225,,,Trigger)</f>
        <v>0.49863013698630138</v>
      </c>
      <c r="U225" s="423">
        <f>_xll.qlInterpolationInterpolate(B6Minterpolation,R225,TRUE)</f>
        <v>2.601552938169569E-3</v>
      </c>
      <c r="V225" s="345">
        <f>_xll.qlYieldTSDiscount(Discounting,R225,,AllTriggers)</f>
        <v>0.99563021652672545</v>
      </c>
      <c r="W225" s="345">
        <f>_xll.qlYieldTSDiscount(Discounting,S225,,AllTriggers)</f>
        <v>0.99169930528932204</v>
      </c>
      <c r="X225" s="32">
        <f t="shared" si="14"/>
        <v>7.9494064845584307E-3</v>
      </c>
      <c r="Y225" s="452">
        <f t="shared" si="15"/>
        <v>1.2912570583062644E-3</v>
      </c>
    </row>
    <row r="226" spans="18:25" x14ac:dyDescent="0.2">
      <c r="R226" s="422">
        <f>_xll.qlCalendarAdvance(Calendar,R225,"1D","f")</f>
        <v>42389</v>
      </c>
      <c r="S226" s="449">
        <f>_xll.qlCalendarAdvance(Calendar,R226,$F$1,"mf",,Trigger)</f>
        <v>42571</v>
      </c>
      <c r="T226" s="450">
        <f>_xll.qlDayCounterYearFraction(DayCounter,R226,S226,,,Trigger)</f>
        <v>0.49863013698630138</v>
      </c>
      <c r="U226" s="423">
        <f>_xll.qlInterpolationInterpolate(B6Minterpolation,R226,TRUE)</f>
        <v>2.6028182992993173E-3</v>
      </c>
      <c r="V226" s="345">
        <f>_xll.qlYieldTSDiscount(Discounting,R226,,AllTriggers)</f>
        <v>0.99561350394564774</v>
      </c>
      <c r="W226" s="345">
        <f>_xll.qlYieldTSDiscount(Discounting,S226,,AllTriggers)</f>
        <v>0.99167376001818996</v>
      </c>
      <c r="X226" s="32">
        <f t="shared" si="14"/>
        <v>7.9674738993062138E-3</v>
      </c>
      <c r="Y226" s="452">
        <f t="shared" si="15"/>
        <v>1.2918731182501913E-3</v>
      </c>
    </row>
    <row r="227" spans="18:25" x14ac:dyDescent="0.2">
      <c r="R227" s="422">
        <f>_xll.qlCalendarAdvance(Calendar,R226,"1D","f")</f>
        <v>42390</v>
      </c>
      <c r="S227" s="449">
        <f>_xll.qlCalendarAdvance(Calendar,R227,$F$1,"mf",,Trigger)</f>
        <v>42572</v>
      </c>
      <c r="T227" s="450">
        <f>_xll.qlDayCounterYearFraction(DayCounter,R227,S227,,,Trigger)</f>
        <v>0.49863013698630138</v>
      </c>
      <c r="U227" s="423">
        <f>_xll.qlInterpolationInterpolate(B6Minterpolation,R227,TRUE)</f>
        <v>2.6040818887691063E-3</v>
      </c>
      <c r="V227" s="345">
        <f>_xll.qlYieldTSDiscount(Discounting,R227,,AllTriggers)</f>
        <v>0.99559672531580357</v>
      </c>
      <c r="W227" s="345">
        <f>_xll.qlYieldTSDiscount(Discounting,S227,,AllTriggers)</f>
        <v>0.99164817040944853</v>
      </c>
      <c r="X227" s="32">
        <f t="shared" si="14"/>
        <v>7.9854986936233243E-3</v>
      </c>
      <c r="Y227" s="452">
        <f t="shared" si="15"/>
        <v>1.2924883153370773E-3</v>
      </c>
    </row>
    <row r="228" spans="18:25" x14ac:dyDescent="0.2">
      <c r="R228" s="422">
        <f>_xll.qlCalendarAdvance(Calendar,R227,"1D","f")</f>
        <v>42391</v>
      </c>
      <c r="S228" s="449">
        <f>_xll.qlCalendarAdvance(Calendar,R228,$F$1,"mf",,Trigger)</f>
        <v>42573</v>
      </c>
      <c r="T228" s="450">
        <f>_xll.qlDayCounterYearFraction(DayCounter,R228,S228,,,Trigger)</f>
        <v>0.49863013698630138</v>
      </c>
      <c r="U228" s="423">
        <f>_xll.qlInterpolationInterpolate(B6Minterpolation,R228,TRUE)</f>
        <v>2.605343487839187E-3</v>
      </c>
      <c r="V228" s="345">
        <f>_xll.qlYieldTSDiscount(Discounting,R228,,AllTriggers)</f>
        <v>0.99557987725918462</v>
      </c>
      <c r="W228" s="345">
        <f>_xll.qlYieldTSDiscount(Discounting,S228,,AllTriggers)</f>
        <v>0.99162253649994447</v>
      </c>
      <c r="X228" s="32">
        <f t="shared" si="14"/>
        <v>8.0034739599989316E-3</v>
      </c>
      <c r="Y228" s="452">
        <f t="shared" si="15"/>
        <v>1.293102545567274E-3</v>
      </c>
    </row>
    <row r="229" spans="18:25" x14ac:dyDescent="0.2">
      <c r="R229" s="422">
        <f>_xll.qlCalendarAdvance(Calendar,R228,"1D","f")</f>
        <v>42394</v>
      </c>
      <c r="S229" s="449">
        <f>_xll.qlCalendarAdvance(Calendar,R229,$F$1,"mf",,Trigger)</f>
        <v>42576</v>
      </c>
      <c r="T229" s="450">
        <f>_xll.qlDayCounterYearFraction(DayCounter,R229,S229,,,Trigger)</f>
        <v>0.49863013698630138</v>
      </c>
      <c r="U229" s="423">
        <f>_xll.qlInterpolationInterpolate(B6Minterpolation,R229,TRUE)</f>
        <v>2.6091141552536793E-3</v>
      </c>
      <c r="V229" s="345">
        <f>_xll.qlYieldTSDiscount(Discounting,R229,,AllTriggers)</f>
        <v>0.99552888275225015</v>
      </c>
      <c r="W229" s="345">
        <f>_xll.qlYieldTSDiscount(Discounting,S229,,AllTriggers)</f>
        <v>0.99154536933536075</v>
      </c>
      <c r="X229" s="32">
        <f t="shared" si="14"/>
        <v>8.0570335127382389E-3</v>
      </c>
      <c r="Y229" s="452">
        <f t="shared" si="15"/>
        <v>1.29493839531154E-3</v>
      </c>
    </row>
    <row r="230" spans="18:25" x14ac:dyDescent="0.2">
      <c r="R230" s="422">
        <f>_xll.qlCalendarAdvance(Calendar,R229,"1D","f")</f>
        <v>42395</v>
      </c>
      <c r="S230" s="449">
        <f>_xll.qlCalendarAdvance(Calendar,R230,$F$1,"mf",,Trigger)</f>
        <v>42577</v>
      </c>
      <c r="T230" s="450">
        <f>_xll.qlDayCounterYearFraction(DayCounter,R230,S230,,,Trigger)</f>
        <v>0.49863013698630138</v>
      </c>
      <c r="U230" s="423">
        <f>_xll.qlInterpolationInterpolate(B6Minterpolation,R230,TRUE)</f>
        <v>2.6103656053274287E-3</v>
      </c>
      <c r="V230" s="345">
        <f>_xll.qlYieldTSDiscount(Discounting,R230,,AllTriggers)</f>
        <v>0.99551172321334069</v>
      </c>
      <c r="W230" s="345">
        <f>_xll.qlYieldTSDiscount(Discounting,S230,,AllTriggers)</f>
        <v>0.9915195585913229</v>
      </c>
      <c r="X230" s="32">
        <f t="shared" si="14"/>
        <v>8.0747415874083406E-3</v>
      </c>
      <c r="Y230" s="452">
        <f t="shared" si="15"/>
        <v>1.2955477183705843E-3</v>
      </c>
    </row>
    <row r="231" spans="18:25" x14ac:dyDescent="0.2">
      <c r="R231" s="422">
        <f>_xll.qlCalendarAdvance(Calendar,R230,"1D","f")</f>
        <v>42396</v>
      </c>
      <c r="S231" s="449">
        <f>_xll.qlCalendarAdvance(Calendar,R231,$F$1,"mf",,Trigger)</f>
        <v>42578</v>
      </c>
      <c r="T231" s="450">
        <f>_xll.qlDayCounterYearFraction(DayCounter,R231,S231,,,Trigger)</f>
        <v>0.49863013698630138</v>
      </c>
      <c r="U231" s="423">
        <f>_xll.qlInterpolationInterpolate(B6Minterpolation,R231,TRUE)</f>
        <v>2.6116139713027219E-3</v>
      </c>
      <c r="V231" s="345">
        <f>_xll.qlYieldTSDiscount(Discounting,R231,,AllTriggers)</f>
        <v>0.99549447736130725</v>
      </c>
      <c r="W231" s="345">
        <f>_xll.qlYieldTSDiscount(Discounting,S231,,AllTriggers)</f>
        <v>0.99149370373079304</v>
      </c>
      <c r="X231" s="32">
        <f t="shared" si="14"/>
        <v>8.0923655929762122E-3</v>
      </c>
      <c r="Y231" s="452">
        <f t="shared" si="15"/>
        <v>1.2961555547614217E-3</v>
      </c>
    </row>
    <row r="232" spans="18:25" x14ac:dyDescent="0.2">
      <c r="R232" s="422">
        <f>_xll.qlCalendarAdvance(Calendar,R231,"1D","f")</f>
        <v>42397</v>
      </c>
      <c r="S232" s="449">
        <f>_xll.qlCalendarAdvance(Calendar,R232,$F$1,"mf",,Trigger)</f>
        <v>42579</v>
      </c>
      <c r="T232" s="450">
        <f>_xll.qlDayCounterYearFraction(DayCounter,R232,S232,,,Trigger)</f>
        <v>0.49863013698630138</v>
      </c>
      <c r="U232" s="423">
        <f>_xll.qlInterpolationInterpolate(B6Minterpolation,R232,TRUE)</f>
        <v>2.6128590344398094E-3</v>
      </c>
      <c r="V232" s="345">
        <f>_xll.qlYieldTSDiscount(Discounting,R232,,AllTriggers)</f>
        <v>0.99547714181963731</v>
      </c>
      <c r="W232" s="345">
        <f>_xll.qlYieldTSDiscount(Discounting,S232,,AllTriggers)</f>
        <v>0.99146780479063257</v>
      </c>
      <c r="X232" s="32">
        <f t="shared" si="14"/>
        <v>8.1098986205029137E-3</v>
      </c>
      <c r="Y232" s="452">
        <f t="shared" si="15"/>
        <v>1.2967618005588618E-3</v>
      </c>
    </row>
    <row r="233" spans="18:25" x14ac:dyDescent="0.2">
      <c r="R233" s="422">
        <f>_xll.qlCalendarAdvance(Calendar,R232,"1D","f")</f>
        <v>42398</v>
      </c>
      <c r="S233" s="449">
        <f>_xll.qlCalendarAdvance(Calendar,R233,$F$1,"mf",,Trigger)</f>
        <v>42580</v>
      </c>
      <c r="T233" s="450">
        <f>_xll.qlDayCounterYearFraction(DayCounter,R233,S233,,,Trigger)</f>
        <v>0.49863013698630138</v>
      </c>
      <c r="U233" s="423">
        <f>_xll.qlInterpolationInterpolate(B6Minterpolation,R233,TRUE)</f>
        <v>2.6141005759989411E-3</v>
      </c>
      <c r="V233" s="345">
        <f>_xll.qlYieldTSDiscount(Discounting,R233,,AllTriggers)</f>
        <v>0.99545971321207782</v>
      </c>
      <c r="W233" s="345">
        <f>_xll.qlYieldTSDiscount(Discounting,S233,,AllTriggers)</f>
        <v>0.99144186180770533</v>
      </c>
      <c r="X233" s="32">
        <f t="shared" si="14"/>
        <v>8.1273337608224003E-3</v>
      </c>
      <c r="Y233" s="452">
        <f t="shared" si="15"/>
        <v>1.2973663518486031E-3</v>
      </c>
    </row>
    <row r="234" spans="18:25" x14ac:dyDescent="0.2">
      <c r="R234" s="422">
        <f>_xll.qlCalendarAdvance(Calendar,R233,"1D","f")</f>
        <v>42401</v>
      </c>
      <c r="S234" s="449">
        <f>_xll.qlCalendarAdvance(Calendar,R234,$F$1,"mf",,Trigger)</f>
        <v>42583</v>
      </c>
      <c r="T234" s="450">
        <f>_xll.qlDayCounterYearFraction(DayCounter,R234,S234,,,Trigger)</f>
        <v>0.49863013698630138</v>
      </c>
      <c r="U234" s="423">
        <f>_xll.qlInterpolationInterpolate(B6Minterpolation,R234,TRUE)</f>
        <v>2.6178018838111093E-3</v>
      </c>
      <c r="V234" s="345">
        <f>_xll.qlYieldTSDiscount(Discounting,R234,,AllTriggers)</f>
        <v>0.99540683523548135</v>
      </c>
      <c r="W234" s="345">
        <f>_xll.qlYieldTSDiscount(Discounting,S234,,AllTriggers)</f>
        <v>0.99136376897099665</v>
      </c>
      <c r="X234" s="32">
        <f t="shared" si="14"/>
        <v>8.178982763502084E-3</v>
      </c>
      <c r="Y234" s="452">
        <f t="shared" si="15"/>
        <v>1.2991687997098808E-3</v>
      </c>
    </row>
    <row r="235" spans="18:25" x14ac:dyDescent="0.2">
      <c r="R235" s="422">
        <f>_xll.qlCalendarAdvance(Calendar,R234,"1D","f")</f>
        <v>42402</v>
      </c>
      <c r="S235" s="449">
        <f>_xll.qlCalendarAdvance(Calendar,R235,$F$1,"mf",,Trigger)</f>
        <v>42584</v>
      </c>
      <c r="T235" s="450">
        <f>_xll.qlDayCounterYearFraction(DayCounter,R235,S235,,,Trigger)</f>
        <v>0.49863013698630138</v>
      </c>
      <c r="U235" s="423">
        <f>_xll.qlInterpolationInterpolate(B6Minterpolation,R235,TRUE)</f>
        <v>2.6190271516609242E-3</v>
      </c>
      <c r="V235" s="345">
        <f>_xll.qlYieldTSDiscount(Discounting,R235,,AllTriggers)</f>
        <v>0.9953890006071241</v>
      </c>
      <c r="W235" s="345">
        <f>_xll.qlYieldTSDiscount(Discounting,S235,,AllTriggers)</f>
        <v>0.99133765018568787</v>
      </c>
      <c r="X235" s="32">
        <f t="shared" si="14"/>
        <v>8.1959572588626572E-3</v>
      </c>
      <c r="Y235" s="452">
        <f t="shared" si="15"/>
        <v>1.2997655340648193E-3</v>
      </c>
    </row>
    <row r="236" spans="18:25" x14ac:dyDescent="0.2">
      <c r="R236" s="422">
        <f>_xll.qlCalendarAdvance(Calendar,R235,"1D","f")</f>
        <v>42403</v>
      </c>
      <c r="S236" s="449">
        <f>_xll.qlCalendarAdvance(Calendar,R236,$F$1,"mf",,Trigger)</f>
        <v>42585</v>
      </c>
      <c r="T236" s="450">
        <f>_xll.qlDayCounterYearFraction(DayCounter,R236,S236,,,Trigger)</f>
        <v>0.49863013698630138</v>
      </c>
      <c r="U236" s="423">
        <f>_xll.qlInterpolationInterpolate(B6Minterpolation,R236,TRUE)</f>
        <v>2.6202478042340362E-3</v>
      </c>
      <c r="V236" s="345">
        <f>_xll.qlYieldTSDiscount(Discounting,R236,,AllTriggers)</f>
        <v>0.99537105603561071</v>
      </c>
      <c r="W236" s="345">
        <f>_xll.qlYieldTSDiscount(Discounting,S236,,AllTriggers)</f>
        <v>0.99131148754196663</v>
      </c>
      <c r="X236" s="32">
        <f t="shared" si="14"/>
        <v>8.2127993178704502E-3</v>
      </c>
      <c r="Y236" s="452">
        <f t="shared" si="15"/>
        <v>1.3003600545173502E-3</v>
      </c>
    </row>
    <row r="237" spans="18:25" x14ac:dyDescent="0.2">
      <c r="R237" s="422">
        <f>_xll.qlCalendarAdvance(Calendar,R236,"1D","f")</f>
        <v>42404</v>
      </c>
      <c r="S237" s="449">
        <f>_xll.qlCalendarAdvance(Calendar,R237,$F$1,"mf",,Trigger)</f>
        <v>42586</v>
      </c>
      <c r="T237" s="450">
        <f>_xll.qlDayCounterYearFraction(DayCounter,R237,S237,,,Trigger)</f>
        <v>0.49863013698630138</v>
      </c>
      <c r="U237" s="423">
        <f>_xll.qlInterpolationInterpolate(B6Minterpolation,R237,TRUE)</f>
        <v>2.6214636227906958E-3</v>
      </c>
      <c r="V237" s="345">
        <f>_xll.qlYieldTSDiscount(Discounting,R237,,AllTriggers)</f>
        <v>0.99535299920093778</v>
      </c>
      <c r="W237" s="345">
        <f>_xll.qlYieldTSDiscount(Discounting,S237,,AllTriggers)</f>
        <v>0.99128528107671088</v>
      </c>
      <c r="X237" s="32">
        <f t="shared" si="14"/>
        <v>8.2295041637022032E-3</v>
      </c>
      <c r="Y237" s="452">
        <f t="shared" si="15"/>
        <v>1.3009522558451319E-3</v>
      </c>
    </row>
    <row r="238" spans="18:25" x14ac:dyDescent="0.2">
      <c r="R238" s="422">
        <f>_xll.qlCalendarAdvance(Calendar,R237,"1D","f")</f>
        <v>42405</v>
      </c>
      <c r="S238" s="449">
        <f>_xll.qlCalendarAdvance(Calendar,R238,$F$1,"mf",,Trigger)</f>
        <v>42587</v>
      </c>
      <c r="T238" s="450">
        <f>_xll.qlDayCounterYearFraction(DayCounter,R238,S238,,,Trigger)</f>
        <v>0.49863013698630138</v>
      </c>
      <c r="U238" s="423">
        <f>_xll.qlInterpolationInterpolate(B6Minterpolation,R238,TRUE)</f>
        <v>2.6226743885911538E-3</v>
      </c>
      <c r="V238" s="345">
        <f>_xll.qlYieldTSDiscount(Discounting,R238,,AllTriggers)</f>
        <v>0.99533483200173489</v>
      </c>
      <c r="W238" s="345">
        <f>_xll.qlYieldTSDiscount(Discounting,S238,,AllTriggers)</f>
        <v>0.99125903082680078</v>
      </c>
      <c r="X238" s="32">
        <f t="shared" si="14"/>
        <v>8.2460755540362148E-3</v>
      </c>
      <c r="Y238" s="452">
        <f t="shared" si="15"/>
        <v>1.301542027321412E-3</v>
      </c>
    </row>
    <row r="239" spans="18:25" x14ac:dyDescent="0.2">
      <c r="R239" s="422">
        <f>_xll.qlCalendarAdvance(Calendar,R238,"1D","f")</f>
        <v>42408</v>
      </c>
      <c r="S239" s="449">
        <f>_xll.qlCalendarAdvance(Calendar,R239,$F$1,"mf",,Trigger)</f>
        <v>42590</v>
      </c>
      <c r="T239" s="450">
        <f>_xll.qlDayCounterYearFraction(DayCounter,R239,S239,,,Trigger)</f>
        <v>0.49863013698630138</v>
      </c>
      <c r="U239" s="423">
        <f>_xll.qlInterpolationInterpolate(B6Minterpolation,R239,TRUE)</f>
        <v>2.6262741820578198E-3</v>
      </c>
      <c r="V239" s="345">
        <f>_xll.qlYieldTSDiscount(Discounting,R239,,AllTriggers)</f>
        <v>0.99527969774719749</v>
      </c>
      <c r="W239" s="345">
        <f>_xll.qlYieldTSDiscount(Discounting,S239,,AllTriggers)</f>
        <v>0.99118001773797959</v>
      </c>
      <c r="X239" s="32">
        <f t="shared" si="14"/>
        <v>8.295047908184746E-3</v>
      </c>
      <c r="Y239" s="452">
        <f t="shared" si="15"/>
        <v>1.3032956415531332E-3</v>
      </c>
    </row>
    <row r="240" spans="18:25" x14ac:dyDescent="0.2">
      <c r="R240" s="422">
        <f>_xll.qlCalendarAdvance(Calendar,R239,"1D","f")</f>
        <v>42409</v>
      </c>
      <c r="S240" s="449">
        <f>_xll.qlCalendarAdvance(Calendar,R240,$F$1,"mf",,Trigger)</f>
        <v>42591</v>
      </c>
      <c r="T240" s="450">
        <f>_xll.qlDayCounterYearFraction(DayCounter,R240,S240,,,Trigger)</f>
        <v>0.49863013698630138</v>
      </c>
      <c r="U240" s="423">
        <f>_xll.qlInterpolationInterpolate(B6Minterpolation,R240,TRUE)</f>
        <v>2.6274625494359747E-3</v>
      </c>
      <c r="V240" s="345">
        <f>_xll.qlYieldTSDiscount(Discounting,R240,,AllTriggers)</f>
        <v>0.9952611186192083</v>
      </c>
      <c r="W240" s="345">
        <f>_xll.qlYieldTSDiscount(Discounting,S240,,AllTriggers)</f>
        <v>0.9911535927182985</v>
      </c>
      <c r="X240" s="32">
        <f t="shared" si="14"/>
        <v>8.3111443937348168E-3</v>
      </c>
      <c r="Y240" s="452">
        <f t="shared" si="15"/>
        <v>1.3038745725143324E-3</v>
      </c>
    </row>
    <row r="241" spans="18:25" x14ac:dyDescent="0.2">
      <c r="R241" s="422">
        <f>_xll.qlCalendarAdvance(Calendar,R240,"1D","f")</f>
        <v>42410</v>
      </c>
      <c r="S241" s="449">
        <f>_xll.qlCalendarAdvance(Calendar,R241,$F$1,"mf",,Trigger)</f>
        <v>42592</v>
      </c>
      <c r="T241" s="450">
        <f>_xll.qlDayCounterYearFraction(DayCounter,R241,S241,,,Trigger)</f>
        <v>0.49863013698630138</v>
      </c>
      <c r="U241" s="423">
        <f>_xll.qlInterpolationInterpolate(B6Minterpolation,R241,TRUE)</f>
        <v>2.62864477035918E-3</v>
      </c>
      <c r="V241" s="345">
        <f>_xll.qlYieldTSDiscount(Discounting,R241,,AllTriggers)</f>
        <v>0.99524244389042749</v>
      </c>
      <c r="W241" s="345">
        <f>_xll.qlYieldTSDiscount(Discounting,S241,,AllTriggers)</f>
        <v>0.99112712409839743</v>
      </c>
      <c r="X241" s="32">
        <f t="shared" si="14"/>
        <v>8.3271368834516059E-3</v>
      </c>
      <c r="Y241" s="452">
        <f t="shared" si="15"/>
        <v>1.3044505130491823E-3</v>
      </c>
    </row>
    <row r="242" spans="18:25" x14ac:dyDescent="0.2">
      <c r="R242" s="422">
        <f>_xll.qlCalendarAdvance(Calendar,R241,"1D","f")</f>
        <v>42411</v>
      </c>
      <c r="S242" s="449">
        <f>_xll.qlCalendarAdvance(Calendar,R242,$F$1,"mf",,Trigger)</f>
        <v>42593</v>
      </c>
      <c r="T242" s="450">
        <f>_xll.qlDayCounterYearFraction(DayCounter,R242,S242,,,Trigger)</f>
        <v>0.49863013698630138</v>
      </c>
      <c r="U242" s="423">
        <f>_xll.qlInterpolationInterpolate(B6Minterpolation,R242,TRUE)</f>
        <v>2.6298206260876862E-3</v>
      </c>
      <c r="V242" s="345">
        <f>_xll.qlYieldTSDiscount(Discounting,R242,,AllTriggers)</f>
        <v>0.99522367651303545</v>
      </c>
      <c r="W242" s="345">
        <f>_xll.qlYieldTSDiscount(Discounting,S242,,AllTriggers)</f>
        <v>0.99110061191516985</v>
      </c>
      <c r="X242" s="32">
        <f t="shared" si="14"/>
        <v>8.3430312698931312E-3</v>
      </c>
      <c r="Y242" s="452">
        <f t="shared" si="15"/>
        <v>1.3050233510302064E-3</v>
      </c>
    </row>
    <row r="243" spans="18:25" x14ac:dyDescent="0.2">
      <c r="R243" s="422">
        <f>_xll.qlCalendarAdvance(Calendar,R242,"1D","f")</f>
        <v>42412</v>
      </c>
      <c r="S243" s="449">
        <f>_xll.qlCalendarAdvance(Calendar,R243,$F$1,"mf",,Trigger)</f>
        <v>42594</v>
      </c>
      <c r="T243" s="450">
        <f>_xll.qlDayCounterYearFraction(DayCounter,R243,S243,,,Trigger)</f>
        <v>0.49863013698630138</v>
      </c>
      <c r="U243" s="423">
        <f>_xll.qlInterpolationInterpolate(B6Minterpolation,R243,TRUE)</f>
        <v>2.630989897881744E-3</v>
      </c>
      <c r="V243" s="345">
        <f>_xll.qlYieldTSDiscount(Discounting,R243,,AllTriggers)</f>
        <v>0.99520481943901662</v>
      </c>
      <c r="W243" s="345">
        <f>_xll.qlYieldTSDiscount(Discounting,S243,,AllTriggers)</f>
        <v>0.99107405620551159</v>
      </c>
      <c r="X243" s="32">
        <f t="shared" si="14"/>
        <v>8.3588334458177954E-3</v>
      </c>
      <c r="Y243" s="452">
        <f t="shared" si="15"/>
        <v>1.3055929743268301E-3</v>
      </c>
    </row>
    <row r="244" spans="18:25" x14ac:dyDescent="0.2">
      <c r="R244" s="422">
        <f>_xll.qlCalendarAdvance(Calendar,R243,"1D","f")</f>
        <v>42415</v>
      </c>
      <c r="S244" s="449">
        <f>_xll.qlCalendarAdvance(Calendar,R244,$F$1,"mf",,Trigger)</f>
        <v>42597</v>
      </c>
      <c r="T244" s="450">
        <f>_xll.qlDayCounterYearFraction(DayCounter,R244,S244,,,Trigger)</f>
        <v>0.49863013698630138</v>
      </c>
      <c r="U244" s="423">
        <f>_xll.qlInterpolationInterpolate(B6Minterpolation,R244,TRUE)</f>
        <v>2.6344560222597312E-3</v>
      </c>
      <c r="V244" s="345">
        <f>_xll.qlYieldTSDiscount(Discounting,R244,,AllTriggers)</f>
        <v>0.99514773955405011</v>
      </c>
      <c r="W244" s="345">
        <f>_xll.qlYieldTSDiscount(Discounting,S244,,AllTriggers)</f>
        <v>0.99099412828694133</v>
      </c>
      <c r="X244" s="32">
        <f t="shared" si="14"/>
        <v>8.4057456410426747E-3</v>
      </c>
      <c r="Y244" s="452">
        <f t="shared" si="15"/>
        <v>1.3072814347373902E-3</v>
      </c>
    </row>
    <row r="245" spans="18:25" x14ac:dyDescent="0.2">
      <c r="R245" s="422">
        <f>_xll.qlCalendarAdvance(Calendar,R244,"1D","f")</f>
        <v>42416</v>
      </c>
      <c r="S245" s="449">
        <f>_xll.qlCalendarAdvance(Calendar,R245,$F$1,"mf",,Trigger)</f>
        <v>42598</v>
      </c>
      <c r="T245" s="450">
        <f>_xll.qlDayCounterYearFraction(DayCounter,R245,S245,,,Trigger)</f>
        <v>0.49863013698630138</v>
      </c>
      <c r="U245" s="423">
        <f>_xll.qlInterpolationInterpolate(B6Minterpolation,R245,TRUE)</f>
        <v>2.6355967709185001E-3</v>
      </c>
      <c r="V245" s="345">
        <f>_xll.qlYieldTSDiscount(Discounting,R245,,AllTriggers)</f>
        <v>0.99512855320935889</v>
      </c>
      <c r="W245" s="345">
        <f>_xll.qlYieldTSDiscount(Discounting,S245,,AllTriggers)</f>
        <v>0.99096739884055995</v>
      </c>
      <c r="X245" s="32">
        <f t="shared" si="14"/>
        <v>8.4212379064182667E-3</v>
      </c>
      <c r="Y245" s="452">
        <f t="shared" si="15"/>
        <v>1.3078370779055258E-3</v>
      </c>
    </row>
    <row r="246" spans="18:25" x14ac:dyDescent="0.2">
      <c r="R246" s="422">
        <f>_xll.qlCalendarAdvance(Calendar,R245,"1D","f")</f>
        <v>42417</v>
      </c>
      <c r="S246" s="449">
        <f>_xll.qlCalendarAdvance(Calendar,R246,$F$1,"mf",,Trigger)</f>
        <v>42599</v>
      </c>
      <c r="T246" s="450">
        <f>_xll.qlDayCounterYearFraction(DayCounter,R246,S246,,,Trigger)</f>
        <v>0.49863013698630138</v>
      </c>
      <c r="U246" s="423">
        <f>_xll.qlInterpolationInterpolate(B6Minterpolation,R246,TRUE)</f>
        <v>2.6367298419440726E-3</v>
      </c>
      <c r="V246" s="345">
        <f>_xll.qlYieldTSDiscount(Discounting,R246,,AllTriggers)</f>
        <v>0.99510929192493391</v>
      </c>
      <c r="W246" s="345">
        <f>_xll.qlYieldTSDiscount(Discounting,S246,,AllTriggers)</f>
        <v>0.9909406260522583</v>
      </c>
      <c r="X246" s="32">
        <f t="shared" si="14"/>
        <v>8.4366674279964891E-3</v>
      </c>
      <c r="Y246" s="452">
        <f t="shared" si="15"/>
        <v>1.3083889456751605E-3</v>
      </c>
    </row>
    <row r="247" spans="18:25" x14ac:dyDescent="0.2">
      <c r="R247" s="422">
        <f>_xll.qlCalendarAdvance(Calendar,R246,"1D","f")</f>
        <v>42418</v>
      </c>
      <c r="S247" s="449">
        <f>_xll.qlCalendarAdvance(Calendar,R247,$F$1,"mf",,Trigger)</f>
        <v>42600</v>
      </c>
      <c r="T247" s="450">
        <f>_xll.qlDayCounterYearFraction(DayCounter,R247,S247,,,Trigger)</f>
        <v>0.49863013698630138</v>
      </c>
      <c r="U247" s="423">
        <f>_xll.qlInterpolationInterpolate(B6Minterpolation,R247,TRUE)</f>
        <v>2.6378550165966999E-3</v>
      </c>
      <c r="V247" s="345">
        <f>_xll.qlYieldTSDiscount(Discounting,R247,,AllTriggers)</f>
        <v>0.99508995865153094</v>
      </c>
      <c r="W247" s="345">
        <f>_xll.qlYieldTSDiscount(Discounting,S247,,AllTriggers)</f>
        <v>0.99091380995894485</v>
      </c>
      <c r="X247" s="32">
        <f t="shared" si="14"/>
        <v>8.4520400996899933E-3</v>
      </c>
      <c r="Y247" s="452">
        <f t="shared" si="15"/>
        <v>1.3089369258923991E-3</v>
      </c>
    </row>
    <row r="248" spans="18:25" x14ac:dyDescent="0.2">
      <c r="R248" s="422">
        <f>_xll.qlCalendarAdvance(Calendar,R247,"1D","f")</f>
        <v>42419</v>
      </c>
      <c r="S248" s="449">
        <f>_xll.qlCalendarAdvance(Calendar,R248,$F$1,"mf",,Trigger)</f>
        <v>42601</v>
      </c>
      <c r="T248" s="450">
        <f>_xll.qlDayCounterYearFraction(DayCounter,R248,S248,,,Trigger)</f>
        <v>0.49863013698630138</v>
      </c>
      <c r="U248" s="423">
        <f>_xll.qlInterpolationInterpolate(B6Minterpolation,R248,TRUE)</f>
        <v>2.6389720761366316E-3</v>
      </c>
      <c r="V248" s="345">
        <f>_xll.qlYieldTSDiscount(Discounting,R248,,AllTriggers)</f>
        <v>0.99507055633969266</v>
      </c>
      <c r="W248" s="345">
        <f>_xll.qlYieldTSDiscount(Discounting,S248,,AllTriggers)</f>
        <v>0.99088695059753018</v>
      </c>
      <c r="X248" s="32">
        <f t="shared" si="14"/>
        <v>8.4673618155962256E-3</v>
      </c>
      <c r="Y248" s="452">
        <f t="shared" si="15"/>
        <v>1.3094809063995557E-3</v>
      </c>
    </row>
    <row r="249" spans="18:25" x14ac:dyDescent="0.2">
      <c r="R249" s="422">
        <f>_xll.qlCalendarAdvance(Calendar,R248,"1D","f")</f>
        <v>42422</v>
      </c>
      <c r="S249" s="449">
        <f>_xll.qlCalendarAdvance(Calendar,R249,$F$1,"mf",,Trigger)</f>
        <v>42604</v>
      </c>
      <c r="T249" s="450">
        <f>_xll.qlDayCounterYearFraction(DayCounter,R249,S249,,,Trigger)</f>
        <v>0.49863013698630138</v>
      </c>
      <c r="U249" s="423">
        <f>_xll.qlInterpolationInterpolate(B6Minterpolation,R249,TRUE)</f>
        <v>2.6422723766827624E-3</v>
      </c>
      <c r="V249" s="345">
        <f>_xll.qlYieldTSDiscount(Discounting,R249,,AllTriggers)</f>
        <v>0.99501196467575714</v>
      </c>
      <c r="W249" s="345">
        <f>_xll.qlYieldTSDiscount(Discounting,S249,,AllTriggers)</f>
        <v>0.99080611327381407</v>
      </c>
      <c r="X249" s="32">
        <f t="shared" si="14"/>
        <v>8.51308017231827E-3</v>
      </c>
      <c r="Y249" s="452">
        <f t="shared" si="15"/>
        <v>1.3110877280333823E-3</v>
      </c>
    </row>
    <row r="250" spans="18:25" x14ac:dyDescent="0.2">
      <c r="R250" s="422">
        <f>_xll.qlCalendarAdvance(Calendar,R249,"1D","f")</f>
        <v>42423</v>
      </c>
      <c r="S250" s="449">
        <f>_xll.qlCalendarAdvance(Calendar,R250,$F$1,"mf",,Trigger)</f>
        <v>42605</v>
      </c>
      <c r="T250" s="450">
        <f>_xll.qlDayCounterYearFraction(DayCounter,R250,S250,,,Trigger)</f>
        <v>0.49863013698630138</v>
      </c>
      <c r="U250" s="423">
        <f>_xll.qlInterpolationInterpolate(B6Minterpolation,R250,TRUE)</f>
        <v>2.6433547883744197E-3</v>
      </c>
      <c r="V250" s="345">
        <f>_xll.qlYieldTSDiscount(Discounting,R250,,AllTriggers)</f>
        <v>0.994992315711276</v>
      </c>
      <c r="W250" s="345">
        <f>_xll.qlYieldTSDiscount(Discounting,S250,,AllTriggers)</f>
        <v>0.99077908120914004</v>
      </c>
      <c r="X250" s="32">
        <f t="shared" si="14"/>
        <v>8.5282570097077008E-3</v>
      </c>
      <c r="Y250" s="452">
        <f t="shared" si="15"/>
        <v>1.311614588056263E-3</v>
      </c>
    </row>
    <row r="251" spans="18:25" x14ac:dyDescent="0.2">
      <c r="R251" s="422">
        <f>_xll.qlCalendarAdvance(Calendar,R250,"1D","f")</f>
        <v>42424</v>
      </c>
      <c r="S251" s="449">
        <f>_xll.qlCalendarAdvance(Calendar,R251,$F$1,"mf",,Trigger)</f>
        <v>42606</v>
      </c>
      <c r="T251" s="450">
        <f>_xll.qlDayCounterYearFraction(DayCounter,R251,S251,,,Trigger)</f>
        <v>0.49863013698630138</v>
      </c>
      <c r="U251" s="423">
        <f>_xll.qlInterpolationInterpolate(B6Minterpolation,R251,TRUE)</f>
        <v>2.6444279912546339E-3</v>
      </c>
      <c r="V251" s="345">
        <f>_xll.qlYieldTSDiscount(Discounting,R251,,AllTriggers)</f>
        <v>0.99497261245780966</v>
      </c>
      <c r="W251" s="345">
        <f>_xll.qlYieldTSDiscount(Discounting,S251,,AllTriggers)</f>
        <v>0.9907520060609476</v>
      </c>
      <c r="X251" s="32">
        <f t="shared" si="14"/>
        <v>8.543412364527752E-3</v>
      </c>
      <c r="Y251" s="452">
        <f t="shared" si="15"/>
        <v>1.3121368875302737E-3</v>
      </c>
    </row>
    <row r="252" spans="18:25" x14ac:dyDescent="0.2">
      <c r="R252" s="422">
        <f>_xll.qlCalendarAdvance(Calendar,R251,"1D","f")</f>
        <v>42425</v>
      </c>
      <c r="S252" s="449">
        <f>_xll.qlCalendarAdvance(Calendar,R252,$F$1,"mf",,Trigger)</f>
        <v>42607</v>
      </c>
      <c r="T252" s="450">
        <f>_xll.qlDayCounterYearFraction(DayCounter,R252,S252,,,Trigger)</f>
        <v>0.49863013698630138</v>
      </c>
      <c r="U252" s="423">
        <f>_xll.qlInterpolationInterpolate(B6Minterpolation,R252,TRUE)</f>
        <v>2.6454917665836557E-3</v>
      </c>
      <c r="V252" s="345">
        <f>_xll.qlYieldTSDiscount(Discounting,R252,,AllTriggers)</f>
        <v>0.99495285786458254</v>
      </c>
      <c r="W252" s="345">
        <f>_xll.qlYieldTSDiscount(Discounting,S252,,AllTriggers)</f>
        <v>0.99072488786615953</v>
      </c>
      <c r="X252" s="32">
        <f t="shared" si="14"/>
        <v>8.5585521319602002E-3</v>
      </c>
      <c r="Y252" s="452">
        <f t="shared" si="15"/>
        <v>1.3126545142791038E-3</v>
      </c>
    </row>
    <row r="253" spans="18:25" x14ac:dyDescent="0.2">
      <c r="R253" s="422">
        <f>_xll.qlCalendarAdvance(Calendar,R252,"1D","f")</f>
        <v>42426</v>
      </c>
      <c r="S253" s="449">
        <f>_xll.qlCalendarAdvance(Calendar,R253,$F$1,"mf",,Trigger)</f>
        <v>42608</v>
      </c>
      <c r="T253" s="450">
        <f>_xll.qlDayCounterYearFraction(DayCounter,R253,S253,,,Trigger)</f>
        <v>0.49863013698630138</v>
      </c>
      <c r="U253" s="423">
        <f>_xll.qlInterpolationInterpolate(B6Minterpolation,R253,TRUE)</f>
        <v>2.6465458956217366E-3</v>
      </c>
      <c r="V253" s="345">
        <f>_xll.qlYieldTSDiscount(Discounting,R253,,AllTriggers)</f>
        <v>0.99493305488059336</v>
      </c>
      <c r="W253" s="345">
        <f>_xll.qlYieldTSDiscount(Discounting,S253,,AllTriggers)</f>
        <v>0.99069772666170031</v>
      </c>
      <c r="X253" s="32">
        <f t="shared" si="14"/>
        <v>8.5736822073645049E-3</v>
      </c>
      <c r="Y253" s="452">
        <f t="shared" si="15"/>
        <v>1.3131673561219536E-3</v>
      </c>
    </row>
    <row r="254" spans="18:25" x14ac:dyDescent="0.2">
      <c r="R254" s="422">
        <f>_xll.qlCalendarAdvance(Calendar,R253,"1D","f")</f>
        <v>42429</v>
      </c>
      <c r="S254" s="449">
        <f>_xll.qlCalendarAdvance(Calendar,R254,$F$1,"mf",,Trigger)</f>
        <v>42612</v>
      </c>
      <c r="T254" s="450">
        <f>_xll.qlDayCounterYearFraction(DayCounter,R254,S254,,,Trigger)</f>
        <v>0.50136986301369868</v>
      </c>
      <c r="U254" s="423">
        <f>_xll.qlInterpolationInterpolate(B6Minterpolation,R254,TRUE)</f>
        <v>2.6496482175928336E-3</v>
      </c>
      <c r="V254" s="345">
        <f>_xll.qlYieldTSDiscount(Discounting,R254,,AllTriggers)</f>
        <v>0.99487338507062528</v>
      </c>
      <c r="W254" s="345">
        <f>_xll.qlYieldTSDiscount(Discounting,S254,,AllTriggers)</f>
        <v>0.99058865248570993</v>
      </c>
      <c r="X254" s="32">
        <f t="shared" si="14"/>
        <v>8.62724533450312E-3</v>
      </c>
      <c r="Y254" s="452">
        <f t="shared" si="15"/>
        <v>1.3218583235515256E-3</v>
      </c>
    </row>
    <row r="255" spans="18:25" x14ac:dyDescent="0.2">
      <c r="R255" s="422">
        <f>_xll.qlCalendarAdvance(Calendar,R254,"1D","f")</f>
        <v>42430</v>
      </c>
      <c r="S255" s="449">
        <f>_xll.qlCalendarAdvance(Calendar,R255,$F$1,"mf",,Trigger)</f>
        <v>42614</v>
      </c>
      <c r="T255" s="450">
        <f>_xll.qlDayCounterYearFraction(DayCounter,R255,S255,,,Trigger)</f>
        <v>0.50410958904109593</v>
      </c>
      <c r="U255" s="423">
        <f>_xll.qlInterpolationInterpolate(B6Minterpolation,R255,TRUE)</f>
        <v>2.6506615740696528E-3</v>
      </c>
      <c r="V255" s="345">
        <f>_xll.qlYieldTSDiscount(Discounting,R255,,AllTriggers)</f>
        <v>0.99485341800901161</v>
      </c>
      <c r="W255" s="345">
        <f>_xll.qlYieldTSDiscount(Discounting,S255,,AllTriggers)</f>
        <v>0.9905338582998674</v>
      </c>
      <c r="X255" s="32">
        <f t="shared" si="14"/>
        <v>8.6505794249599668E-3</v>
      </c>
      <c r="Y255" s="452">
        <f t="shared" si="15"/>
        <v>1.3295379311906094E-3</v>
      </c>
    </row>
    <row r="256" spans="18:25" x14ac:dyDescent="0.2">
      <c r="R256" s="422">
        <f>_xll.qlCalendarAdvance(Calendar,R255,"1D","f")</f>
        <v>42431</v>
      </c>
      <c r="S256" s="449">
        <f>_xll.qlCalendarAdvance(Calendar,R256,$F$1,"mf",,Trigger)</f>
        <v>42615</v>
      </c>
      <c r="T256" s="450">
        <f>_xll.qlDayCounterYearFraction(DayCounter,R256,S256,,,Trigger)</f>
        <v>0.50410958904109593</v>
      </c>
      <c r="U256" s="423">
        <f>_xll.qlInterpolationInterpolate(B6Minterpolation,R256,TRUE)</f>
        <v>2.6516641905567832E-3</v>
      </c>
      <c r="V256" s="345">
        <f>_xll.qlYieldTSDiscount(Discounting,R256,,AllTriggers)</f>
        <v>0.9948334172981953</v>
      </c>
      <c r="W256" s="345">
        <f>_xll.qlYieldTSDiscount(Discounting,S256,,AllTriggers)</f>
        <v>0.99050639706175869</v>
      </c>
      <c r="X256" s="32">
        <f t="shared" si="14"/>
        <v>8.6657605194169953E-3</v>
      </c>
      <c r="Y256" s="452">
        <f t="shared" si="15"/>
        <v>1.3300303687969379E-3</v>
      </c>
    </row>
    <row r="257" spans="18:25" x14ac:dyDescent="0.2">
      <c r="R257" s="422">
        <f>_xll.qlCalendarAdvance(Calendar,R256,"1D","f")</f>
        <v>42432</v>
      </c>
      <c r="S257" s="449">
        <f>_xll.qlCalendarAdvance(Calendar,R257,$F$1,"mf",,Trigger)</f>
        <v>42618</v>
      </c>
      <c r="T257" s="450">
        <f>_xll.qlDayCounterYearFraction(DayCounter,R257,S257,,,Trigger)</f>
        <v>0.50958904109589043</v>
      </c>
      <c r="U257" s="423">
        <f>_xll.qlInterpolationInterpolate(B6Minterpolation,R257,TRUE)</f>
        <v>2.6526558483144745E-3</v>
      </c>
      <c r="V257" s="345">
        <f>_xll.qlYieldTSDiscount(Discounting,R257,,AllTriggers)</f>
        <v>0.99481338588579293</v>
      </c>
      <c r="W257" s="345">
        <f>_xll.qlYieldTSDiscount(Discounting,S257,,AllTriggers)</f>
        <v>0.99042375720996378</v>
      </c>
      <c r="X257" s="32">
        <f t="shared" si="14"/>
        <v>8.6973441516855262E-3</v>
      </c>
      <c r="Y257" s="452">
        <f t="shared" si="15"/>
        <v>1.344894893350633E-3</v>
      </c>
    </row>
    <row r="258" spans="18:25" x14ac:dyDescent="0.2">
      <c r="R258" s="422">
        <f>_xll.qlCalendarAdvance(Calendar,R257,"1D","f")</f>
        <v>42433</v>
      </c>
      <c r="S258" s="449">
        <f>_xll.qlCalendarAdvance(Calendar,R258,$F$1,"mf",,Trigger)</f>
        <v>42618</v>
      </c>
      <c r="T258" s="450">
        <f>_xll.qlDayCounterYearFraction(DayCounter,R258,S258,,,Trigger)</f>
        <v>0.50684931506849318</v>
      </c>
      <c r="U258" s="423">
        <f>_xll.qlInterpolationInterpolate(B6Minterpolation,R258,TRUE)</f>
        <v>2.6536363286029777E-3</v>
      </c>
      <c r="V258" s="345">
        <f>_xll.qlYieldTSDiscount(Discounting,R258,,AllTriggers)</f>
        <v>0.99479332619465477</v>
      </c>
      <c r="W258" s="345">
        <f>_xll.qlYieldTSDiscount(Discounting,S258,,AllTriggers)</f>
        <v>0.99042375720996378</v>
      </c>
      <c r="X258" s="32">
        <f t="shared" si="14"/>
        <v>8.7043969286662148E-3</v>
      </c>
      <c r="Y258" s="452">
        <f t="shared" si="15"/>
        <v>1.3381901765885669E-3</v>
      </c>
    </row>
    <row r="259" spans="18:25" x14ac:dyDescent="0.2">
      <c r="R259" s="422">
        <f>_xll.qlCalendarAdvance(Calendar,R258,"1D","f")</f>
        <v>42436</v>
      </c>
      <c r="S259" s="449">
        <f>_xll.qlCalendarAdvance(Calendar,R259,$F$1,"mf",,Trigger)</f>
        <v>42620</v>
      </c>
      <c r="T259" s="450">
        <f>_xll.qlDayCounterYearFraction(DayCounter,R259,S259,,,Trigger)</f>
        <v>0.50410958904109593</v>
      </c>
      <c r="U259" s="423">
        <f>_xll.qlInterpolationInterpolate(B6Minterpolation,R259,TRUE)</f>
        <v>2.6565085172558641E-3</v>
      </c>
      <c r="V259" s="345">
        <f>_xll.qlYieldTSDiscount(Discounting,R259,,AllTriggers)</f>
        <v>0.99473297859641641</v>
      </c>
      <c r="W259" s="345">
        <f>_xll.qlYieldTSDiscount(Discounting,S259,,AllTriggers)</f>
        <v>0.99036845093304438</v>
      </c>
      <c r="X259" s="32">
        <f t="shared" si="14"/>
        <v>8.7420944613767274E-3</v>
      </c>
      <c r="Y259" s="452">
        <f t="shared" si="15"/>
        <v>1.332407568930047E-3</v>
      </c>
    </row>
    <row r="260" spans="18:25" x14ac:dyDescent="0.2">
      <c r="R260" s="422">
        <f>_xll.qlCalendarAdvance(Calendar,R259,"1D","f")</f>
        <v>42437</v>
      </c>
      <c r="S260" s="449">
        <f>_xll.qlCalendarAdvance(Calendar,R260,$F$1,"mf",,Trigger)</f>
        <v>42621</v>
      </c>
      <c r="T260" s="450">
        <f>_xll.qlDayCounterYearFraction(DayCounter,R260,S260,,,Trigger)</f>
        <v>0.50410958904109593</v>
      </c>
      <c r="U260" s="423">
        <f>_xll.qlInterpolationInterpolate(B6Minterpolation,R260,TRUE)</f>
        <v>2.6574421002701202E-3</v>
      </c>
      <c r="V260" s="345">
        <f>_xll.qlYieldTSDiscount(Discounting,R260,,AllTriggers)</f>
        <v>0.99471280588891287</v>
      </c>
      <c r="W260" s="345">
        <f>_xll.qlYieldTSDiscount(Discounting,S260,,AllTriggers)</f>
        <v>0.99034073404950462</v>
      </c>
      <c r="X260" s="32">
        <f t="shared" ref="X260:X262" si="16">(V260/W260-1)/T260</f>
        <v>8.757450441690847E-3</v>
      </c>
      <c r="Y260" s="452">
        <f t="shared" ref="Y260:Y262" si="17">LN((1+(U260+X260)*T260)/(1+X260*T260))</f>
        <v>1.3328652423980649E-3</v>
      </c>
    </row>
    <row r="261" spans="18:25" x14ac:dyDescent="0.2">
      <c r="R261" s="422">
        <f>_xll.qlCalendarAdvance(Calendar,R260,"1D","f")</f>
        <v>42438</v>
      </c>
      <c r="S261" s="449">
        <f>_xll.qlCalendarAdvance(Calendar,R261,$F$1,"mf",,Trigger)</f>
        <v>42622</v>
      </c>
      <c r="T261" s="450">
        <f>_xll.qlDayCounterYearFraction(DayCounter,R261,S261,,,Trigger)</f>
        <v>0.50410958904109593</v>
      </c>
      <c r="U261" s="423">
        <f>_xll.qlInterpolationInterpolate(B6Minterpolation,R261,TRUE)</f>
        <v>2.6583634121164403E-3</v>
      </c>
      <c r="V261" s="345">
        <f>_xll.qlYieldTSDiscount(Discounting,R261,,AllTriggers)</f>
        <v>0.99469260442750296</v>
      </c>
      <c r="W261" s="345">
        <f>_xll.qlYieldTSDiscount(Discounting,S261,,AllTriggers)</f>
        <v>0.99031297475456759</v>
      </c>
      <c r="X261" s="32">
        <f t="shared" si="16"/>
        <v>8.7728350145941363E-3</v>
      </c>
      <c r="Y261" s="452">
        <f t="shared" si="17"/>
        <v>1.3333167389107212E-3</v>
      </c>
    </row>
    <row r="262" spans="18:25" ht="12" thickBot="1" x14ac:dyDescent="0.25">
      <c r="R262" s="422">
        <f>_xll.qlCalendarAdvance(Calendar,R261,"1D","f")</f>
        <v>42439</v>
      </c>
      <c r="S262" s="449">
        <f>_xll.qlCalendarAdvance(Calendar,R262,$F$1,"mf",,Trigger)</f>
        <v>42625</v>
      </c>
      <c r="T262" s="450">
        <f>_xll.qlDayCounterYearFraction(DayCounter,R262,S262,,,Trigger)</f>
        <v>0.50958904109589043</v>
      </c>
      <c r="U262" s="423">
        <f>_xll.qlInterpolationInterpolate(B6Minterpolation,R262,TRUE)</f>
        <v>2.6592722340550755E-3</v>
      </c>
      <c r="V262" s="346">
        <f>_xll.qlYieldTSDiscount(Discounting,R262,,AllTriggers)</f>
        <v>0.99467237401229824</v>
      </c>
      <c r="W262" s="346">
        <f>_xll.qlYieldTSDiscount(Discounting,S262,,AllTriggers)</f>
        <v>0.99022944304127092</v>
      </c>
      <c r="X262" s="224">
        <f t="shared" si="16"/>
        <v>8.8046815046444529E-3</v>
      </c>
      <c r="Y262" s="453">
        <f t="shared" si="17"/>
        <v>1.3481737690735063E-3</v>
      </c>
    </row>
    <row r="263" spans="18:25" x14ac:dyDescent="0.2">
      <c r="R263" s="439"/>
      <c r="S263" s="439"/>
      <c r="T263" s="439"/>
      <c r="U263" s="445"/>
      <c r="V263" s="445"/>
      <c r="W263" s="445"/>
      <c r="X263" s="444"/>
      <c r="Y263" s="444"/>
    </row>
    <row r="264" spans="18:25" x14ac:dyDescent="0.2">
      <c r="R264" s="442"/>
      <c r="S264" s="442"/>
      <c r="T264" s="442"/>
      <c r="U264" s="446"/>
      <c r="V264" s="446"/>
      <c r="W264" s="446"/>
      <c r="X264" s="444"/>
      <c r="Y264" s="444"/>
    </row>
    <row r="265" spans="18:25" x14ac:dyDescent="0.2">
      <c r="R265" s="442"/>
      <c r="S265" s="442"/>
      <c r="T265" s="442"/>
      <c r="U265" s="446"/>
      <c r="V265" s="446"/>
      <c r="W265" s="446"/>
      <c r="X265" s="444"/>
      <c r="Y265" s="444"/>
    </row>
    <row r="266" spans="18:25" x14ac:dyDescent="0.2">
      <c r="R266" s="442"/>
      <c r="S266" s="442"/>
      <c r="T266" s="442"/>
      <c r="U266" s="446"/>
      <c r="V266" s="446"/>
      <c r="W266" s="446"/>
      <c r="X266" s="444"/>
      <c r="Y266" s="444"/>
    </row>
    <row r="267" spans="18:25" x14ac:dyDescent="0.2">
      <c r="R267" s="442"/>
      <c r="S267" s="442"/>
      <c r="T267" s="442"/>
      <c r="U267" s="446"/>
      <c r="V267" s="446"/>
      <c r="W267" s="446"/>
      <c r="X267" s="444"/>
      <c r="Y267" s="444"/>
    </row>
    <row r="268" spans="18:25" x14ac:dyDescent="0.2">
      <c r="R268" s="442"/>
      <c r="S268" s="442"/>
      <c r="T268" s="442"/>
      <c r="U268" s="446"/>
      <c r="V268" s="446"/>
      <c r="W268" s="446"/>
      <c r="X268" s="444"/>
      <c r="Y268" s="444"/>
    </row>
    <row r="269" spans="18:25" x14ac:dyDescent="0.2">
      <c r="R269" s="442"/>
      <c r="S269" s="442"/>
      <c r="T269" s="442"/>
      <c r="U269" s="446"/>
      <c r="V269" s="446"/>
      <c r="W269" s="446"/>
      <c r="X269" s="444"/>
      <c r="Y269" s="444"/>
    </row>
    <row r="270" spans="18:25" x14ac:dyDescent="0.2">
      <c r="R270" s="442"/>
      <c r="S270" s="442"/>
      <c r="T270" s="442"/>
      <c r="U270" s="446"/>
      <c r="V270" s="446"/>
      <c r="W270" s="446"/>
      <c r="X270" s="444"/>
      <c r="Y270" s="444"/>
    </row>
    <row r="271" spans="18:25" x14ac:dyDescent="0.2">
      <c r="R271" s="442"/>
      <c r="S271" s="442"/>
      <c r="T271" s="442"/>
      <c r="U271" s="446"/>
      <c r="V271" s="446"/>
      <c r="W271" s="446"/>
      <c r="X271" s="444"/>
      <c r="Y271" s="444"/>
    </row>
    <row r="272" spans="18:25" x14ac:dyDescent="0.2">
      <c r="R272" s="442"/>
      <c r="S272" s="442"/>
      <c r="T272" s="442"/>
      <c r="U272" s="446"/>
      <c r="V272" s="446"/>
      <c r="W272" s="446"/>
      <c r="X272" s="444"/>
      <c r="Y272" s="444"/>
    </row>
    <row r="273" spans="18:25" x14ac:dyDescent="0.2">
      <c r="R273" s="442"/>
      <c r="S273" s="442"/>
      <c r="T273" s="442"/>
      <c r="U273" s="446"/>
      <c r="V273" s="446"/>
      <c r="W273" s="446"/>
      <c r="X273" s="444"/>
      <c r="Y273" s="444"/>
    </row>
    <row r="274" spans="18:25" x14ac:dyDescent="0.2">
      <c r="R274" s="442"/>
      <c r="S274" s="442"/>
      <c r="T274" s="442"/>
      <c r="U274" s="446"/>
      <c r="V274" s="446"/>
      <c r="W274" s="446"/>
      <c r="X274" s="444"/>
      <c r="Y274" s="444"/>
    </row>
    <row r="275" spans="18:25" x14ac:dyDescent="0.2">
      <c r="R275" s="442"/>
      <c r="S275" s="442"/>
      <c r="T275" s="442"/>
      <c r="U275" s="446"/>
      <c r="V275" s="446"/>
      <c r="W275" s="446"/>
      <c r="X275" s="444"/>
      <c r="Y275" s="444"/>
    </row>
    <row r="276" spans="18:25" x14ac:dyDescent="0.2">
      <c r="R276" s="442"/>
      <c r="S276" s="442"/>
      <c r="T276" s="442"/>
      <c r="U276" s="446"/>
      <c r="V276" s="446"/>
      <c r="W276" s="446"/>
      <c r="X276" s="444"/>
      <c r="Y276" s="444"/>
    </row>
    <row r="277" spans="18:25" x14ac:dyDescent="0.2">
      <c r="R277" s="442"/>
      <c r="S277" s="442"/>
      <c r="T277" s="442"/>
      <c r="U277" s="446"/>
      <c r="V277" s="446"/>
      <c r="W277" s="446"/>
      <c r="X277" s="444"/>
      <c r="Y277" s="444"/>
    </row>
    <row r="278" spans="18:25" x14ac:dyDescent="0.2">
      <c r="R278" s="442"/>
      <c r="S278" s="442"/>
      <c r="T278" s="442"/>
      <c r="U278" s="446"/>
      <c r="V278" s="446"/>
      <c r="W278" s="446"/>
      <c r="X278" s="444"/>
      <c r="Y278" s="444"/>
    </row>
    <row r="279" spans="18:25" x14ac:dyDescent="0.2">
      <c r="R279" s="442"/>
      <c r="S279" s="442"/>
      <c r="T279" s="442"/>
      <c r="U279" s="446"/>
      <c r="V279" s="446"/>
      <c r="W279" s="446"/>
      <c r="X279" s="444"/>
      <c r="Y279" s="444"/>
    </row>
    <row r="280" spans="18:25" x14ac:dyDescent="0.2">
      <c r="R280" s="442"/>
      <c r="S280" s="442"/>
      <c r="T280" s="442"/>
      <c r="U280" s="446"/>
      <c r="V280" s="446"/>
      <c r="W280" s="446"/>
      <c r="X280" s="444"/>
      <c r="Y280" s="444"/>
    </row>
    <row r="281" spans="18:25" x14ac:dyDescent="0.2">
      <c r="R281" s="442"/>
      <c r="S281" s="442"/>
      <c r="T281" s="442"/>
      <c r="U281" s="446"/>
      <c r="V281" s="446"/>
      <c r="W281" s="446"/>
      <c r="X281" s="444"/>
      <c r="Y281" s="444"/>
    </row>
    <row r="282" spans="18:25" x14ac:dyDescent="0.2">
      <c r="R282" s="442"/>
      <c r="S282" s="442"/>
      <c r="T282" s="442"/>
      <c r="U282" s="446"/>
      <c r="V282" s="446"/>
      <c r="W282" s="446"/>
      <c r="X282" s="444"/>
      <c r="Y282" s="444"/>
    </row>
    <row r="283" spans="18:25" x14ac:dyDescent="0.2">
      <c r="R283" s="442"/>
      <c r="S283" s="442"/>
      <c r="T283" s="442"/>
      <c r="U283" s="446"/>
      <c r="V283" s="446"/>
      <c r="W283" s="446"/>
      <c r="X283" s="444"/>
      <c r="Y283" s="444"/>
    </row>
    <row r="284" spans="18:25" x14ac:dyDescent="0.2">
      <c r="R284" s="442"/>
      <c r="S284" s="442"/>
      <c r="T284" s="442"/>
      <c r="U284" s="446"/>
      <c r="V284" s="446"/>
      <c r="W284" s="446"/>
      <c r="X284" s="444"/>
      <c r="Y284" s="444"/>
    </row>
    <row r="285" spans="18:25" x14ac:dyDescent="0.2">
      <c r="R285" s="442"/>
      <c r="S285" s="442"/>
      <c r="T285" s="442"/>
      <c r="U285" s="446"/>
      <c r="V285" s="446"/>
      <c r="W285" s="446"/>
      <c r="X285" s="444"/>
      <c r="Y285" s="444"/>
    </row>
    <row r="286" spans="18:25" x14ac:dyDescent="0.2">
      <c r="R286" s="442"/>
      <c r="S286" s="442"/>
      <c r="T286" s="442"/>
      <c r="U286" s="446"/>
      <c r="V286" s="446"/>
      <c r="W286" s="446"/>
      <c r="X286" s="444"/>
      <c r="Y286" s="444"/>
    </row>
    <row r="287" spans="18:25" x14ac:dyDescent="0.2">
      <c r="R287" s="442"/>
      <c r="S287" s="442"/>
      <c r="T287" s="442"/>
      <c r="U287" s="446"/>
      <c r="V287" s="446"/>
      <c r="W287" s="446"/>
      <c r="X287" s="444"/>
      <c r="Y287" s="444"/>
    </row>
    <row r="288" spans="18:25" x14ac:dyDescent="0.2">
      <c r="R288" s="442"/>
      <c r="S288" s="442"/>
      <c r="T288" s="442"/>
      <c r="U288" s="446"/>
      <c r="V288" s="446"/>
      <c r="W288" s="446"/>
      <c r="X288" s="444"/>
      <c r="Y288" s="444"/>
    </row>
    <row r="289" spans="18:25" x14ac:dyDescent="0.2">
      <c r="R289" s="442"/>
      <c r="S289" s="442"/>
      <c r="T289" s="442"/>
      <c r="U289" s="446"/>
      <c r="V289" s="446"/>
      <c r="W289" s="446"/>
      <c r="X289" s="444"/>
      <c r="Y289" s="444"/>
    </row>
    <row r="290" spans="18:25" x14ac:dyDescent="0.2">
      <c r="R290" s="442"/>
      <c r="S290" s="442"/>
      <c r="T290" s="442"/>
      <c r="U290" s="446"/>
      <c r="V290" s="446"/>
      <c r="W290" s="446"/>
      <c r="X290" s="444"/>
      <c r="Y290" s="444"/>
    </row>
    <row r="291" spans="18:25" x14ac:dyDescent="0.2">
      <c r="R291" s="442"/>
      <c r="S291" s="442"/>
      <c r="T291" s="442"/>
      <c r="U291" s="446"/>
      <c r="V291" s="446"/>
      <c r="W291" s="446"/>
      <c r="X291" s="444"/>
      <c r="Y291" s="444"/>
    </row>
    <row r="292" spans="18:25" x14ac:dyDescent="0.2">
      <c r="R292" s="442"/>
      <c r="S292" s="442"/>
      <c r="T292" s="442"/>
      <c r="U292" s="446"/>
      <c r="V292" s="446"/>
      <c r="W292" s="446"/>
      <c r="X292" s="444"/>
      <c r="Y292" s="444"/>
    </row>
    <row r="293" spans="18:25" x14ac:dyDescent="0.2">
      <c r="R293" s="442"/>
      <c r="S293" s="442"/>
      <c r="T293" s="442"/>
      <c r="U293" s="446"/>
      <c r="V293" s="446"/>
      <c r="W293" s="446"/>
      <c r="X293" s="444"/>
      <c r="Y293" s="444"/>
    </row>
    <row r="294" spans="18:25" x14ac:dyDescent="0.2">
      <c r="R294" s="442"/>
      <c r="S294" s="442"/>
      <c r="T294" s="442"/>
      <c r="U294" s="446"/>
      <c r="V294" s="446"/>
      <c r="W294" s="446"/>
      <c r="X294" s="444"/>
      <c r="Y294" s="444"/>
    </row>
    <row r="295" spans="18:25" x14ac:dyDescent="0.2">
      <c r="R295" s="442"/>
      <c r="S295" s="442"/>
      <c r="T295" s="442"/>
      <c r="U295" s="446"/>
      <c r="V295" s="446"/>
      <c r="W295" s="446"/>
      <c r="X295" s="444"/>
      <c r="Y295" s="444"/>
    </row>
    <row r="296" spans="18:25" x14ac:dyDescent="0.2">
      <c r="R296" s="442"/>
      <c r="S296" s="442"/>
      <c r="T296" s="442"/>
      <c r="U296" s="446"/>
      <c r="V296" s="446"/>
      <c r="W296" s="446"/>
      <c r="X296" s="444"/>
      <c r="Y296" s="444"/>
    </row>
    <row r="297" spans="18:25" x14ac:dyDescent="0.2">
      <c r="R297" s="442"/>
      <c r="S297" s="442"/>
      <c r="T297" s="442"/>
      <c r="U297" s="446"/>
      <c r="V297" s="446"/>
      <c r="W297" s="446"/>
      <c r="X297" s="444"/>
      <c r="Y297" s="444"/>
    </row>
    <row r="298" spans="18:25" x14ac:dyDescent="0.2">
      <c r="R298" s="442"/>
      <c r="S298" s="442"/>
      <c r="T298" s="442"/>
      <c r="U298" s="446"/>
      <c r="V298" s="446"/>
      <c r="W298" s="446"/>
      <c r="X298" s="444"/>
      <c r="Y298" s="444"/>
    </row>
    <row r="299" spans="18:25" x14ac:dyDescent="0.2">
      <c r="R299" s="442"/>
      <c r="S299" s="442"/>
      <c r="T299" s="442"/>
      <c r="U299" s="446"/>
      <c r="V299" s="446"/>
      <c r="W299" s="446"/>
      <c r="X299" s="444"/>
      <c r="Y299" s="444"/>
    </row>
    <row r="300" spans="18:25" x14ac:dyDescent="0.2">
      <c r="R300" s="442"/>
      <c r="S300" s="442"/>
      <c r="T300" s="442"/>
      <c r="U300" s="446"/>
      <c r="V300" s="446"/>
      <c r="W300" s="446"/>
      <c r="X300" s="444"/>
      <c r="Y300" s="444"/>
    </row>
    <row r="301" spans="18:25" x14ac:dyDescent="0.2">
      <c r="R301" s="442"/>
      <c r="S301" s="442"/>
      <c r="T301" s="442"/>
      <c r="U301" s="446"/>
      <c r="V301" s="446"/>
      <c r="W301" s="446"/>
      <c r="X301" s="444"/>
      <c r="Y301" s="444"/>
    </row>
    <row r="302" spans="18:25" x14ac:dyDescent="0.2">
      <c r="R302" s="442"/>
      <c r="S302" s="442"/>
      <c r="T302" s="442"/>
      <c r="U302" s="446"/>
      <c r="V302" s="446"/>
      <c r="W302" s="446"/>
      <c r="X302" s="444"/>
      <c r="Y302" s="444"/>
    </row>
    <row r="303" spans="18:25" x14ac:dyDescent="0.2">
      <c r="R303" s="442"/>
      <c r="S303" s="442"/>
      <c r="T303" s="442"/>
      <c r="U303" s="446"/>
      <c r="V303" s="446"/>
      <c r="W303" s="446"/>
      <c r="X303" s="444"/>
      <c r="Y303" s="444"/>
    </row>
    <row r="304" spans="18:25" x14ac:dyDescent="0.2">
      <c r="R304" s="442"/>
      <c r="S304" s="442"/>
      <c r="T304" s="442"/>
      <c r="U304" s="446"/>
      <c r="V304" s="446"/>
      <c r="W304" s="446"/>
      <c r="X304" s="444"/>
      <c r="Y304" s="444"/>
    </row>
    <row r="305" spans="18:25" x14ac:dyDescent="0.2">
      <c r="R305" s="442"/>
      <c r="S305" s="442"/>
      <c r="T305" s="442"/>
      <c r="U305" s="446"/>
      <c r="V305" s="446"/>
      <c r="W305" s="446"/>
      <c r="X305" s="444"/>
      <c r="Y305" s="444"/>
    </row>
    <row r="306" spans="18:25" x14ac:dyDescent="0.2">
      <c r="R306" s="442"/>
      <c r="S306" s="442"/>
      <c r="T306" s="442"/>
      <c r="U306" s="446"/>
      <c r="V306" s="446"/>
      <c r="W306" s="446"/>
      <c r="X306" s="444"/>
      <c r="Y306" s="444"/>
    </row>
    <row r="307" spans="18:25" x14ac:dyDescent="0.2">
      <c r="R307" s="442"/>
      <c r="S307" s="442"/>
      <c r="T307" s="442"/>
      <c r="U307" s="446"/>
      <c r="V307" s="446"/>
      <c r="W307" s="446"/>
      <c r="X307" s="444"/>
      <c r="Y307" s="444"/>
    </row>
    <row r="308" spans="18:25" x14ac:dyDescent="0.2">
      <c r="R308" s="442"/>
      <c r="S308" s="442"/>
      <c r="T308" s="442"/>
      <c r="U308" s="446"/>
      <c r="V308" s="446"/>
      <c r="W308" s="446"/>
      <c r="X308" s="444"/>
      <c r="Y308" s="444"/>
    </row>
    <row r="309" spans="18:25" x14ac:dyDescent="0.2">
      <c r="R309" s="442"/>
      <c r="S309" s="442"/>
      <c r="T309" s="442"/>
      <c r="U309" s="446"/>
      <c r="V309" s="446"/>
      <c r="W309" s="446"/>
      <c r="X309" s="444"/>
      <c r="Y309" s="444"/>
    </row>
    <row r="310" spans="18:25" x14ac:dyDescent="0.2">
      <c r="R310" s="442"/>
      <c r="S310" s="442"/>
      <c r="T310" s="442"/>
      <c r="U310" s="446"/>
      <c r="V310" s="446"/>
      <c r="W310" s="446"/>
      <c r="X310" s="444"/>
      <c r="Y310" s="444"/>
    </row>
    <row r="311" spans="18:25" x14ac:dyDescent="0.2">
      <c r="R311" s="442"/>
      <c r="S311" s="442"/>
      <c r="T311" s="442"/>
      <c r="U311" s="446"/>
      <c r="V311" s="446"/>
      <c r="W311" s="446"/>
      <c r="X311" s="444"/>
      <c r="Y311" s="444"/>
    </row>
    <row r="312" spans="18:25" x14ac:dyDescent="0.2">
      <c r="R312" s="442"/>
      <c r="S312" s="442"/>
      <c r="T312" s="442"/>
      <c r="U312" s="446"/>
      <c r="V312" s="446"/>
      <c r="W312" s="446"/>
      <c r="X312" s="444"/>
      <c r="Y312" s="444"/>
    </row>
    <row r="313" spans="18:25" x14ac:dyDescent="0.2">
      <c r="R313" s="442"/>
      <c r="S313" s="442"/>
      <c r="T313" s="442"/>
      <c r="U313" s="446"/>
      <c r="V313" s="446"/>
      <c r="W313" s="446"/>
      <c r="X313" s="444"/>
      <c r="Y313" s="444"/>
    </row>
    <row r="314" spans="18:25" x14ac:dyDescent="0.2">
      <c r="R314" s="442"/>
      <c r="S314" s="442"/>
      <c r="T314" s="442"/>
      <c r="U314" s="446"/>
      <c r="V314" s="446"/>
      <c r="W314" s="446"/>
      <c r="X314" s="444"/>
      <c r="Y314" s="444"/>
    </row>
    <row r="315" spans="18:25" x14ac:dyDescent="0.2">
      <c r="R315" s="442"/>
      <c r="S315" s="442"/>
      <c r="T315" s="442"/>
      <c r="U315" s="446"/>
      <c r="V315" s="446"/>
      <c r="W315" s="446"/>
      <c r="X315" s="444"/>
      <c r="Y315" s="444"/>
    </row>
    <row r="316" spans="18:25" x14ac:dyDescent="0.2">
      <c r="R316" s="442"/>
      <c r="S316" s="442"/>
      <c r="T316" s="442"/>
      <c r="U316" s="446"/>
      <c r="V316" s="446"/>
      <c r="W316" s="446"/>
      <c r="X316" s="444"/>
      <c r="Y316" s="444"/>
    </row>
    <row r="317" spans="18:25" x14ac:dyDescent="0.2">
      <c r="R317" s="442"/>
      <c r="S317" s="442"/>
      <c r="T317" s="442"/>
      <c r="U317" s="446"/>
      <c r="V317" s="446"/>
      <c r="W317" s="446"/>
      <c r="X317" s="444"/>
      <c r="Y317" s="444"/>
    </row>
    <row r="318" spans="18:25" x14ac:dyDescent="0.2">
      <c r="R318" s="442"/>
      <c r="S318" s="442"/>
      <c r="T318" s="442"/>
      <c r="U318" s="446"/>
      <c r="V318" s="446"/>
      <c r="W318" s="446"/>
      <c r="X318" s="444"/>
      <c r="Y318" s="444"/>
    </row>
    <row r="319" spans="18:25" x14ac:dyDescent="0.2">
      <c r="R319" s="442"/>
      <c r="S319" s="442"/>
      <c r="T319" s="442"/>
      <c r="U319" s="446"/>
      <c r="V319" s="446"/>
      <c r="W319" s="446"/>
      <c r="X319" s="444"/>
      <c r="Y319" s="444"/>
    </row>
    <row r="320" spans="18:25" x14ac:dyDescent="0.2">
      <c r="R320" s="442"/>
      <c r="S320" s="442"/>
      <c r="T320" s="442"/>
      <c r="U320" s="446"/>
      <c r="V320" s="446"/>
      <c r="W320" s="446"/>
      <c r="X320" s="444"/>
      <c r="Y320" s="444"/>
    </row>
    <row r="321" spans="18:25" x14ac:dyDescent="0.2">
      <c r="R321" s="442"/>
      <c r="S321" s="442"/>
      <c r="T321" s="442"/>
      <c r="U321" s="446"/>
      <c r="V321" s="446"/>
      <c r="W321" s="446"/>
      <c r="X321" s="444"/>
      <c r="Y321" s="444"/>
    </row>
    <row r="322" spans="18:25" x14ac:dyDescent="0.2">
      <c r="R322" s="442"/>
      <c r="S322" s="442"/>
      <c r="T322" s="442"/>
      <c r="U322" s="446"/>
      <c r="V322" s="446"/>
      <c r="W322" s="446"/>
      <c r="X322" s="444"/>
      <c r="Y322" s="444"/>
    </row>
    <row r="323" spans="18:25" x14ac:dyDescent="0.2">
      <c r="R323" s="442"/>
      <c r="S323" s="442"/>
      <c r="T323" s="442"/>
      <c r="U323" s="446"/>
      <c r="V323" s="446"/>
      <c r="W323" s="446"/>
      <c r="X323" s="444"/>
      <c r="Y323" s="444"/>
    </row>
    <row r="324" spans="18:25" x14ac:dyDescent="0.2">
      <c r="R324" s="442"/>
      <c r="S324" s="442"/>
      <c r="T324" s="442"/>
      <c r="U324" s="446"/>
      <c r="V324" s="446"/>
      <c r="W324" s="446"/>
      <c r="X324" s="444"/>
      <c r="Y324" s="444"/>
    </row>
    <row r="325" spans="18:25" x14ac:dyDescent="0.2">
      <c r="R325" s="442"/>
      <c r="S325" s="442"/>
      <c r="T325" s="442"/>
      <c r="U325" s="446"/>
      <c r="V325" s="446"/>
      <c r="W325" s="446"/>
      <c r="X325" s="444"/>
      <c r="Y325" s="444"/>
    </row>
    <row r="326" spans="18:25" x14ac:dyDescent="0.2">
      <c r="R326" s="442"/>
      <c r="S326" s="442"/>
      <c r="T326" s="442"/>
      <c r="U326" s="446"/>
      <c r="V326" s="446"/>
      <c r="W326" s="446"/>
      <c r="X326" s="444"/>
      <c r="Y326" s="444"/>
    </row>
    <row r="327" spans="18:25" x14ac:dyDescent="0.2">
      <c r="R327" s="442"/>
      <c r="S327" s="442"/>
      <c r="T327" s="442"/>
      <c r="U327" s="446"/>
      <c r="V327" s="446"/>
      <c r="W327" s="446"/>
      <c r="X327" s="444"/>
      <c r="Y327" s="444"/>
    </row>
    <row r="328" spans="18:25" x14ac:dyDescent="0.2">
      <c r="R328" s="442"/>
      <c r="S328" s="442"/>
      <c r="T328" s="442"/>
      <c r="U328" s="446"/>
      <c r="V328" s="446"/>
      <c r="W328" s="446"/>
      <c r="X328" s="444"/>
      <c r="Y328" s="444"/>
    </row>
    <row r="329" spans="18:25" x14ac:dyDescent="0.2">
      <c r="R329" s="442"/>
      <c r="S329" s="442"/>
      <c r="T329" s="442"/>
      <c r="U329" s="446"/>
      <c r="V329" s="446"/>
      <c r="W329" s="446"/>
      <c r="X329" s="444"/>
      <c r="Y329" s="444"/>
    </row>
    <row r="330" spans="18:25" x14ac:dyDescent="0.2">
      <c r="R330" s="442"/>
      <c r="S330" s="442"/>
      <c r="T330" s="442"/>
      <c r="U330" s="446"/>
      <c r="V330" s="446"/>
      <c r="W330" s="446"/>
      <c r="X330" s="444"/>
      <c r="Y330" s="444"/>
    </row>
    <row r="331" spans="18:25" x14ac:dyDescent="0.2">
      <c r="R331" s="442"/>
      <c r="S331" s="442"/>
      <c r="T331" s="442"/>
      <c r="U331" s="446"/>
      <c r="V331" s="446"/>
      <c r="W331" s="446"/>
      <c r="X331" s="444"/>
      <c r="Y331" s="444"/>
    </row>
    <row r="332" spans="18:25" x14ac:dyDescent="0.2">
      <c r="R332" s="442"/>
      <c r="S332" s="442"/>
      <c r="T332" s="442"/>
      <c r="U332" s="446"/>
      <c r="V332" s="446"/>
      <c r="W332" s="446"/>
      <c r="X332" s="444"/>
      <c r="Y332" s="444"/>
    </row>
    <row r="333" spans="18:25" x14ac:dyDescent="0.2">
      <c r="R333" s="442"/>
      <c r="S333" s="442"/>
      <c r="T333" s="442"/>
      <c r="U333" s="446"/>
      <c r="V333" s="446"/>
      <c r="W333" s="446"/>
      <c r="X333" s="444"/>
      <c r="Y333" s="444"/>
    </row>
    <row r="334" spans="18:25" x14ac:dyDescent="0.2">
      <c r="R334" s="442"/>
      <c r="S334" s="442"/>
      <c r="T334" s="442"/>
      <c r="U334" s="446"/>
      <c r="V334" s="446"/>
      <c r="W334" s="446"/>
      <c r="X334" s="444"/>
      <c r="Y334" s="444"/>
    </row>
    <row r="335" spans="18:25" x14ac:dyDescent="0.2">
      <c r="R335" s="442"/>
      <c r="S335" s="442"/>
      <c r="T335" s="442"/>
      <c r="U335" s="446"/>
      <c r="V335" s="446"/>
      <c r="W335" s="446"/>
      <c r="X335" s="444"/>
      <c r="Y335" s="444"/>
    </row>
    <row r="336" spans="18:25" x14ac:dyDescent="0.2">
      <c r="R336" s="442"/>
      <c r="S336" s="442"/>
      <c r="T336" s="442"/>
      <c r="U336" s="446"/>
      <c r="V336" s="446"/>
      <c r="W336" s="446"/>
      <c r="X336" s="444"/>
      <c r="Y336" s="444"/>
    </row>
    <row r="337" spans="18:25" x14ac:dyDescent="0.2">
      <c r="R337" s="442"/>
      <c r="S337" s="442"/>
      <c r="T337" s="442"/>
      <c r="U337" s="446"/>
      <c r="V337" s="446"/>
      <c r="W337" s="446"/>
      <c r="X337" s="444"/>
      <c r="Y337" s="444"/>
    </row>
    <row r="338" spans="18:25" x14ac:dyDescent="0.2">
      <c r="R338" s="442"/>
      <c r="S338" s="442"/>
      <c r="T338" s="442"/>
      <c r="U338" s="446"/>
      <c r="V338" s="446"/>
      <c r="W338" s="446"/>
      <c r="X338" s="444"/>
      <c r="Y338" s="444"/>
    </row>
    <row r="339" spans="18:25" x14ac:dyDescent="0.2">
      <c r="R339" s="442"/>
      <c r="S339" s="442"/>
      <c r="T339" s="442"/>
      <c r="U339" s="446"/>
      <c r="V339" s="446"/>
      <c r="W339" s="446"/>
      <c r="X339" s="444"/>
      <c r="Y339" s="444"/>
    </row>
    <row r="340" spans="18:25" x14ac:dyDescent="0.2">
      <c r="R340" s="442"/>
      <c r="S340" s="442"/>
      <c r="T340" s="442"/>
      <c r="U340" s="446"/>
      <c r="V340" s="446"/>
      <c r="W340" s="446"/>
      <c r="X340" s="444"/>
      <c r="Y340" s="444"/>
    </row>
    <row r="341" spans="18:25" x14ac:dyDescent="0.2">
      <c r="R341" s="442"/>
      <c r="S341" s="442"/>
      <c r="T341" s="442"/>
      <c r="U341" s="446"/>
      <c r="V341" s="446"/>
      <c r="W341" s="446"/>
      <c r="X341" s="444"/>
      <c r="Y341" s="444"/>
    </row>
    <row r="342" spans="18:25" x14ac:dyDescent="0.2">
      <c r="R342" s="442"/>
      <c r="S342" s="442"/>
      <c r="T342" s="442"/>
      <c r="U342" s="446"/>
      <c r="V342" s="446"/>
      <c r="W342" s="446"/>
      <c r="X342" s="444"/>
      <c r="Y342" s="444"/>
    </row>
    <row r="343" spans="18:25" x14ac:dyDescent="0.2">
      <c r="R343" s="442"/>
      <c r="S343" s="442"/>
      <c r="T343" s="442"/>
      <c r="U343" s="446"/>
      <c r="V343" s="446"/>
      <c r="W343" s="446"/>
      <c r="X343" s="444"/>
      <c r="Y343" s="444"/>
    </row>
    <row r="344" spans="18:25" x14ac:dyDescent="0.2">
      <c r="R344" s="442"/>
      <c r="S344" s="442"/>
      <c r="T344" s="442"/>
      <c r="U344" s="446"/>
      <c r="V344" s="446"/>
      <c r="W344" s="446"/>
      <c r="X344" s="444"/>
      <c r="Y344" s="444"/>
    </row>
    <row r="345" spans="18:25" x14ac:dyDescent="0.2">
      <c r="R345" s="442"/>
      <c r="S345" s="442"/>
      <c r="T345" s="442"/>
      <c r="U345" s="446"/>
      <c r="V345" s="446"/>
      <c r="W345" s="446"/>
      <c r="X345" s="444"/>
      <c r="Y345" s="444"/>
    </row>
    <row r="346" spans="18:25" x14ac:dyDescent="0.2">
      <c r="R346" s="442"/>
      <c r="S346" s="442"/>
      <c r="T346" s="442"/>
      <c r="U346" s="446"/>
      <c r="V346" s="446"/>
      <c r="W346" s="446"/>
      <c r="X346" s="444"/>
      <c r="Y346" s="444"/>
    </row>
    <row r="347" spans="18:25" x14ac:dyDescent="0.2">
      <c r="R347" s="442"/>
      <c r="S347" s="442"/>
      <c r="T347" s="442"/>
      <c r="U347" s="446"/>
      <c r="V347" s="446"/>
      <c r="W347" s="446"/>
      <c r="X347" s="444"/>
      <c r="Y347" s="444"/>
    </row>
    <row r="348" spans="18:25" x14ac:dyDescent="0.2">
      <c r="R348" s="442"/>
      <c r="S348" s="442"/>
      <c r="T348" s="442"/>
      <c r="U348" s="446"/>
      <c r="V348" s="446"/>
      <c r="W348" s="446"/>
      <c r="X348" s="444"/>
      <c r="Y348" s="444"/>
    </row>
    <row r="349" spans="18:25" x14ac:dyDescent="0.2">
      <c r="R349" s="442"/>
      <c r="S349" s="442"/>
      <c r="T349" s="442"/>
      <c r="U349" s="446"/>
      <c r="V349" s="446"/>
      <c r="W349" s="446"/>
      <c r="X349" s="444"/>
      <c r="Y349" s="444"/>
    </row>
    <row r="350" spans="18:25" x14ac:dyDescent="0.2">
      <c r="R350" s="442"/>
      <c r="S350" s="442"/>
      <c r="T350" s="442"/>
      <c r="U350" s="446"/>
      <c r="V350" s="446"/>
      <c r="W350" s="446"/>
      <c r="X350" s="444"/>
      <c r="Y350" s="444"/>
    </row>
    <row r="351" spans="18:25" x14ac:dyDescent="0.2">
      <c r="R351" s="442"/>
      <c r="S351" s="442"/>
      <c r="T351" s="442"/>
      <c r="U351" s="446"/>
      <c r="V351" s="446"/>
      <c r="W351" s="446"/>
      <c r="X351" s="444"/>
      <c r="Y351" s="444"/>
    </row>
    <row r="352" spans="18:25" x14ac:dyDescent="0.2">
      <c r="R352" s="442"/>
      <c r="S352" s="442"/>
      <c r="T352" s="442"/>
      <c r="U352" s="446"/>
      <c r="V352" s="446"/>
      <c r="W352" s="446"/>
      <c r="X352" s="444"/>
      <c r="Y352" s="444"/>
    </row>
    <row r="353" spans="18:25" x14ac:dyDescent="0.2">
      <c r="R353" s="442"/>
      <c r="S353" s="442"/>
      <c r="T353" s="442"/>
      <c r="U353" s="446"/>
      <c r="V353" s="446"/>
      <c r="W353" s="446"/>
      <c r="X353" s="444"/>
      <c r="Y353" s="444"/>
    </row>
    <row r="354" spans="18:25" x14ac:dyDescent="0.2">
      <c r="R354" s="442"/>
      <c r="S354" s="442"/>
      <c r="T354" s="442"/>
      <c r="U354" s="446"/>
      <c r="V354" s="446"/>
      <c r="W354" s="446"/>
      <c r="X354" s="444"/>
      <c r="Y354" s="444"/>
    </row>
    <row r="355" spans="18:25" x14ac:dyDescent="0.2">
      <c r="R355" s="442"/>
      <c r="S355" s="442"/>
      <c r="T355" s="442"/>
      <c r="U355" s="446"/>
      <c r="V355" s="446"/>
      <c r="W355" s="446"/>
      <c r="X355" s="444"/>
      <c r="Y355" s="444"/>
    </row>
    <row r="356" spans="18:25" x14ac:dyDescent="0.2">
      <c r="R356" s="442"/>
      <c r="S356" s="442"/>
      <c r="T356" s="442"/>
      <c r="U356" s="446"/>
      <c r="V356" s="446"/>
      <c r="W356" s="446"/>
      <c r="X356" s="444"/>
      <c r="Y356" s="444"/>
    </row>
    <row r="357" spans="18:25" x14ac:dyDescent="0.2">
      <c r="R357" s="442"/>
      <c r="S357" s="442"/>
      <c r="T357" s="442"/>
      <c r="U357" s="446"/>
      <c r="V357" s="446"/>
      <c r="W357" s="446"/>
      <c r="X357" s="444"/>
      <c r="Y357" s="444"/>
    </row>
    <row r="358" spans="18:25" x14ac:dyDescent="0.2">
      <c r="R358" s="442"/>
      <c r="S358" s="442"/>
      <c r="T358" s="442"/>
      <c r="U358" s="446"/>
      <c r="V358" s="446"/>
      <c r="W358" s="446"/>
      <c r="X358" s="444"/>
      <c r="Y358" s="444"/>
    </row>
    <row r="359" spans="18:25" x14ac:dyDescent="0.2">
      <c r="R359" s="442"/>
      <c r="S359" s="442"/>
      <c r="T359" s="442"/>
      <c r="U359" s="446"/>
      <c r="V359" s="446"/>
      <c r="W359" s="446"/>
      <c r="X359" s="444"/>
      <c r="Y359" s="444"/>
    </row>
    <row r="360" spans="18:25" x14ac:dyDescent="0.2">
      <c r="R360" s="442"/>
      <c r="S360" s="442"/>
      <c r="T360" s="442"/>
      <c r="U360" s="446"/>
      <c r="V360" s="446"/>
      <c r="W360" s="446"/>
      <c r="X360" s="444"/>
      <c r="Y360" s="444"/>
    </row>
    <row r="361" spans="18:25" x14ac:dyDescent="0.2">
      <c r="R361" s="442"/>
      <c r="S361" s="442"/>
      <c r="T361" s="442"/>
      <c r="U361" s="446"/>
      <c r="V361" s="446"/>
      <c r="W361" s="446"/>
      <c r="X361" s="444"/>
      <c r="Y361" s="444"/>
    </row>
    <row r="362" spans="18:25" x14ac:dyDescent="0.2">
      <c r="R362" s="442"/>
      <c r="S362" s="442"/>
      <c r="T362" s="442"/>
      <c r="U362" s="446"/>
      <c r="V362" s="446"/>
      <c r="W362" s="446"/>
      <c r="X362" s="444"/>
      <c r="Y362" s="444"/>
    </row>
    <row r="363" spans="18:25" x14ac:dyDescent="0.2">
      <c r="R363" s="442"/>
      <c r="S363" s="442"/>
      <c r="T363" s="442"/>
      <c r="U363" s="446"/>
      <c r="V363" s="446"/>
      <c r="W363" s="446"/>
      <c r="X363" s="444"/>
      <c r="Y363" s="444"/>
    </row>
    <row r="364" spans="18:25" x14ac:dyDescent="0.2">
      <c r="R364" s="442"/>
      <c r="S364" s="442"/>
      <c r="T364" s="442"/>
      <c r="U364" s="446"/>
      <c r="V364" s="446"/>
      <c r="W364" s="446"/>
      <c r="X364" s="444"/>
      <c r="Y364" s="444"/>
    </row>
    <row r="365" spans="18:25" x14ac:dyDescent="0.2">
      <c r="R365" s="442"/>
      <c r="S365" s="442"/>
      <c r="T365" s="442"/>
      <c r="U365" s="446"/>
      <c r="V365" s="446"/>
      <c r="W365" s="446"/>
      <c r="X365" s="444"/>
      <c r="Y365" s="444"/>
    </row>
    <row r="366" spans="18:25" x14ac:dyDescent="0.2">
      <c r="R366" s="442"/>
      <c r="S366" s="442"/>
      <c r="T366" s="442"/>
      <c r="U366" s="446"/>
      <c r="V366" s="446"/>
      <c r="W366" s="446"/>
      <c r="X366" s="444"/>
      <c r="Y366" s="444"/>
    </row>
    <row r="367" spans="18:25" x14ac:dyDescent="0.2">
      <c r="R367" s="442"/>
      <c r="S367" s="442"/>
      <c r="T367" s="442"/>
      <c r="U367" s="446"/>
      <c r="V367" s="446"/>
      <c r="W367" s="446"/>
      <c r="X367" s="444"/>
      <c r="Y367" s="444"/>
    </row>
    <row r="368" spans="18:25" x14ac:dyDescent="0.2">
      <c r="R368" s="442"/>
      <c r="S368" s="442"/>
      <c r="T368" s="442"/>
      <c r="U368" s="446"/>
      <c r="V368" s="446"/>
      <c r="W368" s="446"/>
      <c r="X368" s="444"/>
      <c r="Y368" s="444"/>
    </row>
    <row r="369" spans="18:25" x14ac:dyDescent="0.2">
      <c r="R369" s="442"/>
      <c r="S369" s="442"/>
      <c r="T369" s="442"/>
      <c r="U369" s="446"/>
      <c r="V369" s="446"/>
      <c r="W369" s="446"/>
      <c r="X369" s="444"/>
      <c r="Y369" s="444"/>
    </row>
    <row r="370" spans="18:25" x14ac:dyDescent="0.2">
      <c r="R370" s="442"/>
      <c r="S370" s="442"/>
      <c r="T370" s="442"/>
      <c r="U370" s="446"/>
      <c r="V370" s="446"/>
      <c r="W370" s="446"/>
      <c r="X370" s="444"/>
      <c r="Y370" s="444"/>
    </row>
    <row r="371" spans="18:25" x14ac:dyDescent="0.2">
      <c r="R371" s="442"/>
      <c r="S371" s="442"/>
      <c r="T371" s="442"/>
      <c r="U371" s="446"/>
      <c r="V371" s="446"/>
      <c r="W371" s="446"/>
      <c r="X371" s="444"/>
      <c r="Y371" s="444"/>
    </row>
    <row r="372" spans="18:25" x14ac:dyDescent="0.2">
      <c r="R372" s="442"/>
      <c r="S372" s="442"/>
      <c r="T372" s="442"/>
      <c r="U372" s="446"/>
      <c r="V372" s="446"/>
      <c r="W372" s="446"/>
      <c r="X372" s="444"/>
      <c r="Y372" s="444"/>
    </row>
    <row r="373" spans="18:25" x14ac:dyDescent="0.2">
      <c r="R373" s="442"/>
      <c r="S373" s="442"/>
      <c r="T373" s="442"/>
      <c r="U373" s="446"/>
      <c r="V373" s="446"/>
      <c r="W373" s="446"/>
      <c r="X373" s="444"/>
      <c r="Y373" s="444"/>
    </row>
    <row r="374" spans="18:25" x14ac:dyDescent="0.2">
      <c r="R374" s="442"/>
      <c r="S374" s="442"/>
      <c r="T374" s="442"/>
      <c r="U374" s="446"/>
      <c r="V374" s="446"/>
      <c r="W374" s="446"/>
      <c r="X374" s="444"/>
      <c r="Y374" s="444"/>
    </row>
    <row r="375" spans="18:25" x14ac:dyDescent="0.2">
      <c r="R375" s="442"/>
      <c r="S375" s="442"/>
      <c r="T375" s="442"/>
      <c r="U375" s="446"/>
      <c r="V375" s="446"/>
      <c r="W375" s="446"/>
      <c r="X375" s="444"/>
      <c r="Y375" s="444"/>
    </row>
    <row r="376" spans="18:25" x14ac:dyDescent="0.2">
      <c r="R376" s="442"/>
      <c r="S376" s="442"/>
      <c r="T376" s="442"/>
      <c r="U376" s="446"/>
      <c r="V376" s="446"/>
      <c r="W376" s="446"/>
      <c r="X376" s="444"/>
      <c r="Y376" s="444"/>
    </row>
    <row r="377" spans="18:25" x14ac:dyDescent="0.2">
      <c r="R377" s="442"/>
      <c r="S377" s="442"/>
      <c r="T377" s="442"/>
      <c r="U377" s="446"/>
      <c r="V377" s="446"/>
      <c r="W377" s="446"/>
      <c r="X377" s="444"/>
      <c r="Y377" s="444"/>
    </row>
    <row r="378" spans="18:25" x14ac:dyDescent="0.2">
      <c r="R378" s="442"/>
      <c r="S378" s="442"/>
      <c r="T378" s="442"/>
      <c r="U378" s="446"/>
      <c r="V378" s="446"/>
      <c r="W378" s="446"/>
      <c r="X378" s="444"/>
      <c r="Y378" s="444"/>
    </row>
    <row r="379" spans="18:25" x14ac:dyDescent="0.2">
      <c r="R379" s="442"/>
      <c r="S379" s="442"/>
      <c r="T379" s="442"/>
      <c r="U379" s="446"/>
      <c r="V379" s="446"/>
      <c r="W379" s="446"/>
      <c r="X379" s="444"/>
      <c r="Y379" s="444"/>
    </row>
    <row r="380" spans="18:25" x14ac:dyDescent="0.2">
      <c r="R380" s="442"/>
      <c r="S380" s="442"/>
      <c r="T380" s="442"/>
      <c r="U380" s="446"/>
      <c r="V380" s="446"/>
      <c r="W380" s="446"/>
      <c r="X380" s="444"/>
      <c r="Y380" s="444"/>
    </row>
    <row r="381" spans="18:25" x14ac:dyDescent="0.2">
      <c r="R381" s="442"/>
      <c r="S381" s="442"/>
      <c r="T381" s="442"/>
      <c r="U381" s="446"/>
      <c r="V381" s="446"/>
      <c r="W381" s="446"/>
      <c r="X381" s="444"/>
      <c r="Y381" s="444"/>
    </row>
    <row r="382" spans="18:25" x14ac:dyDescent="0.2">
      <c r="R382" s="442"/>
      <c r="S382" s="442"/>
      <c r="T382" s="442"/>
      <c r="U382" s="446"/>
      <c r="V382" s="446"/>
      <c r="W382" s="446"/>
      <c r="X382" s="444"/>
      <c r="Y382" s="444"/>
    </row>
    <row r="383" spans="18:25" x14ac:dyDescent="0.2">
      <c r="R383" s="442"/>
      <c r="S383" s="442"/>
      <c r="T383" s="442"/>
      <c r="U383" s="446"/>
      <c r="V383" s="446"/>
      <c r="W383" s="446"/>
      <c r="X383" s="444"/>
      <c r="Y383" s="444"/>
    </row>
    <row r="384" spans="18:25" x14ac:dyDescent="0.2">
      <c r="R384" s="442"/>
      <c r="S384" s="442"/>
      <c r="T384" s="442"/>
      <c r="U384" s="446"/>
      <c r="V384" s="446"/>
      <c r="W384" s="446"/>
      <c r="X384" s="444"/>
      <c r="Y384" s="44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6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5" width="3.5" style="255" hidden="1" customWidth="1" outlineLevel="1"/>
    <col min="6" max="6" width="12.832031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3.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25</v>
      </c>
      <c r="K1" s="36" t="str">
        <f>_xll.qlLibor(,Currency,J1,,,Trigger)</f>
        <v>obj_003bd#0000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GbpLibor1YLastFixing_Quote</v>
      </c>
      <c r="K3" s="276" t="str">
        <f>_xll.qlDepositRateHelper(,J3,K1,,Trigger)</f>
        <v>obj_0043a#0000</v>
      </c>
      <c r="L3" s="287" t="str">
        <f>_xll.ohRangeRetrieveError(K3)</f>
        <v/>
      </c>
      <c r="M3" s="241"/>
      <c r="N3" s="241"/>
      <c r="O3" s="240" t="str">
        <f>_xll.qlRateHelperQuoteName(K3,Trigger)</f>
        <v>GbpLibor1YLastFixing_Quote</v>
      </c>
      <c r="P3" s="242">
        <f>_xll.qlQuoteValue(J3,AllTriggers)</f>
        <v>9.7868999999999994E-3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42066</v>
      </c>
      <c r="T3" s="243">
        <f>_xll.qlRateHelperLatestDate(K3,Trigger)</f>
        <v>42432</v>
      </c>
    </row>
    <row r="4" spans="1:20" ht="11.25" customHeight="1" x14ac:dyDescent="0.2">
      <c r="A4" s="232"/>
      <c r="B4" s="290" t="s">
        <v>53</v>
      </c>
      <c r="C4" s="292">
        <v>12</v>
      </c>
      <c r="D4" s="291" t="s">
        <v>35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GBP12x24F_Quote</v>
      </c>
      <c r="K4" s="276" t="str">
        <f>_xll.qlFraRateHelper(,J4,B4,K1)</f>
        <v>obj_003d9#0000</v>
      </c>
      <c r="L4" s="287" t="str">
        <f>_xll.ohRangeRetrieveError(K4)</f>
        <v/>
      </c>
      <c r="M4" s="241"/>
      <c r="N4" s="241"/>
      <c r="O4" s="240" t="str">
        <f>_xll.qlRateHelperQuoteName(K4,Trigger)</f>
        <v>GBP12x24F_Quote</v>
      </c>
      <c r="P4" s="242">
        <f>_xll.qlQuoteValue(J4,AllTriggers)</f>
        <v>1.4999999999999999E-2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42432</v>
      </c>
      <c r="T4" s="243">
        <f>_xll.qlRateHelperLatestDate(K4,Trigger)</f>
        <v>42797</v>
      </c>
    </row>
    <row r="5" spans="1:20" ht="11.25" customHeight="1" x14ac:dyDescent="0.2">
      <c r="A5" s="232"/>
      <c r="B5" s="280" t="s">
        <v>127</v>
      </c>
      <c r="C5" s="281" t="s">
        <v>162</v>
      </c>
      <c r="D5" s="282" t="s">
        <v>163</v>
      </c>
      <c r="E5" s="282" t="s">
        <v>81</v>
      </c>
      <c r="F5" s="280" t="s">
        <v>192</v>
      </c>
      <c r="G5" s="283" t="s">
        <v>125</v>
      </c>
      <c r="H5" s="283" t="s">
        <v>159</v>
      </c>
      <c r="I5" s="284">
        <v>0</v>
      </c>
      <c r="J5" s="285" t="str">
        <f>Swaps1Y!K5</f>
        <v>GBPSB6L3Y_S6L12L_Quote#0000</v>
      </c>
      <c r="K5" s="286" t="str">
        <f>_xll.qlSwapRateHelper2(,J5,E5,Calendar,F5,G5,H5,$K$1,I5,B5,Discounting,,Trigger)</f>
        <v>obj_003db#0000</v>
      </c>
      <c r="L5" s="287" t="str">
        <f>_xll.ohRangeRetrieveError(K5)</f>
        <v/>
      </c>
      <c r="M5" s="241"/>
      <c r="N5" s="241"/>
      <c r="O5" s="240" t="str">
        <f>_xll.qlRateHelperQuoteName(K5,Trigger)</f>
        <v>GBPSB6L3Y_S6L12L_Quote</v>
      </c>
      <c r="P5" s="242">
        <f>_xll.qlQuoteValue(J5,AllTriggers)</f>
        <v>1.4544999999986478E-2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42066</v>
      </c>
      <c r="T5" s="243">
        <f>_xll.qlRateHelperLatestDate(K5,Trigger)</f>
        <v>43164</v>
      </c>
    </row>
    <row r="6" spans="1:20" ht="11.25" customHeight="1" x14ac:dyDescent="0.2">
      <c r="A6" s="232"/>
      <c r="B6" s="233" t="s">
        <v>127</v>
      </c>
      <c r="C6" s="234" t="s">
        <v>162</v>
      </c>
      <c r="D6" s="235" t="s">
        <v>163</v>
      </c>
      <c r="E6" s="235" t="s">
        <v>82</v>
      </c>
      <c r="F6" s="233" t="s">
        <v>192</v>
      </c>
      <c r="G6" s="236" t="s">
        <v>125</v>
      </c>
      <c r="H6" s="236" t="s">
        <v>159</v>
      </c>
      <c r="I6" s="237">
        <v>0</v>
      </c>
      <c r="J6" s="238" t="str">
        <f>Swaps1Y!K6</f>
        <v>GBPSB6L4Y_S6L12L_Quote#0000</v>
      </c>
      <c r="K6" s="239" t="str">
        <f>_xll.qlSwapRateHelper2(,J6,E6,Calendar,F6,G6,H6,$K$1,I6,B6,Discounting,,Trigger)</f>
        <v>obj_003de#0000</v>
      </c>
      <c r="L6" s="240" t="str">
        <f>_xll.ohRangeRetrieveError(K6)</f>
        <v/>
      </c>
      <c r="M6" s="241"/>
      <c r="N6" s="241"/>
      <c r="O6" s="240" t="str">
        <f>_xll.qlRateHelperQuoteName(K6,Trigger)</f>
        <v>GBPSB6L4Y_S6L12L_Quote</v>
      </c>
      <c r="P6" s="242">
        <f>_xll.qlQuoteValue(J6,AllTriggers)</f>
        <v>1.6282500000014199E-2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42066</v>
      </c>
      <c r="T6" s="243">
        <f>_xll.qlRateHelperLatestDate(K6,Trigger)</f>
        <v>43528</v>
      </c>
    </row>
    <row r="7" spans="1:20" ht="11.25" customHeight="1" x14ac:dyDescent="0.2">
      <c r="A7" s="226"/>
      <c r="B7" s="233" t="s">
        <v>127</v>
      </c>
      <c r="C7" s="234" t="s">
        <v>162</v>
      </c>
      <c r="D7" s="235" t="s">
        <v>163</v>
      </c>
      <c r="E7" s="235" t="s">
        <v>83</v>
      </c>
      <c r="F7" s="233" t="s">
        <v>192</v>
      </c>
      <c r="G7" s="236" t="s">
        <v>125</v>
      </c>
      <c r="H7" s="236" t="s">
        <v>159</v>
      </c>
      <c r="I7" s="237">
        <v>0</v>
      </c>
      <c r="J7" s="238" t="str">
        <f>Swaps1Y!K7</f>
        <v>GBPSB6L5Y_S6L12L_Quote#0000</v>
      </c>
      <c r="K7" s="239" t="str">
        <f>_xll.qlSwapRateHelper2(,J7,E7,Calendar,F7,G7,H7,$K$1,I7,B7,Discounting,,Trigger)</f>
        <v>obj_003dd#0000</v>
      </c>
      <c r="L7" s="240" t="str">
        <f>_xll.ohRangeRetrieveError(K7)</f>
        <v/>
      </c>
      <c r="M7" s="241"/>
      <c r="N7" s="241"/>
      <c r="O7" s="240" t="str">
        <f>_xll.qlRateHelperQuoteName(K7,Trigger)</f>
        <v>GBPSB6L5Y_S6L12L_Quote</v>
      </c>
      <c r="P7" s="242">
        <f>_xll.qlQuoteValue(J7,AllTriggers)</f>
        <v>1.7544999999925908E-2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42066</v>
      </c>
      <c r="T7" s="243">
        <f>_xll.qlRateHelperLatestDate(K7,Trigger)</f>
        <v>43893</v>
      </c>
    </row>
    <row r="8" spans="1:20" ht="11.25" customHeight="1" x14ac:dyDescent="0.2">
      <c r="A8" s="226"/>
      <c r="B8" s="233" t="s">
        <v>127</v>
      </c>
      <c r="C8" s="234" t="s">
        <v>162</v>
      </c>
      <c r="D8" s="235" t="s">
        <v>163</v>
      </c>
      <c r="E8" s="235" t="s">
        <v>132</v>
      </c>
      <c r="F8" s="233" t="s">
        <v>192</v>
      </c>
      <c r="G8" s="236" t="s">
        <v>125</v>
      </c>
      <c r="H8" s="236" t="s">
        <v>159</v>
      </c>
      <c r="I8" s="237">
        <v>0</v>
      </c>
      <c r="J8" s="238" t="str">
        <f>Swaps1Y!K8</f>
        <v>GBPSB6L6Y_S6L12L_Quote#0000</v>
      </c>
      <c r="K8" s="239" t="str">
        <f>_xll.qlSwapRateHelper2(,J8,E8,Calendar,F8,G8,H8,$K$1,I8,B8,Discounting,,Trigger)</f>
        <v>obj_003dc#0000</v>
      </c>
      <c r="L8" s="240" t="str">
        <f>_xll.ohRangeRetrieveError(K8)</f>
        <v/>
      </c>
      <c r="M8" s="241"/>
      <c r="N8" s="241"/>
      <c r="O8" s="240" t="str">
        <f>_xll.qlRateHelperQuoteName(K8,Trigger)</f>
        <v>GBPSB6L6Y_S6L12L_Quote</v>
      </c>
      <c r="P8" s="242">
        <f>_xll.qlQuoteValue(J8,AllTriggers)</f>
        <v>1.8529999999512568E-2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42066</v>
      </c>
      <c r="T8" s="243">
        <f>_xll.qlRateHelperLatestDate(K8,Trigger)</f>
        <v>44258</v>
      </c>
    </row>
    <row r="9" spans="1:20" ht="11.25" customHeight="1" x14ac:dyDescent="0.2">
      <c r="A9" s="226"/>
      <c r="B9" s="233" t="s">
        <v>127</v>
      </c>
      <c r="C9" s="234" t="s">
        <v>162</v>
      </c>
      <c r="D9" s="235" t="s">
        <v>163</v>
      </c>
      <c r="E9" s="235" t="s">
        <v>133</v>
      </c>
      <c r="F9" s="233" t="s">
        <v>192</v>
      </c>
      <c r="G9" s="236" t="s">
        <v>125</v>
      </c>
      <c r="H9" s="236" t="s">
        <v>159</v>
      </c>
      <c r="I9" s="237">
        <v>0</v>
      </c>
      <c r="J9" s="238" t="str">
        <f>Swaps1Y!K9</f>
        <v>GBPSB6L7Y_S6L12L_Quote#0000</v>
      </c>
      <c r="K9" s="239" t="str">
        <f>_xll.qlSwapRateHelper2(,J9,E9,Calendar,F9,G9,H9,$K$1,I9,B9,Discounting,,Trigger)</f>
        <v>obj_003da#0000</v>
      </c>
      <c r="L9" s="240" t="str">
        <f>_xll.ohRangeRetrieveError(K9)</f>
        <v/>
      </c>
      <c r="O9" s="240" t="str">
        <f>_xll.qlRateHelperQuoteName(K9,Trigger)</f>
        <v>GBPSB6L7Y_S6L12L_Quote</v>
      </c>
      <c r="P9" s="242">
        <f>_xll.qlQuoteValue(J9,AllTriggers)</f>
        <v>1.9329999999633297E-2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42066</v>
      </c>
      <c r="T9" s="243">
        <f>_xll.qlRateHelperLatestDate(K9,Trigger)</f>
        <v>44623</v>
      </c>
    </row>
    <row r="10" spans="1:20" x14ac:dyDescent="0.2">
      <c r="B10" s="244" t="s">
        <v>127</v>
      </c>
      <c r="C10" s="245" t="s">
        <v>162</v>
      </c>
      <c r="D10" s="246" t="s">
        <v>163</v>
      </c>
      <c r="E10" s="246" t="s">
        <v>134</v>
      </c>
      <c r="F10" s="244" t="s">
        <v>192</v>
      </c>
      <c r="G10" s="247" t="s">
        <v>125</v>
      </c>
      <c r="H10" s="247" t="s">
        <v>159</v>
      </c>
      <c r="I10" s="248">
        <v>0</v>
      </c>
      <c r="J10" s="273" t="str">
        <f>Swaps1Y!K10</f>
        <v>GBPSB6L8Y_S6L12L_Quote#0000</v>
      </c>
      <c r="K10" s="274" t="str">
        <f>_xll.qlSwapRateHelper2(,J10,E10,Calendar,F10,G10,H10,$K$1,I10,B10,Discounting,,Trigger)</f>
        <v>obj_003e3#0000</v>
      </c>
      <c r="L10" s="249" t="str">
        <f>_xll.ohRangeRetrieveError(K10)</f>
        <v/>
      </c>
      <c r="O10" s="249" t="str">
        <f>_xll.qlRateHelperQuoteName(K10,Trigger)</f>
        <v>GBPSB6L8Y_S6L12L_Quote</v>
      </c>
      <c r="P10" s="250">
        <f>_xll.qlQuoteValue(J10,AllTriggers)</f>
        <v>1.9967499999597075E-2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42066</v>
      </c>
      <c r="T10" s="251">
        <f>_xll.qlRateHelperLatestDate(K10,Trigger)</f>
        <v>44988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GbpLibor Curve</v>
      </c>
      <c r="P12" s="253"/>
      <c r="Q12" s="253"/>
      <c r="R12" s="253"/>
      <c r="S12" s="253"/>
      <c r="T12" s="254" t="s">
        <v>135</v>
      </c>
    </row>
    <row r="13" spans="1:20" x14ac:dyDescent="0.2">
      <c r="L13" s="231" t="s">
        <v>126</v>
      </c>
      <c r="O13" s="295" t="s">
        <v>84</v>
      </c>
      <c r="P13" s="295" t="s">
        <v>85</v>
      </c>
      <c r="Q13" s="295" t="s">
        <v>123</v>
      </c>
      <c r="R13" s="295" t="s">
        <v>79</v>
      </c>
      <c r="S13" s="295" t="s">
        <v>80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obj_0043a#0000</v>
      </c>
      <c r="O14" s="287" t="str">
        <f t="array" ref="O14:O27">_xll.ohFilter(O3:O10,R3:R10)</f>
        <v>GbpLibor1YLastFixing_Quote</v>
      </c>
      <c r="P14" s="296">
        <f t="array" ref="P14:P27">_xll.ohFilter(P3:P10,R3:R10)</f>
        <v>9.7868999999999994E-3</v>
      </c>
      <c r="Q14" s="297" t="str">
        <f t="array" ref="Q14:Q27">_xll.ohFilter(Q3:Q10,R3:R10)</f>
        <v>--</v>
      </c>
      <c r="R14" s="298">
        <f t="array" ref="R14:R27">_xll.ohFilter(S3:S10,R3:R10)</f>
        <v>42066</v>
      </c>
      <c r="S14" s="298">
        <f t="array" ref="S14:S27">_xll.ohFilter(T3:T10,R3:R10)</f>
        <v>42432</v>
      </c>
      <c r="T14" s="259">
        <v>0.99028165958315661</v>
      </c>
    </row>
    <row r="15" spans="1:20" x14ac:dyDescent="0.2">
      <c r="L15" s="264" t="str">
        <v>obj_003d9#0000</v>
      </c>
      <c r="O15" s="240" t="str">
        <v>GBP12x24F_Quote</v>
      </c>
      <c r="P15" s="242">
        <v>1.4999999999999999E-2</v>
      </c>
      <c r="Q15" s="293" t="str">
        <v>--</v>
      </c>
      <c r="R15" s="243">
        <v>42432</v>
      </c>
      <c r="S15" s="243">
        <v>42797</v>
      </c>
      <c r="T15" s="259">
        <v>0.97564695525418677</v>
      </c>
    </row>
    <row r="16" spans="1:20" x14ac:dyDescent="0.2">
      <c r="I16" s="256"/>
      <c r="J16" s="256"/>
      <c r="L16" s="264" t="str">
        <v>obj_003db#0000</v>
      </c>
      <c r="O16" s="240" t="str">
        <v>GBPSB6L3Y_S6L12L_Quote</v>
      </c>
      <c r="P16" s="242">
        <v>1.4544999999986478E-2</v>
      </c>
      <c r="Q16" s="293">
        <v>0</v>
      </c>
      <c r="R16" s="243">
        <v>42066</v>
      </c>
      <c r="S16" s="243">
        <v>43164</v>
      </c>
      <c r="T16" s="259">
        <v>0.95729118945996905</v>
      </c>
    </row>
    <row r="17" spans="9:34" x14ac:dyDescent="0.2">
      <c r="L17" s="264" t="str">
        <v>obj_003de#0000</v>
      </c>
      <c r="O17" s="240" t="str">
        <v>GBPSB6L4Y_S6L12L_Quote</v>
      </c>
      <c r="P17" s="242">
        <v>1.6282500000014199E-2</v>
      </c>
      <c r="Q17" s="293">
        <v>0</v>
      </c>
      <c r="R17" s="243">
        <v>42066</v>
      </c>
      <c r="S17" s="243">
        <v>43528</v>
      </c>
      <c r="T17" s="259">
        <v>0.93694800477623741</v>
      </c>
    </row>
    <row r="18" spans="9:34" x14ac:dyDescent="0.2">
      <c r="I18" s="256"/>
      <c r="J18" s="256"/>
      <c r="L18" s="264" t="str">
        <v>obj_003dd#0000</v>
      </c>
      <c r="O18" s="240" t="str">
        <v>GBPSB6L5Y_S6L12L_Quote</v>
      </c>
      <c r="P18" s="242">
        <v>1.7544999999925908E-2</v>
      </c>
      <c r="Q18" s="293">
        <v>0</v>
      </c>
      <c r="R18" s="243">
        <v>42066</v>
      </c>
      <c r="S18" s="243">
        <v>43893</v>
      </c>
      <c r="T18" s="259">
        <v>0.91595904707011122</v>
      </c>
    </row>
    <row r="19" spans="9:34" x14ac:dyDescent="0.2">
      <c r="L19" s="264" t="str">
        <v>obj_003dc#0000</v>
      </c>
      <c r="O19" s="240" t="str">
        <v>GBPSB6L6Y_S6L12L_Quote</v>
      </c>
      <c r="P19" s="242">
        <v>1.8529999999512568E-2</v>
      </c>
      <c r="Q19" s="293">
        <v>0</v>
      </c>
      <c r="R19" s="243">
        <v>42066</v>
      </c>
      <c r="S19" s="243">
        <v>44258</v>
      </c>
      <c r="T19" s="259">
        <v>0.89463504191120591</v>
      </c>
    </row>
    <row r="20" spans="9:34" x14ac:dyDescent="0.2">
      <c r="I20" s="256"/>
      <c r="J20" s="256"/>
      <c r="L20" s="264" t="str">
        <v>obj_003da#0000</v>
      </c>
      <c r="O20" s="240" t="str">
        <v>GBPSB6L7Y_S6L12L_Quote</v>
      </c>
      <c r="P20" s="242">
        <v>1.9329999999633297E-2</v>
      </c>
      <c r="Q20" s="293">
        <v>0</v>
      </c>
      <c r="R20" s="243">
        <v>42066</v>
      </c>
      <c r="S20" s="243">
        <v>44623</v>
      </c>
      <c r="T20" s="259">
        <v>0.8731817277965831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113</v>
      </c>
      <c r="Q30" s="218" t="s">
        <v>114</v>
      </c>
      <c r="R30" s="218" t="s">
        <v>137</v>
      </c>
      <c r="S30" s="218" t="str">
        <f>"F "&amp;J1</f>
        <v>F 1Y</v>
      </c>
      <c r="T30" s="218" t="s">
        <v>140</v>
      </c>
      <c r="U30" s="218" t="s">
        <v>138</v>
      </c>
      <c r="V30" s="218" t="s">
        <v>139</v>
      </c>
      <c r="W30" s="219" t="s">
        <v>141</v>
      </c>
      <c r="X30" s="219" t="s">
        <v>151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42066</v>
      </c>
      <c r="Q31" s="304">
        <f>_xll.qlInterestRateIndexMaturity(IborIndex1Y,P31)</f>
        <v>42432</v>
      </c>
      <c r="R31" s="379">
        <f>_xll.qlDayCounterYearFraction(DayCounter,P31,Q31,,,Trigger)</f>
        <v>1.0027397260273974</v>
      </c>
      <c r="S31" s="380">
        <f>_xll.qlIndexFixing(IborIndex1Y,_xll.qlInterestRateIndexFixingDate(IborIndex1Y,P31,Trigger),TRUE,AllTriggers)</f>
        <v>9.7869000000001087E-3</v>
      </c>
      <c r="T31" s="380">
        <f>(U31/V31-1)/R31</f>
        <v>5.1994103726165008E-3</v>
      </c>
      <c r="U31" s="381">
        <f>_xll.qlYieldTSDiscount(Discounting,P31,,AllTriggers)</f>
        <v>1</v>
      </c>
      <c r="V31" s="381">
        <f>_xll.qlYieldTSDiscount(Discounting,Q31,,AllTriggers)</f>
        <v>0.99481338588579293</v>
      </c>
      <c r="W31" s="430">
        <f>LN((1+S31*R31)/(1+T31*R31))</f>
        <v>4.5657604006466837E-3</v>
      </c>
      <c r="X31" s="380">
        <f>S31-T31</f>
        <v>4.5874896273836079E-3</v>
      </c>
    </row>
    <row r="32" spans="9:34" x14ac:dyDescent="0.2">
      <c r="I32" s="256"/>
      <c r="J32" s="256"/>
      <c r="M32" s="301">
        <f>M31+12</f>
        <v>12</v>
      </c>
      <c r="N32" s="301">
        <f t="shared" ref="N32:N36" si="0">M32+12</f>
        <v>24</v>
      </c>
      <c r="O32" s="305" t="str">
        <f t="shared" ref="O32:O36" si="1">M32&amp;"x"&amp;N32</f>
        <v>12x24</v>
      </c>
      <c r="P32" s="306">
        <f>_xll.qlCalendarAdvance(Calendar,SettlementDate,M32&amp;"M","mf")</f>
        <v>42432</v>
      </c>
      <c r="Q32" s="306">
        <f>_xll.qlInterestRateIndexMaturity(IborIndex1Y,P32)</f>
        <v>42797</v>
      </c>
      <c r="R32" s="342">
        <f>_xll.qlDayCounterYearFraction(DayCounter,P32,Q32,,,Trigger)</f>
        <v>1</v>
      </c>
      <c r="S32" s="32">
        <f>_xll.qlIndexFixing(IborIndex1Y,_xll.qlInterestRateIndexFixingDate(IborIndex1Y,P32,Trigger),TRUE,AllTriggers)</f>
        <v>1.5000000000160885E-2</v>
      </c>
      <c r="T32" s="32">
        <f t="shared" ref="T32:T36" si="2">(U32/V32-1)/R32</f>
        <v>1.010637987487728E-2</v>
      </c>
      <c r="U32" s="345">
        <f>_xll.qlYieldTSDiscount(Discounting,P32,,AllTriggers)</f>
        <v>0.99481338588579293</v>
      </c>
      <c r="V32" s="345">
        <f>_xll.qlYieldTSDiscount(Discounting,Q32,,AllTriggers)</f>
        <v>0.98486001643611165</v>
      </c>
      <c r="W32" s="431">
        <f t="shared" ref="W32:W36" si="3">LN((1+S32*R32)/(1+T32*R32))</f>
        <v>4.8329605784095987E-3</v>
      </c>
      <c r="X32" s="32">
        <f t="shared" ref="X32:X36" si="4">S32-T32</f>
        <v>4.8936201252836042E-3</v>
      </c>
    </row>
    <row r="33" spans="9:24" x14ac:dyDescent="0.2">
      <c r="M33" s="301">
        <f t="shared" ref="M33:M36" si="5">M32+12</f>
        <v>24</v>
      </c>
      <c r="N33" s="301">
        <f t="shared" si="0"/>
        <v>36</v>
      </c>
      <c r="O33" s="305" t="str">
        <f t="shared" si="1"/>
        <v>24x36</v>
      </c>
      <c r="P33" s="306">
        <f>_xll.qlCalendarAdvance(Calendar,SettlementDate,M33&amp;"M","mf")</f>
        <v>42797</v>
      </c>
      <c r="Q33" s="306">
        <f>_xll.qlInterestRateIndexMaturity(IborIndex1Y,P33)</f>
        <v>43164</v>
      </c>
      <c r="R33" s="342">
        <f>_xll.qlDayCounterYearFraction(DayCounter,P33,Q33,,,Trigger)</f>
        <v>1.0054794520547945</v>
      </c>
      <c r="S33" s="32">
        <f>_xll.qlIndexFixing(IborIndex1Y,_xll.qlInterestRateIndexFixingDate(IborIndex1Y,P33,Trigger),TRUE,AllTriggers)</f>
        <v>1.9070199928711756E-2</v>
      </c>
      <c r="T33" s="32">
        <f t="shared" si="2"/>
        <v>1.4685655722096706E-2</v>
      </c>
      <c r="U33" s="345">
        <f>_xll.qlYieldTSDiscount(Discounting,P33,,AllTriggers)</f>
        <v>0.98486001643611165</v>
      </c>
      <c r="V33" s="345">
        <f>_xll.qlYieldTSDiscount(Discounting,Q33,,AllTriggers)</f>
        <v>0.97052906291054197</v>
      </c>
      <c r="W33" s="431">
        <f t="shared" si="3"/>
        <v>4.3350091296619235E-3</v>
      </c>
      <c r="X33" s="32">
        <f t="shared" si="4"/>
        <v>4.3845442066150504E-3</v>
      </c>
    </row>
    <row r="34" spans="9:24" x14ac:dyDescent="0.2">
      <c r="I34" s="256"/>
      <c r="J34" s="256"/>
      <c r="M34" s="301">
        <f t="shared" si="5"/>
        <v>36</v>
      </c>
      <c r="N34" s="301">
        <f t="shared" si="0"/>
        <v>48</v>
      </c>
      <c r="O34" s="305" t="str">
        <f t="shared" si="1"/>
        <v>36x48</v>
      </c>
      <c r="P34" s="306">
        <f>_xll.qlCalendarAdvance(Calendar,SettlementDate,M34&amp;"M","mf")</f>
        <v>43164</v>
      </c>
      <c r="Q34" s="306">
        <f>_xll.qlInterestRateIndexMaturity(IborIndex1Y,P34)</f>
        <v>43529</v>
      </c>
      <c r="R34" s="342">
        <f>_xll.qlDayCounterYearFraction(DayCounter,P34,Q34,,,Trigger)</f>
        <v>1</v>
      </c>
      <c r="S34" s="32">
        <f>_xll.qlIndexFixing(IborIndex1Y,_xll.qlInterestRateIndexFixingDate(IborIndex1Y,P34,Trigger),TRUE,AllTriggers)</f>
        <v>2.1775602296499663E-2</v>
      </c>
      <c r="T34" s="32">
        <f t="shared" si="2"/>
        <v>1.7361983988384289E-2</v>
      </c>
      <c r="U34" s="345">
        <f>_xll.qlYieldTSDiscount(Discounting,P34,,AllTriggers)</f>
        <v>0.97052906291054197</v>
      </c>
      <c r="V34" s="345">
        <f>_xll.qlYieldTSDiscount(Discounting,Q34,,AllTriggers)</f>
        <v>0.9539663150236436</v>
      </c>
      <c r="W34" s="431">
        <f t="shared" si="3"/>
        <v>4.3289135860307571E-3</v>
      </c>
      <c r="X34" s="32">
        <f t="shared" si="4"/>
        <v>4.4136183081153746E-3</v>
      </c>
    </row>
    <row r="35" spans="9:24" x14ac:dyDescent="0.2">
      <c r="M35" s="301">
        <f t="shared" si="5"/>
        <v>48</v>
      </c>
      <c r="N35" s="301">
        <f t="shared" si="0"/>
        <v>60</v>
      </c>
      <c r="O35" s="305" t="str">
        <f t="shared" si="1"/>
        <v>48x60</v>
      </c>
      <c r="P35" s="306">
        <f>_xll.qlCalendarAdvance(Calendar,SettlementDate,M35&amp;"M","mf")</f>
        <v>43528</v>
      </c>
      <c r="Q35" s="306">
        <f>_xll.qlInterestRateIndexMaturity(IborIndex1Y,P35)</f>
        <v>43894</v>
      </c>
      <c r="R35" s="377">
        <f>_xll.qlDayCounterYearFraction(DayCounter,P35,Q35,,,Trigger)</f>
        <v>1.0027397260273974</v>
      </c>
      <c r="S35" s="378">
        <f>_xll.qlIndexFixing(IborIndex1Y,_xll.qlInterestRateIndexFixingDate(IborIndex1Y,P35,Trigger),TRUE,AllTriggers)</f>
        <v>2.2917962219103152E-2</v>
      </c>
      <c r="T35" s="32">
        <f t="shared" si="2"/>
        <v>1.8685366573911826E-2</v>
      </c>
      <c r="U35" s="345">
        <f>_xll.qlYieldTSDiscount(Discounting,P35,,AllTriggers)</f>
        <v>0.95401338185990869</v>
      </c>
      <c r="V35" s="345">
        <f>_xll.qlYieldTSDiscount(Discounting,Q35,,AllTriggers)</f>
        <v>0.93646720842151887</v>
      </c>
      <c r="W35" s="431">
        <f t="shared" si="3"/>
        <v>4.157478500138612E-3</v>
      </c>
      <c r="X35" s="32">
        <f t="shared" si="4"/>
        <v>4.2325956451913262E-3</v>
      </c>
    </row>
    <row r="36" spans="9:24" x14ac:dyDescent="0.2">
      <c r="I36" s="256"/>
      <c r="J36" s="256"/>
      <c r="M36" s="301">
        <f t="shared" si="5"/>
        <v>60</v>
      </c>
      <c r="N36" s="301">
        <f t="shared" si="0"/>
        <v>72</v>
      </c>
      <c r="O36" s="307" t="str">
        <f t="shared" si="1"/>
        <v>60x72</v>
      </c>
      <c r="P36" s="308">
        <f>_xll.qlCalendarAdvance(Calendar,SettlementDate,M36&amp;"M","mf")</f>
        <v>43893</v>
      </c>
      <c r="Q36" s="308">
        <f>_xll.qlInterestRateIndexMaturity(IborIndex1Y,P36)</f>
        <v>44258</v>
      </c>
      <c r="R36" s="382">
        <f>_xll.qlDayCounterYearFraction(DayCounter,P36,Q36,,,Trigger)</f>
        <v>1</v>
      </c>
      <c r="S36" s="383">
        <f>_xll.qlIndexFixing(IborIndex1Y,_xll.qlInterestRateIndexFixingDate(IborIndex1Y,P36,Trigger),TRUE,AllTriggers)</f>
        <v>2.3835423563725922E-2</v>
      </c>
      <c r="T36" s="384">
        <f t="shared" si="2"/>
        <v>1.9532639565709609E-2</v>
      </c>
      <c r="U36" s="385">
        <f>_xll.qlYieldTSDiscount(Discounting,P36,,AllTriggers)</f>
        <v>0.93651587294054872</v>
      </c>
      <c r="V36" s="385">
        <f>_xll.qlYieldTSDiscount(Discounting,Q36,,AllTriggers)</f>
        <v>0.91857370386834947</v>
      </c>
      <c r="W36" s="432">
        <f t="shared" si="3"/>
        <v>4.2114687366773887E-3</v>
      </c>
      <c r="X36" s="384">
        <f t="shared" si="4"/>
        <v>4.3027839980163129E-3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2" sqref="B2"/>
    </sheetView>
  </sheetViews>
  <sheetFormatPr defaultRowHeight="11.25" x14ac:dyDescent="0.2"/>
  <cols>
    <col min="1" max="1" width="3.33203125" style="480" customWidth="1"/>
    <col min="2" max="2" width="4.5" style="480" bestFit="1" customWidth="1"/>
    <col min="3" max="3" width="3.5" style="480" bestFit="1" customWidth="1"/>
    <col min="4" max="4" width="3.1640625" style="480" bestFit="1" customWidth="1"/>
    <col min="5" max="5" width="5.5" style="480" bestFit="1" customWidth="1"/>
    <col min="6" max="6" width="3.1640625" style="480" bestFit="1" customWidth="1"/>
    <col min="7" max="7" width="4.1640625" style="480" bestFit="1" customWidth="1"/>
    <col min="8" max="8" width="18.1640625" style="480" bestFit="1" customWidth="1"/>
    <col min="9" max="9" width="19.33203125" style="480" bestFit="1" customWidth="1"/>
    <col min="10" max="10" width="36.6640625" style="480" bestFit="1" customWidth="1"/>
    <col min="11" max="11" width="30.1640625" style="480" bestFit="1" customWidth="1"/>
    <col min="12" max="12" width="24.6640625" style="480" customWidth="1"/>
    <col min="13" max="14" width="3.33203125" style="480" customWidth="1"/>
    <col min="15" max="15" width="4.6640625" style="480" bestFit="1" customWidth="1"/>
    <col min="16" max="16" width="3.6640625" style="480" bestFit="1" customWidth="1"/>
    <col min="17" max="17" width="3.1640625" style="480" bestFit="1" customWidth="1"/>
    <col min="18" max="18" width="3.83203125" style="480" bestFit="1" customWidth="1"/>
    <col min="19" max="20" width="4.1640625" style="480" bestFit="1" customWidth="1"/>
    <col min="21" max="16384" width="9.33203125" style="480"/>
  </cols>
  <sheetData>
    <row r="1" spans="1:13" x14ac:dyDescent="0.2">
      <c r="A1" s="476"/>
      <c r="B1" s="477"/>
      <c r="C1" s="477"/>
      <c r="D1" s="477"/>
      <c r="E1" s="477"/>
      <c r="F1" s="477"/>
      <c r="G1" s="477"/>
      <c r="H1" s="477"/>
      <c r="I1" s="477" t="s">
        <v>160</v>
      </c>
      <c r="J1" s="477"/>
      <c r="K1" s="477"/>
      <c r="L1" s="478"/>
      <c r="M1" s="479"/>
    </row>
    <row r="2" spans="1:13" ht="22.5" x14ac:dyDescent="0.2">
      <c r="A2" s="481"/>
      <c r="B2" s="482"/>
      <c r="C2" s="482"/>
      <c r="D2" s="482"/>
      <c r="E2" s="482" t="s">
        <v>119</v>
      </c>
      <c r="F2" s="482"/>
      <c r="G2" s="482"/>
      <c r="H2" s="482" t="s">
        <v>123</v>
      </c>
      <c r="I2" s="482" t="s">
        <v>161</v>
      </c>
      <c r="J2" s="483" t="str">
        <f>Currency&amp;"_020_Sw"&amp;$C$3&amp;$D$3&amp;"_"&amp;"Fwd"&amp;$E$3&amp;IF(H3=0,,"_Spr"&amp;$F3&amp;$G3)&amp;".xml"</f>
        <v>GBP_020_SwSB6L_Fwd0D_Spr6L12L.xml</v>
      </c>
      <c r="K2" s="484" t="str">
        <f>IF(Serialize,_xll.ohObjectSave(K3:K36,SerializationPath&amp;J2,FileOverwrite,Serialize),"---")</f>
        <v>---</v>
      </c>
      <c r="L2" s="483" t="str">
        <f>_xll.ohRangeRetrieveError(K2)</f>
        <v/>
      </c>
      <c r="M2" s="485"/>
    </row>
    <row r="3" spans="1:13" x14ac:dyDescent="0.2">
      <c r="A3" s="481"/>
      <c r="B3" s="486" t="s">
        <v>25</v>
      </c>
      <c r="C3" s="487" t="s">
        <v>162</v>
      </c>
      <c r="D3" s="487" t="s">
        <v>163</v>
      </c>
      <c r="E3" s="487" t="s">
        <v>127</v>
      </c>
      <c r="F3" s="487" t="s">
        <v>163</v>
      </c>
      <c r="G3" s="487" t="s">
        <v>164</v>
      </c>
      <c r="H3" s="488" t="str">
        <f t="shared" ref="H3:H36" si="0">IF(F3=0,0,Currency&amp;$F3&amp;$G3&amp;$B3&amp;QuoteSuffix)</f>
        <v>GBP6L12L1Y_Quote</v>
      </c>
      <c r="I3" s="489" t="str">
        <f t="shared" ref="I3:I36" si="1">PROPER(Currency)&amp;$I$1&amp;"SwapIsda"&amp;$B3</f>
        <v>GbpLiborSwapIsda1Y</v>
      </c>
      <c r="J3" s="490" t="str">
        <f t="shared" ref="J3:J36" si="2">Currency&amp;$C3&amp;$D3&amp;$B3&amp;IF(UPPER(E3)="0D","","_Fwd"&amp;E3)&amp;IF(H3=0,,"_S"&amp;$F3&amp;$G3)&amp;QuoteSuffix</f>
        <v>GBPSB6L1Y_S6L12L_Quote</v>
      </c>
      <c r="K3" s="490"/>
      <c r="L3" s="490" t="str">
        <f>_xll.ohRangeRetrieveError(K3)</f>
        <v/>
      </c>
      <c r="M3" s="485"/>
    </row>
    <row r="4" spans="1:13" x14ac:dyDescent="0.2">
      <c r="A4" s="481"/>
      <c r="B4" s="486" t="s">
        <v>165</v>
      </c>
      <c r="C4" s="487" t="s">
        <v>162</v>
      </c>
      <c r="D4" s="487" t="s">
        <v>163</v>
      </c>
      <c r="E4" s="487" t="s">
        <v>127</v>
      </c>
      <c r="F4" s="487" t="s">
        <v>163</v>
      </c>
      <c r="G4" s="487" t="s">
        <v>164</v>
      </c>
      <c r="H4" s="488" t="str">
        <f t="shared" si="0"/>
        <v>GBP6L12L2Y_Quote</v>
      </c>
      <c r="I4" s="491" t="str">
        <f t="shared" si="1"/>
        <v>GbpLiborSwapIsda2Y</v>
      </c>
      <c r="J4" s="490" t="str">
        <f t="shared" si="2"/>
        <v>GBPSB6L2Y_S6L12L_Quote</v>
      </c>
      <c r="K4" s="490" t="str">
        <f>_xll.qlForwardSwapQuote(J4,I4,H4,E4,Permanent,Trigger,ObjectOverwrite)</f>
        <v>GBPSB6L2Y_S6L12L_Quote#0000</v>
      </c>
      <c r="L4" s="490" t="str">
        <f>_xll.ohRangeRetrieveError(K4)</f>
        <v/>
      </c>
      <c r="M4" s="485"/>
    </row>
    <row r="5" spans="1:13" x14ac:dyDescent="0.2">
      <c r="A5" s="481"/>
      <c r="B5" s="486" t="s">
        <v>81</v>
      </c>
      <c r="C5" s="487" t="s">
        <v>162</v>
      </c>
      <c r="D5" s="487" t="s">
        <v>163</v>
      </c>
      <c r="E5" s="487" t="s">
        <v>127</v>
      </c>
      <c r="F5" s="487" t="s">
        <v>163</v>
      </c>
      <c r="G5" s="487" t="s">
        <v>164</v>
      </c>
      <c r="H5" s="488" t="str">
        <f t="shared" si="0"/>
        <v>GBP6L12L3Y_Quote</v>
      </c>
      <c r="I5" s="491" t="str">
        <f t="shared" si="1"/>
        <v>GbpLiborSwapIsda3Y</v>
      </c>
      <c r="J5" s="490" t="str">
        <f t="shared" si="2"/>
        <v>GBPSB6L3Y_S6L12L_Quote</v>
      </c>
      <c r="K5" s="490" t="str">
        <f>_xll.qlForwardSwapQuote(J5,I5,H5,E5,Permanent,Trigger,ObjectOverwrite)</f>
        <v>GBPSB6L3Y_S6L12L_Quote#0000</v>
      </c>
      <c r="L5" s="490" t="str">
        <f>_xll.ohRangeRetrieveError(K5)</f>
        <v/>
      </c>
      <c r="M5" s="485"/>
    </row>
    <row r="6" spans="1:13" x14ac:dyDescent="0.2">
      <c r="A6" s="481"/>
      <c r="B6" s="486" t="s">
        <v>82</v>
      </c>
      <c r="C6" s="487" t="s">
        <v>162</v>
      </c>
      <c r="D6" s="487" t="s">
        <v>163</v>
      </c>
      <c r="E6" s="487" t="s">
        <v>127</v>
      </c>
      <c r="F6" s="487" t="s">
        <v>163</v>
      </c>
      <c r="G6" s="487" t="s">
        <v>164</v>
      </c>
      <c r="H6" s="488" t="str">
        <f t="shared" si="0"/>
        <v>GBP6L12L4Y_Quote</v>
      </c>
      <c r="I6" s="491" t="str">
        <f t="shared" si="1"/>
        <v>GbpLiborSwapIsda4Y</v>
      </c>
      <c r="J6" s="490" t="str">
        <f t="shared" si="2"/>
        <v>GBPSB6L4Y_S6L12L_Quote</v>
      </c>
      <c r="K6" s="490" t="str">
        <f>_xll.qlForwardSwapQuote(J6,I6,H6,E6,Permanent,Trigger,ObjectOverwrite)</f>
        <v>GBPSB6L4Y_S6L12L_Quote#0000</v>
      </c>
      <c r="L6" s="490" t="str">
        <f>_xll.ohRangeRetrieveError(K6)</f>
        <v/>
      </c>
      <c r="M6" s="485"/>
    </row>
    <row r="7" spans="1:13" x14ac:dyDescent="0.2">
      <c r="A7" s="481"/>
      <c r="B7" s="486" t="s">
        <v>83</v>
      </c>
      <c r="C7" s="487" t="s">
        <v>162</v>
      </c>
      <c r="D7" s="487" t="s">
        <v>163</v>
      </c>
      <c r="E7" s="487" t="s">
        <v>127</v>
      </c>
      <c r="F7" s="487" t="s">
        <v>163</v>
      </c>
      <c r="G7" s="487" t="s">
        <v>164</v>
      </c>
      <c r="H7" s="488" t="str">
        <f t="shared" si="0"/>
        <v>GBP6L12L5Y_Quote</v>
      </c>
      <c r="I7" s="491" t="str">
        <f t="shared" si="1"/>
        <v>GbpLiborSwapIsda5Y</v>
      </c>
      <c r="J7" s="490" t="str">
        <f t="shared" si="2"/>
        <v>GBPSB6L5Y_S6L12L_Quote</v>
      </c>
      <c r="K7" s="490" t="str">
        <f>_xll.qlForwardSwapQuote(J7,I7,H7,E7,Permanent,Trigger,ObjectOverwrite)</f>
        <v>GBPSB6L5Y_S6L12L_Quote#0000</v>
      </c>
      <c r="L7" s="490" t="str">
        <f>_xll.ohRangeRetrieveError(K7)</f>
        <v/>
      </c>
      <c r="M7" s="485"/>
    </row>
    <row r="8" spans="1:13" x14ac:dyDescent="0.2">
      <c r="A8" s="481"/>
      <c r="B8" s="486" t="s">
        <v>132</v>
      </c>
      <c r="C8" s="487" t="s">
        <v>162</v>
      </c>
      <c r="D8" s="487" t="s">
        <v>163</v>
      </c>
      <c r="E8" s="487" t="s">
        <v>127</v>
      </c>
      <c r="F8" s="487" t="s">
        <v>163</v>
      </c>
      <c r="G8" s="487" t="s">
        <v>164</v>
      </c>
      <c r="H8" s="488" t="str">
        <f t="shared" si="0"/>
        <v>GBP6L12L6Y_Quote</v>
      </c>
      <c r="I8" s="491" t="str">
        <f t="shared" si="1"/>
        <v>GbpLiborSwapIsda6Y</v>
      </c>
      <c r="J8" s="490" t="str">
        <f t="shared" si="2"/>
        <v>GBPSB6L6Y_S6L12L_Quote</v>
      </c>
      <c r="K8" s="490" t="str">
        <f>_xll.qlForwardSwapQuote(J8,I8,H8,E8,Permanent,Trigger,ObjectOverwrite)</f>
        <v>GBPSB6L6Y_S6L12L_Quote#0000</v>
      </c>
      <c r="L8" s="490" t="str">
        <f>_xll.ohRangeRetrieveError(K8)</f>
        <v/>
      </c>
      <c r="M8" s="485"/>
    </row>
    <row r="9" spans="1:13" x14ac:dyDescent="0.2">
      <c r="A9" s="481"/>
      <c r="B9" s="486" t="s">
        <v>133</v>
      </c>
      <c r="C9" s="487" t="s">
        <v>162</v>
      </c>
      <c r="D9" s="487" t="s">
        <v>163</v>
      </c>
      <c r="E9" s="487" t="s">
        <v>127</v>
      </c>
      <c r="F9" s="487" t="s">
        <v>163</v>
      </c>
      <c r="G9" s="487" t="s">
        <v>164</v>
      </c>
      <c r="H9" s="488" t="str">
        <f t="shared" si="0"/>
        <v>GBP6L12L7Y_Quote</v>
      </c>
      <c r="I9" s="491" t="str">
        <f t="shared" si="1"/>
        <v>GbpLiborSwapIsda7Y</v>
      </c>
      <c r="J9" s="490" t="str">
        <f t="shared" si="2"/>
        <v>GBPSB6L7Y_S6L12L_Quote</v>
      </c>
      <c r="K9" s="490" t="str">
        <f>_xll.qlForwardSwapQuote(J9,I9,H9,E9,Permanent,Trigger,ObjectOverwrite)</f>
        <v>GBPSB6L7Y_S6L12L_Quote#0000</v>
      </c>
      <c r="L9" s="490" t="str">
        <f>_xll.ohRangeRetrieveError(K9)</f>
        <v/>
      </c>
      <c r="M9" s="485"/>
    </row>
    <row r="10" spans="1:13" x14ac:dyDescent="0.2">
      <c r="A10" s="481"/>
      <c r="B10" s="486" t="s">
        <v>134</v>
      </c>
      <c r="C10" s="487" t="s">
        <v>162</v>
      </c>
      <c r="D10" s="487" t="s">
        <v>163</v>
      </c>
      <c r="E10" s="487" t="s">
        <v>127</v>
      </c>
      <c r="F10" s="487" t="s">
        <v>163</v>
      </c>
      <c r="G10" s="487" t="s">
        <v>164</v>
      </c>
      <c r="H10" s="488" t="str">
        <f t="shared" si="0"/>
        <v>GBP6L12L8Y_Quote</v>
      </c>
      <c r="I10" s="491" t="str">
        <f t="shared" si="1"/>
        <v>GbpLiborSwapIsda8Y</v>
      </c>
      <c r="J10" s="490" t="str">
        <f t="shared" si="2"/>
        <v>GBPSB6L8Y_S6L12L_Quote</v>
      </c>
      <c r="K10" s="490" t="str">
        <f>_xll.qlForwardSwapQuote(J10,I10,H10,E10,Permanent,Trigger,ObjectOverwrite)</f>
        <v>GBPSB6L8Y_S6L12L_Quote#0000</v>
      </c>
      <c r="L10" s="490" t="str">
        <f>_xll.ohRangeRetrieveError(K10)</f>
        <v/>
      </c>
      <c r="M10" s="485"/>
    </row>
    <row r="11" spans="1:13" x14ac:dyDescent="0.2">
      <c r="A11" s="481"/>
      <c r="B11" s="486" t="s">
        <v>166</v>
      </c>
      <c r="C11" s="487" t="s">
        <v>162</v>
      </c>
      <c r="D11" s="487" t="s">
        <v>163</v>
      </c>
      <c r="E11" s="487" t="s">
        <v>127</v>
      </c>
      <c r="F11" s="487" t="s">
        <v>163</v>
      </c>
      <c r="G11" s="487" t="s">
        <v>164</v>
      </c>
      <c r="H11" s="488" t="str">
        <f t="shared" si="0"/>
        <v>GBP6L12L9Y_Quote</v>
      </c>
      <c r="I11" s="491" t="str">
        <f t="shared" si="1"/>
        <v>GbpLiborSwapIsda9Y</v>
      </c>
      <c r="J11" s="490" t="str">
        <f t="shared" si="2"/>
        <v>GBPSB6L9Y_S6L12L_Quote</v>
      </c>
      <c r="K11" s="490" t="str">
        <f>_xll.qlForwardSwapQuote(J11,I11,H11,E11,Permanent,Trigger,ObjectOverwrite)</f>
        <v>GBPSB6L9Y_S6L12L_Quote#0000</v>
      </c>
      <c r="L11" s="490" t="str">
        <f>_xll.ohRangeRetrieveError(K11)</f>
        <v/>
      </c>
      <c r="M11" s="485"/>
    </row>
    <row r="12" spans="1:13" x14ac:dyDescent="0.2">
      <c r="A12" s="481"/>
      <c r="B12" s="486" t="s">
        <v>167</v>
      </c>
      <c r="C12" s="487" t="s">
        <v>162</v>
      </c>
      <c r="D12" s="487" t="s">
        <v>163</v>
      </c>
      <c r="E12" s="487" t="s">
        <v>127</v>
      </c>
      <c r="F12" s="487" t="s">
        <v>163</v>
      </c>
      <c r="G12" s="487" t="s">
        <v>164</v>
      </c>
      <c r="H12" s="488" t="str">
        <f t="shared" si="0"/>
        <v>GBP6L12L10Y_Quote</v>
      </c>
      <c r="I12" s="491" t="str">
        <f t="shared" si="1"/>
        <v>GbpLiborSwapIsda10Y</v>
      </c>
      <c r="J12" s="490" t="str">
        <f t="shared" si="2"/>
        <v>GBPSB6L10Y_S6L12L_Quote</v>
      </c>
      <c r="K12" s="490" t="str">
        <f>_xll.qlForwardSwapQuote(J12,I12,H12,E12,Permanent,Trigger,ObjectOverwrite)</f>
        <v>GBPSB6L10Y_S6L12L_Quote#0000</v>
      </c>
      <c r="L12" s="490" t="str">
        <f>_xll.ohRangeRetrieveError(K12)</f>
        <v/>
      </c>
      <c r="M12" s="485"/>
    </row>
    <row r="13" spans="1:13" x14ac:dyDescent="0.2">
      <c r="A13" s="481"/>
      <c r="B13" s="486" t="s">
        <v>168</v>
      </c>
      <c r="C13" s="487" t="s">
        <v>162</v>
      </c>
      <c r="D13" s="487" t="s">
        <v>163</v>
      </c>
      <c r="E13" s="487" t="s">
        <v>127</v>
      </c>
      <c r="F13" s="487" t="s">
        <v>163</v>
      </c>
      <c r="G13" s="487" t="s">
        <v>164</v>
      </c>
      <c r="H13" s="488" t="str">
        <f t="shared" si="0"/>
        <v>GBP6L12L11Y_Quote</v>
      </c>
      <c r="I13" s="491" t="str">
        <f t="shared" si="1"/>
        <v>GbpLiborSwapIsda11Y</v>
      </c>
      <c r="J13" s="490" t="str">
        <f t="shared" si="2"/>
        <v>GBPSB6L11Y_S6L12L_Quote</v>
      </c>
      <c r="K13" s="490" t="str">
        <f>_xll.qlForwardSwapQuote(J13,I13,H13,E13,Permanent,Trigger,ObjectOverwrite)</f>
        <v>GBPSB6L11Y_S6L12L_Quote#0000</v>
      </c>
      <c r="L13" s="490" t="str">
        <f>_xll.ohRangeRetrieveError(K13)</f>
        <v/>
      </c>
      <c r="M13" s="485"/>
    </row>
    <row r="14" spans="1:13" x14ac:dyDescent="0.2">
      <c r="A14" s="481"/>
      <c r="B14" s="486" t="s">
        <v>169</v>
      </c>
      <c r="C14" s="487" t="s">
        <v>162</v>
      </c>
      <c r="D14" s="487" t="s">
        <v>163</v>
      </c>
      <c r="E14" s="487" t="s">
        <v>127</v>
      </c>
      <c r="F14" s="487" t="s">
        <v>163</v>
      </c>
      <c r="G14" s="487" t="s">
        <v>164</v>
      </c>
      <c r="H14" s="488" t="str">
        <f t="shared" si="0"/>
        <v>GBP6L12L12Y_Quote</v>
      </c>
      <c r="I14" s="491" t="str">
        <f t="shared" si="1"/>
        <v>GbpLiborSwapIsda12Y</v>
      </c>
      <c r="J14" s="490" t="str">
        <f t="shared" si="2"/>
        <v>GBPSB6L12Y_S6L12L_Quote</v>
      </c>
      <c r="K14" s="490" t="str">
        <f>_xll.qlForwardSwapQuote(J14,I14,H14,E14,Permanent,Trigger,ObjectOverwrite)</f>
        <v>GBPSB6L12Y_S6L12L_Quote#0000</v>
      </c>
      <c r="L14" s="490" t="str">
        <f>_xll.ohRangeRetrieveError(K14)</f>
        <v/>
      </c>
      <c r="M14" s="485"/>
    </row>
    <row r="15" spans="1:13" x14ac:dyDescent="0.2">
      <c r="A15" s="481"/>
      <c r="B15" s="486" t="s">
        <v>170</v>
      </c>
      <c r="C15" s="487" t="s">
        <v>162</v>
      </c>
      <c r="D15" s="487" t="s">
        <v>163</v>
      </c>
      <c r="E15" s="487" t="s">
        <v>127</v>
      </c>
      <c r="F15" s="487" t="s">
        <v>163</v>
      </c>
      <c r="G15" s="487" t="s">
        <v>164</v>
      </c>
      <c r="H15" s="488" t="str">
        <f t="shared" si="0"/>
        <v>GBP6L12L13Y_Quote</v>
      </c>
      <c r="I15" s="491" t="str">
        <f t="shared" si="1"/>
        <v>GbpLiborSwapIsda13Y</v>
      </c>
      <c r="J15" s="490" t="str">
        <f t="shared" si="2"/>
        <v>GBPSB6L13Y_S6L12L_Quote</v>
      </c>
      <c r="K15" s="490" t="str">
        <f>_xll.qlForwardSwapQuote(J15,I15,H15,E15,Permanent,Trigger,ObjectOverwrite)</f>
        <v>GBPSB6L13Y_S6L12L_Quote#0000</v>
      </c>
      <c r="L15" s="490" t="str">
        <f>_xll.ohRangeRetrieveError(K15)</f>
        <v/>
      </c>
      <c r="M15" s="485"/>
    </row>
    <row r="16" spans="1:13" x14ac:dyDescent="0.2">
      <c r="A16" s="481"/>
      <c r="B16" s="486" t="s">
        <v>171</v>
      </c>
      <c r="C16" s="487" t="s">
        <v>162</v>
      </c>
      <c r="D16" s="487" t="s">
        <v>163</v>
      </c>
      <c r="E16" s="487" t="s">
        <v>127</v>
      </c>
      <c r="F16" s="487" t="s">
        <v>163</v>
      </c>
      <c r="G16" s="487" t="s">
        <v>164</v>
      </c>
      <c r="H16" s="488" t="str">
        <f t="shared" si="0"/>
        <v>GBP6L12L14Y_Quote</v>
      </c>
      <c r="I16" s="491" t="str">
        <f t="shared" si="1"/>
        <v>GbpLiborSwapIsda14Y</v>
      </c>
      <c r="J16" s="490" t="str">
        <f t="shared" si="2"/>
        <v>GBPSB6L14Y_S6L12L_Quote</v>
      </c>
      <c r="K16" s="490" t="str">
        <f>_xll.qlForwardSwapQuote(J16,I16,H16,E16,Permanent,Trigger,ObjectOverwrite)</f>
        <v>GBPSB6L14Y_S6L12L_Quote#0000</v>
      </c>
      <c r="L16" s="490" t="str">
        <f>_xll.ohRangeRetrieveError(K16)</f>
        <v/>
      </c>
      <c r="M16" s="485"/>
    </row>
    <row r="17" spans="1:13" x14ac:dyDescent="0.2">
      <c r="A17" s="481"/>
      <c r="B17" s="486" t="s">
        <v>172</v>
      </c>
      <c r="C17" s="487" t="s">
        <v>162</v>
      </c>
      <c r="D17" s="487" t="s">
        <v>163</v>
      </c>
      <c r="E17" s="487" t="s">
        <v>127</v>
      </c>
      <c r="F17" s="487" t="s">
        <v>163</v>
      </c>
      <c r="G17" s="487" t="s">
        <v>164</v>
      </c>
      <c r="H17" s="488" t="str">
        <f t="shared" si="0"/>
        <v>GBP6L12L15Y_Quote</v>
      </c>
      <c r="I17" s="491" t="str">
        <f t="shared" si="1"/>
        <v>GbpLiborSwapIsda15Y</v>
      </c>
      <c r="J17" s="490" t="str">
        <f t="shared" si="2"/>
        <v>GBPSB6L15Y_S6L12L_Quote</v>
      </c>
      <c r="K17" s="490" t="str">
        <f>_xll.qlForwardSwapQuote(J17,I17,H17,E17,Permanent,Trigger,ObjectOverwrite)</f>
        <v>GBPSB6L15Y_S6L12L_Quote#0000</v>
      </c>
      <c r="L17" s="490" t="str">
        <f>_xll.ohRangeRetrieveError(K17)</f>
        <v/>
      </c>
      <c r="M17" s="485"/>
    </row>
    <row r="18" spans="1:13" x14ac:dyDescent="0.2">
      <c r="A18" s="481"/>
      <c r="B18" s="486" t="s">
        <v>173</v>
      </c>
      <c r="C18" s="487" t="s">
        <v>162</v>
      </c>
      <c r="D18" s="487" t="s">
        <v>163</v>
      </c>
      <c r="E18" s="487" t="s">
        <v>127</v>
      </c>
      <c r="F18" s="487" t="s">
        <v>163</v>
      </c>
      <c r="G18" s="487" t="s">
        <v>164</v>
      </c>
      <c r="H18" s="488" t="str">
        <f t="shared" si="0"/>
        <v>GBP6L12L16Y_Quote</v>
      </c>
      <c r="I18" s="491" t="str">
        <f t="shared" si="1"/>
        <v>GbpLiborSwapIsda16Y</v>
      </c>
      <c r="J18" s="490" t="str">
        <f t="shared" si="2"/>
        <v>GBPSB6L16Y_S6L12L_Quote</v>
      </c>
      <c r="K18" s="490" t="str">
        <f>_xll.qlForwardSwapQuote(J18,I18,H18,E18,Permanent,Trigger,ObjectOverwrite)</f>
        <v>GBPSB6L16Y_S6L12L_Quote#0000</v>
      </c>
      <c r="L18" s="490" t="str">
        <f>_xll.ohRangeRetrieveError(K18)</f>
        <v/>
      </c>
      <c r="M18" s="485"/>
    </row>
    <row r="19" spans="1:13" x14ac:dyDescent="0.2">
      <c r="A19" s="481"/>
      <c r="B19" s="486" t="s">
        <v>174</v>
      </c>
      <c r="C19" s="487" t="s">
        <v>162</v>
      </c>
      <c r="D19" s="487" t="s">
        <v>163</v>
      </c>
      <c r="E19" s="487" t="s">
        <v>127</v>
      </c>
      <c r="F19" s="487" t="s">
        <v>163</v>
      </c>
      <c r="G19" s="487" t="s">
        <v>164</v>
      </c>
      <c r="H19" s="488" t="str">
        <f t="shared" si="0"/>
        <v>GBP6L12L17Y_Quote</v>
      </c>
      <c r="I19" s="491" t="str">
        <f t="shared" si="1"/>
        <v>GbpLiborSwapIsda17Y</v>
      </c>
      <c r="J19" s="490" t="str">
        <f t="shared" si="2"/>
        <v>GBPSB6L17Y_S6L12L_Quote</v>
      </c>
      <c r="K19" s="490" t="str">
        <f>_xll.qlForwardSwapQuote(J19,I19,H19,E19,Permanent,Trigger,ObjectOverwrite)</f>
        <v>GBPSB6L17Y_S6L12L_Quote#0000</v>
      </c>
      <c r="L19" s="490" t="str">
        <f>_xll.ohRangeRetrieveError(K19)</f>
        <v/>
      </c>
      <c r="M19" s="485"/>
    </row>
    <row r="20" spans="1:13" x14ac:dyDescent="0.2">
      <c r="A20" s="481"/>
      <c r="B20" s="486" t="s">
        <v>175</v>
      </c>
      <c r="C20" s="487" t="s">
        <v>162</v>
      </c>
      <c r="D20" s="487" t="s">
        <v>163</v>
      </c>
      <c r="E20" s="487" t="s">
        <v>127</v>
      </c>
      <c r="F20" s="487" t="s">
        <v>163</v>
      </c>
      <c r="G20" s="487" t="s">
        <v>164</v>
      </c>
      <c r="H20" s="488" t="str">
        <f t="shared" si="0"/>
        <v>GBP6L12L18Y_Quote</v>
      </c>
      <c r="I20" s="491" t="str">
        <f t="shared" si="1"/>
        <v>GbpLiborSwapIsda18Y</v>
      </c>
      <c r="J20" s="490" t="str">
        <f t="shared" si="2"/>
        <v>GBPSB6L18Y_S6L12L_Quote</v>
      </c>
      <c r="K20" s="490" t="str">
        <f>_xll.qlForwardSwapQuote(J20,I20,H20,E20,Permanent,Trigger,ObjectOverwrite)</f>
        <v>GBPSB6L18Y_S6L12L_Quote#0000</v>
      </c>
      <c r="L20" s="490" t="str">
        <f>_xll.ohRangeRetrieveError(K20)</f>
        <v/>
      </c>
      <c r="M20" s="485"/>
    </row>
    <row r="21" spans="1:13" x14ac:dyDescent="0.2">
      <c r="A21" s="481"/>
      <c r="B21" s="486" t="s">
        <v>176</v>
      </c>
      <c r="C21" s="487" t="s">
        <v>162</v>
      </c>
      <c r="D21" s="487" t="s">
        <v>163</v>
      </c>
      <c r="E21" s="487" t="s">
        <v>127</v>
      </c>
      <c r="F21" s="487" t="s">
        <v>163</v>
      </c>
      <c r="G21" s="487" t="s">
        <v>164</v>
      </c>
      <c r="H21" s="488" t="str">
        <f t="shared" si="0"/>
        <v>GBP6L12L19Y_Quote</v>
      </c>
      <c r="I21" s="491" t="str">
        <f t="shared" si="1"/>
        <v>GbpLiborSwapIsda19Y</v>
      </c>
      <c r="J21" s="490" t="str">
        <f t="shared" si="2"/>
        <v>GBPSB6L19Y_S6L12L_Quote</v>
      </c>
      <c r="K21" s="490" t="str">
        <f>_xll.qlForwardSwapQuote(J21,I21,H21,E21,Permanent,Trigger,ObjectOverwrite)</f>
        <v>GBPSB6L19Y_S6L12L_Quote#0000</v>
      </c>
      <c r="L21" s="490" t="str">
        <f>_xll.ohRangeRetrieveError(K21)</f>
        <v/>
      </c>
      <c r="M21" s="485"/>
    </row>
    <row r="22" spans="1:13" x14ac:dyDescent="0.2">
      <c r="A22" s="481"/>
      <c r="B22" s="486" t="s">
        <v>177</v>
      </c>
      <c r="C22" s="487" t="s">
        <v>162</v>
      </c>
      <c r="D22" s="487" t="s">
        <v>163</v>
      </c>
      <c r="E22" s="487" t="s">
        <v>127</v>
      </c>
      <c r="F22" s="487" t="s">
        <v>163</v>
      </c>
      <c r="G22" s="487" t="s">
        <v>164</v>
      </c>
      <c r="H22" s="488" t="str">
        <f t="shared" si="0"/>
        <v>GBP6L12L20Y_Quote</v>
      </c>
      <c r="I22" s="491" t="str">
        <f t="shared" si="1"/>
        <v>GbpLiborSwapIsda20Y</v>
      </c>
      <c r="J22" s="490" t="str">
        <f t="shared" si="2"/>
        <v>GBPSB6L20Y_S6L12L_Quote</v>
      </c>
      <c r="K22" s="490" t="str">
        <f>_xll.qlForwardSwapQuote(J22,I22,H22,E22,Permanent,Trigger,ObjectOverwrite)</f>
        <v>GBPSB6L20Y_S6L12L_Quote#0000</v>
      </c>
      <c r="L22" s="490" t="str">
        <f>_xll.ohRangeRetrieveError(K22)</f>
        <v/>
      </c>
      <c r="M22" s="485"/>
    </row>
    <row r="23" spans="1:13" x14ac:dyDescent="0.2">
      <c r="A23" s="481"/>
      <c r="B23" s="486" t="s">
        <v>178</v>
      </c>
      <c r="C23" s="487" t="s">
        <v>162</v>
      </c>
      <c r="D23" s="487" t="s">
        <v>163</v>
      </c>
      <c r="E23" s="487" t="s">
        <v>127</v>
      </c>
      <c r="F23" s="487" t="s">
        <v>163</v>
      </c>
      <c r="G23" s="487" t="s">
        <v>164</v>
      </c>
      <c r="H23" s="488" t="str">
        <f t="shared" si="0"/>
        <v>GBP6L12L21Y_Quote</v>
      </c>
      <c r="I23" s="491" t="str">
        <f t="shared" si="1"/>
        <v>GbpLiborSwapIsda21Y</v>
      </c>
      <c r="J23" s="490" t="str">
        <f t="shared" si="2"/>
        <v>GBPSB6L21Y_S6L12L_Quote</v>
      </c>
      <c r="K23" s="490" t="str">
        <f>_xll.qlForwardSwapQuote(J23,I23,H23,E23,Permanent,Trigger,ObjectOverwrite)</f>
        <v>GBPSB6L21Y_S6L12L_Quote#0000</v>
      </c>
      <c r="L23" s="490" t="str">
        <f>_xll.ohRangeRetrieveError(K23)</f>
        <v/>
      </c>
      <c r="M23" s="485"/>
    </row>
    <row r="24" spans="1:13" x14ac:dyDescent="0.2">
      <c r="A24" s="481"/>
      <c r="B24" s="486" t="s">
        <v>179</v>
      </c>
      <c r="C24" s="487" t="s">
        <v>162</v>
      </c>
      <c r="D24" s="487" t="s">
        <v>163</v>
      </c>
      <c r="E24" s="487" t="s">
        <v>127</v>
      </c>
      <c r="F24" s="487" t="s">
        <v>163</v>
      </c>
      <c r="G24" s="487" t="s">
        <v>164</v>
      </c>
      <c r="H24" s="488" t="str">
        <f t="shared" si="0"/>
        <v>GBP6L12L22Y_Quote</v>
      </c>
      <c r="I24" s="491" t="str">
        <f t="shared" si="1"/>
        <v>GbpLiborSwapIsda22Y</v>
      </c>
      <c r="J24" s="490" t="str">
        <f t="shared" si="2"/>
        <v>GBPSB6L22Y_S6L12L_Quote</v>
      </c>
      <c r="K24" s="490" t="str">
        <f>_xll.qlForwardSwapQuote(J24,I24,H24,E24,Permanent,Trigger,ObjectOverwrite)</f>
        <v>GBPSB6L22Y_S6L12L_Quote#0000</v>
      </c>
      <c r="L24" s="490" t="str">
        <f>_xll.ohRangeRetrieveError(K24)</f>
        <v/>
      </c>
      <c r="M24" s="485"/>
    </row>
    <row r="25" spans="1:13" x14ac:dyDescent="0.2">
      <c r="A25" s="481"/>
      <c r="B25" s="486" t="s">
        <v>180</v>
      </c>
      <c r="C25" s="487" t="s">
        <v>162</v>
      </c>
      <c r="D25" s="487" t="s">
        <v>163</v>
      </c>
      <c r="E25" s="487" t="s">
        <v>127</v>
      </c>
      <c r="F25" s="487" t="s">
        <v>163</v>
      </c>
      <c r="G25" s="487" t="s">
        <v>164</v>
      </c>
      <c r="H25" s="488" t="str">
        <f t="shared" si="0"/>
        <v>GBP6L12L23Y_Quote</v>
      </c>
      <c r="I25" s="491" t="str">
        <f t="shared" si="1"/>
        <v>GbpLiborSwapIsda23Y</v>
      </c>
      <c r="J25" s="490" t="str">
        <f t="shared" si="2"/>
        <v>GBPSB6L23Y_S6L12L_Quote</v>
      </c>
      <c r="K25" s="490" t="str">
        <f>_xll.qlForwardSwapQuote(J25,I25,H25,E25,Permanent,Trigger,ObjectOverwrite)</f>
        <v>GBPSB6L23Y_S6L12L_Quote#0000</v>
      </c>
      <c r="L25" s="490" t="str">
        <f>_xll.ohRangeRetrieveError(K25)</f>
        <v/>
      </c>
      <c r="M25" s="485"/>
    </row>
    <row r="26" spans="1:13" x14ac:dyDescent="0.2">
      <c r="A26" s="481"/>
      <c r="B26" s="486" t="s">
        <v>181</v>
      </c>
      <c r="C26" s="487" t="s">
        <v>162</v>
      </c>
      <c r="D26" s="487" t="s">
        <v>163</v>
      </c>
      <c r="E26" s="487" t="s">
        <v>127</v>
      </c>
      <c r="F26" s="487" t="s">
        <v>163</v>
      </c>
      <c r="G26" s="487" t="s">
        <v>164</v>
      </c>
      <c r="H26" s="488" t="str">
        <f t="shared" si="0"/>
        <v>GBP6L12L24Y_Quote</v>
      </c>
      <c r="I26" s="491" t="str">
        <f t="shared" si="1"/>
        <v>GbpLiborSwapIsda24Y</v>
      </c>
      <c r="J26" s="490" t="str">
        <f t="shared" si="2"/>
        <v>GBPSB6L24Y_S6L12L_Quote</v>
      </c>
      <c r="K26" s="490" t="str">
        <f>_xll.qlForwardSwapQuote(J26,I26,H26,E26,Permanent,Trigger,ObjectOverwrite)</f>
        <v>GBPSB6L24Y_S6L12L_Quote#0000</v>
      </c>
      <c r="L26" s="490" t="str">
        <f>_xll.ohRangeRetrieveError(K26)</f>
        <v/>
      </c>
      <c r="M26" s="485"/>
    </row>
    <row r="27" spans="1:13" x14ac:dyDescent="0.2">
      <c r="A27" s="481"/>
      <c r="B27" s="486" t="s">
        <v>182</v>
      </c>
      <c r="C27" s="487" t="s">
        <v>162</v>
      </c>
      <c r="D27" s="487" t="s">
        <v>163</v>
      </c>
      <c r="E27" s="487" t="s">
        <v>127</v>
      </c>
      <c r="F27" s="487" t="s">
        <v>163</v>
      </c>
      <c r="G27" s="487" t="s">
        <v>164</v>
      </c>
      <c r="H27" s="488" t="str">
        <f t="shared" si="0"/>
        <v>GBP6L12L25Y_Quote</v>
      </c>
      <c r="I27" s="491" t="str">
        <f t="shared" si="1"/>
        <v>GbpLiborSwapIsda25Y</v>
      </c>
      <c r="J27" s="490" t="str">
        <f t="shared" si="2"/>
        <v>GBPSB6L25Y_S6L12L_Quote</v>
      </c>
      <c r="K27" s="490" t="str">
        <f>_xll.qlForwardSwapQuote(J27,I27,H27,E27,Permanent,Trigger,ObjectOverwrite)</f>
        <v>GBPSB6L25Y_S6L12L_Quote#0000</v>
      </c>
      <c r="L27" s="490" t="str">
        <f>_xll.ohRangeRetrieveError(K27)</f>
        <v/>
      </c>
      <c r="M27" s="485"/>
    </row>
    <row r="28" spans="1:13" x14ac:dyDescent="0.2">
      <c r="A28" s="481"/>
      <c r="B28" s="486" t="s">
        <v>183</v>
      </c>
      <c r="C28" s="487" t="s">
        <v>162</v>
      </c>
      <c r="D28" s="487" t="s">
        <v>163</v>
      </c>
      <c r="E28" s="487" t="s">
        <v>127</v>
      </c>
      <c r="F28" s="487" t="s">
        <v>163</v>
      </c>
      <c r="G28" s="487" t="s">
        <v>164</v>
      </c>
      <c r="H28" s="488" t="str">
        <f t="shared" si="0"/>
        <v>GBP6L12L26Y_Quote</v>
      </c>
      <c r="I28" s="491" t="str">
        <f t="shared" si="1"/>
        <v>GbpLiborSwapIsda26Y</v>
      </c>
      <c r="J28" s="490" t="str">
        <f t="shared" si="2"/>
        <v>GBPSB6L26Y_S6L12L_Quote</v>
      </c>
      <c r="K28" s="490" t="str">
        <f>_xll.qlForwardSwapQuote(J28,I28,H28,E28,Permanent,Trigger,ObjectOverwrite)</f>
        <v>GBPSB6L26Y_S6L12L_Quote#0000</v>
      </c>
      <c r="L28" s="490" t="str">
        <f>_xll.ohRangeRetrieveError(K28)</f>
        <v/>
      </c>
      <c r="M28" s="485"/>
    </row>
    <row r="29" spans="1:13" x14ac:dyDescent="0.2">
      <c r="A29" s="481"/>
      <c r="B29" s="486" t="s">
        <v>184</v>
      </c>
      <c r="C29" s="487" t="s">
        <v>162</v>
      </c>
      <c r="D29" s="487" t="s">
        <v>163</v>
      </c>
      <c r="E29" s="487" t="s">
        <v>127</v>
      </c>
      <c r="F29" s="487" t="s">
        <v>163</v>
      </c>
      <c r="G29" s="487" t="s">
        <v>164</v>
      </c>
      <c r="H29" s="488" t="str">
        <f t="shared" si="0"/>
        <v>GBP6L12L27Y_Quote</v>
      </c>
      <c r="I29" s="491" t="str">
        <f t="shared" si="1"/>
        <v>GbpLiborSwapIsda27Y</v>
      </c>
      <c r="J29" s="490" t="str">
        <f t="shared" si="2"/>
        <v>GBPSB6L27Y_S6L12L_Quote</v>
      </c>
      <c r="K29" s="490" t="str">
        <f>_xll.qlForwardSwapQuote(J29,I29,H29,E29,Permanent,Trigger,ObjectOverwrite)</f>
        <v>GBPSB6L27Y_S6L12L_Quote#0000</v>
      </c>
      <c r="L29" s="490" t="str">
        <f>_xll.ohRangeRetrieveError(K29)</f>
        <v/>
      </c>
      <c r="M29" s="485"/>
    </row>
    <row r="30" spans="1:13" x14ac:dyDescent="0.2">
      <c r="A30" s="481"/>
      <c r="B30" s="486" t="s">
        <v>185</v>
      </c>
      <c r="C30" s="487" t="s">
        <v>162</v>
      </c>
      <c r="D30" s="487" t="s">
        <v>163</v>
      </c>
      <c r="E30" s="487" t="s">
        <v>127</v>
      </c>
      <c r="F30" s="487" t="s">
        <v>163</v>
      </c>
      <c r="G30" s="487" t="s">
        <v>164</v>
      </c>
      <c r="H30" s="488" t="str">
        <f t="shared" si="0"/>
        <v>GBP6L12L28Y_Quote</v>
      </c>
      <c r="I30" s="491" t="str">
        <f t="shared" si="1"/>
        <v>GbpLiborSwapIsda28Y</v>
      </c>
      <c r="J30" s="490" t="str">
        <f t="shared" si="2"/>
        <v>GBPSB6L28Y_S6L12L_Quote</v>
      </c>
      <c r="K30" s="490" t="str">
        <f>_xll.qlForwardSwapQuote(J30,I30,H30,E30,Permanent,Trigger,ObjectOverwrite)</f>
        <v>GBPSB6L28Y_S6L12L_Quote#0000</v>
      </c>
      <c r="L30" s="490" t="str">
        <f>_xll.ohRangeRetrieveError(K30)</f>
        <v/>
      </c>
      <c r="M30" s="485"/>
    </row>
    <row r="31" spans="1:13" x14ac:dyDescent="0.2">
      <c r="A31" s="481"/>
      <c r="B31" s="486" t="s">
        <v>186</v>
      </c>
      <c r="C31" s="487" t="s">
        <v>162</v>
      </c>
      <c r="D31" s="487" t="s">
        <v>163</v>
      </c>
      <c r="E31" s="487" t="s">
        <v>127</v>
      </c>
      <c r="F31" s="487" t="s">
        <v>163</v>
      </c>
      <c r="G31" s="487" t="s">
        <v>164</v>
      </c>
      <c r="H31" s="488" t="str">
        <f t="shared" si="0"/>
        <v>GBP6L12L29Y_Quote</v>
      </c>
      <c r="I31" s="491" t="str">
        <f t="shared" si="1"/>
        <v>GbpLiborSwapIsda29Y</v>
      </c>
      <c r="J31" s="490" t="str">
        <f t="shared" si="2"/>
        <v>GBPSB6L29Y_S6L12L_Quote</v>
      </c>
      <c r="K31" s="490" t="str">
        <f>_xll.qlForwardSwapQuote(J31,I31,H31,E31,Permanent,Trigger,ObjectOverwrite)</f>
        <v>GBPSB6L29Y_S6L12L_Quote#0000</v>
      </c>
      <c r="L31" s="490" t="str">
        <f>_xll.ohRangeRetrieveError(K31)</f>
        <v/>
      </c>
      <c r="M31" s="485"/>
    </row>
    <row r="32" spans="1:13" x14ac:dyDescent="0.2">
      <c r="A32" s="481"/>
      <c r="B32" s="486" t="s">
        <v>187</v>
      </c>
      <c r="C32" s="487" t="s">
        <v>162</v>
      </c>
      <c r="D32" s="487" t="s">
        <v>163</v>
      </c>
      <c r="E32" s="487" t="s">
        <v>127</v>
      </c>
      <c r="F32" s="487" t="s">
        <v>163</v>
      </c>
      <c r="G32" s="487" t="s">
        <v>164</v>
      </c>
      <c r="H32" s="488" t="str">
        <f t="shared" si="0"/>
        <v>GBP6L12L30Y_Quote</v>
      </c>
      <c r="I32" s="491" t="str">
        <f t="shared" si="1"/>
        <v>GbpLiborSwapIsda30Y</v>
      </c>
      <c r="J32" s="490" t="str">
        <f t="shared" si="2"/>
        <v>GBPSB6L30Y_S6L12L_Quote</v>
      </c>
      <c r="K32" s="490" t="str">
        <f>_xll.qlForwardSwapQuote(J32,I32,H32,E32,Permanent,Trigger,ObjectOverwrite)</f>
        <v>GBPSB6L30Y_S6L12L_Quote#0000</v>
      </c>
      <c r="L32" s="490" t="str">
        <f>_xll.ohRangeRetrieveError(K32)</f>
        <v/>
      </c>
      <c r="M32" s="485"/>
    </row>
    <row r="33" spans="1:13" x14ac:dyDescent="0.2">
      <c r="A33" s="481"/>
      <c r="B33" s="486" t="s">
        <v>188</v>
      </c>
      <c r="C33" s="487" t="s">
        <v>162</v>
      </c>
      <c r="D33" s="487" t="s">
        <v>163</v>
      </c>
      <c r="E33" s="487" t="s">
        <v>127</v>
      </c>
      <c r="F33" s="487" t="s">
        <v>163</v>
      </c>
      <c r="G33" s="487" t="s">
        <v>164</v>
      </c>
      <c r="H33" s="488" t="str">
        <f t="shared" si="0"/>
        <v>GBP6L12L35Y_Quote</v>
      </c>
      <c r="I33" s="491" t="str">
        <f t="shared" si="1"/>
        <v>GbpLiborSwapIsda35Y</v>
      </c>
      <c r="J33" s="490" t="str">
        <f t="shared" si="2"/>
        <v>GBPSB6L35Y_S6L12L_Quote</v>
      </c>
      <c r="K33" s="490" t="str">
        <f>_xll.qlForwardSwapQuote(J33,I33,H33,E33,Permanent,Trigger,ObjectOverwrite)</f>
        <v>GBPSB6L35Y_S6L12L_Quote#0000</v>
      </c>
      <c r="L33" s="490" t="str">
        <f>_xll.ohRangeRetrieveError(K33)</f>
        <v/>
      </c>
      <c r="M33" s="485"/>
    </row>
    <row r="34" spans="1:13" x14ac:dyDescent="0.2">
      <c r="A34" s="481"/>
      <c r="B34" s="486" t="s">
        <v>189</v>
      </c>
      <c r="C34" s="487" t="s">
        <v>162</v>
      </c>
      <c r="D34" s="487" t="s">
        <v>163</v>
      </c>
      <c r="E34" s="487" t="s">
        <v>127</v>
      </c>
      <c r="F34" s="487" t="s">
        <v>163</v>
      </c>
      <c r="G34" s="487" t="s">
        <v>164</v>
      </c>
      <c r="H34" s="488" t="str">
        <f t="shared" si="0"/>
        <v>GBP6L12L40Y_Quote</v>
      </c>
      <c r="I34" s="491" t="str">
        <f t="shared" si="1"/>
        <v>GbpLiborSwapIsda40Y</v>
      </c>
      <c r="J34" s="490" t="str">
        <f t="shared" si="2"/>
        <v>GBPSB6L40Y_S6L12L_Quote</v>
      </c>
      <c r="K34" s="490" t="str">
        <f>_xll.qlForwardSwapQuote(J34,I34,H34,E34,Permanent,Trigger,ObjectOverwrite)</f>
        <v>GBPSB6L40Y_S6L12L_Quote#0000</v>
      </c>
      <c r="L34" s="490" t="str">
        <f>_xll.ohRangeRetrieveError(K34)</f>
        <v/>
      </c>
      <c r="M34" s="485"/>
    </row>
    <row r="35" spans="1:13" x14ac:dyDescent="0.2">
      <c r="A35" s="481"/>
      <c r="B35" s="486" t="s">
        <v>190</v>
      </c>
      <c r="C35" s="487" t="s">
        <v>162</v>
      </c>
      <c r="D35" s="487" t="s">
        <v>163</v>
      </c>
      <c r="E35" s="487" t="s">
        <v>127</v>
      </c>
      <c r="F35" s="487" t="s">
        <v>163</v>
      </c>
      <c r="G35" s="487" t="s">
        <v>164</v>
      </c>
      <c r="H35" s="488" t="str">
        <f t="shared" si="0"/>
        <v>GBP6L12L50Y_Quote</v>
      </c>
      <c r="I35" s="491" t="str">
        <f t="shared" si="1"/>
        <v>GbpLiborSwapIsda50Y</v>
      </c>
      <c r="J35" s="490" t="str">
        <f t="shared" si="2"/>
        <v>GBPSB6L50Y_S6L12L_Quote</v>
      </c>
      <c r="K35" s="490" t="str">
        <f>_xll.qlForwardSwapQuote(J35,I35,H35,E35,Permanent,Trigger,ObjectOverwrite)</f>
        <v>GBPSB6L50Y_S6L12L_Quote#0000</v>
      </c>
      <c r="L35" s="490" t="str">
        <f>_xll.ohRangeRetrieveError(K35)</f>
        <v/>
      </c>
      <c r="M35" s="485"/>
    </row>
    <row r="36" spans="1:13" x14ac:dyDescent="0.2">
      <c r="A36" s="481"/>
      <c r="B36" s="486" t="s">
        <v>191</v>
      </c>
      <c r="C36" s="487" t="s">
        <v>162</v>
      </c>
      <c r="D36" s="487" t="s">
        <v>163</v>
      </c>
      <c r="E36" s="487" t="s">
        <v>127</v>
      </c>
      <c r="F36" s="487" t="s">
        <v>163</v>
      </c>
      <c r="G36" s="487" t="s">
        <v>164</v>
      </c>
      <c r="H36" s="488" t="str">
        <f t="shared" si="0"/>
        <v>GBP6L12L60Y_Quote</v>
      </c>
      <c r="I36" s="491" t="str">
        <f t="shared" si="1"/>
        <v>GbpLiborSwapIsda60Y</v>
      </c>
      <c r="J36" s="490" t="str">
        <f t="shared" si="2"/>
        <v>GBPSB6L60Y_S6L12L_Quote</v>
      </c>
      <c r="K36" s="490" t="str">
        <f>_xll.qlForwardSwapQuote(J36,I36,H36,E36,Permanent,Trigger,ObjectOverwrite)</f>
        <v>GBPSB6L60Y_S6L12L_Quote#0000</v>
      </c>
      <c r="L36" s="490" t="str">
        <f>_xll.ohRangeRetrieveError(K36)</f>
        <v/>
      </c>
      <c r="M36" s="485"/>
    </row>
    <row r="37" spans="1:13" ht="12" thickBot="1" x14ac:dyDescent="0.25">
      <c r="A37" s="492"/>
      <c r="B37" s="493"/>
      <c r="C37" s="493"/>
      <c r="D37" s="493"/>
      <c r="E37" s="493"/>
      <c r="F37" s="493"/>
      <c r="G37" s="493"/>
      <c r="H37" s="493"/>
      <c r="I37" s="493"/>
      <c r="J37" s="493"/>
      <c r="K37" s="494"/>
      <c r="L37" s="494"/>
      <c r="M37" s="495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1Y</vt:lpstr>
      <vt:lpstr>Swaps1Y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'Delta 1Y'!Conventions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2015-03-03T15:56:10Z</dcterms:modified>
</cp:coreProperties>
</file>