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215" yWindow="-15" windowWidth="19260" windowHeight="10680" activeTab="1"/>
  </bookViews>
  <sheets>
    <sheet name="General Settings" sheetId="2" r:id="rId1"/>
    <sheet name="Contribution" sheetId="7" r:id="rId2"/>
    <sheet name="ON Pricing" sheetId="12" r:id="rId3"/>
    <sheet name="1M Pricing" sheetId="14" r:id="rId4"/>
    <sheet name="3M Pricing" sheetId="10" r:id="rId5"/>
    <sheet name="6M Pricing" sheetId="11" r:id="rId6"/>
  </sheets>
  <externalReferences>
    <externalReference r:id="rId7"/>
  </externalReferences>
  <definedNames>
    <definedName name="_xlnm._FilterDatabase" localSheetId="1" hidden="1">Contribution!$F$5:$AO$5</definedName>
    <definedName name="ASK">Contribution!$F$2</definedName>
    <definedName name="BDayConvention" localSheetId="3">'1M Pricing'!$O$8</definedName>
    <definedName name="BDayConvention" localSheetId="4">'3M Pricing'!$O$8</definedName>
    <definedName name="BDayConvention" localSheetId="5">'6M Pricing'!$O$8</definedName>
    <definedName name="BID">Contribution!$E$2</definedName>
    <definedName name="Calendar">'General Settings'!$D$19</definedName>
    <definedName name="Contribute">Contribution!$C$2</definedName>
    <definedName name="Currency">'General Settings'!$D$11</definedName>
    <definedName name="CurveTenor" localSheetId="3">'1M Pricing'!$E$1</definedName>
    <definedName name="CurveTenor" localSheetId="4">'3M Pricing'!$E$1</definedName>
    <definedName name="CurveTenor" localSheetId="5">'6M Pricing'!$E$1</definedName>
    <definedName name="CurveTenor" localSheetId="2">'ON Pricing'!$E$1</definedName>
    <definedName name="DayCounter" localSheetId="3">'1M Pricing'!$P$8</definedName>
    <definedName name="DayCounter" localSheetId="4">'3M Pricing'!$P$8</definedName>
    <definedName name="DayCounter" localSheetId="5">'6M Pricing'!$P$8</definedName>
    <definedName name="DiscountingCurve">'General Settings'!$D$12</definedName>
    <definedName name="EndOfMonth" localSheetId="3">'1M Pricing'!$N$8</definedName>
    <definedName name="EndOfMonth" localSheetId="4">'3M Pricing'!$N$8</definedName>
    <definedName name="EndOfMonth" localSheetId="5">'6M Pricing'!$N$8</definedName>
    <definedName name="EvaluationDate">'General Settings'!$D$6</definedName>
    <definedName name="Fields">Contribution!$E$2:$F$2</definedName>
    <definedName name="FixedLegBDC" localSheetId="3">'1M Pricing'!$O$25</definedName>
    <definedName name="FixedLegBDC" localSheetId="5">'6M Pricing'!$O$25</definedName>
    <definedName name="FixedLegBDC">'3M Pricing'!$O$25</definedName>
    <definedName name="FixedLegDayCounter" localSheetId="3">'1M Pricing'!$P$25</definedName>
    <definedName name="FixedLegDayCounter" localSheetId="4">'3M Pricing'!$P$25</definedName>
    <definedName name="FixedLegDayCounter" localSheetId="5">'6M Pricing'!$P$25</definedName>
    <definedName name="FixedLegTenor" localSheetId="3">'1M Pricing'!$N$25</definedName>
    <definedName name="FixedLegTenor" localSheetId="4">'3M Pricing'!$N$25</definedName>
    <definedName name="FixedLegTenor" localSheetId="5">'6M Pricing'!$N$25</definedName>
    <definedName name="IborIndex" localSheetId="3">'1M Pricing'!$E$3</definedName>
    <definedName name="IborIndex" localSheetId="4">'3M Pricing'!$E$3</definedName>
    <definedName name="IborIndex" localSheetId="5">'6M Pricing'!$E$3</definedName>
    <definedName name="IborIndexFamily">'General Settings'!$D$13</definedName>
    <definedName name="InterestRateTrigger">'General Settings'!$D$5:$D$5</definedName>
    <definedName name="Interpolation" localSheetId="3">'1M Pricing'!$L$6</definedName>
    <definedName name="Interpolation" localSheetId="4">'3M Pricing'!$L$6</definedName>
    <definedName name="Interpolation" localSheetId="5">'6M Pricing'!$L$6</definedName>
    <definedName name="Interpolation" localSheetId="2">'ON Pricing'!$L$6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vernightIndex" localSheetId="2">'ON Pricing'!$E$3</definedName>
    <definedName name="SettlementDate">'General Settings'!$D$20</definedName>
    <definedName name="SettlementDays">'General Settings'!$D$15</definedName>
    <definedName name="SourceAlias">Contribution!$D$2</definedName>
    <definedName name="Trigger">'General Settings'!$D$4</definedName>
    <definedName name="YieldCurve" localSheetId="3">'1M Pricing'!$E$2</definedName>
    <definedName name="YieldCurve" localSheetId="4">'3M Pricing'!$E$2</definedName>
    <definedName name="YieldCurve" localSheetId="5">'6M Pricing'!$E$2</definedName>
    <definedName name="YieldCurve" localSheetId="2">'ON Pricing'!$E$2</definedName>
  </definedNames>
  <calcPr calcId="145621"/>
</workbook>
</file>

<file path=xl/calcChain.xml><?xml version="1.0" encoding="utf-8"?>
<calcChain xmlns="http://schemas.openxmlformats.org/spreadsheetml/2006/main">
  <c r="H17" i="7" l="1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16" i="7"/>
  <c r="H15" i="7"/>
  <c r="H14" i="7"/>
  <c r="H13" i="7"/>
  <c r="H12" i="7"/>
  <c r="H11" i="7"/>
  <c r="H10" i="7"/>
  <c r="H9" i="7"/>
  <c r="H8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4" i="7"/>
  <c r="G13" i="7"/>
  <c r="G12" i="7"/>
  <c r="G11" i="7"/>
  <c r="G10" i="7"/>
  <c r="G9" i="7"/>
  <c r="G8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12" i="7"/>
  <c r="F11" i="7"/>
  <c r="F10" i="7"/>
  <c r="F9" i="7"/>
  <c r="F8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18" i="7"/>
  <c r="E17" i="7"/>
  <c r="E16" i="7"/>
  <c r="E15" i="7"/>
  <c r="E14" i="7"/>
  <c r="E13" i="7"/>
  <c r="E12" i="7"/>
  <c r="E7" i="7"/>
  <c r="E6" i="7"/>
  <c r="B19" i="7" a="1"/>
  <c r="B19" i="7" l="1"/>
  <c r="B20" i="7"/>
  <c r="B21" i="7"/>
  <c r="B22" i="7"/>
  <c r="B23" i="7"/>
  <c r="B24" i="7"/>
  <c r="J39" i="11"/>
  <c r="J38" i="11"/>
  <c r="J37" i="11"/>
  <c r="J36" i="11"/>
  <c r="J35" i="11"/>
  <c r="J34" i="11"/>
  <c r="J33" i="11"/>
  <c r="J32" i="11"/>
  <c r="J31" i="11"/>
  <c r="J30" i="11"/>
  <c r="J29" i="11"/>
  <c r="J28" i="11"/>
  <c r="J27" i="11"/>
  <c r="J26" i="11"/>
  <c r="J25" i="11"/>
  <c r="J39" i="14"/>
  <c r="J38" i="14"/>
  <c r="J37" i="14"/>
  <c r="J36" i="14"/>
  <c r="J35" i="14"/>
  <c r="J34" i="14"/>
  <c r="J33" i="14"/>
  <c r="J32" i="14"/>
  <c r="J31" i="14"/>
  <c r="J30" i="14"/>
  <c r="J29" i="14"/>
  <c r="J28" i="14"/>
  <c r="J27" i="14"/>
  <c r="J26" i="14"/>
  <c r="J25" i="14"/>
  <c r="V17" i="7" l="1"/>
  <c r="V16" i="7"/>
  <c r="V15" i="7"/>
  <c r="V14" i="7"/>
  <c r="V13" i="7"/>
  <c r="V12" i="7"/>
  <c r="V11" i="7"/>
  <c r="V10" i="7"/>
  <c r="V9" i="7"/>
  <c r="V8" i="7"/>
  <c r="S14" i="7"/>
  <c r="S13" i="7"/>
  <c r="S12" i="7"/>
  <c r="S11" i="7"/>
  <c r="S10" i="7"/>
  <c r="S9" i="7"/>
  <c r="S8" i="7"/>
  <c r="P12" i="7"/>
  <c r="P11" i="7"/>
  <c r="P10" i="7"/>
  <c r="P9" i="7"/>
  <c r="P8" i="7"/>
  <c r="J39" i="10"/>
  <c r="J38" i="10"/>
  <c r="J37" i="10"/>
  <c r="J36" i="10"/>
  <c r="J35" i="10"/>
  <c r="J34" i="10"/>
  <c r="J33" i="10"/>
  <c r="J32" i="10"/>
  <c r="J31" i="10"/>
  <c r="J30" i="10"/>
  <c r="J29" i="10"/>
  <c r="J28" i="10"/>
  <c r="J27" i="10"/>
  <c r="J26" i="10"/>
  <c r="J25" i="10"/>
  <c r="J24" i="10"/>
  <c r="J23" i="10"/>
  <c r="J22" i="10"/>
  <c r="J21" i="10"/>
  <c r="J20" i="10"/>
  <c r="J19" i="10"/>
  <c r="Z25" i="7" l="1" a="1"/>
  <c r="AH5" i="7"/>
  <c r="AF5" i="7"/>
  <c r="AD5" i="7"/>
  <c r="AB5" i="7"/>
  <c r="Z5" i="7"/>
  <c r="V4" i="7"/>
  <c r="S4" i="7"/>
  <c r="P4" i="7"/>
  <c r="M4" i="7"/>
  <c r="J4" i="7"/>
  <c r="J25" i="7" a="1"/>
  <c r="D25" i="7" a="1"/>
  <c r="V39" i="7"/>
  <c r="I39" i="11" s="1"/>
  <c r="V38" i="7"/>
  <c r="I38" i="11" s="1"/>
  <c r="V37" i="7"/>
  <c r="I37" i="11" s="1"/>
  <c r="V36" i="7"/>
  <c r="I36" i="11" s="1"/>
  <c r="V35" i="7"/>
  <c r="I35" i="11" s="1"/>
  <c r="V34" i="7"/>
  <c r="I34" i="11" s="1"/>
  <c r="V33" i="7"/>
  <c r="I33" i="11" s="1"/>
  <c r="V32" i="7"/>
  <c r="I32" i="11" s="1"/>
  <c r="V31" i="7"/>
  <c r="I31" i="11" s="1"/>
  <c r="V30" i="7"/>
  <c r="I30" i="11" s="1"/>
  <c r="V29" i="7"/>
  <c r="I29" i="11" s="1"/>
  <c r="V28" i="7"/>
  <c r="I28" i="11" s="1"/>
  <c r="V26" i="7"/>
  <c r="I26" i="11" s="1"/>
  <c r="V25" i="7"/>
  <c r="I25" i="11" s="1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5" i="7"/>
  <c r="P39" i="7"/>
  <c r="I39" i="14" s="1"/>
  <c r="P38" i="7"/>
  <c r="I38" i="14" s="1"/>
  <c r="P37" i="7"/>
  <c r="I37" i="14" s="1"/>
  <c r="P36" i="7"/>
  <c r="I36" i="14" s="1"/>
  <c r="P35" i="7"/>
  <c r="I35" i="14" s="1"/>
  <c r="P34" i="7"/>
  <c r="I34" i="14" s="1"/>
  <c r="P33" i="7"/>
  <c r="I33" i="14" s="1"/>
  <c r="P32" i="7"/>
  <c r="I32" i="14" s="1"/>
  <c r="P31" i="7"/>
  <c r="I31" i="14" s="1"/>
  <c r="P30" i="7"/>
  <c r="I30" i="14" s="1"/>
  <c r="P29" i="7"/>
  <c r="I29" i="14" s="1"/>
  <c r="P28" i="7"/>
  <c r="I28" i="14" s="1"/>
  <c r="P27" i="7"/>
  <c r="I27" i="14" s="1"/>
  <c r="P25" i="7"/>
  <c r="I25" i="14" s="1"/>
  <c r="M7" i="7"/>
  <c r="I7" i="12" s="1"/>
  <c r="M6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M39" i="7"/>
  <c r="I39" i="12" s="1"/>
  <c r="M38" i="7"/>
  <c r="I38" i="12" s="1"/>
  <c r="M37" i="7"/>
  <c r="I37" i="12" s="1"/>
  <c r="M36" i="7"/>
  <c r="M35" i="7"/>
  <c r="I35" i="12" s="1"/>
  <c r="M34" i="7"/>
  <c r="I34" i="12" s="1"/>
  <c r="M33" i="7"/>
  <c r="I33" i="12" s="1"/>
  <c r="M32" i="7"/>
  <c r="I32" i="12" s="1"/>
  <c r="M31" i="7"/>
  <c r="I31" i="12" s="1"/>
  <c r="M30" i="7"/>
  <c r="I30" i="12" s="1"/>
  <c r="M29" i="7"/>
  <c r="I29" i="12" s="1"/>
  <c r="M28" i="7"/>
  <c r="I28" i="12" s="1"/>
  <c r="M27" i="7"/>
  <c r="I27" i="12" s="1"/>
  <c r="M26" i="7"/>
  <c r="I26" i="12" s="1"/>
  <c r="M25" i="7"/>
  <c r="I25" i="12" s="1"/>
  <c r="M18" i="7"/>
  <c r="I18" i="12" s="1"/>
  <c r="M17" i="7"/>
  <c r="I17" i="12" s="1"/>
  <c r="M16" i="7"/>
  <c r="I16" i="12" s="1"/>
  <c r="M15" i="7"/>
  <c r="I15" i="12" s="1"/>
  <c r="M14" i="7"/>
  <c r="I14" i="12" s="1"/>
  <c r="M13" i="7"/>
  <c r="I13" i="12" s="1"/>
  <c r="M12" i="7"/>
  <c r="I12" i="12" s="1"/>
  <c r="D13" i="2"/>
  <c r="D15" i="2"/>
  <c r="I36" i="12" l="1"/>
  <c r="J36" i="7"/>
  <c r="I36" i="10"/>
  <c r="J37" i="7"/>
  <c r="I37" i="10"/>
  <c r="J38" i="7"/>
  <c r="I38" i="10"/>
  <c r="E3" i="12"/>
  <c r="J29" i="7"/>
  <c r="I29" i="10"/>
  <c r="J30" i="7"/>
  <c r="I30" i="10"/>
  <c r="J32" i="7"/>
  <c r="I32" i="10"/>
  <c r="J27" i="7"/>
  <c r="I27" i="10"/>
  <c r="J35" i="7"/>
  <c r="I35" i="10"/>
  <c r="J28" i="7"/>
  <c r="I28" i="10"/>
  <c r="J31" i="7"/>
  <c r="I31" i="10"/>
  <c r="J39" i="7"/>
  <c r="I39" i="10"/>
  <c r="J33" i="7"/>
  <c r="I33" i="10"/>
  <c r="J25" i="7"/>
  <c r="I25" i="10"/>
  <c r="J34" i="7"/>
  <c r="I34" i="10"/>
  <c r="I8" i="11"/>
  <c r="I8" i="14"/>
  <c r="L32" i="12"/>
  <c r="L28" i="12"/>
  <c r="L9" i="12"/>
  <c r="L26" i="12"/>
  <c r="L10" i="12"/>
  <c r="L16" i="12"/>
  <c r="L27" i="12"/>
  <c r="L8" i="12"/>
  <c r="L36" i="12"/>
  <c r="L25" i="12"/>
  <c r="L14" i="12"/>
  <c r="L35" i="12"/>
  <c r="L15" i="12"/>
  <c r="L12" i="12"/>
  <c r="L17" i="12"/>
  <c r="L34" i="12"/>
  <c r="L11" i="12"/>
  <c r="L38" i="12"/>
  <c r="L37" i="12"/>
  <c r="L31" i="12"/>
  <c r="L29" i="12"/>
  <c r="L33" i="12"/>
  <c r="L39" i="12"/>
  <c r="L13" i="12"/>
  <c r="L18" i="12"/>
  <c r="L30" i="12"/>
  <c r="I8" i="10" l="1"/>
  <c r="V27" i="7"/>
  <c r="I27" i="11" s="1"/>
  <c r="S26" i="7"/>
  <c r="P26" i="7"/>
  <c r="I26" i="14" s="1"/>
  <c r="I12" i="14"/>
  <c r="I11" i="14"/>
  <c r="I10" i="14"/>
  <c r="I9" i="14"/>
  <c r="J26" i="7" l="1"/>
  <c r="I26" i="10"/>
  <c r="I13" i="10"/>
  <c r="I9" i="10"/>
  <c r="I10" i="10"/>
  <c r="I14" i="10"/>
  <c r="I11" i="10"/>
  <c r="I12" i="10"/>
  <c r="E2" i="14"/>
  <c r="C23" i="7"/>
  <c r="C22" i="7"/>
  <c r="C20" i="7"/>
  <c r="C19" i="7"/>
  <c r="C24" i="7"/>
  <c r="C21" i="7"/>
  <c r="C21" i="10" l="1"/>
  <c r="C24" i="10"/>
  <c r="C19" i="10"/>
  <c r="C20" i="10"/>
  <c r="C22" i="10"/>
  <c r="C23" i="10"/>
  <c r="S22" i="7"/>
  <c r="S24" i="7"/>
  <c r="S23" i="7"/>
  <c r="S19" i="7"/>
  <c r="S21" i="7"/>
  <c r="S20" i="7"/>
  <c r="D12" i="2" l="1"/>
  <c r="E3" i="11" l="1"/>
  <c r="E3" i="10"/>
  <c r="E3" i="14"/>
  <c r="F24" i="10"/>
  <c r="F23" i="10"/>
  <c r="F19" i="10"/>
  <c r="F20" i="10"/>
  <c r="F22" i="10"/>
  <c r="F21" i="10"/>
  <c r="I6" i="12" l="1"/>
  <c r="I24" i="10"/>
  <c r="I23" i="10"/>
  <c r="I22" i="10"/>
  <c r="I21" i="10"/>
  <c r="I20" i="10"/>
  <c r="I19" i="10"/>
  <c r="I16" i="11" l="1"/>
  <c r="I17" i="11"/>
  <c r="I10" i="11"/>
  <c r="I11" i="11"/>
  <c r="I9" i="11"/>
  <c r="I12" i="11"/>
  <c r="I13" i="11"/>
  <c r="I14" i="11"/>
  <c r="I15" i="11"/>
  <c r="E2" i="12" l="1"/>
  <c r="E2" i="11"/>
  <c r="E2" i="10" l="1"/>
  <c r="B1" i="2"/>
  <c r="D6" i="2"/>
  <c r="E13" i="12" l="1"/>
  <c r="E25" i="12"/>
  <c r="E11" i="12"/>
  <c r="E18" i="12"/>
  <c r="E16" i="12"/>
  <c r="E12" i="12"/>
  <c r="E10" i="12"/>
  <c r="E17" i="12"/>
  <c r="E8" i="12"/>
  <c r="E27" i="12"/>
  <c r="E14" i="12"/>
  <c r="E9" i="12"/>
  <c r="E15" i="12"/>
  <c r="E7" i="12"/>
  <c r="E26" i="12"/>
  <c r="E8" i="11"/>
  <c r="E7" i="11"/>
  <c r="E6" i="11"/>
  <c r="F6" i="11" s="1"/>
  <c r="E7" i="14"/>
  <c r="E8" i="10"/>
  <c r="E7" i="10"/>
  <c r="E6" i="10"/>
  <c r="F6" i="10" s="1"/>
  <c r="E8" i="14"/>
  <c r="E34" i="14"/>
  <c r="E26" i="14"/>
  <c r="E33" i="14"/>
  <c r="E32" i="14"/>
  <c r="E11" i="14"/>
  <c r="E39" i="14"/>
  <c r="E31" i="14"/>
  <c r="E10" i="14"/>
  <c r="E38" i="14"/>
  <c r="E30" i="14"/>
  <c r="E9" i="14"/>
  <c r="E37" i="14"/>
  <c r="E29" i="14"/>
  <c r="E6" i="14"/>
  <c r="F6" i="14" s="1"/>
  <c r="E36" i="14"/>
  <c r="E28" i="14"/>
  <c r="E35" i="14"/>
  <c r="E27" i="14"/>
  <c r="E27" i="11"/>
  <c r="E26" i="11"/>
  <c r="E25" i="11"/>
  <c r="E25" i="10"/>
  <c r="E27" i="10"/>
  <c r="E26" i="10"/>
  <c r="E25" i="14"/>
  <c r="E12" i="14"/>
  <c r="E14" i="11"/>
  <c r="E10" i="11"/>
  <c r="E17" i="11"/>
  <c r="E13" i="11"/>
  <c r="E9" i="11"/>
  <c r="E16" i="11"/>
  <c r="E12" i="11"/>
  <c r="E15" i="11"/>
  <c r="E11" i="11"/>
  <c r="E35" i="12"/>
  <c r="E34" i="12"/>
  <c r="E33" i="12"/>
  <c r="E32" i="12"/>
  <c r="E39" i="12"/>
  <c r="E31" i="12"/>
  <c r="E38" i="12"/>
  <c r="E30" i="12"/>
  <c r="E37" i="12"/>
  <c r="E29" i="12"/>
  <c r="E36" i="12"/>
  <c r="E28" i="12"/>
  <c r="E28" i="11"/>
  <c r="E28" i="10"/>
  <c r="E6" i="12"/>
  <c r="F6" i="12" s="1"/>
  <c r="E38" i="11"/>
  <c r="E33" i="11"/>
  <c r="E36" i="10"/>
  <c r="E30" i="10"/>
  <c r="E32" i="10"/>
  <c r="E34" i="11"/>
  <c r="E12" i="10"/>
  <c r="E39" i="11"/>
  <c r="E33" i="10"/>
  <c r="E36" i="11"/>
  <c r="E10" i="10"/>
  <c r="E11" i="10"/>
  <c r="E29" i="10"/>
  <c r="E35" i="10"/>
  <c r="E37" i="10"/>
  <c r="E31" i="11"/>
  <c r="E38" i="10"/>
  <c r="E14" i="10"/>
  <c r="E13" i="10"/>
  <c r="E31" i="10"/>
  <c r="E39" i="10"/>
  <c r="E34" i="10"/>
  <c r="E37" i="11"/>
  <c r="E35" i="11"/>
  <c r="E29" i="11"/>
  <c r="E30" i="11"/>
  <c r="E32" i="11"/>
  <c r="E9" i="10"/>
  <c r="E20" i="10"/>
  <c r="F7" i="12"/>
  <c r="F14" i="10"/>
  <c r="E23" i="10"/>
  <c r="G22" i="10"/>
  <c r="E22" i="10"/>
  <c r="D18" i="2"/>
  <c r="G20" i="10"/>
  <c r="G19" i="10"/>
  <c r="E21" i="10"/>
  <c r="G21" i="10"/>
  <c r="G24" i="10"/>
  <c r="F17" i="11"/>
  <c r="G23" i="10"/>
  <c r="F12" i="14"/>
  <c r="G12" i="14" s="1"/>
  <c r="E19" i="10"/>
  <c r="E24" i="10"/>
  <c r="B12" i="14" l="1"/>
  <c r="D19" i="2"/>
  <c r="G14" i="10"/>
  <c r="D20" i="2"/>
  <c r="G17" i="11"/>
  <c r="L12" i="11"/>
  <c r="L28" i="10"/>
  <c r="L35" i="10"/>
  <c r="L37" i="11"/>
  <c r="F25" i="12"/>
  <c r="L11" i="14"/>
  <c r="L11" i="11"/>
  <c r="L31" i="14"/>
  <c r="L28" i="14"/>
  <c r="L32" i="10"/>
  <c r="L29" i="14"/>
  <c r="F12" i="12"/>
  <c r="L32" i="14"/>
  <c r="L35" i="11"/>
  <c r="L36" i="14"/>
  <c r="F16" i="12"/>
  <c r="L33" i="10"/>
  <c r="F35" i="12"/>
  <c r="L33" i="11"/>
  <c r="F30" i="12"/>
  <c r="G6" i="10"/>
  <c r="F28" i="12"/>
  <c r="L30" i="10"/>
  <c r="L8" i="10"/>
  <c r="L13" i="10"/>
  <c r="L29" i="11"/>
  <c r="F31" i="12"/>
  <c r="L25" i="11"/>
  <c r="F27" i="12"/>
  <c r="L26" i="10"/>
  <c r="L32" i="11"/>
  <c r="F15" i="12"/>
  <c r="F17" i="12"/>
  <c r="F36" i="12"/>
  <c r="L30" i="14"/>
  <c r="F14" i="12"/>
  <c r="L38" i="10"/>
  <c r="L34" i="14"/>
  <c r="L30" i="11"/>
  <c r="F8" i="12"/>
  <c r="L14" i="11"/>
  <c r="G7" i="12"/>
  <c r="L25" i="14"/>
  <c r="L39" i="14"/>
  <c r="L26" i="14"/>
  <c r="L10" i="10"/>
  <c r="L9" i="10"/>
  <c r="L33" i="14"/>
  <c r="F32" i="12"/>
  <c r="L13" i="11"/>
  <c r="L10" i="11"/>
  <c r="F10" i="12"/>
  <c r="L35" i="14"/>
  <c r="F35" i="14" s="1"/>
  <c r="F39" i="12"/>
  <c r="L31" i="11"/>
  <c r="F33" i="12"/>
  <c r="L34" i="10"/>
  <c r="L39" i="10"/>
  <c r="L36" i="10"/>
  <c r="L27" i="14"/>
  <c r="L10" i="14"/>
  <c r="L31" i="10"/>
  <c r="F18" i="12"/>
  <c r="L37" i="10"/>
  <c r="L39" i="11"/>
  <c r="L38" i="11"/>
  <c r="F38" i="11" s="1"/>
  <c r="L9" i="14"/>
  <c r="F9" i="14" s="1"/>
  <c r="L27" i="11"/>
  <c r="G6" i="14"/>
  <c r="L29" i="10"/>
  <c r="L11" i="10"/>
  <c r="F29" i="12"/>
  <c r="F26" i="12"/>
  <c r="F38" i="12"/>
  <c r="L16" i="11"/>
  <c r="L9" i="11"/>
  <c r="F37" i="12"/>
  <c r="L8" i="14"/>
  <c r="L8" i="11"/>
  <c r="L25" i="10"/>
  <c r="L28" i="11"/>
  <c r="L12" i="10"/>
  <c r="F12" i="10" s="1"/>
  <c r="F13" i="12"/>
  <c r="L37" i="14"/>
  <c r="L34" i="11"/>
  <c r="G6" i="11"/>
  <c r="L38" i="14"/>
  <c r="F34" i="12"/>
  <c r="G6" i="12"/>
  <c r="L26" i="11"/>
  <c r="L27" i="10"/>
  <c r="L36" i="11"/>
  <c r="L15" i="11"/>
  <c r="F11" i="12"/>
  <c r="F9" i="12"/>
  <c r="B6" i="12" l="1"/>
  <c r="B6" i="10"/>
  <c r="B6" i="11"/>
  <c r="F7" i="11"/>
  <c r="B6" i="14"/>
  <c r="F7" i="14"/>
  <c r="F7" i="10"/>
  <c r="F13" i="11"/>
  <c r="G28" i="12"/>
  <c r="F30" i="14"/>
  <c r="F32" i="14"/>
  <c r="G29" i="12"/>
  <c r="F14" i="11"/>
  <c r="G25" i="12"/>
  <c r="F34" i="10"/>
  <c r="F31" i="10"/>
  <c r="F10" i="14"/>
  <c r="F31" i="14"/>
  <c r="F30" i="10"/>
  <c r="F30" i="11"/>
  <c r="G30" i="11" s="1"/>
  <c r="F37" i="14"/>
  <c r="F12" i="11"/>
  <c r="G38" i="12"/>
  <c r="G36" i="12"/>
  <c r="G37" i="12"/>
  <c r="F35" i="11"/>
  <c r="G39" i="12"/>
  <c r="G30" i="12"/>
  <c r="F25" i="11"/>
  <c r="F32" i="11"/>
  <c r="G32" i="11" s="1"/>
  <c r="F11" i="11"/>
  <c r="F26" i="10"/>
  <c r="F28" i="11"/>
  <c r="F8" i="14"/>
  <c r="F26" i="11"/>
  <c r="G26" i="11" s="1"/>
  <c r="F37" i="10"/>
  <c r="F28" i="14"/>
  <c r="G9" i="14"/>
  <c r="F27" i="14"/>
  <c r="F39" i="11"/>
  <c r="F9" i="10"/>
  <c r="F28" i="10"/>
  <c r="F32" i="10"/>
  <c r="G32" i="12"/>
  <c r="G35" i="14"/>
  <c r="F27" i="10"/>
  <c r="G30" i="14"/>
  <c r="F11" i="10"/>
  <c r="G16" i="12"/>
  <c r="F29" i="11"/>
  <c r="G29" i="11" s="1"/>
  <c r="G14" i="12"/>
  <c r="F36" i="11"/>
  <c r="F37" i="11"/>
  <c r="G7" i="14"/>
  <c r="F11" i="14"/>
  <c r="G11" i="14" s="1"/>
  <c r="G15" i="12"/>
  <c r="G9" i="12"/>
  <c r="F8" i="10"/>
  <c r="G11" i="12"/>
  <c r="G33" i="12"/>
  <c r="G12" i="11"/>
  <c r="F39" i="10"/>
  <c r="F8" i="11"/>
  <c r="F38" i="14"/>
  <c r="F13" i="10"/>
  <c r="F36" i="14"/>
  <c r="F15" i="11"/>
  <c r="G12" i="10"/>
  <c r="F10" i="11"/>
  <c r="G7" i="10"/>
  <c r="G13" i="12"/>
  <c r="G10" i="12"/>
  <c r="F31" i="11"/>
  <c r="G31" i="11" s="1"/>
  <c r="F29" i="14"/>
  <c r="F29" i="10"/>
  <c r="F33" i="10"/>
  <c r="F26" i="14"/>
  <c r="F16" i="11"/>
  <c r="F25" i="10"/>
  <c r="F25" i="14"/>
  <c r="F36" i="10"/>
  <c r="G31" i="12"/>
  <c r="G18" i="12"/>
  <c r="G38" i="11"/>
  <c r="G10" i="11"/>
  <c r="G8" i="12"/>
  <c r="G26" i="12"/>
  <c r="F35" i="10"/>
  <c r="G36" i="10"/>
  <c r="G13" i="11"/>
  <c r="F9" i="11"/>
  <c r="G17" i="12"/>
  <c r="F33" i="11"/>
  <c r="F34" i="14"/>
  <c r="F38" i="10"/>
  <c r="F39" i="14"/>
  <c r="G34" i="12"/>
  <c r="G27" i="12"/>
  <c r="G7" i="11"/>
  <c r="G37" i="14"/>
  <c r="G35" i="12"/>
  <c r="F10" i="10"/>
  <c r="G11" i="11"/>
  <c r="G8" i="10"/>
  <c r="F27" i="11"/>
  <c r="G27" i="11" s="1"/>
  <c r="F34" i="11"/>
  <c r="F33" i="14"/>
  <c r="G12" i="12"/>
  <c r="B17" i="12" l="1"/>
  <c r="B12" i="12"/>
  <c r="B8" i="12"/>
  <c r="B10" i="12"/>
  <c r="B9" i="12"/>
  <c r="B14" i="12"/>
  <c r="B11" i="12"/>
  <c r="B13" i="12"/>
  <c r="B15" i="12"/>
  <c r="B18" i="12"/>
  <c r="B16" i="12"/>
  <c r="B7" i="12"/>
  <c r="B7" i="10"/>
  <c r="B12" i="10"/>
  <c r="B8" i="10"/>
  <c r="B14" i="10"/>
  <c r="B7" i="11"/>
  <c r="B11" i="11"/>
  <c r="B12" i="11"/>
  <c r="B10" i="11"/>
  <c r="B17" i="11"/>
  <c r="B7" i="14"/>
  <c r="B13" i="11"/>
  <c r="B11" i="14"/>
  <c r="B9" i="14"/>
  <c r="G35" i="10"/>
  <c r="G10" i="14"/>
  <c r="G38" i="14"/>
  <c r="G27" i="10"/>
  <c r="G38" i="10"/>
  <c r="G14" i="11"/>
  <c r="G16" i="11"/>
  <c r="G31" i="10"/>
  <c r="G25" i="11"/>
  <c r="G31" i="14"/>
  <c r="G11" i="10"/>
  <c r="G10" i="10"/>
  <c r="G29" i="14"/>
  <c r="G37" i="11"/>
  <c r="G34" i="10"/>
  <c r="G27" i="14"/>
  <c r="G25" i="10"/>
  <c r="G28" i="10"/>
  <c r="G36" i="11"/>
  <c r="G32" i="10"/>
  <c r="G28" i="11"/>
  <c r="G33" i="11"/>
  <c r="G15" i="11"/>
  <c r="G13" i="10"/>
  <c r="G9" i="10"/>
  <c r="G33" i="14"/>
  <c r="G36" i="14"/>
  <c r="G26" i="14"/>
  <c r="G39" i="14"/>
  <c r="G28" i="14"/>
  <c r="G25" i="14"/>
  <c r="G39" i="11"/>
  <c r="G26" i="10"/>
  <c r="G29" i="10"/>
  <c r="G8" i="14"/>
  <c r="G30" i="10"/>
  <c r="G8" i="11"/>
  <c r="G39" i="10"/>
  <c r="G34" i="11"/>
  <c r="G9" i="11"/>
  <c r="G35" i="11"/>
  <c r="G33" i="10"/>
  <c r="G37" i="10"/>
  <c r="G34" i="14"/>
  <c r="G32" i="14"/>
  <c r="B9" i="11" l="1"/>
  <c r="B8" i="14"/>
  <c r="B9" i="10"/>
  <c r="B16" i="11"/>
  <c r="B10" i="14"/>
  <c r="B15" i="11"/>
  <c r="B8" i="11"/>
  <c r="B10" i="10"/>
  <c r="B11" i="10"/>
  <c r="B14" i="11"/>
  <c r="B13" i="10"/>
  <c r="D5" i="2"/>
  <c r="H16" i="12"/>
  <c r="H21" i="10"/>
  <c r="H26" i="10"/>
  <c r="H19" i="10"/>
  <c r="H30" i="11"/>
  <c r="H33" i="14"/>
  <c r="H38" i="12"/>
  <c r="H11" i="14"/>
  <c r="H8" i="12"/>
  <c r="H25" i="12"/>
  <c r="H35" i="10"/>
  <c r="H31" i="12"/>
  <c r="H8" i="14"/>
  <c r="H14" i="10"/>
  <c r="H25" i="11"/>
  <c r="H14" i="11"/>
  <c r="H26" i="12"/>
  <c r="H13" i="12"/>
  <c r="H33" i="10"/>
  <c r="H32" i="11"/>
  <c r="H9" i="14"/>
  <c r="H39" i="12"/>
  <c r="H8" i="11"/>
  <c r="H31" i="11"/>
  <c r="H15" i="12"/>
  <c r="H34" i="14"/>
  <c r="H16" i="11"/>
  <c r="H32" i="10"/>
  <c r="H11" i="10"/>
  <c r="H9" i="12"/>
  <c r="H33" i="11"/>
  <c r="H38" i="10"/>
  <c r="H12" i="10"/>
  <c r="H23" i="10"/>
  <c r="H27" i="14"/>
  <c r="H10" i="12"/>
  <c r="H32" i="14"/>
  <c r="H13" i="11"/>
  <c r="H11" i="11"/>
  <c r="H38" i="11"/>
  <c r="H30" i="12"/>
  <c r="H10" i="11"/>
  <c r="H14" i="12"/>
  <c r="H18" i="12"/>
  <c r="H29" i="10"/>
  <c r="H32" i="12"/>
  <c r="H27" i="11"/>
  <c r="H26" i="14"/>
  <c r="H39" i="14"/>
  <c r="H17" i="11"/>
  <c r="H20" i="10"/>
  <c r="H34" i="12"/>
  <c r="H35" i="12"/>
  <c r="H9" i="11"/>
  <c r="H29" i="12"/>
  <c r="H30" i="14"/>
  <c r="H25" i="14"/>
  <c r="H36" i="12"/>
  <c r="H27" i="12"/>
  <c r="H27" i="10"/>
  <c r="H12" i="11"/>
  <c r="H36" i="10"/>
  <c r="H39" i="11"/>
  <c r="H34" i="11"/>
  <c r="H26" i="11"/>
  <c r="H29" i="14"/>
  <c r="H37" i="12"/>
  <c r="H10" i="14"/>
  <c r="H15" i="11"/>
  <c r="H37" i="14"/>
  <c r="H12" i="14"/>
  <c r="H25" i="10"/>
  <c r="H28" i="11"/>
  <c r="H28" i="14"/>
  <c r="H9" i="10"/>
  <c r="H34" i="10"/>
  <c r="H36" i="11"/>
  <c r="H31" i="14"/>
  <c r="H24" i="10"/>
  <c r="H13" i="10"/>
  <c r="H12" i="12"/>
  <c r="H11" i="12"/>
  <c r="H31" i="10"/>
  <c r="H8" i="10"/>
  <c r="H33" i="12"/>
  <c r="H38" i="14"/>
  <c r="H22" i="10"/>
  <c r="H30" i="10"/>
  <c r="H28" i="10"/>
  <c r="H36" i="14"/>
  <c r="H10" i="10"/>
  <c r="H28" i="12"/>
  <c r="H35" i="14"/>
  <c r="H29" i="11"/>
  <c r="H39" i="10"/>
  <c r="H37" i="10"/>
  <c r="H35" i="11"/>
  <c r="H17" i="12"/>
  <c r="H37" i="11"/>
  <c r="N39" i="7" l="1"/>
  <c r="N31" i="7"/>
  <c r="N38" i="7"/>
  <c r="N30" i="7"/>
  <c r="N37" i="7"/>
  <c r="N29" i="7"/>
  <c r="N36" i="7"/>
  <c r="N28" i="7"/>
  <c r="N35" i="7"/>
  <c r="N27" i="7"/>
  <c r="N34" i="7"/>
  <c r="N26" i="7"/>
  <c r="N33" i="7"/>
  <c r="N25" i="7"/>
  <c r="N32" i="7"/>
  <c r="N18" i="7"/>
  <c r="N17" i="7"/>
  <c r="N16" i="7"/>
  <c r="N15" i="7"/>
  <c r="N14" i="7"/>
  <c r="N13" i="7"/>
  <c r="N12" i="7"/>
  <c r="W12" i="7"/>
  <c r="W27" i="7"/>
  <c r="W35" i="7"/>
  <c r="T14" i="7"/>
  <c r="Q26" i="7"/>
  <c r="T25" i="7"/>
  <c r="Q10" i="7"/>
  <c r="Q34" i="7"/>
  <c r="T30" i="7"/>
  <c r="Q30" i="7"/>
  <c r="W13" i="7"/>
  <c r="W28" i="7"/>
  <c r="W36" i="7"/>
  <c r="T26" i="7"/>
  <c r="T21" i="7"/>
  <c r="T33" i="7"/>
  <c r="T34" i="7"/>
  <c r="T35" i="7"/>
  <c r="Q36" i="7"/>
  <c r="W9" i="7"/>
  <c r="Q11" i="7"/>
  <c r="W14" i="7"/>
  <c r="W29" i="7"/>
  <c r="W37" i="7"/>
  <c r="Q12" i="7"/>
  <c r="T8" i="7"/>
  <c r="Q39" i="7"/>
  <c r="Q8" i="7"/>
  <c r="Q9" i="7"/>
  <c r="T10" i="7"/>
  <c r="W17" i="7"/>
  <c r="T23" i="7"/>
  <c r="W15" i="7"/>
  <c r="W30" i="7"/>
  <c r="W38" i="7"/>
  <c r="T20" i="7"/>
  <c r="T9" i="7"/>
  <c r="T12" i="7"/>
  <c r="T13" i="7"/>
  <c r="Q25" i="7"/>
  <c r="T11" i="7"/>
  <c r="T19" i="7"/>
  <c r="W8" i="7"/>
  <c r="W16" i="7"/>
  <c r="W31" i="7"/>
  <c r="W39" i="7"/>
  <c r="Q35" i="7"/>
  <c r="T31" i="7"/>
  <c r="T27" i="7"/>
  <c r="Q38" i="7"/>
  <c r="Q31" i="7"/>
  <c r="T37" i="7"/>
  <c r="Q29" i="7"/>
  <c r="W11" i="7"/>
  <c r="W26" i="7"/>
  <c r="W34" i="7"/>
  <c r="Q33" i="7"/>
  <c r="T39" i="7"/>
  <c r="T22" i="7"/>
  <c r="T28" i="7"/>
  <c r="T29" i="7"/>
  <c r="T24" i="7"/>
  <c r="W32" i="7"/>
  <c r="Q32" i="7"/>
  <c r="Q27" i="7"/>
  <c r="T36" i="7"/>
  <c r="W10" i="7"/>
  <c r="Q28" i="7"/>
  <c r="W25" i="7"/>
  <c r="W33" i="7"/>
  <c r="Q37" i="7"/>
  <c r="T38" i="7"/>
  <c r="T32" i="7"/>
  <c r="AH35" i="7"/>
  <c r="AH8" i="7"/>
  <c r="AB35" i="7"/>
  <c r="AH38" i="7"/>
  <c r="AB31" i="7"/>
  <c r="AH16" i="7"/>
  <c r="AD8" i="7"/>
  <c r="AH13" i="7"/>
  <c r="AD31" i="7"/>
  <c r="AB17" i="7"/>
  <c r="AH25" i="7"/>
  <c r="AF9" i="7"/>
  <c r="AD36" i="7"/>
  <c r="AD28" i="7"/>
  <c r="AD29" i="7"/>
  <c r="AB27" i="7"/>
  <c r="AB38" i="7"/>
  <c r="AB14" i="7"/>
  <c r="AF22" i="7"/>
  <c r="AF10" i="7"/>
  <c r="AB13" i="7"/>
  <c r="AF25" i="7"/>
  <c r="AF13" i="7"/>
  <c r="AF37" i="7"/>
  <c r="AF21" i="7"/>
  <c r="AH14" i="7"/>
  <c r="AF28" i="7"/>
  <c r="AD34" i="7"/>
  <c r="AF11" i="7"/>
  <c r="AF29" i="7"/>
  <c r="AF31" i="7"/>
  <c r="AB25" i="7"/>
  <c r="AF14" i="7"/>
  <c r="AD35" i="7"/>
  <c r="AB39" i="7"/>
  <c r="AF12" i="7"/>
  <c r="AH31" i="7"/>
  <c r="AB26" i="7"/>
  <c r="AF27" i="7"/>
  <c r="AH39" i="7"/>
  <c r="AH10" i="7"/>
  <c r="AF26" i="7"/>
  <c r="AD9" i="7"/>
  <c r="AB16" i="7"/>
  <c r="AB29" i="7"/>
  <c r="AF24" i="7"/>
  <c r="AB15" i="7"/>
  <c r="AF35" i="7"/>
  <c r="AH32" i="7"/>
  <c r="AH34" i="7"/>
  <c r="AH26" i="7"/>
  <c r="AD37" i="7"/>
  <c r="AB34" i="7"/>
  <c r="AD39" i="7"/>
  <c r="AF33" i="7"/>
  <c r="AH11" i="7"/>
  <c r="AH28" i="7"/>
  <c r="AH9" i="7"/>
  <c r="AF20" i="7"/>
  <c r="AD26" i="7"/>
  <c r="AH36" i="7"/>
  <c r="AD11" i="7"/>
  <c r="AB30" i="7"/>
  <c r="AH33" i="7"/>
  <c r="AB37" i="7"/>
  <c r="AB33" i="7"/>
  <c r="AD10" i="7"/>
  <c r="AH29" i="7"/>
  <c r="AH17" i="7"/>
  <c r="AB12" i="7"/>
  <c r="AH37" i="7"/>
  <c r="AF23" i="7"/>
  <c r="AD25" i="7"/>
  <c r="AD32" i="7"/>
  <c r="AF38" i="7"/>
  <c r="AB36" i="7"/>
  <c r="AB32" i="7"/>
  <c r="AH12" i="7"/>
  <c r="AF30" i="7"/>
  <c r="AF34" i="7"/>
  <c r="AD12" i="7"/>
  <c r="AH15" i="7"/>
  <c r="AD33" i="7"/>
  <c r="AD27" i="7"/>
  <c r="AF32" i="7"/>
  <c r="AB28" i="7"/>
  <c r="AB18" i="7"/>
  <c r="AH27" i="7"/>
  <c r="AD30" i="7"/>
  <c r="AF8" i="7"/>
  <c r="AH30" i="7"/>
  <c r="AF19" i="7"/>
  <c r="AD38" i="7"/>
  <c r="AF39" i="7"/>
  <c r="AF36" i="7"/>
  <c r="O18" i="7" l="1"/>
  <c r="O32" i="7"/>
  <c r="O25" i="7"/>
  <c r="O13" i="7"/>
  <c r="O37" i="7"/>
  <c r="O30" i="7"/>
  <c r="O28" i="7"/>
  <c r="O36" i="7"/>
  <c r="O12" i="7"/>
  <c r="O29" i="7"/>
  <c r="O33" i="7"/>
  <c r="O14" i="7"/>
  <c r="O26" i="7"/>
  <c r="O15" i="7"/>
  <c r="O34" i="7"/>
  <c r="O38" i="7"/>
  <c r="O16" i="7"/>
  <c r="O27" i="7"/>
  <c r="O31" i="7"/>
  <c r="O17" i="7"/>
  <c r="O35" i="7"/>
  <c r="O39" i="7"/>
  <c r="Z36" i="7"/>
  <c r="Z32" i="7"/>
  <c r="Z27" i="7"/>
  <c r="Z34" i="7"/>
  <c r="Z31" i="7"/>
  <c r="Z33" i="7"/>
  <c r="Z39" i="7"/>
  <c r="Z35" i="7"/>
  <c r="Z30" i="7"/>
  <c r="Z38" i="7"/>
  <c r="Z26" i="7"/>
  <c r="Z25" i="7"/>
  <c r="Z29" i="7"/>
  <c r="Z28" i="7"/>
  <c r="Z37" i="7"/>
  <c r="X10" i="7"/>
  <c r="R31" i="7"/>
  <c r="X38" i="7"/>
  <c r="R36" i="7"/>
  <c r="X35" i="7"/>
  <c r="U36" i="7"/>
  <c r="K36" i="7"/>
  <c r="R38" i="7"/>
  <c r="U19" i="7"/>
  <c r="U8" i="7"/>
  <c r="X27" i="7"/>
  <c r="U32" i="7"/>
  <c r="K32" i="7"/>
  <c r="U27" i="7"/>
  <c r="K27" i="7"/>
  <c r="U34" i="7"/>
  <c r="K34" i="7"/>
  <c r="X34" i="7"/>
  <c r="K31" i="7"/>
  <c r="U31" i="7"/>
  <c r="U23" i="7"/>
  <c r="K33" i="7"/>
  <c r="U33" i="7"/>
  <c r="X26" i="7"/>
  <c r="U21" i="7"/>
  <c r="U22" i="7"/>
  <c r="X8" i="7"/>
  <c r="R39" i="7"/>
  <c r="X13" i="7"/>
  <c r="U39" i="7"/>
  <c r="K39" i="7"/>
  <c r="X30" i="7"/>
  <c r="U35" i="7"/>
  <c r="K35" i="7"/>
  <c r="R30" i="7"/>
  <c r="R27" i="7"/>
  <c r="R33" i="7"/>
  <c r="U11" i="7"/>
  <c r="X15" i="7"/>
  <c r="R12" i="7"/>
  <c r="K30" i="7"/>
  <c r="U30" i="7"/>
  <c r="X12" i="7"/>
  <c r="K38" i="7"/>
  <c r="U38" i="7"/>
  <c r="R32" i="7"/>
  <c r="R25" i="7"/>
  <c r="X37" i="7"/>
  <c r="R34" i="7"/>
  <c r="R37" i="7"/>
  <c r="X32" i="7"/>
  <c r="R35" i="7"/>
  <c r="U13" i="7"/>
  <c r="X17" i="7"/>
  <c r="X29" i="7"/>
  <c r="R10" i="7"/>
  <c r="X33" i="7"/>
  <c r="U24" i="7"/>
  <c r="X11" i="7"/>
  <c r="X39" i="7"/>
  <c r="U12" i="7"/>
  <c r="U10" i="7"/>
  <c r="X14" i="7"/>
  <c r="K26" i="7"/>
  <c r="U26" i="7"/>
  <c r="K25" i="7"/>
  <c r="U25" i="7"/>
  <c r="X25" i="7"/>
  <c r="K29" i="7"/>
  <c r="U29" i="7"/>
  <c r="R29" i="7"/>
  <c r="X31" i="7"/>
  <c r="U9" i="7"/>
  <c r="R9" i="7"/>
  <c r="R11" i="7"/>
  <c r="X36" i="7"/>
  <c r="R26" i="7"/>
  <c r="R28" i="7"/>
  <c r="U28" i="7"/>
  <c r="K28" i="7"/>
  <c r="U37" i="7"/>
  <c r="K37" i="7"/>
  <c r="X16" i="7"/>
  <c r="U20" i="7"/>
  <c r="R8" i="7"/>
  <c r="X9" i="7"/>
  <c r="X28" i="7"/>
  <c r="U14" i="7"/>
  <c r="AE39" i="7"/>
  <c r="AC27" i="7"/>
  <c r="AI35" i="7"/>
  <c r="AC25" i="7"/>
  <c r="AG29" i="7"/>
  <c r="AI25" i="7"/>
  <c r="AG11" i="7"/>
  <c r="AC32" i="7"/>
  <c r="AG23" i="7"/>
  <c r="AC17" i="7"/>
  <c r="AE35" i="7"/>
  <c r="AG10" i="7"/>
  <c r="AE32" i="7"/>
  <c r="AE29" i="7"/>
  <c r="AG36" i="7"/>
  <c r="AG12" i="7"/>
  <c r="AG32" i="7"/>
  <c r="AG20" i="7"/>
  <c r="AC29" i="7"/>
  <c r="AI17" i="7"/>
  <c r="AG28" i="7"/>
  <c r="AI39" i="7"/>
  <c r="AG27" i="7"/>
  <c r="AC31" i="7"/>
  <c r="AI28" i="7"/>
  <c r="AE27" i="7"/>
  <c r="AC33" i="7"/>
  <c r="AC26" i="7"/>
  <c r="AE25" i="7"/>
  <c r="AG19" i="7"/>
  <c r="AG38" i="7"/>
  <c r="AE36" i="7"/>
  <c r="AE11" i="7"/>
  <c r="AG34" i="7"/>
  <c r="AI34" i="7"/>
  <c r="AI36" i="7"/>
  <c r="AE33" i="7"/>
  <c r="AC18" i="7"/>
  <c r="AE28" i="7"/>
  <c r="AI10" i="7"/>
  <c r="AC12" i="7"/>
  <c r="AC37" i="7"/>
  <c r="AE26" i="7"/>
  <c r="AC13" i="7"/>
  <c r="AC35" i="7"/>
  <c r="AE31" i="7"/>
  <c r="AG31" i="7"/>
  <c r="AG39" i="7"/>
  <c r="AI31" i="7"/>
  <c r="AC16" i="7"/>
  <c r="AC14" i="7"/>
  <c r="AG21" i="7"/>
  <c r="AI12" i="7"/>
  <c r="AI13" i="7"/>
  <c r="AG13" i="7"/>
  <c r="AE8" i="7"/>
  <c r="AI9" i="7"/>
  <c r="AG33" i="7"/>
  <c r="AI15" i="7"/>
  <c r="AI29" i="7"/>
  <c r="AI14" i="7"/>
  <c r="AE38" i="7"/>
  <c r="AI26" i="7"/>
  <c r="AI30" i="7"/>
  <c r="AE12" i="7"/>
  <c r="AI37" i="7"/>
  <c r="AE10" i="7"/>
  <c r="AG14" i="7"/>
  <c r="AC30" i="7"/>
  <c r="AC15" i="7"/>
  <c r="AC39" i="7"/>
  <c r="AG35" i="7"/>
  <c r="AE34" i="7"/>
  <c r="AI33" i="7"/>
  <c r="AG26" i="7"/>
  <c r="AG9" i="7"/>
  <c r="AG37" i="7"/>
  <c r="AC28" i="7"/>
  <c r="AC34" i="7"/>
  <c r="AG8" i="7"/>
  <c r="AG22" i="7"/>
  <c r="AG30" i="7"/>
  <c r="AE37" i="7"/>
  <c r="AG24" i="7"/>
  <c r="AE9" i="7"/>
  <c r="AC36" i="7"/>
  <c r="AC38" i="7"/>
  <c r="AI38" i="7"/>
  <c r="AI27" i="7"/>
  <c r="AI8" i="7"/>
  <c r="AE30" i="7"/>
  <c r="AI32" i="7"/>
  <c r="AI11" i="7"/>
  <c r="AG25" i="7"/>
  <c r="AI16" i="7"/>
  <c r="AA26" i="7" l="1"/>
  <c r="AA34" i="7"/>
  <c r="AA31" i="7"/>
  <c r="AA35" i="7"/>
  <c r="AA27" i="7"/>
  <c r="AA30" i="7"/>
  <c r="AA37" i="7"/>
  <c r="AA29" i="7"/>
  <c r="AA32" i="7"/>
  <c r="AA36" i="7"/>
  <c r="AA25" i="7"/>
  <c r="AA38" i="7"/>
  <c r="AA39" i="7"/>
  <c r="AA28" i="7"/>
  <c r="AA33" i="7"/>
  <c r="L26" i="7"/>
  <c r="L34" i="7"/>
  <c r="L31" i="7"/>
  <c r="L35" i="7"/>
  <c r="L27" i="7"/>
  <c r="L30" i="7"/>
  <c r="L37" i="7"/>
  <c r="L29" i="7"/>
  <c r="L32" i="7"/>
  <c r="L36" i="7"/>
  <c r="L25" i="7"/>
  <c r="L38" i="7"/>
  <c r="L39" i="7"/>
  <c r="L28" i="7"/>
  <c r="L33" i="7"/>
  <c r="L6" i="12"/>
  <c r="H6" i="12"/>
  <c r="L6" i="11"/>
  <c r="H6" i="11"/>
  <c r="L6" i="10"/>
  <c r="L6" i="14"/>
  <c r="H7" i="12"/>
  <c r="H7" i="10"/>
  <c r="H6" i="10"/>
  <c r="H6" i="14"/>
  <c r="H7" i="14"/>
  <c r="N6" i="7" l="1"/>
  <c r="N7" i="7"/>
  <c r="H7" i="11"/>
  <c r="AB6" i="7"/>
  <c r="AB7" i="7"/>
  <c r="O7" i="7" l="1"/>
  <c r="O6" i="7"/>
  <c r="AC6" i="7"/>
  <c r="AC7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<sst xmlns="http://schemas.openxmlformats.org/spreadsheetml/2006/main" count="496" uniqueCount="112">
  <si>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</si>
  <si>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</si>
  <si>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</si>
  <si>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</si>
  <si>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</si>
  <si>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</si>
  <si>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</si>
  <si>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</si>
  <si>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</si>
  <si>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</si>
  <si>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</si>
  <si>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</si>
  <si>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</si>
  <si>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</si>
  <si>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</si>
  <si>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</si>
  <si>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SW</t>
  </si>
  <si>
    <t>2W</t>
  </si>
  <si>
    <t>3W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</si>
  <si>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</si>
  <si>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</si>
  <si>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</si>
  <si>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</si>
  <si>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</si>
  <si>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</si>
  <si>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</si>
  <si>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</si>
  <si>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</si>
  <si>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</si>
  <si>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</si>
  <si>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</si>
  <si>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</si>
  <si>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</si>
  <si>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</si>
  <si>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</si>
  <si>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</si>
  <si>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</si>
  <si>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</si>
  <si>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</si>
  <si>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</si>
  <si>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</si>
  <si>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</si>
  <si>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</si>
  <si>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</si>
  <si>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</si>
  <si>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</si>
  <si>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</si>
  <si>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</si>
  <si>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</si>
  <si>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</si>
  <si>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</si>
  <si>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</si>
  <si>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Swap</t>
  </si>
  <si>
    <t>SynthDepo</t>
  </si>
  <si>
    <t>RIC</t>
  </si>
  <si>
    <t>OvernightIndex</t>
  </si>
  <si>
    <t xml:space="preserve"> 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</si>
  <si>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</si>
  <si>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</si>
  <si>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</si>
  <si>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</si>
  <si>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</si>
  <si>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</si>
  <si>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</si>
  <si>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</si>
  <si>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</si>
  <si>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Future</t>
  </si>
  <si>
    <t>PILLAR</t>
  </si>
  <si>
    <t>DiscountingCurve</t>
  </si>
  <si>
    <t>BDayConvention</t>
  </si>
  <si>
    <t>DayCounter</t>
  </si>
  <si>
    <t>Contribution</t>
  </si>
  <si>
    <t>EndOfMonth</t>
  </si>
  <si>
    <t>TN</t>
  </si>
  <si>
    <t>SN</t>
  </si>
  <si>
    <t>Interpolation</t>
  </si>
  <si>
    <t>Extrapolated</t>
  </si>
  <si>
    <t>SEK</t>
  </si>
  <si>
    <t>Sweden</t>
  </si>
  <si>
    <t>STD</t>
  </si>
  <si>
    <t>SourceAlias</t>
  </si>
  <si>
    <t>Fields</t>
  </si>
  <si>
    <t>Contribution Check</t>
  </si>
  <si>
    <t>SEKAMTNS1M=HBCO</t>
  </si>
  <si>
    <t>SEKAMTNS2M=HBCO</t>
  </si>
  <si>
    <t>SEKAMTNS3M=HBCO</t>
  </si>
  <si>
    <t>SEKAMTNS4M=HBCO</t>
  </si>
  <si>
    <t>SEKAMTNS5M=HBCO</t>
  </si>
  <si>
    <t>SEKAMTNS6M=HBCO</t>
  </si>
  <si>
    <t>SEKAMTNS9M=HBCO</t>
  </si>
  <si>
    <t>SEKAMTNS12M=HBCO</t>
  </si>
  <si>
    <t>SEKAMTNS2Y=ICAP</t>
  </si>
  <si>
    <t>SEKAMTNS3Y=ICAP</t>
  </si>
  <si>
    <t>SEKAMTNS4Y=ICAP</t>
  </si>
  <si>
    <t>SEKAMTNS5Y=ICAP</t>
  </si>
  <si>
    <t>SEKAMTNS6Y=ICAP</t>
  </si>
  <si>
    <t>SEKAMTNS7Y=ICAP</t>
  </si>
  <si>
    <t>SEKAMTNS8Y=ICAP</t>
  </si>
  <si>
    <t>SEKAMTNS9Y=ICAP</t>
  </si>
  <si>
    <t>SEKAMTNS10Y=ICAP</t>
  </si>
  <si>
    <t>SEKAMTNS12Y=ICAP</t>
  </si>
  <si>
    <t>SEKAMTNS15Y=ICAP</t>
  </si>
  <si>
    <t>SEKAMTNS20Y=ICAP</t>
  </si>
  <si>
    <t>SEKAMTNS25Y=ICAP</t>
  </si>
  <si>
    <t>SEKAMTNS30Y=ICAP</t>
  </si>
  <si>
    <t>30/360 (Bond Basis)</t>
  </si>
  <si>
    <t>Actual/360</t>
  </si>
  <si>
    <t>STISEK6MDFI=</t>
  </si>
  <si>
    <t>STISEK3MDFI=</t>
  </si>
  <si>
    <t>STISEK1MDFI=</t>
  </si>
  <si>
    <t>InterestRateTrigger</t>
  </si>
  <si>
    <t>STISEKTNDFI=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</si>
</sst>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_-* #,##0.00_-;\-* #,##0.00_-;_-* &quot;-&quot;??_-;_-@_-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2" formatCode="0.0000000000000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5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8" borderId="0" applyNumberFormat="0" applyBorder="0" applyAlignment="0" applyProtection="0"/>
  </cellStyleXfs>
  <cellXfs count="183">
    <xf numFmtId="0" fontId="0" fillId="0" borderId="0" xfId="0"/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right" vertical="center"/>
    </xf>
    <xf numFmtId="0" fontId="11" fillId="7" borderId="1" xfId="0" applyFont="1" applyFill="1" applyBorder="1" applyAlignment="1">
      <alignment horizontal="centerContinuous" vertical="center"/>
    </xf>
    <xf numFmtId="0" fontId="10" fillId="0" borderId="9" xfId="0" applyFont="1" applyFill="1" applyBorder="1" applyAlignment="1">
      <alignment horizontal="right"/>
    </xf>
    <xf numFmtId="171" fontId="10" fillId="0" borderId="9" xfId="0" applyNumberFormat="1" applyFont="1" applyFill="1" applyBorder="1" applyAlignment="1">
      <alignment horizontal="center"/>
    </xf>
    <xf numFmtId="0" fontId="10" fillId="0" borderId="8" xfId="0" applyFont="1" applyFill="1" applyBorder="1" applyAlignment="1">
      <alignment horizontal="right"/>
    </xf>
    <xf numFmtId="171" fontId="10" fillId="0" borderId="8" xfId="0" applyNumberFormat="1" applyFont="1" applyFill="1" applyBorder="1" applyAlignment="1">
      <alignment horizontal="center"/>
    </xf>
    <xf numFmtId="0" fontId="10" fillId="0" borderId="10" xfId="0" applyFont="1" applyFill="1" applyBorder="1" applyAlignment="1">
      <alignment horizontal="right"/>
    </xf>
    <xf numFmtId="171" fontId="10" fillId="0" borderId="10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/>
    </xf>
    <xf numFmtId="0" fontId="10" fillId="0" borderId="8" xfId="0" applyFont="1" applyFill="1" applyBorder="1" applyAlignment="1">
      <alignment horizontal="left"/>
    </xf>
    <xf numFmtId="0" fontId="10" fillId="0" borderId="10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2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center" vertical="center"/>
    </xf>
    <xf numFmtId="0" fontId="10" fillId="6" borderId="0" xfId="0" applyFont="1" applyFill="1" applyAlignment="1">
      <alignment vertical="center"/>
    </xf>
    <xf numFmtId="0" fontId="11" fillId="7" borderId="1" xfId="0" applyFont="1" applyFill="1" applyBorder="1" applyAlignment="1">
      <alignment horizontal="center" vertical="center" wrapText="1"/>
    </xf>
    <xf numFmtId="170" fontId="10" fillId="0" borderId="8" xfId="13" applyNumberFormat="1" applyFont="1" applyFill="1" applyBorder="1" applyAlignment="1">
      <alignment horizontal="right" vertical="center"/>
    </xf>
    <xf numFmtId="170" fontId="10" fillId="0" borderId="9" xfId="13" applyNumberFormat="1" applyFont="1" applyFill="1" applyBorder="1" applyAlignment="1">
      <alignment horizontal="right" vertical="center"/>
    </xf>
    <xf numFmtId="170" fontId="10" fillId="0" borderId="10" xfId="13" applyNumberFormat="1" applyFont="1" applyFill="1" applyBorder="1" applyAlignment="1">
      <alignment horizontal="right" vertical="center"/>
    </xf>
    <xf numFmtId="0" fontId="10" fillId="6" borderId="0" xfId="0" applyFont="1" applyFill="1" applyBorder="1"/>
    <xf numFmtId="0" fontId="10" fillId="6" borderId="0" xfId="0" applyFont="1" applyFill="1" applyBorder="1" applyAlignment="1">
      <alignment vertical="center"/>
    </xf>
    <xf numFmtId="0" fontId="3" fillId="4" borderId="1" xfId="14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167" fontId="10" fillId="0" borderId="9" xfId="0" applyNumberFormat="1" applyFont="1" applyFill="1" applyBorder="1" applyAlignment="1">
      <alignment horizontal="left" vertical="center"/>
    </xf>
    <xf numFmtId="170" fontId="10" fillId="0" borderId="9" xfId="13" applyNumberFormat="1" applyFont="1" applyFill="1" applyBorder="1" applyAlignment="1">
      <alignment horizontal="left" vertical="center"/>
    </xf>
    <xf numFmtId="170" fontId="10" fillId="0" borderId="8" xfId="13" applyNumberFormat="1" applyFont="1" applyFill="1" applyBorder="1" applyAlignment="1">
      <alignment horizontal="left" vertical="center"/>
    </xf>
    <xf numFmtId="167" fontId="10" fillId="0" borderId="8" xfId="0" applyNumberFormat="1" applyFont="1" applyFill="1" applyBorder="1" applyAlignment="1">
      <alignment horizontal="left" vertical="center"/>
    </xf>
    <xf numFmtId="167" fontId="10" fillId="0" borderId="10" xfId="0" applyNumberFormat="1" applyFont="1" applyFill="1" applyBorder="1" applyAlignment="1">
      <alignment horizontal="left" vertical="center"/>
    </xf>
    <xf numFmtId="170" fontId="10" fillId="0" borderId="10" xfId="13" applyNumberFormat="1" applyFont="1" applyFill="1" applyBorder="1" applyAlignment="1">
      <alignment horizontal="left" vertical="center"/>
    </xf>
    <xf numFmtId="170" fontId="3" fillId="0" borderId="9" xfId="13" applyNumberFormat="1" applyFont="1" applyFill="1" applyBorder="1" applyAlignment="1">
      <alignment horizontal="left" vertical="center"/>
    </xf>
    <xf numFmtId="170" fontId="3" fillId="0" borderId="9" xfId="13" applyNumberFormat="1" applyFont="1" applyFill="1" applyBorder="1" applyAlignment="1">
      <alignment horizontal="right" vertical="center"/>
    </xf>
    <xf numFmtId="170" fontId="12" fillId="0" borderId="9" xfId="13" applyNumberFormat="1" applyFont="1" applyFill="1" applyBorder="1" applyAlignment="1">
      <alignment horizontal="right" vertical="center"/>
    </xf>
    <xf numFmtId="170" fontId="3" fillId="0" borderId="8" xfId="13" applyNumberFormat="1" applyFont="1" applyFill="1" applyBorder="1" applyAlignment="1">
      <alignment horizontal="right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right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4" fillId="6" borderId="0" xfId="0" applyFont="1" applyFill="1"/>
    <xf numFmtId="0" fontId="3" fillId="3" borderId="0" xfId="0" applyFont="1" applyFill="1" applyBorder="1"/>
    <xf numFmtId="14" fontId="10" fillId="6" borderId="0" xfId="0" applyNumberFormat="1" applyFont="1" applyFill="1"/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/>
    </xf>
    <xf numFmtId="172" fontId="10" fillId="6" borderId="0" xfId="0" applyNumberFormat="1" applyFont="1" applyFill="1" applyAlignment="1">
      <alignment horizontal="center" vertical="center"/>
    </xf>
    <xf numFmtId="0" fontId="10" fillId="0" borderId="3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10" fillId="6" borderId="8" xfId="0" applyFont="1" applyFill="1" applyBorder="1"/>
    <xf numFmtId="0" fontId="10" fillId="0" borderId="9" xfId="0" applyFont="1" applyBorder="1"/>
    <xf numFmtId="0" fontId="10" fillId="0" borderId="9" xfId="0" applyFont="1" applyBorder="1" applyAlignment="1">
      <alignment horizontal="center"/>
    </xf>
    <xf numFmtId="0" fontId="10" fillId="0" borderId="8" xfId="0" applyFont="1" applyBorder="1"/>
    <xf numFmtId="0" fontId="10" fillId="0" borderId="8" xfId="0" applyFont="1" applyBorder="1" applyAlignment="1">
      <alignment horizontal="center"/>
    </xf>
    <xf numFmtId="0" fontId="10" fillId="0" borderId="10" xfId="0" applyFont="1" applyBorder="1"/>
    <xf numFmtId="0" fontId="10" fillId="0" borderId="10" xfId="0" applyFont="1" applyBorder="1" applyAlignment="1">
      <alignment horizontal="center"/>
    </xf>
    <xf numFmtId="0" fontId="10" fillId="0" borderId="9" xfId="0" applyFont="1" applyFill="1" applyBorder="1"/>
    <xf numFmtId="0" fontId="10" fillId="0" borderId="8" xfId="0" applyFont="1" applyFill="1" applyBorder="1"/>
    <xf numFmtId="0" fontId="10" fillId="0" borderId="10" xfId="0" applyFont="1" applyFill="1" applyBorder="1"/>
    <xf numFmtId="171" fontId="10" fillId="0" borderId="9" xfId="13" applyNumberFormat="1" applyFont="1" applyFill="1" applyBorder="1" applyAlignment="1">
      <alignment horizontal="left" vertical="center"/>
    </xf>
    <xf numFmtId="171" fontId="10" fillId="0" borderId="8" xfId="13" applyNumberFormat="1" applyFont="1" applyFill="1" applyBorder="1" applyAlignment="1">
      <alignment horizontal="left" vertical="center"/>
    </xf>
    <xf numFmtId="171" fontId="10" fillId="0" borderId="10" xfId="13" applyNumberFormat="1" applyFont="1" applyFill="1" applyBorder="1" applyAlignment="1">
      <alignment horizontal="left" vertical="center"/>
    </xf>
    <xf numFmtId="0" fontId="10" fillId="0" borderId="14" xfId="0" applyFont="1" applyFill="1" applyBorder="1"/>
    <xf numFmtId="0" fontId="10" fillId="0" borderId="12" xfId="0" applyFont="1" applyFill="1" applyBorder="1"/>
    <xf numFmtId="0" fontId="10" fillId="0" borderId="13" xfId="0" applyFont="1" applyFill="1" applyBorder="1"/>
    <xf numFmtId="0" fontId="2" fillId="6" borderId="0" xfId="0" applyFont="1" applyFill="1" applyBorder="1" applyAlignment="1" applyProtection="1">
      <alignment vertical="center"/>
    </xf>
    <xf numFmtId="0" fontId="3" fillId="6" borderId="4" xfId="0" applyFont="1" applyFill="1" applyBorder="1" applyAlignment="1" applyProtection="1">
      <alignment horizontal="center" vertical="center"/>
      <protection locked="0"/>
    </xf>
    <xf numFmtId="15" fontId="10" fillId="6" borderId="0" xfId="0" applyNumberFormat="1" applyFont="1" applyFill="1"/>
    <xf numFmtId="0" fontId="3" fillId="0" borderId="9" xfId="0" applyFont="1" applyFill="1" applyBorder="1" applyAlignment="1">
      <alignment horizontal="right"/>
    </xf>
    <xf numFmtId="171" fontId="3" fillId="0" borderId="9" xfId="0" applyNumberFormat="1" applyFont="1" applyFill="1" applyBorder="1" applyAlignment="1"/>
    <xf numFmtId="171" fontId="3" fillId="0" borderId="9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right"/>
    </xf>
    <xf numFmtId="171" fontId="3" fillId="0" borderId="8" xfId="0" applyNumberFormat="1" applyFont="1" applyFill="1" applyBorder="1" applyAlignment="1"/>
    <xf numFmtId="171" fontId="3" fillId="0" borderId="8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right"/>
    </xf>
    <xf numFmtId="0" fontId="3" fillId="0" borderId="8" xfId="0" applyFont="1" applyBorder="1" applyAlignment="1"/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right"/>
    </xf>
    <xf numFmtId="0" fontId="3" fillId="0" borderId="10" xfId="0" applyFont="1" applyBorder="1" applyAlignment="1"/>
    <xf numFmtId="0" fontId="3" fillId="0" borderId="10" xfId="0" applyFont="1" applyBorder="1"/>
    <xf numFmtId="0" fontId="3" fillId="0" borderId="9" xfId="0" applyFont="1" applyBorder="1" applyAlignment="1">
      <alignment horizontal="right"/>
    </xf>
    <xf numFmtId="0" fontId="3" fillId="0" borderId="9" xfId="0" applyFont="1" applyBorder="1" applyAlignment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Fill="1" applyBorder="1" applyAlignment="1">
      <alignment horizontal="right"/>
    </xf>
    <xf numFmtId="171" fontId="3" fillId="0" borderId="10" xfId="0" applyNumberFormat="1" applyFont="1" applyFill="1" applyBorder="1" applyAlignment="1"/>
    <xf numFmtId="171" fontId="3" fillId="0" borderId="10" xfId="0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3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10" fillId="0" borderId="6" xfId="0" applyFont="1" applyFill="1" applyBorder="1" applyAlignment="1">
      <alignment horizontal="left"/>
    </xf>
    <xf numFmtId="170" fontId="3" fillId="0" borderId="8" xfId="13" applyNumberFormat="1" applyFont="1" applyFill="1" applyBorder="1" applyAlignment="1">
      <alignment horizontal="left" vertical="center"/>
    </xf>
    <xf numFmtId="170" fontId="12" fillId="0" borderId="8" xfId="13" applyNumberFormat="1" applyFont="1" applyFill="1" applyBorder="1" applyAlignment="1">
      <alignment horizontal="right" vertical="center"/>
    </xf>
    <xf numFmtId="0" fontId="10" fillId="0" borderId="9" xfId="0" applyFont="1" applyBorder="1" applyAlignment="1">
      <alignment horizontal="right"/>
    </xf>
    <xf numFmtId="0" fontId="10" fillId="0" borderId="8" xfId="0" applyFont="1" applyBorder="1" applyAlignment="1">
      <alignment horizontal="right"/>
    </xf>
    <xf numFmtId="0" fontId="10" fillId="0" borderId="10" xfId="0" applyFont="1" applyBorder="1" applyAlignment="1">
      <alignment horizontal="right"/>
    </xf>
    <xf numFmtId="0" fontId="10" fillId="0" borderId="12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centerContinuous" vertical="center"/>
    </xf>
    <xf numFmtId="0" fontId="11" fillId="2" borderId="1" xfId="0" applyFont="1" applyFill="1" applyBorder="1" applyAlignment="1">
      <alignment horizontal="center"/>
    </xf>
    <xf numFmtId="0" fontId="10" fillId="0" borderId="9" xfId="0" applyFont="1" applyBorder="1" applyAlignment="1">
      <alignment horizontal="center" vertical="center"/>
    </xf>
    <xf numFmtId="0" fontId="3" fillId="0" borderId="8" xfId="0" applyFont="1" applyBorder="1" applyAlignment="1" applyProtection="1">
      <alignment horizontal="center"/>
      <protection locked="0"/>
    </xf>
    <xf numFmtId="166" fontId="3" fillId="0" borderId="9" xfId="0" applyNumberFormat="1" applyFont="1" applyBorder="1" applyAlignment="1" applyProtection="1">
      <alignment horizontal="center"/>
      <protection locked="0"/>
    </xf>
    <xf numFmtId="166" fontId="3" fillId="0" borderId="8" xfId="0" applyNumberFormat="1" applyFont="1" applyBorder="1" applyAlignment="1" applyProtection="1">
      <alignment horizontal="center"/>
      <protection locked="0"/>
    </xf>
    <xf numFmtId="0" fontId="3" fillId="0" borderId="8" xfId="0" applyNumberFormat="1" applyFont="1" applyBorder="1" applyAlignment="1" applyProtection="1">
      <alignment horizontal="center"/>
      <protection locked="0"/>
    </xf>
    <xf numFmtId="0" fontId="3" fillId="0" borderId="8" xfId="0" applyNumberFormat="1" applyFont="1" applyBorder="1" applyAlignment="1">
      <alignment horizontal="center"/>
    </xf>
    <xf numFmtId="167" fontId="3" fillId="0" borderId="8" xfId="0" applyNumberFormat="1" applyFont="1" applyBorder="1" applyAlignment="1" applyProtection="1">
      <alignment horizontal="center"/>
      <protection locked="0"/>
    </xf>
    <xf numFmtId="167" fontId="3" fillId="0" borderId="10" xfId="0" applyNumberFormat="1" applyFont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Continuous"/>
    </xf>
    <xf numFmtId="0" fontId="16" fillId="7" borderId="11" xfId="0" applyFont="1" applyFill="1" applyBorder="1" applyAlignment="1">
      <alignment horizontal="centerContinuous"/>
    </xf>
    <xf numFmtId="0" fontId="15" fillId="7" borderId="7" xfId="0" applyFont="1" applyFill="1" applyBorder="1" applyAlignment="1">
      <alignment horizontal="centerContinuous"/>
    </xf>
    <xf numFmtId="0" fontId="3" fillId="3" borderId="5" xfId="0" applyFont="1" applyFill="1" applyBorder="1"/>
    <xf numFmtId="0" fontId="3" fillId="3" borderId="12" xfId="0" applyFont="1" applyFill="1" applyBorder="1"/>
    <xf numFmtId="0" fontId="3" fillId="3" borderId="6" xfId="0" applyFont="1" applyFill="1" applyBorder="1"/>
    <xf numFmtId="0" fontId="3" fillId="3" borderId="15" xfId="0" applyFont="1" applyFill="1" applyBorder="1"/>
    <xf numFmtId="0" fontId="3" fillId="3" borderId="13" xfId="0" applyFont="1" applyFill="1" applyBorder="1"/>
    <xf numFmtId="0" fontId="16" fillId="7" borderId="7" xfId="0" applyFont="1" applyFill="1" applyBorder="1" applyAlignment="1">
      <alignment horizontal="centerContinuous"/>
    </xf>
    <xf numFmtId="167" fontId="3" fillId="0" borderId="10" xfId="0" applyNumberFormat="1" applyFont="1" applyBorder="1" applyAlignment="1">
      <alignment horizontal="center"/>
    </xf>
    <xf numFmtId="0" fontId="10" fillId="9" borderId="8" xfId="0" applyFont="1" applyFill="1" applyBorder="1" applyAlignment="1">
      <alignment horizontal="left"/>
    </xf>
    <xf numFmtId="0" fontId="10" fillId="9" borderId="8" xfId="0" applyFont="1" applyFill="1" applyBorder="1" applyAlignment="1">
      <alignment horizontal="left" vertical="center"/>
    </xf>
    <xf numFmtId="167" fontId="10" fillId="9" borderId="8" xfId="0" applyNumberFormat="1" applyFont="1" applyFill="1" applyBorder="1" applyAlignment="1">
      <alignment horizontal="left" vertical="center"/>
    </xf>
    <xf numFmtId="170" fontId="10" fillId="9" borderId="8" xfId="13" applyNumberFormat="1" applyFont="1" applyFill="1" applyBorder="1" applyAlignment="1">
      <alignment horizontal="left" vertical="center"/>
    </xf>
    <xf numFmtId="170" fontId="10" fillId="9" borderId="8" xfId="13" applyNumberFormat="1" applyFont="1" applyFill="1" applyBorder="1" applyAlignment="1">
      <alignment horizontal="right" vertical="center"/>
    </xf>
    <xf numFmtId="0" fontId="2" fillId="9" borderId="9" xfId="0" applyFont="1" applyFill="1" applyBorder="1"/>
    <xf numFmtId="0" fontId="2" fillId="9" borderId="8" xfId="0" applyFont="1" applyFill="1" applyBorder="1"/>
    <xf numFmtId="0" fontId="2" fillId="9" borderId="8" xfId="0" applyFont="1" applyFill="1" applyBorder="1" applyProtection="1"/>
    <xf numFmtId="0" fontId="2" fillId="9" borderId="10" xfId="0" applyFont="1" applyFill="1" applyBorder="1" applyProtection="1"/>
    <xf numFmtId="0" fontId="2" fillId="9" borderId="10" xfId="0" applyFont="1" applyFill="1" applyBorder="1"/>
    <xf numFmtId="0" fontId="3" fillId="9" borderId="8" xfId="0" applyFont="1" applyFill="1" applyBorder="1" applyAlignment="1">
      <alignment horizontal="left"/>
    </xf>
    <xf numFmtId="0" fontId="3" fillId="9" borderId="8" xfId="0" applyFont="1" applyFill="1" applyBorder="1" applyAlignment="1">
      <alignment horizontal="left" vertical="center"/>
    </xf>
    <xf numFmtId="167" fontId="3" fillId="9" borderId="8" xfId="0" applyNumberFormat="1" applyFont="1" applyFill="1" applyBorder="1" applyAlignment="1">
      <alignment horizontal="left" vertical="center"/>
    </xf>
    <xf numFmtId="170" fontId="3" fillId="9" borderId="8" xfId="13" applyNumberFormat="1" applyFont="1" applyFill="1" applyBorder="1" applyAlignment="1">
      <alignment horizontal="left" vertical="center"/>
    </xf>
    <xf numFmtId="170" fontId="3" fillId="9" borderId="8" xfId="13" applyNumberFormat="1" applyFont="1" applyFill="1" applyBorder="1" applyAlignment="1">
      <alignment horizontal="right" vertical="center"/>
    </xf>
    <xf numFmtId="167" fontId="10" fillId="6" borderId="0" xfId="0" applyNumberFormat="1" applyFont="1" applyFill="1"/>
    <xf numFmtId="3" fontId="10" fillId="6" borderId="0" xfId="0" applyNumberFormat="1" applyFont="1" applyFill="1"/>
    <xf numFmtId="0" fontId="10" fillId="6" borderId="0" xfId="0" applyNumberFormat="1" applyFont="1" applyFill="1"/>
    <xf numFmtId="171" fontId="10" fillId="6" borderId="0" xfId="0" applyNumberFormat="1" applyFont="1" applyFill="1"/>
    <xf numFmtId="170" fontId="10" fillId="6" borderId="0" xfId="0" applyNumberFormat="1" applyFont="1" applyFill="1"/>
    <xf numFmtId="9" fontId="10" fillId="6" borderId="0" xfId="0" applyNumberFormat="1" applyFont="1" applyFill="1"/>
    <xf numFmtId="0" fontId="10" fillId="6" borderId="0" xfId="0" applyFont="1" applyFill="1" applyAlignment="1">
      <alignment horizontal="center" vertical="center" wrapText="1"/>
    </xf>
    <xf numFmtId="165" fontId="10" fillId="6" borderId="0" xfId="0" applyNumberFormat="1" applyFont="1" applyFill="1" applyAlignment="1">
      <alignment horizontal="center" vertical="center" wrapText="1"/>
    </xf>
    <xf numFmtId="167" fontId="10" fillId="6" borderId="0" xfId="0" applyNumberFormat="1" applyFont="1" applyFill="1" applyAlignment="1">
      <alignment horizontal="center" vertical="center" wrapText="1"/>
    </xf>
    <xf numFmtId="3" fontId="10" fillId="6" borderId="0" xfId="0" applyNumberFormat="1" applyFont="1" applyFill="1" applyAlignment="1">
      <alignment horizontal="center" vertical="center" wrapText="1"/>
    </xf>
    <xf numFmtId="0" fontId="10" fillId="6" borderId="0" xfId="0" applyNumberFormat="1" applyFont="1" applyFill="1" applyAlignment="1">
      <alignment horizontal="center" vertical="center" wrapText="1"/>
    </xf>
    <xf numFmtId="171" fontId="10" fillId="6" borderId="0" xfId="0" applyNumberFormat="1" applyFont="1" applyFill="1" applyAlignment="1">
      <alignment horizontal="center" vertical="center" wrapText="1"/>
    </xf>
    <xf numFmtId="170" fontId="10" fillId="6" borderId="0" xfId="0" applyNumberFormat="1" applyFont="1" applyFill="1" applyAlignment="1">
      <alignment horizontal="center" vertical="center" wrapText="1"/>
    </xf>
    <xf numFmtId="9" fontId="10" fillId="6" borderId="0" xfId="0" applyNumberFormat="1" applyFont="1" applyFill="1" applyAlignment="1">
      <alignment horizontal="center" vertical="center" wrapText="1"/>
    </xf>
    <xf numFmtId="0" fontId="3" fillId="0" borderId="10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4" borderId="8" xfId="0" applyFont="1" applyFill="1" applyBorder="1" applyAlignment="1">
      <alignment horizontal="left"/>
    </xf>
    <xf numFmtId="0" fontId="10" fillId="4" borderId="8" xfId="0" applyFont="1" applyFill="1" applyBorder="1" applyAlignment="1">
      <alignment horizontal="left" vertical="center"/>
    </xf>
    <xf numFmtId="167" fontId="10" fillId="4" borderId="8" xfId="0" applyNumberFormat="1" applyFont="1" applyFill="1" applyBorder="1" applyAlignment="1">
      <alignment horizontal="left" vertical="center"/>
    </xf>
    <xf numFmtId="170" fontId="10" fillId="4" borderId="8" xfId="13" applyNumberFormat="1" applyFont="1" applyFill="1" applyBorder="1" applyAlignment="1">
      <alignment horizontal="left" vertical="center"/>
    </xf>
    <xf numFmtId="170" fontId="10" fillId="4" borderId="8" xfId="13" applyNumberFormat="1" applyFont="1" applyFill="1" applyBorder="1" applyAlignment="1">
      <alignment horizontal="right" vertical="center"/>
    </xf>
    <xf numFmtId="167" fontId="3" fillId="0" borderId="1" xfId="0" applyNumberFormat="1" applyFont="1" applyBorder="1" applyAlignment="1">
      <alignment horizontal="center"/>
    </xf>
    <xf numFmtId="0" fontId="2" fillId="10" borderId="1" xfId="0" applyFont="1" applyFill="1" applyBorder="1"/>
    <xf numFmtId="0" fontId="11" fillId="7" borderId="2" xfId="0" applyFont="1" applyFill="1" applyBorder="1" applyAlignment="1">
      <alignment horizontal="centerContinuous" vertical="center"/>
    </xf>
    <xf numFmtId="0" fontId="11" fillId="7" borderId="11" xfId="0" applyFont="1" applyFill="1" applyBorder="1" applyAlignment="1">
      <alignment horizontal="centerContinuous" vertical="center"/>
    </xf>
    <xf numFmtId="0" fontId="11" fillId="7" borderId="7" xfId="0" applyFont="1" applyFill="1" applyBorder="1" applyAlignment="1">
      <alignment horizontal="centerContinuous" vertical="center"/>
    </xf>
  </cellXfs>
  <cellStyles count="15">
    <cellStyle name="Bad" xfId="14" builtinId="27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-0.20716403</v>
        <stp/>
        <stp xml:space="preserve">	SEKON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" s="7"/>
      </tp>
      <tp>
        <v>-0.20719527200000001</v>
        <stp/>
        <stp xml:space="preserve">	SEKON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" s="7"/>
      </tp>
      <tp>
        <v>0.17750000000000002</v>
        <stp/>
        <stp xml:space="preserve">	SEKON6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-0.24399999999999999</v>
        <stp/>
        <stp xml:space="preserve">	SEKON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0.23875000000000002</v>
        <stp/>
        <stp xml:space="preserve">	SEKON7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0.03</v>
        <stp/>
        <stp xml:space="preserve">	SEKON4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-0.23700000000000002</v>
        <stp/>
        <stp xml:space="preserve">	SEKON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0.105</v>
        <stp/>
        <stp xml:space="preserve">	SEKON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>
        <v>-0.24099999999999999</v>
        <stp/>
        <stp xml:space="preserve">	SEKON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-9.6250000000000002E-2</v>
        <stp/>
        <stp xml:space="preserve">	SEKON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-0.224</v>
        <stp/>
        <stp xml:space="preserve">	SEKON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-3.7499999999999999E-2</v>
        <stp/>
        <stp xml:space="preserve">	SEKON3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-0.23200000000000001</v>
        <stp/>
        <stp xml:space="preserve">	SEKON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-0.24199999999999999</v>
        <stp/>
        <stp xml:space="preserve">	SEKON1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>
        <v>-0.21299999999999999</v>
        <stp/>
        <stp xml:space="preserve">	SEKON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0.29125000000000001</v>
        <stp/>
        <stp xml:space="preserve">	SEKON8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0.33625000000000005</v>
        <stp/>
        <stp xml:space="preserve">	SEKON9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-0.25</v>
        <stp/>
        <stp xml:space="preserve">	SEKON9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8" s="7"/>
      </tp>
    </main>
    <main first="pldatasource.rtgetrtdserver">
      <tp>
        <v>0.65625</v>
        <stp/>
        <stp xml:space="preserve">
SEKON30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7"/>
      </tp>
      <tp>
        <v>0.63875000000000004</v>
        <stp/>
        <stp xml:space="preserve">
SEKON25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7"/>
      </tp>
      <tp>
        <v>0.59375</v>
        <stp/>
        <stp xml:space="preserve">
SEKON20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7"/>
      </tp>
      <tp>
        <v>0.50750000000000006</v>
        <stp/>
        <stp xml:space="preserve">
SEKON15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7"/>
      </tp>
      <tp>
        <v>0.435</v>
        <stp/>
        <stp xml:space="preserve">
SEKON12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>
        <v>0.3725</v>
        <stp/>
        <stp xml:space="preserve">
SEKON10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</main>
    <main first="pldatasource.rtgetrtdserver">
      <tp>
        <v>-0.20716403</v>
        <stp/>
        <stp xml:space="preserve">	SEKON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" s="7"/>
      </tp>
      <tp>
        <v>-0.20719527200000001</v>
        <stp/>
        <stp xml:space="preserve">	SEKON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" s="7"/>
      </tp>
      <tp>
        <v>0.17750000000000002</v>
        <stp/>
        <stp xml:space="preserve">	SEKON6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>
        <v>-0.24399999999999999</v>
        <stp/>
        <stp xml:space="preserve">	SEKON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7" s="7"/>
      </tp>
      <tp>
        <v>0.23875000000000002</v>
        <stp/>
        <stp xml:space="preserve">	SEKON7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>
        <v>0.03</v>
        <stp/>
        <stp xml:space="preserve">	SEKON4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>
        <v>-0.23700000000000002</v>
        <stp/>
        <stp xml:space="preserve">	SEKON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5" s="7"/>
      </tp>
      <tp>
        <v>0.105</v>
        <stp/>
        <stp xml:space="preserve">	SEKON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  <tp>
        <v>-0.24099999999999999</v>
        <stp/>
        <stp xml:space="preserve">	SEKON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6" s="7"/>
      </tp>
      <tp>
        <v>-9.6250000000000002E-2</v>
        <stp/>
        <stp xml:space="preserve">	SEKON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>
        <v>-0.224</v>
        <stp/>
        <stp xml:space="preserve">	SEKON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-3.7499999999999999E-2</v>
        <stp/>
        <stp xml:space="preserve">	SEKON3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>
        <v>-0.23200000000000001</v>
        <stp/>
        <stp xml:space="preserve">	SEKON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-0.24199999999999999</v>
        <stp/>
        <stp xml:space="preserve">	SEKON1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>
        <v>-0.21299999999999999</v>
        <stp/>
        <stp xml:space="preserve">	SEKON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>
        <v>0.29125000000000001</v>
        <stp/>
        <stp xml:space="preserve">	SEKON8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>
        <v>0.33625000000000005</v>
        <stp/>
        <stp xml:space="preserve">	SEKON9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>
        <v>-0.25</v>
        <stp/>
        <stp xml:space="preserve">	SEKON9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8" s="7"/>
      </tp>
    </main>
    <main first="pldatasource.rtgetrtdserver">
      <tp>
        <v>0.50750000000000006</v>
        <stp/>
        <stp xml:space="preserve">
SEKON15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>
        <v>0.435</v>
        <stp/>
        <stp xml:space="preserve">
SEKON12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0.3725</v>
        <stp/>
        <stp xml:space="preserve">
SEKON10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0.63875000000000004</v>
        <stp/>
        <stp xml:space="preserve">
SEKON25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0.59375</v>
        <stp/>
        <stp xml:space="preserve">
SEKON20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0.65625</v>
        <stp/>
        <stp xml:space="preserve">
SEKON30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</main>
    <main first="pldatasource.rtgetrtdserver">
      <tp>
        <v>-1.5234412000000001E-2</v>
        <stp/>
        <stp xml:space="preserve">	SEK6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" s="7"/>
      </tp>
      <tp>
        <v>-1.5005242E-2</v>
        <stp/>
        <stp xml:space="preserve">	SEK6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" s="7"/>
      </tp>
      <tp>
        <v>-4.4999999999999998E-2</v>
        <stp/>
        <stp xml:space="preserve">	SEK6M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7" s="7"/>
      </tp>
      <tp>
        <v>-4.0500000000000001E-2</v>
        <stp/>
        <stp xml:space="preserve">	SEK6M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5" s="7"/>
      </tp>
      <tp>
        <v>-4.3300000000000005E-2</v>
        <stp/>
        <stp xml:space="preserve">	SEK6M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6" s="7"/>
      </tp>
      <tp>
        <v>-1.5936275E-2</v>
        <stp/>
        <stp xml:space="preserve">	SEK6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" s="7"/>
      </tp>
      <tp>
        <v>-0.03</v>
        <stp/>
        <stp xml:space="preserve">	SEK6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" s="7"/>
      </tp>
      <tp>
        <v>-1.7106056000000001E-2</v>
        <stp/>
        <stp xml:space="preserve">	SEK6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" s="7"/>
      </tp>
      <tp>
        <v>-3.6799999999999999E-2</v>
        <stp/>
        <stp xml:space="preserve">	SEK6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4" s="7"/>
      </tp>
      <tp>
        <v>-2.0200000000000003E-2</v>
        <stp/>
        <stp xml:space="preserve">	SEK6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" s="7"/>
      </tp>
      <tp>
        <v>1.328711685</v>
        <stp/>
        <stp xml:space="preserve">	SEK1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8" s="7"/>
      </tp>
      <tp>
        <v>1.249260018</v>
        <stp/>
        <stp xml:space="preserve">	SEK1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7" s="7"/>
      </tp>
      <tp>
        <v>1.356659464</v>
        <stp/>
        <stp xml:space="preserve">	SEK1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7"/>
      </tp>
      <tp>
        <v>1.0839021990000002</v>
        <stp/>
        <stp xml:space="preserve">	SEK1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6" s="7"/>
      </tp>
      <tp>
        <v>0.81671830900000009</v>
        <stp/>
        <stp xml:space="preserve">	SEK1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>
        <v>0.94180458800000011</v>
        <stp/>
        <stp xml:space="preserve">	SEK1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>
        <v>0.75750000000000006</v>
        <stp/>
        <stp>_x0008_SEK3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2" s="7"/>
      </tp>
      <tp>
        <v>0.84750000000000003</v>
        <stp/>
        <stp>_x0008_SEK3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3" s="7"/>
      </tp>
      <tp>
        <v>0.23</v>
        <stp/>
        <stp>_x0008_SEK3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8" s="7"/>
      </tp>
      <tp>
        <v>0.38250000000000001</v>
        <stp/>
        <stp>_x0008_SEK3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9" s="7"/>
      </tp>
      <tp>
        <v>0.53</v>
        <stp/>
        <stp>_x0008_SEK3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0" s="7"/>
      </tp>
      <tp>
        <v>0.65250000000000008</v>
        <stp/>
        <stp>_x0008_SEK3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1" s="7"/>
      </tp>
      <tp>
        <v>-0.11396569000000001</v>
        <stp/>
        <stp>_x0008_SEK3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5" s="7"/>
      </tp>
      <tp>
        <v>-0.05</v>
        <stp/>
        <stp>_x0008_SEK3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6" s="7"/>
      </tp>
      <tp>
        <v>0.08</v>
        <stp/>
        <stp>_x0008_SEK3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7" s="7"/>
      </tp>
    </main>
    <main first="pldatasource.rtgetrtdserver">
      <tp>
        <v>1.42</v>
        <stp/>
        <stp xml:space="preserve">	SEK3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8" s="7"/>
      </tp>
      <tp>
        <v>1.345</v>
        <stp/>
        <stp xml:space="preserve">	SEK3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7" s="7"/>
      </tp>
      <tp>
        <v>1.4450000000000001</v>
        <stp/>
        <stp xml:space="preserve">	SEK3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7"/>
      </tp>
      <tp>
        <v>1.1850000000000001</v>
        <stp/>
        <stp xml:space="preserve">	SEK3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6" s="7"/>
      </tp>
      <tp>
        <v>0.92</v>
        <stp/>
        <stp xml:space="preserve">	SEK3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4" s="7"/>
      </tp>
      <tp>
        <v>1.0449999999999999</v>
        <stp/>
        <stp xml:space="preserve">	SEK3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5" s="7"/>
      </tp>
      <tp>
        <v>0.65427037300000002</v>
        <stp/>
        <stp>_x0008_SEK1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>
        <v>0.74422578700000008</v>
        <stp/>
        <stp>_x0008_SEK1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0.12770567600000002</v>
        <stp/>
        <stp>_x0008_SEK1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>
        <v>0.27961965900000002</v>
        <stp/>
        <stp>_x0008_SEK1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>
        <v>0.42690083900000003</v>
        <stp/>
        <stp>_x0008_SEK1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>
        <v>0.54928412199999999</v>
        <stp/>
        <stp>_x0008_SEK1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>
        <v>-0.19362547900000002</v>
        <stp/>
        <stp>_x0008_SEK1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>
        <v>-0.14377569500000001</v>
        <stp/>
        <stp>_x0008_SEK1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>
        <v>-1.9542244E-2</v>
        <stp/>
        <stp>_x0008_SEK1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</main>
    <main first="pldatasource.rtgetrtdserver">
      <tp>
        <v>-6.4211153000000007E-2</v>
        <stp/>
        <stp xml:space="preserve">	SEK3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-6.3944235000000002E-2</v>
        <stp/>
        <stp xml:space="preserve">	SEK3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  <tp>
        <v>-6.502922400000001E-2</v>
        <stp/>
        <stp xml:space="preserve">	SEK3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-8.14E-2</v>
        <stp/>
        <stp xml:space="preserve">	SEK3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-6.6392913999999997E-2</v>
        <stp/>
        <stp xml:space="preserve">	SEK3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-8.9700000000000002E-2</v>
        <stp/>
        <stp xml:space="preserve">	SEK3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  <tp>
        <v>-7.0000000000000007E-2</v>
        <stp/>
        <stp xml:space="preserve">	SEK3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0.8547106470000001</v>
        <stp/>
        <stp>_x0008_SEK6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2" s="7"/>
      </tp>
      <tp>
        <v>0.94485063000000002</v>
        <stp/>
        <stp>_x0008_SEK6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3" s="7"/>
      </tp>
      <tp>
        <v>0.32518768100000001</v>
        <stp/>
        <stp>_x0008_SEK6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8" s="7"/>
      </tp>
      <tp>
        <v>0.47876987900000001</v>
        <stp/>
        <stp>_x0008_SEK6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9" s="7"/>
      </tp>
      <tp>
        <v>0.62668490900000007</v>
        <stp/>
        <stp>_x0008_SEK6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0" s="7"/>
      </tp>
      <tp>
        <v>0.74949886100000007</v>
        <stp/>
        <stp>_x0008_SEK6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1" s="7"/>
      </tp>
      <tp>
        <v>-3.5870157999999999E-2</v>
        <stp/>
        <stp>_x0008_SEK6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5" s="7"/>
      </tp>
      <tp>
        <v>3.9722973000000002E-2</v>
        <stp/>
        <stp>_x0008_SEK6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6" s="7"/>
      </tp>
      <tp>
        <v>0.17345665100000002</v>
        <stp/>
        <stp>_x0008_SEK6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7" s="7"/>
      </tp>
    </main>
    <main first="pldatasource.rtgetrtdserver">
      <tp>
        <v>-0.12130000000000001</v>
        <stp/>
        <stp xml:space="preserve">	SEK1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-0.12102691400000001</v>
        <stp/>
        <stp xml:space="preserve">	SEK1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-0.1221</v>
        <stp/>
        <stp xml:space="preserve">	SEK1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-0.12340000000000001</v>
        <stp/>
        <stp xml:space="preserve">	SEK1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-0.1268</v>
        <stp/>
        <stp xml:space="preserve">	SEK1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1.4898787340000001</v>
        <stp/>
        <stp xml:space="preserve">	SEK6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8" s="7"/>
      </tp>
      <tp>
        <v>1.4223873680000001</v>
        <stp/>
        <stp xml:space="preserve">	SEK6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7" s="7"/>
      </tp>
      <tp>
        <v>1.508675728</v>
        <stp/>
        <stp xml:space="preserve">	SEK6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7"/>
      </tp>
      <tp>
        <v>1.2727362610000001</v>
        <stp/>
        <stp xml:space="preserve">	SEK6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6" s="7"/>
      </tp>
      <tp>
        <v>1.01694825</v>
        <stp/>
        <stp xml:space="preserve">	SEK6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4" s="7"/>
      </tp>
      <tp>
        <v>1.1395184470000002</v>
        <stp/>
        <stp xml:space="preserve">	SEK6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5" s="7"/>
      </tp>
    </main>
    <main first="pldatasource.rtgetrtdserver">
      <tp>
        <v>0.94485063000000002</v>
        <stp/>
        <stp>_x0008_SEK6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3" s="7"/>
      </tp>
      <tp>
        <v>0.8547106470000001</v>
        <stp/>
        <stp>_x0008_SEK6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2" s="7"/>
      </tp>
      <tp>
        <v>0.74949886100000007</v>
        <stp/>
        <stp>_x0008_SEK6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1" s="7"/>
      </tp>
      <tp>
        <v>0.62668490900000007</v>
        <stp/>
        <stp>_x0008_SEK6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0" s="7"/>
      </tp>
      <tp>
        <v>0.47876987900000001</v>
        <stp/>
        <stp>_x0008_SEK6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9" s="7"/>
      </tp>
      <tp>
        <v>0.32518768100000001</v>
        <stp/>
        <stp>_x0008_SEK6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8" s="7"/>
      </tp>
      <tp>
        <v>0.17345665100000002</v>
        <stp/>
        <stp>_x0008_SEK6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7" s="7"/>
      </tp>
      <tp>
        <v>3.9722973000000002E-2</v>
        <stp/>
        <stp>_x0008_SEK6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6" s="7"/>
      </tp>
      <tp>
        <v>-3.5870157999999999E-2</v>
        <stp/>
        <stp>_x0008_SEK6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5" s="7"/>
      </tp>
    </main>
    <main first="pldatasource.rtgetrtdserver">
      <tp>
        <v>0.74422578700000008</v>
        <stp/>
        <stp>_x0008_SEK1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0.65427037300000002</v>
        <stp/>
        <stp>_x0008_SEK1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0.54928412199999999</v>
        <stp/>
        <stp>_x0008_SEK1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>
        <v>0.42690083900000003</v>
        <stp/>
        <stp>_x0008_SEK1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0.27961965900000002</v>
        <stp/>
        <stp>_x0008_SEK1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0.12770567600000002</v>
        <stp/>
        <stp>_x0008_SEK1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-1.9542244E-2</v>
        <stp/>
        <stp>_x0008_SEK1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-0.14377569500000001</v>
        <stp/>
        <stp>_x0008_SEK1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>
        <v>-0.19362547900000002</v>
        <stp/>
        <stp>_x0008_SEK1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</main>
    <main first="pldatasource.rtgetrtdserver">
      <tp>
        <v>0.84750000000000003</v>
        <stp/>
        <stp>_x0008_SEK3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0.75750000000000006</v>
        <stp/>
        <stp>_x0008_SEK3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>
        <v>0.65250000000000008</v>
        <stp/>
        <stp>_x0008_SEK3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>
        <v>0.53</v>
        <stp/>
        <stp>_x0008_SEK3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>
        <v>0.38250000000000001</v>
        <stp/>
        <stp>_x0008_SEK3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>
        <v>0.23</v>
        <stp/>
        <stp>_x0008_SEK3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>
        <v>0.08</v>
        <stp/>
        <stp>_x0008_SEK3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-0.05</v>
        <stp/>
        <stp>_x0008_SEK3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-0.11396569000000001</v>
        <stp/>
        <stp>_x0008_SEK3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>
        <v>1.42</v>
        <stp/>
        <stp xml:space="preserve">	SEK3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8" s="7"/>
      </tp>
      <tp>
        <v>1.345</v>
        <stp/>
        <stp xml:space="preserve">	SEK3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7" s="7"/>
      </tp>
      <tp>
        <v>1.4450000000000001</v>
        <stp/>
        <stp xml:space="preserve">	SEK3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7"/>
      </tp>
      <tp>
        <v>1.1850000000000001</v>
        <stp/>
        <stp xml:space="preserve">	SEK3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6" s="7"/>
      </tp>
      <tp>
        <v>1.0449999999999999</v>
        <stp/>
        <stp xml:space="preserve">	SEK3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>
        <v>0.92</v>
        <stp/>
        <stp xml:space="preserve">	SEK3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>
        <v>1.328711685</v>
        <stp/>
        <stp xml:space="preserve">	SEK1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1.249260018</v>
        <stp/>
        <stp xml:space="preserve">	SEK1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1.356659464</v>
        <stp/>
        <stp xml:space="preserve">	SEK1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1.0839021990000002</v>
        <stp/>
        <stp xml:space="preserve">	SEK1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0.94180458800000011</v>
        <stp/>
        <stp xml:space="preserve">	SEK1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0.81671830900000009</v>
        <stp/>
        <stp xml:space="preserve">	SEK1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-1.5234412000000001E-2</v>
        <stp/>
        <stp xml:space="preserve">	SEK6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" s="7"/>
      </tp>
      <tp>
        <v>-1.5005242E-2</v>
        <stp/>
        <stp xml:space="preserve">	SEK6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" s="7"/>
      </tp>
      <tp>
        <v>-4.4999999999999998E-2</v>
        <stp/>
        <stp xml:space="preserve">	SEK6M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7" s="7"/>
      </tp>
      <tp>
        <v>-4.0500000000000001E-2</v>
        <stp/>
        <stp xml:space="preserve">	SEK6M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5" s="7"/>
      </tp>
      <tp>
        <v>-4.3300000000000005E-2</v>
        <stp/>
        <stp xml:space="preserve">	SEK6M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6" s="7"/>
      </tp>
      <tp>
        <v>-1.5936275E-2</v>
        <stp/>
        <stp xml:space="preserve">	SEK6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" s="7"/>
      </tp>
      <tp>
        <v>-0.03</v>
        <stp/>
        <stp xml:space="preserve">	SEK6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3" s="7"/>
      </tp>
      <tp>
        <v>-1.7106056000000001E-2</v>
        <stp/>
        <stp xml:space="preserve">	SEK6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1" s="7"/>
      </tp>
      <tp>
        <v>-3.6799999999999999E-2</v>
        <stp/>
        <stp xml:space="preserve">	SEK6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4" s="7"/>
      </tp>
      <tp>
        <v>-2.0200000000000003E-2</v>
        <stp/>
        <stp xml:space="preserve">	SEK6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2" s="7"/>
      </tp>
      <tp>
        <v>1.4898787340000001</v>
        <stp/>
        <stp xml:space="preserve">	SEK6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8" s="7"/>
      </tp>
      <tp>
        <v>1.4223873680000001</v>
        <stp/>
        <stp xml:space="preserve">	SEK6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7" s="7"/>
      </tp>
      <tp>
        <v>1.508675728</v>
        <stp/>
        <stp xml:space="preserve">	SEK6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7"/>
      </tp>
      <tp>
        <v>1.2727362610000001</v>
        <stp/>
        <stp xml:space="preserve">	SEK6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6" s="7"/>
      </tp>
      <tp>
        <v>1.1395184470000002</v>
        <stp/>
        <stp xml:space="preserve">	SEK6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5" s="7"/>
      </tp>
      <tp>
        <v>1.01694825</v>
        <stp/>
        <stp xml:space="preserve">	SEK6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4" s="7"/>
      </tp>
      <tp>
        <v>-0.12130000000000001</v>
        <stp/>
        <stp xml:space="preserve">	SEK1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  <tp>
        <v>-0.12102691400000001</v>
        <stp/>
        <stp xml:space="preserve">	SEK1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>
        <v>-0.1221</v>
        <stp/>
        <stp xml:space="preserve">	SEK1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-0.12340000000000001</v>
        <stp/>
        <stp xml:space="preserve">	SEK1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-0.1268</v>
        <stp/>
        <stp xml:space="preserve">	SEK1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-6.4211153000000007E-2</v>
        <stp/>
        <stp xml:space="preserve">	SEK3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" s="7"/>
      </tp>
      <tp>
        <v>-6.3944235000000002E-2</v>
        <stp/>
        <stp xml:space="preserve">	SEK3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  <tp>
        <v>-6.502922400000001E-2</v>
        <stp/>
        <stp xml:space="preserve">	SEK3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" s="7"/>
      </tp>
      <tp>
        <v>-8.14E-2</v>
        <stp/>
        <stp xml:space="preserve">	SEK3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" s="7"/>
      </tp>
      <tp>
        <v>-6.6392913999999997E-2</v>
        <stp/>
        <stp xml:space="preserve">	SEK3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" s="7"/>
      </tp>
      <tp>
        <v>-8.9700000000000002E-2</v>
        <stp/>
        <stp xml:space="preserve">	SEK3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4" s="7"/>
      </tp>
      <tp>
        <v>-7.0000000000000007E-2</v>
        <stp/>
        <stp xml:space="preserve">	SEK3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" s="7"/>
      </tp>
      <tp>
        <v>100.09</v>
        <stp/>
        <stp>_x0007_SEK3M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2" s="7"/>
      </tp>
      <tp>
        <v>100.0475</v>
        <stp/>
        <stp>_x0007_SEK3M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>
        <v>100.11500000000001</v>
        <stp/>
        <stp>_x0007_SEK3M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 t="s">
        <v>#N/A RIC Not Found</v>
        <stp/>
        <stp>_x0007_SEK3M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100.125</v>
        <stp/>
        <stp>_x0007_SEK3M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>
        <v>100.12</v>
        <stp/>
        <stp>_x0007_SEK3M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1" s="7"/>
      </tp>
      <tp>
        <v>100.12</v>
        <stp/>
        <stp>_x0007_SEK3M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1" s="7"/>
      </tp>
      <tp>
        <v>100.125</v>
        <stp/>
        <stp>_x0007_SEK3M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0" s="7"/>
      </tp>
      <tp t="s">
        <v>#N/A RIC Not Found</v>
        <stp/>
        <stp>_x0007_SEK3M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4" s="7"/>
      </tp>
      <tp>
        <v>100.09</v>
        <stp/>
        <stp>_x0007_SEK3M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2" s="7"/>
      </tp>
      <tp>
        <v>100.11500000000001</v>
        <stp/>
        <stp>_x0007_SEK3M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9" s="7"/>
      </tp>
      <tp>
        <v>100.0475</v>
        <stp/>
        <stp>_x0007_SEK3M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3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"/>
      <sheetName val="Swaps3M"/>
      <sheetName val="BasisSwap3M6M"/>
      <sheetName val="BasisSwap1M3M"/>
    </sheetNames>
    <definedNames>
      <definedName name="TriggerCounter" refersTo="='General Settings'!$I$3"/>
    </definedNames>
    <sheetDataSet>
      <sheetData sheetId="0">
        <row r="3">
          <cell r="I3">
            <v>2</v>
          </cell>
        </row>
      </sheetData>
      <sheetData sheetId="1">
        <row r="3">
          <cell r="I3" t="str">
            <v>Index Object ID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showGridLines="0" workbookViewId="0">
      <selection activeCell="D4" sqref="D4"/>
    </sheetView>
  </sheetViews>
  <sheetFormatPr defaultRowHeight="13.5" x14ac:dyDescent="0.25"/>
  <cols>
    <col min="1" max="2" width="2.7109375" style="52" customWidth="1"/>
    <col min="3" max="3" width="23.42578125" style="52" bestFit="1" customWidth="1"/>
    <col min="4" max="4" width="28.5703125" style="52" bestFit="1" customWidth="1"/>
    <col min="5" max="5" width="2.7109375" style="52" customWidth="1"/>
    <col min="6" max="6" width="3.42578125" style="52" customWidth="1"/>
    <col min="7" max="16384" width="9.140625" style="52"/>
  </cols>
  <sheetData>
    <row r="1" spans="2:5" s="1" customFormat="1" ht="11.25" x14ac:dyDescent="0.2">
      <c r="B1" s="1" t="str">
        <f>_xll.qlxlVersion(TRUE)</f>
        <v>QuantLibXL 1.5.0 - MS VC++ 9.0 - Multithreaded Dynamic Runtime library - Release Configuration - Nov  4 2014 09:24:39</v>
      </c>
    </row>
    <row r="2" spans="2:5" ht="19.5" x14ac:dyDescent="0.35">
      <c r="B2" s="132" t="s">
        <v>4</v>
      </c>
      <c r="C2" s="133"/>
      <c r="D2" s="133"/>
      <c r="E2" s="134"/>
    </row>
    <row r="3" spans="2:5" s="1" customFormat="1" ht="11.25" x14ac:dyDescent="0.2">
      <c r="B3" s="135"/>
      <c r="C3" s="53"/>
      <c r="D3" s="53"/>
      <c r="E3" s="136"/>
    </row>
    <row r="4" spans="2:5" s="1" customFormat="1" ht="11.25" x14ac:dyDescent="0.2">
      <c r="B4" s="135"/>
      <c r="C4" s="179" t="s">
        <v>5</v>
      </c>
      <c r="D4" s="178">
        <v>42086.438738425924</v>
      </c>
      <c r="E4" s="136"/>
    </row>
    <row r="5" spans="2:5" s="1" customFormat="1" ht="11.25" x14ac:dyDescent="0.2">
      <c r="B5" s="135"/>
      <c r="C5" s="149" t="s">
        <v>110</v>
      </c>
      <c r="D5" s="124">
        <f>[1]!TriggerCounter</f>
        <v>2</v>
      </c>
      <c r="E5" s="136"/>
    </row>
    <row r="6" spans="2:5" s="1" customFormat="1" ht="11.25" x14ac:dyDescent="0.2">
      <c r="B6" s="135"/>
      <c r="C6" s="151" t="s">
        <v>12</v>
      </c>
      <c r="D6" s="141">
        <f>_xll.qlSettingsEvaluationDate(Trigger)</f>
        <v>42086</v>
      </c>
      <c r="E6" s="136"/>
    </row>
    <row r="7" spans="2:5" s="1" customFormat="1" ht="11.25" x14ac:dyDescent="0.2">
      <c r="B7" s="137"/>
      <c r="C7" s="138"/>
      <c r="D7" s="138"/>
      <c r="E7" s="139"/>
    </row>
    <row r="9" spans="2:5" ht="16.5" x14ac:dyDescent="0.3">
      <c r="B9" s="132" t="s">
        <v>3</v>
      </c>
      <c r="C9" s="133"/>
      <c r="D9" s="133"/>
      <c r="E9" s="140"/>
    </row>
    <row r="10" spans="2:5" s="1" customFormat="1" ht="11.25" x14ac:dyDescent="0.2">
      <c r="B10" s="135"/>
      <c r="C10" s="53"/>
      <c r="D10" s="53"/>
      <c r="E10" s="136"/>
    </row>
    <row r="11" spans="2:5" s="1" customFormat="1" ht="11.25" x14ac:dyDescent="0.2">
      <c r="B11" s="135"/>
      <c r="C11" s="147" t="s">
        <v>6</v>
      </c>
      <c r="D11" s="125" t="s">
        <v>77</v>
      </c>
      <c r="E11" s="136"/>
    </row>
    <row r="12" spans="2:5" s="1" customFormat="1" ht="11.25" x14ac:dyDescent="0.2">
      <c r="B12" s="135"/>
      <c r="C12" s="148" t="s">
        <v>68</v>
      </c>
      <c r="D12" s="126" t="str">
        <f>Currency&amp;"ON"</f>
        <v>SEKON</v>
      </c>
      <c r="E12" s="136"/>
    </row>
    <row r="13" spans="2:5" s="1" customFormat="1" ht="11.25" x14ac:dyDescent="0.2">
      <c r="B13" s="135"/>
      <c r="C13" s="148" t="s">
        <v>11</v>
      </c>
      <c r="D13" s="127" t="str">
        <f>PROPER(Currency)&amp;"ibor"</f>
        <v>Sekibor</v>
      </c>
      <c r="E13" s="136"/>
    </row>
    <row r="14" spans="2:5" s="1" customFormat="1" ht="11.25" x14ac:dyDescent="0.2">
      <c r="B14" s="135"/>
      <c r="C14" s="148" t="s">
        <v>13</v>
      </c>
      <c r="D14" s="127" t="s">
        <v>21</v>
      </c>
      <c r="E14" s="136"/>
    </row>
    <row r="15" spans="2:5" s="1" customFormat="1" ht="11.25" x14ac:dyDescent="0.2">
      <c r="B15" s="135"/>
      <c r="C15" s="148" t="s">
        <v>9</v>
      </c>
      <c r="D15" s="128">
        <f>_xll.qlInterestRateIndexFixingDays(IborIndexFamily&amp;MainTenor,Trigger)</f>
        <v>2</v>
      </c>
      <c r="E15" s="136"/>
    </row>
    <row r="16" spans="2:5" s="1" customFormat="1" ht="11.25" x14ac:dyDescent="0.2">
      <c r="B16" s="135"/>
      <c r="C16" s="148" t="s">
        <v>64</v>
      </c>
      <c r="D16" s="128" t="s">
        <v>78</v>
      </c>
      <c r="E16" s="136"/>
    </row>
    <row r="17" spans="2:5" s="1" customFormat="1" ht="11.25" x14ac:dyDescent="0.2">
      <c r="B17" s="135"/>
      <c r="C17" s="148" t="s">
        <v>65</v>
      </c>
      <c r="D17" s="128" t="s">
        <v>78</v>
      </c>
      <c r="E17" s="136"/>
    </row>
    <row r="18" spans="2:5" s="1" customFormat="1" ht="11.25" x14ac:dyDescent="0.2">
      <c r="B18" s="135"/>
      <c r="C18" s="148" t="s">
        <v>63</v>
      </c>
      <c r="D18" s="127" t="b">
        <f>_xll.qlCalendarIsHoliday(LocalCalendar,_xll.qlCalendarAdvance(LiborCalendar,EvaluationDate,SettlementDays&amp;"D","f",FALSE,Trigger))</f>
        <v>0</v>
      </c>
      <c r="E18" s="136"/>
    </row>
    <row r="19" spans="2:5" s="1" customFormat="1" ht="11.25" x14ac:dyDescent="0.2">
      <c r="B19" s="135"/>
      <c r="C19" s="148" t="s">
        <v>7</v>
      </c>
      <c r="D19" s="127" t="str">
        <f>IF(D18,LocalCalendar,LiborCalendar)</f>
        <v>Sweden</v>
      </c>
      <c r="E19" s="136"/>
    </row>
    <row r="20" spans="2:5" s="1" customFormat="1" ht="11.25" x14ac:dyDescent="0.2">
      <c r="B20" s="135"/>
      <c r="C20" s="149" t="s">
        <v>10</v>
      </c>
      <c r="D20" s="129">
        <f>_xll.qlCalendarAdvance(Calendar,EvaluationDate,SettlementDays&amp;"d","following",FALSE)</f>
        <v>42088</v>
      </c>
      <c r="E20" s="136"/>
    </row>
    <row r="21" spans="2:5" s="1" customFormat="1" ht="11.25" x14ac:dyDescent="0.2">
      <c r="B21" s="135"/>
      <c r="C21" s="150" t="s">
        <v>49</v>
      </c>
      <c r="D21" s="130" t="s">
        <v>50</v>
      </c>
      <c r="E21" s="136"/>
    </row>
    <row r="22" spans="2:5" s="1" customFormat="1" ht="11.25" x14ac:dyDescent="0.2">
      <c r="B22" s="137"/>
      <c r="C22" s="138"/>
      <c r="D22" s="138"/>
      <c r="E22" s="139"/>
    </row>
  </sheetData>
  <dataValidations count="3"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"EUR,USD,GBP,JPY,CHF,AUD,CNY,CNH,HKD,RMB,SEK"</formula1>
    </dataValidation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49"/>
  <sheetViews>
    <sheetView showGridLines="0" tabSelected="1" topLeftCell="C1" workbookViewId="0">
      <selection activeCell="C2" sqref="C2"/>
    </sheetView>
  </sheetViews>
  <sheetFormatPr defaultColWidth="3" defaultRowHeight="11.25" outlineLevelCol="1" x14ac:dyDescent="0.2"/>
  <cols>
    <col min="1" max="1" width="5" style="1" hidden="1" customWidth="1" outlineLevel="1"/>
    <col min="2" max="2" width="10" style="1" hidden="1" customWidth="1" outlineLevel="1"/>
    <col min="3" max="3" width="11" style="1" bestFit="1" customWidth="1" collapsed="1"/>
    <col min="4" max="8" width="15.7109375" style="1" customWidth="1"/>
    <col min="9" max="9" width="2.7109375" style="2" customWidth="1"/>
    <col min="10" max="10" width="10" style="1" bestFit="1" customWidth="1"/>
    <col min="11" max="12" width="8" style="1" bestFit="1" customWidth="1"/>
    <col min="13" max="13" width="11" style="1" bestFit="1" customWidth="1"/>
    <col min="14" max="15" width="8" style="1" bestFit="1" customWidth="1"/>
    <col min="16" max="16" width="10" style="1" customWidth="1"/>
    <col min="17" max="18" width="8" style="1" bestFit="1" customWidth="1"/>
    <col min="19" max="19" width="10" style="1" customWidth="1"/>
    <col min="20" max="21" width="9" style="1" bestFit="1" customWidth="1"/>
    <col min="22" max="22" width="10" style="1" customWidth="1"/>
    <col min="23" max="24" width="8" style="1" bestFit="1" customWidth="1"/>
    <col min="25" max="25" width="2.7109375" style="1" customWidth="1"/>
    <col min="26" max="26" width="10.28515625" style="1" customWidth="1"/>
    <col min="27" max="27" width="10.28515625" style="2" customWidth="1"/>
    <col min="28" max="28" width="10.28515625" style="1" customWidth="1"/>
    <col min="29" max="29" width="10.28515625" style="2" customWidth="1"/>
    <col min="30" max="30" width="10.28515625" style="1" customWidth="1"/>
    <col min="31" max="31" width="10.28515625" style="2" customWidth="1"/>
    <col min="32" max="32" width="10.28515625" style="1" customWidth="1"/>
    <col min="33" max="33" width="10.28515625" style="2" customWidth="1"/>
    <col min="34" max="34" width="10.28515625" style="1" customWidth="1"/>
    <col min="35" max="35" width="10.28515625" style="2" customWidth="1"/>
    <col min="36" max="36" width="2.7109375" style="1" customWidth="1"/>
    <col min="37" max="42" width="14.42578125" style="1" customWidth="1"/>
    <col min="43" max="16384" width="3" style="1"/>
  </cols>
  <sheetData>
    <row r="1" spans="3:36" x14ac:dyDescent="0.2">
      <c r="C1" s="120" t="s">
        <v>8</v>
      </c>
      <c r="D1" s="122" t="s">
        <v>80</v>
      </c>
      <c r="E1" s="121" t="s">
        <v>81</v>
      </c>
      <c r="F1" s="121"/>
      <c r="H1" s="2"/>
    </row>
    <row r="2" spans="3:36" ht="11.25" customHeight="1" x14ac:dyDescent="0.2">
      <c r="C2" s="35"/>
      <c r="D2" s="20" t="s">
        <v>2</v>
      </c>
      <c r="E2" s="36" t="s">
        <v>0</v>
      </c>
      <c r="F2" s="19" t="s">
        <v>1</v>
      </c>
      <c r="I2" s="1"/>
      <c r="AA2" s="1"/>
      <c r="AC2" s="1"/>
      <c r="AE2" s="1"/>
      <c r="AG2" s="1"/>
      <c r="AI2" s="1"/>
    </row>
    <row r="3" spans="3:36" ht="11.25" customHeight="1" x14ac:dyDescent="0.2">
      <c r="D3" s="83"/>
      <c r="E3" s="83"/>
      <c r="F3" s="84"/>
      <c r="I3" s="1"/>
      <c r="AA3" s="1"/>
      <c r="AC3" s="1"/>
      <c r="AE3" s="1"/>
      <c r="AG3" s="1"/>
      <c r="AI3" s="1"/>
    </row>
    <row r="4" spans="3:36" ht="11.25" customHeight="1" x14ac:dyDescent="0.2">
      <c r="C4" s="180" t="s">
        <v>71</v>
      </c>
      <c r="D4" s="180"/>
      <c r="E4" s="180"/>
      <c r="F4" s="181"/>
      <c r="G4" s="181"/>
      <c r="H4" s="182"/>
      <c r="I4" s="1"/>
      <c r="J4" s="7" t="str">
        <f>D5</f>
        <v>STD</v>
      </c>
      <c r="K4" s="7"/>
      <c r="L4" s="7"/>
      <c r="M4" s="7" t="str">
        <f>E5</f>
        <v>OIS</v>
      </c>
      <c r="N4" s="7"/>
      <c r="O4" s="7"/>
      <c r="P4" s="7" t="str">
        <f>F5</f>
        <v>1M</v>
      </c>
      <c r="Q4" s="7"/>
      <c r="R4" s="7"/>
      <c r="S4" s="7" t="str">
        <f>G5</f>
        <v>3M</v>
      </c>
      <c r="T4" s="7"/>
      <c r="U4" s="7"/>
      <c r="V4" s="7" t="str">
        <f>H5</f>
        <v>6M</v>
      </c>
      <c r="W4" s="7"/>
      <c r="X4" s="7"/>
      <c r="Y4" s="67" t="s">
        <v>56</v>
      </c>
      <c r="Z4" s="180" t="s">
        <v>82</v>
      </c>
      <c r="AA4" s="181"/>
      <c r="AB4" s="181"/>
      <c r="AC4" s="181"/>
      <c r="AD4" s="181"/>
      <c r="AE4" s="181"/>
      <c r="AF4" s="181"/>
      <c r="AG4" s="181"/>
      <c r="AH4" s="181"/>
      <c r="AI4" s="182"/>
      <c r="AJ4" s="33" t="s">
        <v>56</v>
      </c>
    </row>
    <row r="5" spans="3:36" s="28" customFormat="1" ht="11.25" customHeight="1" x14ac:dyDescent="0.2">
      <c r="C5" s="22" t="s">
        <v>67</v>
      </c>
      <c r="D5" s="22" t="s">
        <v>79</v>
      </c>
      <c r="E5" s="22" t="s">
        <v>47</v>
      </c>
      <c r="F5" s="22" t="s">
        <v>19</v>
      </c>
      <c r="G5" s="22" t="s">
        <v>21</v>
      </c>
      <c r="H5" s="22" t="s">
        <v>14</v>
      </c>
      <c r="J5" s="29" t="s">
        <v>54</v>
      </c>
      <c r="K5" s="22" t="s">
        <v>0</v>
      </c>
      <c r="L5" s="22" t="s">
        <v>1</v>
      </c>
      <c r="M5" s="29" t="s">
        <v>54</v>
      </c>
      <c r="N5" s="22" t="s">
        <v>0</v>
      </c>
      <c r="O5" s="22" t="s">
        <v>1</v>
      </c>
      <c r="P5" s="29" t="s">
        <v>54</v>
      </c>
      <c r="Q5" s="22" t="s">
        <v>0</v>
      </c>
      <c r="R5" s="22" t="s">
        <v>1</v>
      </c>
      <c r="S5" s="29" t="s">
        <v>54</v>
      </c>
      <c r="T5" s="22" t="s">
        <v>0</v>
      </c>
      <c r="U5" s="22" t="s">
        <v>1</v>
      </c>
      <c r="V5" s="29" t="s">
        <v>54</v>
      </c>
      <c r="W5" s="22" t="s">
        <v>0</v>
      </c>
      <c r="X5" s="22" t="s">
        <v>1</v>
      </c>
      <c r="Y5" s="67" t="s">
        <v>56</v>
      </c>
      <c r="Z5" s="180" t="str">
        <f>D5</f>
        <v>STD</v>
      </c>
      <c r="AA5" s="182"/>
      <c r="AB5" s="180" t="str">
        <f>E5</f>
        <v>OIS</v>
      </c>
      <c r="AC5" s="182"/>
      <c r="AD5" s="180" t="str">
        <f>F5</f>
        <v>1M</v>
      </c>
      <c r="AE5" s="182"/>
      <c r="AF5" s="180" t="str">
        <f>G5</f>
        <v>3M</v>
      </c>
      <c r="AG5" s="182"/>
      <c r="AH5" s="180" t="str">
        <f>H5</f>
        <v>6M</v>
      </c>
      <c r="AI5" s="182"/>
      <c r="AJ5" s="34" t="s">
        <v>56</v>
      </c>
    </row>
    <row r="6" spans="3:36" ht="11.25" customHeight="1" x14ac:dyDescent="0.2">
      <c r="C6" s="15" t="s">
        <v>15</v>
      </c>
      <c r="D6" s="15"/>
      <c r="E6" s="15" t="str">
        <f>IF(Contribute="abcd",_xll.RtContribute(SourceAlias,M6,Fields,N6:O6,"SCOPE:SERVER"),"stopped")</f>
        <v>stopped</v>
      </c>
      <c r="F6" s="118"/>
      <c r="G6" s="15"/>
      <c r="H6" s="117"/>
      <c r="I6" s="1"/>
      <c r="J6" s="8"/>
      <c r="K6" s="9"/>
      <c r="L6" s="9"/>
      <c r="M6" s="8" t="str">
        <f t="shared" ref="M6:M18" si="0">Currency&amp;"ON"&amp;C6&amp;"D="</f>
        <v>SEKONOND=</v>
      </c>
      <c r="N6" s="9">
        <f>'ON Pricing'!H6*100</f>
        <v>-0.20716389393711679</v>
      </c>
      <c r="O6" s="9">
        <f t="shared" ref="O6:O7" si="1">N6</f>
        <v>-0.20716389393711679</v>
      </c>
      <c r="P6" s="86"/>
      <c r="Q6" s="87"/>
      <c r="R6" s="87"/>
      <c r="S6" s="8"/>
      <c r="T6" s="9"/>
      <c r="U6" s="9"/>
      <c r="V6" s="8"/>
      <c r="W6" s="9"/>
      <c r="X6" s="9"/>
      <c r="Y6" s="67" t="s">
        <v>56</v>
      </c>
      <c r="Z6" s="9"/>
      <c r="AA6" s="9"/>
      <c r="AB6" s="9">
        <f>ABS(_xll.RtGet(SourceAlias,$M6,BID)-N6)</f>
        <v>1.3606288321033055E-7</v>
      </c>
      <c r="AC6" s="9">
        <f>ABS(_xll.RtGet(SourceAlias,$M6,ASK)-O6)</f>
        <v>1.3606288321033055E-7</v>
      </c>
      <c r="AD6" s="88"/>
      <c r="AE6" s="88"/>
      <c r="AF6" s="9"/>
      <c r="AG6" s="9"/>
      <c r="AH6" s="9"/>
      <c r="AI6" s="9"/>
      <c r="AJ6" s="33" t="s">
        <v>56</v>
      </c>
    </row>
    <row r="7" spans="3:36" ht="11.25" customHeight="1" x14ac:dyDescent="0.2">
      <c r="C7" s="17" t="s">
        <v>73</v>
      </c>
      <c r="D7" s="17"/>
      <c r="E7" s="17" t="str">
        <f>IF(Contribute="abcd",_xll.RtContribute(SourceAlias,M7,Fields,N7:O7,"SCOPE:SERVER"),"stopped")</f>
        <v>stopped</v>
      </c>
      <c r="F7" s="171"/>
      <c r="G7" s="17"/>
      <c r="H7" s="172"/>
      <c r="I7" s="1"/>
      <c r="J7" s="12"/>
      <c r="K7" s="13"/>
      <c r="L7" s="13"/>
      <c r="M7" s="12" t="str">
        <f t="shared" si="0"/>
        <v>SEKONTND=</v>
      </c>
      <c r="N7" s="13">
        <f>'ON Pricing'!H7*100</f>
        <v>-0.20719513692053865</v>
      </c>
      <c r="O7" s="13">
        <f t="shared" si="1"/>
        <v>-0.20719513692053865</v>
      </c>
      <c r="P7" s="102"/>
      <c r="Q7" s="103"/>
      <c r="R7" s="103"/>
      <c r="S7" s="12"/>
      <c r="T7" s="13"/>
      <c r="U7" s="13"/>
      <c r="V7" s="12"/>
      <c r="W7" s="13"/>
      <c r="X7" s="13"/>
      <c r="Y7" s="67" t="s">
        <v>56</v>
      </c>
      <c r="Z7" s="13"/>
      <c r="AA7" s="13"/>
      <c r="AB7" s="13">
        <f>ABS(_xll.RtGet(SourceAlias,$M7,BID)-N7)</f>
        <v>1.3507946136637194E-7</v>
      </c>
      <c r="AC7" s="13">
        <f>ABS(_xll.RtGet(SourceAlias,$M7,ASK)-O7)</f>
        <v>1.3507946136637194E-7</v>
      </c>
      <c r="AD7" s="104"/>
      <c r="AE7" s="104"/>
      <c r="AF7" s="13"/>
      <c r="AG7" s="13"/>
      <c r="AH7" s="13"/>
      <c r="AI7" s="13"/>
      <c r="AJ7" s="33"/>
    </row>
    <row r="8" spans="3:36" ht="11.25" customHeight="1" x14ac:dyDescent="0.2">
      <c r="C8" s="16" t="s">
        <v>74</v>
      </c>
      <c r="D8" s="16"/>
      <c r="E8" s="16"/>
      <c r="F8" s="119" t="str">
        <f>IF(Contribute="abcd",_xll.RtContribute(SourceAlias,P8,Fields,Q8:R8,"SCOPE:SERVER"),"stopped")</f>
        <v>stopped</v>
      </c>
      <c r="G8" s="16" t="str">
        <f>IF(Contribute="abcd",_xll.RtContribute(SourceAlias,S8,Fields,T8:U8,"SCOPE:SERVER"),"stopped")</f>
        <v>stopped</v>
      </c>
      <c r="H8" s="116" t="str">
        <f>IF(Contribute="abcd",_xll.RtContribute(SourceAlias,V8,Fields,W8:X8,"SCOPE:SERVER"),"stopped")</f>
        <v>stopped</v>
      </c>
      <c r="I8" s="1"/>
      <c r="J8" s="10"/>
      <c r="K8" s="11"/>
      <c r="L8" s="11"/>
      <c r="M8" s="10"/>
      <c r="N8" s="11"/>
      <c r="O8" s="11"/>
      <c r="P8" s="89" t="str">
        <f t="shared" ref="P8:P12" si="2">Currency&amp;$P$4&amp;C8&amp;"D="</f>
        <v>SEK1MSND=</v>
      </c>
      <c r="Q8" s="90">
        <f>'1M Pricing'!H8*100</f>
        <v>-0.12102406118863485</v>
      </c>
      <c r="R8" s="90">
        <f t="shared" ref="R8" si="3">Q8</f>
        <v>-0.12102406118863485</v>
      </c>
      <c r="S8" s="10" t="str">
        <f t="shared" ref="S8:S14" si="4">Currency&amp;$S$4&amp;C8&amp;"D="</f>
        <v>SEK3MSND=</v>
      </c>
      <c r="T8" s="11">
        <f>'3M Pricing'!H8*100</f>
        <v>-6.4766386753678518E-2</v>
      </c>
      <c r="U8" s="11">
        <f t="shared" ref="U8" si="5">T8</f>
        <v>-6.4766386753678518E-2</v>
      </c>
      <c r="V8" s="10" t="str">
        <f t="shared" ref="V8:V17" si="6">Currency&amp;$V$4&amp;C8&amp;"D="</f>
        <v>SEK6MSND=</v>
      </c>
      <c r="W8" s="11">
        <f>'6M Pricing'!H8*100</f>
        <v>-4.0800712896249536E-2</v>
      </c>
      <c r="X8" s="11">
        <f t="shared" ref="X8" si="7">W8</f>
        <v>-4.0800712896249536E-2</v>
      </c>
      <c r="Y8" s="67" t="s">
        <v>56</v>
      </c>
      <c r="Z8" s="11"/>
      <c r="AA8" s="11"/>
      <c r="AB8" s="11"/>
      <c r="AC8" s="11"/>
      <c r="AD8" s="91">
        <f>ABS(_xll.RtGet(SourceAlias,$P8,BID)-Q8)</f>
        <v>2.8528113651671294E-6</v>
      </c>
      <c r="AE8" s="91">
        <f>ABS(_xll.RtGet(SourceAlias,$P8,ASK)-R8)</f>
        <v>2.8528113651671294E-6</v>
      </c>
      <c r="AF8" s="11">
        <f>ABS(_xll.RtGet(SourceAlias,$S8,BID)-T8)</f>
        <v>8.2215175367851556E-4</v>
      </c>
      <c r="AG8" s="11">
        <f>ABS(_xll.RtGet(SourceAlias,$S8,ASK)-U8)</f>
        <v>8.2215175367851556E-4</v>
      </c>
      <c r="AH8" s="11">
        <f>ABS(_xll.RtGet(SourceAlias,$V8,BID)-W8)</f>
        <v>2.5795470896249534E-2</v>
      </c>
      <c r="AI8" s="11">
        <f>ABS(_xll.RtGet(SourceAlias,$V8,ASK)-X8)</f>
        <v>2.5795470896249534E-2</v>
      </c>
      <c r="AJ8" s="33"/>
    </row>
    <row r="9" spans="3:36" ht="11.25" customHeight="1" x14ac:dyDescent="0.2">
      <c r="C9" s="16" t="s">
        <v>16</v>
      </c>
      <c r="D9" s="16"/>
      <c r="E9" s="16"/>
      <c r="F9" s="119" t="str">
        <f>IF(Contribute="abcd",_xll.RtContribute(SourceAlias,P9,Fields,Q9:R9,"SCOPE:SERVER"),"stopped")</f>
        <v>stopped</v>
      </c>
      <c r="G9" s="16" t="str">
        <f>IF(Contribute="abcd",_xll.RtContribute(SourceAlias,S9,Fields,T9:U9,"SCOPE:SERVER"),"stopped")</f>
        <v>stopped</v>
      </c>
      <c r="H9" s="116" t="str">
        <f>IF(Contribute="abcd",_xll.RtContribute(SourceAlias,V9,Fields,W9:X9,"SCOPE:SERVER"),"stopped")</f>
        <v>stopped</v>
      </c>
      <c r="I9" s="1"/>
      <c r="J9" s="10"/>
      <c r="K9" s="11"/>
      <c r="L9" s="11"/>
      <c r="M9" s="10"/>
      <c r="N9" s="11"/>
      <c r="O9" s="11"/>
      <c r="P9" s="89" t="str">
        <f t="shared" si="2"/>
        <v>SEK1MSWD=</v>
      </c>
      <c r="Q9" s="90">
        <f>'1M Pricing'!H9*100</f>
        <v>-0.12129999999815105</v>
      </c>
      <c r="R9" s="90">
        <f t="shared" ref="R9:R12" si="8">Q9</f>
        <v>-0.12129999999815105</v>
      </c>
      <c r="S9" s="10" t="str">
        <f t="shared" si="4"/>
        <v>SEK3MSWD=</v>
      </c>
      <c r="T9" s="11">
        <f>'3M Pricing'!H9*100</f>
        <v>-6.5023497456121293E-2</v>
      </c>
      <c r="U9" s="11">
        <f t="shared" ref="U9:U14" si="9">T9</f>
        <v>-6.5023497456121293E-2</v>
      </c>
      <c r="V9" s="10" t="str">
        <f t="shared" si="6"/>
        <v>SEK6MSWD=</v>
      </c>
      <c r="W9" s="11">
        <f>'6M Pricing'!H9*100</f>
        <v>-4.0932932381895375E-2</v>
      </c>
      <c r="X9" s="11">
        <f t="shared" ref="X9:X17" si="10">W9</f>
        <v>-4.0932932381895375E-2</v>
      </c>
      <c r="Y9" s="67" t="s">
        <v>56</v>
      </c>
      <c r="Z9" s="11"/>
      <c r="AA9" s="11"/>
      <c r="AB9" s="11"/>
      <c r="AC9" s="11"/>
      <c r="AD9" s="91">
        <f>ABS(_xll.RtGet(SourceAlias,$P9,BID)-Q9)</f>
        <v>1.8489515474229279E-12</v>
      </c>
      <c r="AE9" s="91">
        <f>ABS(_xll.RtGet(SourceAlias,$P9,ASK)-R9)</f>
        <v>1.8489515474229279E-12</v>
      </c>
      <c r="AF9" s="11">
        <f>ABS(_xll.RtGet(SourceAlias,$S9,BID)-T9)</f>
        <v>8.1234445612128614E-4</v>
      </c>
      <c r="AG9" s="11">
        <f>ABS(_xll.RtGet(SourceAlias,$S9,ASK)-U9)</f>
        <v>8.1234445612128614E-4</v>
      </c>
      <c r="AH9" s="11">
        <f>ABS(_xll.RtGet(SourceAlias,$V9,BID)-W9)</f>
        <v>2.5698520381895372E-2</v>
      </c>
      <c r="AI9" s="11">
        <f>ABS(_xll.RtGet(SourceAlias,$V9,ASK)-X9)</f>
        <v>2.5698520381895372E-2</v>
      </c>
      <c r="AJ9" s="33" t="s">
        <v>56</v>
      </c>
    </row>
    <row r="10" spans="3:36" ht="11.25" customHeight="1" x14ac:dyDescent="0.2">
      <c r="C10" s="16" t="s">
        <v>17</v>
      </c>
      <c r="D10" s="16"/>
      <c r="E10" s="16"/>
      <c r="F10" s="119" t="str">
        <f>IF(Contribute="abcd",_xll.RtContribute(SourceAlias,P10,Fields,Q10:R10,"SCOPE:SERVER"),"stopped")</f>
        <v>stopped</v>
      </c>
      <c r="G10" s="16" t="str">
        <f>IF(Contribute="abcd",_xll.RtContribute(SourceAlias,S10,Fields,T10:U10,"SCOPE:SERVER"),"stopped")</f>
        <v>stopped</v>
      </c>
      <c r="H10" s="116" t="str">
        <f>IF(Contribute="abcd",_xll.RtContribute(SourceAlias,V10,Fields,W10:X10,"SCOPE:SERVER"),"stopped")</f>
        <v>stopped</v>
      </c>
      <c r="I10" s="1"/>
      <c r="J10" s="10"/>
      <c r="K10" s="11"/>
      <c r="L10" s="11"/>
      <c r="M10" s="10"/>
      <c r="N10" s="11"/>
      <c r="O10" s="11"/>
      <c r="P10" s="89" t="str">
        <f t="shared" si="2"/>
        <v>SEK1M2WD=</v>
      </c>
      <c r="Q10" s="90">
        <f>'1M Pricing'!H10*100</f>
        <v>-0.1221000000046768</v>
      </c>
      <c r="R10" s="90">
        <f t="shared" si="8"/>
        <v>-0.1221000000046768</v>
      </c>
      <c r="S10" s="10" t="str">
        <f t="shared" si="4"/>
        <v>SEK3M2WD=</v>
      </c>
      <c r="T10" s="11">
        <f>'3M Pricing'!H10*100</f>
        <v>-6.5811548335816178E-2</v>
      </c>
      <c r="U10" s="11">
        <f t="shared" si="9"/>
        <v>-6.5811548335816178E-2</v>
      </c>
      <c r="V10" s="10" t="str">
        <f t="shared" si="6"/>
        <v>SEK6M2WD=</v>
      </c>
      <c r="W10" s="11">
        <f>'6M Pricing'!H10*100</f>
        <v>-4.133811324361477E-2</v>
      </c>
      <c r="X10" s="11">
        <f t="shared" si="10"/>
        <v>-4.133811324361477E-2</v>
      </c>
      <c r="Y10" s="67" t="s">
        <v>56</v>
      </c>
      <c r="Z10" s="11"/>
      <c r="AA10" s="11"/>
      <c r="AB10" s="11"/>
      <c r="AC10" s="11"/>
      <c r="AD10" s="91">
        <f>ABS(_xll.RtGet(SourceAlias,$P10,BID)-Q10)</f>
        <v>4.6768006134456641E-12</v>
      </c>
      <c r="AE10" s="91">
        <f>ABS(_xll.RtGet(SourceAlias,$P10,ASK)-R10)</f>
        <v>4.6768006134456641E-12</v>
      </c>
      <c r="AF10" s="11">
        <f>ABS(_xll.RtGet(SourceAlias,$S10,BID)-T10)</f>
        <v>7.8232433581616745E-4</v>
      </c>
      <c r="AG10" s="11">
        <f>ABS(_xll.RtGet(SourceAlias,$S10,ASK)-U10)</f>
        <v>7.8232433581616745E-4</v>
      </c>
      <c r="AH10" s="11">
        <f>ABS(_xll.RtGet(SourceAlias,$V10,BID)-W10)</f>
        <v>2.540183824361477E-2</v>
      </c>
      <c r="AI10" s="11">
        <f>ABS(_xll.RtGet(SourceAlias,$V10,ASK)-X10)</f>
        <v>2.540183824361477E-2</v>
      </c>
      <c r="AJ10" s="33" t="s">
        <v>56</v>
      </c>
    </row>
    <row r="11" spans="3:36" ht="11.25" customHeight="1" x14ac:dyDescent="0.2">
      <c r="C11" s="16" t="s">
        <v>18</v>
      </c>
      <c r="D11" s="16"/>
      <c r="E11" s="16"/>
      <c r="F11" s="119" t="str">
        <f>IF(Contribute="abcd",_xll.RtContribute(SourceAlias,P11,Fields,Q11:R11,"SCOPE:SERVER"),"stopped")</f>
        <v>stopped</v>
      </c>
      <c r="G11" s="16" t="str">
        <f>IF(Contribute="abcd",_xll.RtContribute(SourceAlias,S11,Fields,T11:U11,"SCOPE:SERVER"),"stopped")</f>
        <v>stopped</v>
      </c>
      <c r="H11" s="116" t="str">
        <f>IF(Contribute="abcd",_xll.RtContribute(SourceAlias,V11,Fields,W11:X11,"SCOPE:SERVER"),"stopped")</f>
        <v>stopped</v>
      </c>
      <c r="I11" s="1"/>
      <c r="J11" s="10"/>
      <c r="K11" s="11"/>
      <c r="L11" s="11"/>
      <c r="M11" s="10"/>
      <c r="N11" s="11"/>
      <c r="O11" s="11"/>
      <c r="P11" s="89" t="str">
        <f t="shared" si="2"/>
        <v>SEK1M3WD=</v>
      </c>
      <c r="Q11" s="90">
        <f>'1M Pricing'!H11*100</f>
        <v>-0.1234000000190757</v>
      </c>
      <c r="R11" s="90">
        <f t="shared" si="8"/>
        <v>-0.1234000000190757</v>
      </c>
      <c r="S11" s="10" t="str">
        <f t="shared" si="4"/>
        <v>SEK3M3WD=</v>
      </c>
      <c r="T11" s="11">
        <f>'3M Pricing'!H11*100</f>
        <v>-6.7125212964036507E-2</v>
      </c>
      <c r="U11" s="11">
        <f t="shared" si="9"/>
        <v>-6.7125212964036507E-2</v>
      </c>
      <c r="V11" s="10" t="str">
        <f t="shared" si="6"/>
        <v>SEK6M3WD=</v>
      </c>
      <c r="W11" s="11">
        <f>'6M Pricing'!H11*100</f>
        <v>-4.2013514419839533E-2</v>
      </c>
      <c r="X11" s="11">
        <f t="shared" si="10"/>
        <v>-4.2013514419839533E-2</v>
      </c>
      <c r="Y11" s="67" t="s">
        <v>56</v>
      </c>
      <c r="Z11" s="11"/>
      <c r="AA11" s="11"/>
      <c r="AB11" s="11"/>
      <c r="AC11" s="11"/>
      <c r="AD11" s="91">
        <f>ABS(_xll.RtGet(SourceAlias,$P11,BID)-Q11)</f>
        <v>1.9075685475655746E-11</v>
      </c>
      <c r="AE11" s="91">
        <f>ABS(_xll.RtGet(SourceAlias,$P11,ASK)-R11)</f>
        <v>1.9075685475655746E-11</v>
      </c>
      <c r="AF11" s="11">
        <f>ABS(_xll.RtGet(SourceAlias,$S11,BID)-T11)</f>
        <v>7.3229896403650963E-4</v>
      </c>
      <c r="AG11" s="11">
        <f>ABS(_xll.RtGet(SourceAlias,$S11,ASK)-U11)</f>
        <v>7.3229896403650963E-4</v>
      </c>
      <c r="AH11" s="11">
        <f>ABS(_xll.RtGet(SourceAlias,$V11,BID)-W11)</f>
        <v>2.4907458419839532E-2</v>
      </c>
      <c r="AI11" s="11">
        <f>ABS(_xll.RtGet(SourceAlias,$V11,ASK)-X11)</f>
        <v>2.4907458419839532E-2</v>
      </c>
      <c r="AJ11" s="33" t="s">
        <v>56</v>
      </c>
    </row>
    <row r="12" spans="3:36" ht="11.25" customHeight="1" x14ac:dyDescent="0.2">
      <c r="C12" s="16" t="s">
        <v>19</v>
      </c>
      <c r="D12" s="16"/>
      <c r="E12" s="16" t="str">
        <f>IF(Contribute="abcd",_xll.RtContribute(SourceAlias,M12,Fields,N12:O12,"SCOPE:SERVER"),"stopped")</f>
        <v>stopped</v>
      </c>
      <c r="F12" s="119" t="str">
        <f>IF(Contribute="abcd",_xll.RtContribute(SourceAlias,P12,Fields,Q12:R12,"SCOPE:SERVER"),"stopped")</f>
        <v>stopped</v>
      </c>
      <c r="G12" s="16" t="str">
        <f>IF(Contribute="abcd",_xll.RtContribute(SourceAlias,S12,Fields,T12:U12,"SCOPE:SERVER"),"stopped")</f>
        <v>stopped</v>
      </c>
      <c r="H12" s="116" t="str">
        <f>IF(Contribute="abcd",_xll.RtContribute(SourceAlias,V12,Fields,W12:X12,"SCOPE:SERVER"),"stopped")</f>
        <v>stopped</v>
      </c>
      <c r="I12" s="1"/>
      <c r="J12" s="10"/>
      <c r="K12" s="11"/>
      <c r="L12" s="11"/>
      <c r="M12" s="10" t="str">
        <f t="shared" si="0"/>
        <v>SEKON1MD=</v>
      </c>
      <c r="N12" s="11">
        <f>'ON Pricing'!H12*100</f>
        <v>-0.21299999992343352</v>
      </c>
      <c r="O12" s="11">
        <f t="shared" ref="O12" si="11">N12</f>
        <v>-0.21299999992343352</v>
      </c>
      <c r="P12" s="89" t="str">
        <f t="shared" si="2"/>
        <v>SEK1M1MD=</v>
      </c>
      <c r="Q12" s="90">
        <f>'1M Pricing'!H12*100</f>
        <v>-0.12679999980850939</v>
      </c>
      <c r="R12" s="90">
        <f t="shared" si="8"/>
        <v>-0.12679999980850939</v>
      </c>
      <c r="S12" s="10" t="str">
        <f t="shared" si="4"/>
        <v>SEK3M1MD=</v>
      </c>
      <c r="T12" s="11">
        <f>'3M Pricing'!H12*100</f>
        <v>-7.0599999982399395E-2</v>
      </c>
      <c r="U12" s="11">
        <f t="shared" si="9"/>
        <v>-7.0599999982399395E-2</v>
      </c>
      <c r="V12" s="10" t="str">
        <f t="shared" si="6"/>
        <v>SEK6M1MD=</v>
      </c>
      <c r="W12" s="11">
        <f>'6M Pricing'!H12*100</f>
        <v>-4.3799999999896956E-2</v>
      </c>
      <c r="X12" s="11">
        <f t="shared" si="10"/>
        <v>-4.3799999999896956E-2</v>
      </c>
      <c r="Y12" s="67" t="s">
        <v>56</v>
      </c>
      <c r="Z12" s="11"/>
      <c r="AA12" s="11"/>
      <c r="AB12" s="11">
        <f>ABS(_xll.RtGet(SourceAlias,$M12,BID)-N12)</f>
        <v>7.656647538212269E-11</v>
      </c>
      <c r="AC12" s="11">
        <f>ABS(_xll.RtGet(SourceAlias,$M12,ASK)-O12)</f>
        <v>7.656647538212269E-11</v>
      </c>
      <c r="AD12" s="91">
        <f>ABS(_xll.RtGet(SourceAlias,$P12,BID)-Q12)</f>
        <v>1.9149060115353222E-10</v>
      </c>
      <c r="AE12" s="91">
        <f>ABS(_xll.RtGet(SourceAlias,$P12,ASK)-R12)</f>
        <v>1.9149060115353222E-10</v>
      </c>
      <c r="AF12" s="11">
        <f>ABS(_xll.RtGet(SourceAlias,$S12,BID)-T12)</f>
        <v>5.999999823993879E-4</v>
      </c>
      <c r="AG12" s="11">
        <f>ABS(_xll.RtGet(SourceAlias,$S12,ASK)-U12)</f>
        <v>5.999999823993879E-4</v>
      </c>
      <c r="AH12" s="11">
        <f>ABS(_xll.RtGet(SourceAlias,$V12,BID)-W12)</f>
        <v>2.3599999999896953E-2</v>
      </c>
      <c r="AI12" s="11">
        <f>ABS(_xll.RtGet(SourceAlias,$V12,ASK)-X12)</f>
        <v>2.3599999999896953E-2</v>
      </c>
      <c r="AJ12" s="33" t="s">
        <v>56</v>
      </c>
    </row>
    <row r="13" spans="3:36" ht="11.25" customHeight="1" x14ac:dyDescent="0.2">
      <c r="C13" s="16" t="s">
        <v>20</v>
      </c>
      <c r="D13" s="16"/>
      <c r="E13" s="16" t="str">
        <f>IF(Contribute="abcd",_xll.RtContribute(SourceAlias,M13,Fields,N13:O13,"SCOPE:SERVER"),"stopped")</f>
        <v>stopped</v>
      </c>
      <c r="F13" s="119" t="s">
        <v>56</v>
      </c>
      <c r="G13" s="16" t="str">
        <f>IF(Contribute="abcd",_xll.RtContribute(SourceAlias,S13,Fields,T13:U13,"SCOPE:SERVER"),"stopped")</f>
        <v>stopped</v>
      </c>
      <c r="H13" s="116" t="str">
        <f>IF(Contribute="abcd",_xll.RtContribute(SourceAlias,V13,Fields,W13:X13,"SCOPE:SERVER"),"stopped")</f>
        <v>stopped</v>
      </c>
      <c r="I13" s="1"/>
      <c r="J13" s="10"/>
      <c r="K13" s="11"/>
      <c r="L13" s="11"/>
      <c r="M13" s="10" t="str">
        <f t="shared" si="0"/>
        <v>SEKON2MD=</v>
      </c>
      <c r="N13" s="11">
        <f>'ON Pricing'!H13*100</f>
        <v>-0.22399999979947427</v>
      </c>
      <c r="O13" s="11">
        <f t="shared" ref="O13:O39" si="12">N13</f>
        <v>-0.22399999979947427</v>
      </c>
      <c r="P13" s="89"/>
      <c r="Q13" s="90"/>
      <c r="R13" s="90"/>
      <c r="S13" s="10" t="str">
        <f t="shared" si="4"/>
        <v>SEK3M2MD=</v>
      </c>
      <c r="T13" s="11">
        <f>'3M Pricing'!H13*100</f>
        <v>-8.1599999940353038E-2</v>
      </c>
      <c r="U13" s="11">
        <f t="shared" si="9"/>
        <v>-8.1599999940353038E-2</v>
      </c>
      <c r="V13" s="10" t="str">
        <f t="shared" si="6"/>
        <v>SEK6M2MD=</v>
      </c>
      <c r="W13" s="11">
        <f>'6M Pricing'!H13*100</f>
        <v>-4.9100000000059936E-2</v>
      </c>
      <c r="X13" s="11">
        <f t="shared" si="10"/>
        <v>-4.9100000000059936E-2</v>
      </c>
      <c r="Y13" s="67" t="s">
        <v>56</v>
      </c>
      <c r="Z13" s="11"/>
      <c r="AA13" s="11"/>
      <c r="AB13" s="11">
        <f>ABS(_xll.RtGet(SourceAlias,$M13,BID)-N13)</f>
        <v>2.0052573490580983E-10</v>
      </c>
      <c r="AC13" s="11">
        <f>ABS(_xll.RtGet(SourceAlias,$M13,ASK)-O13)</f>
        <v>2.0052573490580983E-10</v>
      </c>
      <c r="AD13" s="91"/>
      <c r="AE13" s="91"/>
      <c r="AF13" s="11">
        <f>ABS(_xll.RtGet(SourceAlias,$S13,BID)-T13)</f>
        <v>1.9999994035303781E-4</v>
      </c>
      <c r="AG13" s="11">
        <f>ABS(_xll.RtGet(SourceAlias,$S13,ASK)-U13)</f>
        <v>1.9999994035303781E-4</v>
      </c>
      <c r="AH13" s="11">
        <f>ABS(_xll.RtGet(SourceAlias,$V13,BID)-W13)</f>
        <v>1.9100000000059937E-2</v>
      </c>
      <c r="AI13" s="11">
        <f>ABS(_xll.RtGet(SourceAlias,$V13,ASK)-X13)</f>
        <v>1.9100000000059937E-2</v>
      </c>
      <c r="AJ13" s="33" t="s">
        <v>56</v>
      </c>
    </row>
    <row r="14" spans="3:36" ht="11.25" customHeight="1" x14ac:dyDescent="0.2">
      <c r="C14" s="16" t="s">
        <v>21</v>
      </c>
      <c r="D14" s="16"/>
      <c r="E14" s="16" t="str">
        <f>IF(Contribute="abcd",_xll.RtContribute(SourceAlias,M14,Fields,N14:O14,"SCOPE:SERVER"),"stopped")</f>
        <v>stopped</v>
      </c>
      <c r="F14" s="119" t="s">
        <v>56</v>
      </c>
      <c r="G14" s="16" t="str">
        <f>IF(Contribute="abcd",_xll.RtContribute(SourceAlias,S14,Fields,T14:U14,"SCOPE:SERVER"),"stopped")</f>
        <v>stopped</v>
      </c>
      <c r="H14" s="116" t="str">
        <f>IF(Contribute="abcd",_xll.RtContribute(SourceAlias,V14,Fields,W14:X14,"SCOPE:SERVER"),"stopped")</f>
        <v>stopped</v>
      </c>
      <c r="I14" s="1"/>
      <c r="J14" s="10"/>
      <c r="K14" s="11"/>
      <c r="L14" s="11"/>
      <c r="M14" s="10" t="str">
        <f t="shared" si="0"/>
        <v>SEKON3MD=</v>
      </c>
      <c r="N14" s="11">
        <f>'ON Pricing'!H14*100</f>
        <v>-0.2320000000000341</v>
      </c>
      <c r="O14" s="11">
        <f t="shared" si="12"/>
        <v>-0.2320000000000341</v>
      </c>
      <c r="P14" s="92"/>
      <c r="Q14" s="93"/>
      <c r="R14" s="93"/>
      <c r="S14" s="10" t="str">
        <f t="shared" si="4"/>
        <v>SEK3M3MD=</v>
      </c>
      <c r="T14" s="11">
        <f>'3M Pricing'!H14*100</f>
        <v>-8.9699999814722417E-2</v>
      </c>
      <c r="U14" s="11">
        <f t="shared" si="9"/>
        <v>-8.9699999814722417E-2</v>
      </c>
      <c r="V14" s="10" t="str">
        <f t="shared" si="6"/>
        <v>SEK6M3MD=</v>
      </c>
      <c r="W14" s="11">
        <f>'6M Pricing'!H14*100</f>
        <v>-5.1200000000000044E-2</v>
      </c>
      <c r="X14" s="11">
        <f t="shared" si="10"/>
        <v>-5.1200000000000044E-2</v>
      </c>
      <c r="Y14" s="67" t="s">
        <v>56</v>
      </c>
      <c r="Z14" s="11"/>
      <c r="AA14" s="11"/>
      <c r="AB14" s="11">
        <f>ABS(_xll.RtGet(SourceAlias,$M14,BID)-N14)</f>
        <v>3.4083846855992306E-14</v>
      </c>
      <c r="AC14" s="11">
        <f>ABS(_xll.RtGet(SourceAlias,$M14,ASK)-O14)</f>
        <v>3.4083846855992306E-14</v>
      </c>
      <c r="AD14" s="94"/>
      <c r="AE14" s="94"/>
      <c r="AF14" s="11">
        <f>ABS(_xll.RtGet(SourceAlias,$S14,BID)-T14)</f>
        <v>1.8527758494091273E-10</v>
      </c>
      <c r="AG14" s="11">
        <f>ABS(_xll.RtGet(SourceAlias,$S14,ASK)-U14)</f>
        <v>1.8527758494091273E-10</v>
      </c>
      <c r="AH14" s="11">
        <f>ABS(_xll.RtGet(SourceAlias,$V14,BID)-W14)</f>
        <v>1.4400000000000045E-2</v>
      </c>
      <c r="AI14" s="11">
        <f>ABS(_xll.RtGet(SourceAlias,$V14,ASK)-X14)</f>
        <v>1.4400000000000045E-2</v>
      </c>
      <c r="AJ14" s="33" t="s">
        <v>56</v>
      </c>
    </row>
    <row r="15" spans="3:36" ht="11.25" customHeight="1" x14ac:dyDescent="0.2">
      <c r="C15" s="16" t="s">
        <v>22</v>
      </c>
      <c r="D15" s="16"/>
      <c r="E15" s="16" t="str">
        <f>IF(Contribute="abcd",_xll.RtContribute(SourceAlias,M15,Fields,N15:O15,"SCOPE:SERVER"),"stopped")</f>
        <v>stopped</v>
      </c>
      <c r="F15" s="119" t="s">
        <v>56</v>
      </c>
      <c r="G15" s="70" t="s">
        <v>56</v>
      </c>
      <c r="H15" s="116" t="str">
        <f>IF(Contribute="abcd",_xll.RtContribute(SourceAlias,V15,Fields,W15:X15,"SCOPE:SERVER"),"stopped")</f>
        <v>stopped</v>
      </c>
      <c r="I15" s="1"/>
      <c r="J15" s="10"/>
      <c r="K15" s="11"/>
      <c r="L15" s="11"/>
      <c r="M15" s="10" t="str">
        <f t="shared" si="0"/>
        <v>SEKON4MD=</v>
      </c>
      <c r="N15" s="11">
        <f>'ON Pricing'!H15*100</f>
        <v>-0.23700000000002483</v>
      </c>
      <c r="O15" s="11">
        <f t="shared" si="12"/>
        <v>-0.23700000000002483</v>
      </c>
      <c r="P15" s="89"/>
      <c r="Q15" s="90"/>
      <c r="R15" s="90"/>
      <c r="S15" s="70"/>
      <c r="T15" s="70"/>
      <c r="U15" s="70"/>
      <c r="V15" s="10" t="str">
        <f t="shared" si="6"/>
        <v>SEK6M4MD=</v>
      </c>
      <c r="W15" s="11">
        <f>'6M Pricing'!H15*100</f>
        <v>-4.9799999952417476E-2</v>
      </c>
      <c r="X15" s="11">
        <f t="shared" si="10"/>
        <v>-4.9799999952417476E-2</v>
      </c>
      <c r="Y15" s="67" t="s">
        <v>56</v>
      </c>
      <c r="Z15" s="11"/>
      <c r="AA15" s="11"/>
      <c r="AB15" s="11">
        <f>ABS(_xll.RtGet(SourceAlias,$M15,BID)-N15)</f>
        <v>2.4813484600372249E-14</v>
      </c>
      <c r="AC15" s="11">
        <f>ABS(_xll.RtGet(SourceAlias,$M15,ASK)-O15)</f>
        <v>2.4813484600372249E-14</v>
      </c>
      <c r="AD15" s="91"/>
      <c r="AE15" s="91"/>
      <c r="AF15" s="71"/>
      <c r="AG15" s="71"/>
      <c r="AH15" s="11">
        <f>ABS(_xll.RtGet(SourceAlias,$V15,BID)-W15)</f>
        <v>9.2999999524174745E-3</v>
      </c>
      <c r="AI15" s="11">
        <f>ABS(_xll.RtGet(SourceAlias,$V15,ASK)-X15)</f>
        <v>9.2999999524174745E-3</v>
      </c>
      <c r="AJ15" s="33" t="s">
        <v>56</v>
      </c>
    </row>
    <row r="16" spans="3:36" ht="11.25" customHeight="1" x14ac:dyDescent="0.2">
      <c r="C16" s="16" t="s">
        <v>23</v>
      </c>
      <c r="D16" s="16"/>
      <c r="E16" s="16" t="str">
        <f>IF(Contribute="abcd",_xll.RtContribute(SourceAlias,M16,Fields,N16:O16,"SCOPE:SERVER"),"stopped")</f>
        <v>stopped</v>
      </c>
      <c r="F16" s="119" t="s">
        <v>56</v>
      </c>
      <c r="G16" s="70" t="s">
        <v>56</v>
      </c>
      <c r="H16" s="116" t="str">
        <f>IF(Contribute="abcd",_xll.RtContribute(SourceAlias,V16,Fields,W16:X16,"SCOPE:SERVER"),"stopped")</f>
        <v>stopped</v>
      </c>
      <c r="I16" s="1"/>
      <c r="J16" s="10"/>
      <c r="K16" s="11"/>
      <c r="L16" s="11"/>
      <c r="M16" s="10" t="str">
        <f t="shared" si="0"/>
        <v>SEKON5MD=</v>
      </c>
      <c r="N16" s="11">
        <f>'ON Pricing'!H16*100</f>
        <v>-0.24099999999998797</v>
      </c>
      <c r="O16" s="11">
        <f t="shared" si="12"/>
        <v>-0.24099999999998797</v>
      </c>
      <c r="P16" s="89"/>
      <c r="Q16" s="90"/>
      <c r="R16" s="90"/>
      <c r="S16" s="70"/>
      <c r="T16" s="70"/>
      <c r="U16" s="70"/>
      <c r="V16" s="10" t="str">
        <f t="shared" si="6"/>
        <v>SEK6M5MD=</v>
      </c>
      <c r="W16" s="11">
        <f>'6M Pricing'!H16*100</f>
        <v>-4.8100000046095749E-2</v>
      </c>
      <c r="X16" s="11">
        <f t="shared" si="10"/>
        <v>-4.8100000046095749E-2</v>
      </c>
      <c r="Y16" s="67" t="s">
        <v>56</v>
      </c>
      <c r="Z16" s="11"/>
      <c r="AA16" s="11"/>
      <c r="AB16" s="11">
        <f>ABS(_xll.RtGet(SourceAlias,$M16,BID)-N16)</f>
        <v>1.201816424156732E-14</v>
      </c>
      <c r="AC16" s="11">
        <f>ABS(_xll.RtGet(SourceAlias,$M16,ASK)-O16)</f>
        <v>1.201816424156732E-14</v>
      </c>
      <c r="AD16" s="91"/>
      <c r="AE16" s="91"/>
      <c r="AF16" s="71"/>
      <c r="AG16" s="71"/>
      <c r="AH16" s="11">
        <f>ABS(_xll.RtGet(SourceAlias,$V16,BID)-W16)</f>
        <v>4.800000046095744E-3</v>
      </c>
      <c r="AI16" s="11">
        <f>ABS(_xll.RtGet(SourceAlias,$V16,ASK)-X16)</f>
        <v>4.800000046095744E-3</v>
      </c>
      <c r="AJ16" s="33" t="s">
        <v>56</v>
      </c>
    </row>
    <row r="17" spans="1:36" ht="11.25" customHeight="1" x14ac:dyDescent="0.2">
      <c r="B17" s="85"/>
      <c r="C17" s="16" t="s">
        <v>14</v>
      </c>
      <c r="D17" s="16"/>
      <c r="E17" s="16" t="str">
        <f>IF(Contribute="abcd",_xll.RtContribute(SourceAlias,M17,Fields,N17:O17,"SCOPE:SERVER"),"stopped")</f>
        <v>stopped</v>
      </c>
      <c r="F17" s="119" t="s">
        <v>56</v>
      </c>
      <c r="G17" s="70" t="s">
        <v>56</v>
      </c>
      <c r="H17" s="116" t="str">
        <f>IF(Contribute="abcd",_xll.RtContribute(SourceAlias,V17,Fields,W17:X17,"SCOPE:SERVER"),"stopped")</f>
        <v>stopped</v>
      </c>
      <c r="I17" s="1"/>
      <c r="J17" s="10"/>
      <c r="K17" s="11"/>
      <c r="L17" s="11"/>
      <c r="M17" s="10" t="str">
        <f t="shared" si="0"/>
        <v>SEKON6MD=</v>
      </c>
      <c r="N17" s="11">
        <f>'ON Pricing'!H17*100</f>
        <v>-0.24400000000001718</v>
      </c>
      <c r="O17" s="11">
        <f t="shared" si="12"/>
        <v>-0.24400000000001718</v>
      </c>
      <c r="P17" s="92"/>
      <c r="Q17" s="93"/>
      <c r="R17" s="93"/>
      <c r="S17" s="70"/>
      <c r="T17" s="70"/>
      <c r="U17" s="70"/>
      <c r="V17" s="10" t="str">
        <f t="shared" si="6"/>
        <v>SEK6M6MD=</v>
      </c>
      <c r="W17" s="11">
        <f>'6M Pricing'!H17*100</f>
        <v>-4.49999999999907E-2</v>
      </c>
      <c r="X17" s="11">
        <f t="shared" si="10"/>
        <v>-4.49999999999907E-2</v>
      </c>
      <c r="Y17" s="67" t="s">
        <v>56</v>
      </c>
      <c r="Z17" s="11"/>
      <c r="AA17" s="11"/>
      <c r="AB17" s="11">
        <f>ABS(_xll.RtGet(SourceAlias,$M17,BID)-N17)</f>
        <v>1.7180701306074297E-14</v>
      </c>
      <c r="AC17" s="11">
        <f>ABS(_xll.RtGet(SourceAlias,$M17,ASK)-O17)</f>
        <v>1.7180701306074297E-14</v>
      </c>
      <c r="AD17" s="94"/>
      <c r="AE17" s="94"/>
      <c r="AF17" s="71"/>
      <c r="AG17" s="71"/>
      <c r="AH17" s="11">
        <f>ABS(_xll.RtGet(SourceAlias,$V17,BID)-W17)</f>
        <v>9.298117831235686E-15</v>
      </c>
      <c r="AI17" s="11">
        <f>ABS(_xll.RtGet(SourceAlias,$V17,ASK)-X17)</f>
        <v>9.298117831235686E-15</v>
      </c>
      <c r="AJ17" s="33" t="s">
        <v>56</v>
      </c>
    </row>
    <row r="18" spans="1:36" ht="11.25" customHeight="1" x14ac:dyDescent="0.2">
      <c r="C18" s="16" t="s">
        <v>24</v>
      </c>
      <c r="D18" s="16"/>
      <c r="E18" s="16" t="str">
        <f>IF(Contribute="abcd",_xll.RtContribute(SourceAlias,M18,Fields,N18:O18,"SCOPE:SERVER"),"stopped")</f>
        <v>stopped</v>
      </c>
      <c r="F18" s="119" t="s">
        <v>56</v>
      </c>
      <c r="G18" s="70" t="s">
        <v>56</v>
      </c>
      <c r="H18" s="116" t="s">
        <v>56</v>
      </c>
      <c r="I18" s="1"/>
      <c r="J18" s="10"/>
      <c r="K18" s="11"/>
      <c r="L18" s="11"/>
      <c r="M18" s="10" t="str">
        <f t="shared" si="0"/>
        <v>SEKON9MD=</v>
      </c>
      <c r="N18" s="11">
        <f>'ON Pricing'!H18*100</f>
        <v>-0.25000000000004197</v>
      </c>
      <c r="O18" s="11">
        <f t="shared" si="12"/>
        <v>-0.25000000000004197</v>
      </c>
      <c r="P18" s="92"/>
      <c r="Q18" s="93"/>
      <c r="R18" s="93"/>
      <c r="S18" s="70"/>
      <c r="T18" s="70"/>
      <c r="U18" s="70"/>
      <c r="V18" s="10"/>
      <c r="W18" s="11"/>
      <c r="X18" s="11"/>
      <c r="Y18" s="67" t="s">
        <v>56</v>
      </c>
      <c r="Z18" s="11"/>
      <c r="AA18" s="11"/>
      <c r="AB18" s="11">
        <f>ABS(_xll.RtGet(SourceAlias,$M18,BID)-N18)</f>
        <v>4.1966430330830917E-14</v>
      </c>
      <c r="AC18" s="11">
        <f>ABS(_xll.RtGet(SourceAlias,$M18,ASK)-O18)</f>
        <v>4.1966430330830917E-14</v>
      </c>
      <c r="AD18" s="97"/>
      <c r="AE18" s="97"/>
      <c r="AF18" s="71"/>
      <c r="AG18" s="71"/>
      <c r="AH18" s="11"/>
      <c r="AI18" s="11"/>
      <c r="AJ18" s="33" t="s">
        <v>56</v>
      </c>
    </row>
    <row r="19" spans="1:36" ht="11.25" customHeight="1" x14ac:dyDescent="0.2">
      <c r="A19" s="1" t="b">
        <v>1</v>
      </c>
      <c r="B19" s="85">
        <f t="array" ref="B19:B24">_xll.qlIMMNextDates(_xll.qlSettingsEvaluationDate(Trigger)+6,A19:A24)</f>
        <v>42172</v>
      </c>
      <c r="C19" s="65" t="str">
        <f>_xll.qlIMMcode(B19,Trigger)</f>
        <v>M5</v>
      </c>
      <c r="D19" s="74"/>
      <c r="E19" s="74" t="s">
        <v>56</v>
      </c>
      <c r="F19" s="107" t="s">
        <v>56</v>
      </c>
      <c r="G19" s="15" t="str">
        <f>IF(Contribute="abcd",_xll.RtContribute(SourceAlias,S19,Fields,T19:U19,"SCOPE:SERVER"),"stopped")</f>
        <v>stopped</v>
      </c>
      <c r="H19" s="80" t="s">
        <v>56</v>
      </c>
      <c r="I19" s="1"/>
      <c r="J19" s="113"/>
      <c r="K19" s="68"/>
      <c r="L19" s="68"/>
      <c r="M19" s="113"/>
      <c r="N19" s="68"/>
      <c r="O19" s="68"/>
      <c r="P19" s="98"/>
      <c r="Q19" s="99"/>
      <c r="R19" s="99"/>
      <c r="S19" s="8" t="str">
        <f t="shared" ref="S19:S24" si="13">Currency&amp;$S$4&amp;C19</f>
        <v>SEK3MM5</v>
      </c>
      <c r="T19" s="9">
        <f>'3M Pricing'!H19</f>
        <v>100.11499999985878</v>
      </c>
      <c r="U19" s="9">
        <f t="shared" ref="U19:U24" si="14">T19</f>
        <v>100.11499999985878</v>
      </c>
      <c r="V19" s="68"/>
      <c r="W19" s="68"/>
      <c r="X19" s="68"/>
      <c r="Y19" s="67" t="s">
        <v>56</v>
      </c>
      <c r="Z19" s="69"/>
      <c r="AA19" s="74"/>
      <c r="AB19" s="69"/>
      <c r="AC19" s="74"/>
      <c r="AD19" s="100"/>
      <c r="AE19" s="100"/>
      <c r="AF19" s="9">
        <f>ABS(_xll.RtGet(SourceAlias,$S19,BID)-T19)</f>
        <v>1.4122747415967751E-10</v>
      </c>
      <c r="AG19" s="9">
        <f>ABS(_xll.RtGet(SourceAlias,$S19,ASK)-U19)</f>
        <v>1.4122747415967751E-10</v>
      </c>
      <c r="AH19" s="69"/>
      <c r="AI19" s="69"/>
      <c r="AJ19" s="33" t="s">
        <v>56</v>
      </c>
    </row>
    <row r="20" spans="1:36" ht="11.25" customHeight="1" x14ac:dyDescent="0.2">
      <c r="A20" s="1" t="b">
        <v>1</v>
      </c>
      <c r="B20" s="85">
        <v>42263</v>
      </c>
      <c r="C20" s="66" t="str">
        <f>_xll.qlIMMcode(B20,Trigger)</f>
        <v>U5</v>
      </c>
      <c r="D20" s="75"/>
      <c r="E20" s="75" t="s">
        <v>56</v>
      </c>
      <c r="F20" s="108" t="s">
        <v>56</v>
      </c>
      <c r="G20" s="16" t="str">
        <f>IF(Contribute="abcd",_xll.RtContribute(SourceAlias,S20,Fields,T20:U20,"SCOPE:SERVER"),"stopped")</f>
        <v>stopped</v>
      </c>
      <c r="H20" s="81" t="s">
        <v>56</v>
      </c>
      <c r="I20" s="1"/>
      <c r="J20" s="114"/>
      <c r="K20" s="70"/>
      <c r="L20" s="70"/>
      <c r="M20" s="114"/>
      <c r="N20" s="70"/>
      <c r="O20" s="70"/>
      <c r="P20" s="92"/>
      <c r="Q20" s="93"/>
      <c r="R20" s="93"/>
      <c r="S20" s="10" t="str">
        <f t="shared" si="13"/>
        <v>SEK3MU5</v>
      </c>
      <c r="T20" s="11">
        <f>'3M Pricing'!H20</f>
        <v>100.12499999994462</v>
      </c>
      <c r="U20" s="11">
        <f t="shared" si="14"/>
        <v>100.12499999994462</v>
      </c>
      <c r="V20" s="70"/>
      <c r="W20" s="70"/>
      <c r="X20" s="70"/>
      <c r="Y20" s="67" t="s">
        <v>56</v>
      </c>
      <c r="Z20" s="71"/>
      <c r="AA20" s="75"/>
      <c r="AB20" s="71"/>
      <c r="AC20" s="75"/>
      <c r="AD20" s="94"/>
      <c r="AE20" s="94"/>
      <c r="AF20" s="11">
        <f>ABS(_xll.RtGet(SourceAlias,$S20,BID)-T20)</f>
        <v>5.5379700825142208E-11</v>
      </c>
      <c r="AG20" s="11">
        <f>ABS(_xll.RtGet(SourceAlias,$S20,ASK)-U20)</f>
        <v>5.5379700825142208E-11</v>
      </c>
      <c r="AH20" s="71"/>
      <c r="AI20" s="71"/>
      <c r="AJ20" s="33" t="s">
        <v>56</v>
      </c>
    </row>
    <row r="21" spans="1:36" ht="11.25" customHeight="1" x14ac:dyDescent="0.2">
      <c r="A21" s="1" t="b">
        <v>1</v>
      </c>
      <c r="B21" s="85">
        <v>42354</v>
      </c>
      <c r="C21" s="66" t="str">
        <f>_xll.qlIMMcode(B21,Trigger)</f>
        <v>Z5</v>
      </c>
      <c r="D21" s="75"/>
      <c r="E21" s="75" t="s">
        <v>56</v>
      </c>
      <c r="F21" s="108" t="s">
        <v>56</v>
      </c>
      <c r="G21" s="16" t="str">
        <f>IF(Contribute="abcd",_xll.RtContribute(SourceAlias,S21,Fields,T21:U21,"SCOPE:SERVER"),"stopped")</f>
        <v>stopped</v>
      </c>
      <c r="H21" s="81" t="s">
        <v>56</v>
      </c>
      <c r="I21" s="1"/>
      <c r="J21" s="114"/>
      <c r="K21" s="70"/>
      <c r="L21" s="70"/>
      <c r="M21" s="114"/>
      <c r="N21" s="70"/>
      <c r="O21" s="70"/>
      <c r="P21" s="92"/>
      <c r="Q21" s="93"/>
      <c r="R21" s="93"/>
      <c r="S21" s="10" t="str">
        <f t="shared" si="13"/>
        <v>SEK3MZ5</v>
      </c>
      <c r="T21" s="11">
        <f>'3M Pricing'!H21</f>
        <v>100.125</v>
      </c>
      <c r="U21" s="11">
        <f t="shared" si="14"/>
        <v>100.125</v>
      </c>
      <c r="V21" s="70"/>
      <c r="W21" s="70"/>
      <c r="X21" s="70"/>
      <c r="Y21" s="67" t="s">
        <v>56</v>
      </c>
      <c r="Z21" s="71"/>
      <c r="AA21" s="75"/>
      <c r="AB21" s="71"/>
      <c r="AC21" s="75"/>
      <c r="AD21" s="94"/>
      <c r="AE21" s="94"/>
      <c r="AF21" s="11">
        <f>ABS(_xll.RtGet(SourceAlias,$S21,BID)-T21)</f>
        <v>4.9999999999954525E-3</v>
      </c>
      <c r="AG21" s="11">
        <f>ABS(_xll.RtGet(SourceAlias,$S21,ASK)-U21)</f>
        <v>4.9999999999954525E-3</v>
      </c>
      <c r="AH21" s="71"/>
      <c r="AI21" s="71"/>
      <c r="AJ21" s="33" t="s">
        <v>56</v>
      </c>
    </row>
    <row r="22" spans="1:36" ht="11.25" customHeight="1" x14ac:dyDescent="0.2">
      <c r="A22" s="1" t="b">
        <v>1</v>
      </c>
      <c r="B22" s="85">
        <v>42445</v>
      </c>
      <c r="C22" s="66" t="str">
        <f>_xll.qlIMMcode(B22,Trigger)</f>
        <v>H6</v>
      </c>
      <c r="D22" s="75"/>
      <c r="E22" s="75" t="s">
        <v>56</v>
      </c>
      <c r="F22" s="108" t="s">
        <v>56</v>
      </c>
      <c r="G22" s="16" t="str">
        <f>IF(Contribute="abcd",_xll.RtContribute(SourceAlias,S22,Fields,T22:U22,"SCOPE:SERVER"),"stopped")</f>
        <v>stopped</v>
      </c>
      <c r="H22" s="81" t="s">
        <v>56</v>
      </c>
      <c r="I22" s="1"/>
      <c r="J22" s="114"/>
      <c r="K22" s="70"/>
      <c r="L22" s="70"/>
      <c r="M22" s="114"/>
      <c r="N22" s="70"/>
      <c r="O22" s="70"/>
      <c r="P22" s="92"/>
      <c r="Q22" s="93"/>
      <c r="R22" s="93"/>
      <c r="S22" s="10" t="str">
        <f t="shared" si="13"/>
        <v>SEK3MH6</v>
      </c>
      <c r="T22" s="11">
        <f>'3M Pricing'!H22</f>
        <v>100.09499999999998</v>
      </c>
      <c r="U22" s="11">
        <f t="shared" si="14"/>
        <v>100.09499999999998</v>
      </c>
      <c r="V22" s="70"/>
      <c r="W22" s="70"/>
      <c r="X22" s="70"/>
      <c r="Y22" s="67" t="s">
        <v>56</v>
      </c>
      <c r="Z22" s="71"/>
      <c r="AA22" s="75"/>
      <c r="AB22" s="71"/>
      <c r="AC22" s="75"/>
      <c r="AD22" s="94"/>
      <c r="AE22" s="94"/>
      <c r="AF22" s="11">
        <f>ABS(_xll.RtGet(SourceAlias,$S22,BID)-T22)</f>
        <v>4.9999999999812417E-3</v>
      </c>
      <c r="AG22" s="11">
        <f>ABS(_xll.RtGet(SourceAlias,$S22,ASK)-U22)</f>
        <v>4.9999999999812417E-3</v>
      </c>
      <c r="AH22" s="71"/>
      <c r="AI22" s="71"/>
      <c r="AJ22" s="33" t="s">
        <v>56</v>
      </c>
    </row>
    <row r="23" spans="1:36" ht="11.25" customHeight="1" x14ac:dyDescent="0.2">
      <c r="A23" s="1" t="b">
        <v>1</v>
      </c>
      <c r="B23" s="85">
        <v>42536</v>
      </c>
      <c r="C23" s="66" t="str">
        <f>_xll.qlIMMcode(B23,Trigger)</f>
        <v>M6</v>
      </c>
      <c r="D23" s="75"/>
      <c r="E23" s="75" t="s">
        <v>56</v>
      </c>
      <c r="F23" s="108" t="s">
        <v>56</v>
      </c>
      <c r="G23" s="16" t="str">
        <f>IF(Contribute="abcd",_xll.RtContribute(SourceAlias,S23,Fields,T23:U23,"SCOPE:SERVER"),"stopped")</f>
        <v>stopped</v>
      </c>
      <c r="H23" s="81" t="s">
        <v>56</v>
      </c>
      <c r="I23" s="1"/>
      <c r="J23" s="114"/>
      <c r="K23" s="70"/>
      <c r="L23" s="70"/>
      <c r="M23" s="114"/>
      <c r="N23" s="70"/>
      <c r="O23" s="70"/>
      <c r="P23" s="92"/>
      <c r="Q23" s="93"/>
      <c r="R23" s="93"/>
      <c r="S23" s="10" t="str">
        <f t="shared" si="13"/>
        <v>SEK3MM6</v>
      </c>
      <c r="T23" s="11">
        <f>'3M Pricing'!H23</f>
        <v>100.04249999990166</v>
      </c>
      <c r="U23" s="11">
        <f t="shared" si="14"/>
        <v>100.04249999990166</v>
      </c>
      <c r="V23" s="70"/>
      <c r="W23" s="70"/>
      <c r="X23" s="70"/>
      <c r="Y23" s="67" t="s">
        <v>56</v>
      </c>
      <c r="Z23" s="71"/>
      <c r="AA23" s="75"/>
      <c r="AB23" s="71"/>
      <c r="AC23" s="75"/>
      <c r="AD23" s="94"/>
      <c r="AE23" s="94"/>
      <c r="AF23" s="11">
        <f>ABS(_xll.RtGet(SourceAlias,$S23,BID)-T23)</f>
        <v>5.0000000983345672E-3</v>
      </c>
      <c r="AG23" s="11">
        <f>ABS(_xll.RtGet(SourceAlias,$S23,ASK)-U23)</f>
        <v>5.0000000983345672E-3</v>
      </c>
      <c r="AH23" s="71"/>
      <c r="AI23" s="71"/>
      <c r="AJ23" s="33" t="s">
        <v>56</v>
      </c>
    </row>
    <row r="24" spans="1:36" ht="11.25" customHeight="1" x14ac:dyDescent="0.2">
      <c r="A24" s="1" t="b">
        <v>1</v>
      </c>
      <c r="B24" s="85">
        <v>42634</v>
      </c>
      <c r="C24" s="110" t="str">
        <f>_xll.qlIMMcode(B24,Trigger)</f>
        <v>U6</v>
      </c>
      <c r="D24" s="76"/>
      <c r="E24" s="76" t="s">
        <v>56</v>
      </c>
      <c r="F24" s="109"/>
      <c r="G24" s="17" t="str">
        <f>IF(Contribute="abcd",_xll.RtContribute(SourceAlias,S24,Fields,T24:U24,"SCOPE:SERVER"),"stopped")</f>
        <v>stopped</v>
      </c>
      <c r="H24" s="82" t="s">
        <v>56</v>
      </c>
      <c r="I24" s="1"/>
      <c r="J24" s="115"/>
      <c r="K24" s="72"/>
      <c r="L24" s="72"/>
      <c r="M24" s="115"/>
      <c r="N24" s="72"/>
      <c r="O24" s="72"/>
      <c r="P24" s="95"/>
      <c r="Q24" s="96"/>
      <c r="R24" s="96"/>
      <c r="S24" s="12" t="str">
        <f t="shared" si="13"/>
        <v>SEK3MU6</v>
      </c>
      <c r="T24" s="13">
        <f>'3M Pricing'!H24</f>
        <v>99.974999999999994</v>
      </c>
      <c r="U24" s="13">
        <f t="shared" si="14"/>
        <v>99.974999999999994</v>
      </c>
      <c r="V24" s="72"/>
      <c r="W24" s="72"/>
      <c r="X24" s="72"/>
      <c r="Y24" s="67" t="s">
        <v>56</v>
      </c>
      <c r="Z24" s="73"/>
      <c r="AA24" s="76"/>
      <c r="AB24" s="73"/>
      <c r="AC24" s="76"/>
      <c r="AD24" s="101"/>
      <c r="AE24" s="101"/>
      <c r="AF24" s="13" t="e">
        <f>ABS(_xll.RtGet(SourceAlias,$S24,BID)-T24)</f>
        <v>#VALUE!</v>
      </c>
      <c r="AG24" s="13" t="e">
        <f>ABS(_xll.RtGet(SourceAlias,$S24,ASK)-U24)</f>
        <v>#VALUE!</v>
      </c>
      <c r="AH24" s="73"/>
      <c r="AI24" s="73"/>
      <c r="AJ24" s="33" t="s">
        <v>56</v>
      </c>
    </row>
    <row r="25" spans="1:36" ht="11.25" customHeight="1" x14ac:dyDescent="0.2">
      <c r="C25" s="65" t="s">
        <v>25</v>
      </c>
      <c r="D25" s="16" t="str">
        <f t="array" ref="D25:D39">G25:G39</f>
        <v>stopped</v>
      </c>
      <c r="E25" s="15" t="str">
        <f>IF(Contribute="abcd",_xll.RtContribute(SourceAlias,M25,Fields,N25:O25,"SCOPE:SERVER"),"stopped")</f>
        <v>stopped</v>
      </c>
      <c r="F25" s="118" t="str">
        <f>IF(Contribute="abcd",_xll.RtContribute(SourceAlias,P25,Fields,Q25:R25,"SCOPE:SERVER"),"stopped")</f>
        <v>stopped</v>
      </c>
      <c r="G25" s="16" t="str">
        <f>IF(Contribute="abcd",_xll.RtContribute(SourceAlias,S25,Fields,T25:U25,"SCOPE:SERVER"),"stopped")</f>
        <v>stopped</v>
      </c>
      <c r="H25" s="117" t="str">
        <f>IF(Contribute="abcd",_xll.RtContribute(SourceAlias,V25,Fields,W25:X25,"SCOPE:SERVER"),"stopped")</f>
        <v>stopped</v>
      </c>
      <c r="I25" s="1"/>
      <c r="J25" s="8" t="str">
        <f t="array" ref="J25:L39">S25:U39</f>
        <v>SEK3M1Y=</v>
      </c>
      <c r="K25" s="9">
        <v>-0.11542212671681977</v>
      </c>
      <c r="L25" s="9">
        <v>-0.11542212671681977</v>
      </c>
      <c r="M25" s="8" t="str">
        <f t="shared" ref="M25:M39" si="15">Currency&amp;"ON"&amp;C25&amp;"D="</f>
        <v>SEKON1YD=</v>
      </c>
      <c r="N25" s="9">
        <f>'ON Pricing'!H25*100</f>
        <v>-0.2430000000000688</v>
      </c>
      <c r="O25" s="9">
        <f>N25</f>
        <v>-0.2430000000000688</v>
      </c>
      <c r="P25" s="98" t="str">
        <f t="shared" ref="P25:P39" si="16">Currency&amp;$P$4&amp;C25&amp;"="</f>
        <v>SEK1M1Y=</v>
      </c>
      <c r="Q25" s="90">
        <f>'1M Pricing'!H25*100</f>
        <v>-0.19132798649356048</v>
      </c>
      <c r="R25" s="90">
        <f t="shared" ref="R25" si="17">Q25</f>
        <v>-0.19132798649356048</v>
      </c>
      <c r="S25" s="10" t="str">
        <f t="shared" ref="S25:S39" si="18">Currency&amp;$S$4&amp;C25&amp;"="</f>
        <v>SEK3M1Y=</v>
      </c>
      <c r="T25" s="11">
        <f>'3M Pricing'!H25*100</f>
        <v>-0.11542212671681977</v>
      </c>
      <c r="U25" s="11">
        <f>T25</f>
        <v>-0.11542212671681977</v>
      </c>
      <c r="V25" s="8" t="str">
        <f t="shared" ref="V25:V39" si="19">Currency&amp;$V$4&amp;C25&amp;"="</f>
        <v>SEK6M1Y=</v>
      </c>
      <c r="W25" s="9">
        <f>'6M Pricing'!H25*100</f>
        <v>-4.3623538733729601E-2</v>
      </c>
      <c r="X25" s="9">
        <f>W25</f>
        <v>-4.3623538733729601E-2</v>
      </c>
      <c r="Y25" s="67"/>
      <c r="Z25" s="11">
        <f t="array" ref="Z25:AA39">AF25:AG39</f>
        <v>1.4564367168197617E-3</v>
      </c>
      <c r="AA25" s="11">
        <v>1.4564367168197617E-3</v>
      </c>
      <c r="AB25" s="11">
        <f>ABS(_xll.RtGet(SourceAlias,$M25,BID)-N25)</f>
        <v>1.000000000068807E-3</v>
      </c>
      <c r="AC25" s="11">
        <f>ABS(_xll.RtGet(SourceAlias,$M25,ASK)-O25)</f>
        <v>1.000000000068807E-3</v>
      </c>
      <c r="AD25" s="91">
        <f>ABS(_xll.RtGet(SourceAlias,$P25,BID)-Q25)</f>
        <v>2.2974925064395413E-3</v>
      </c>
      <c r="AE25" s="91">
        <f>ABS(_xll.RtGet(SourceAlias,$P25,ASK)-R25)</f>
        <v>2.2974925064395413E-3</v>
      </c>
      <c r="AF25" s="11">
        <f>ABS(_xll.RtGet(SourceAlias,$S25,BID)-T25)</f>
        <v>1.4564367168197617E-3</v>
      </c>
      <c r="AG25" s="11">
        <f>ABS(_xll.RtGet(SourceAlias,$S25,ASK)-U25)</f>
        <v>1.4564367168197617E-3</v>
      </c>
      <c r="AH25" s="11">
        <f>ABS(_xll.RtGet(SourceAlias,$V25,BID)-W25)</f>
        <v>7.7533807337296021E-3</v>
      </c>
      <c r="AI25" s="11">
        <f>ABS(_xll.RtGet(SourceAlias,$V25,ASK)-X25)</f>
        <v>7.7533807337296021E-3</v>
      </c>
      <c r="AJ25" s="33"/>
    </row>
    <row r="26" spans="1:36" ht="11.25" customHeight="1" x14ac:dyDescent="0.2">
      <c r="C26" s="16" t="s">
        <v>26</v>
      </c>
      <c r="D26" s="16" t="str">
        <v>stopped</v>
      </c>
      <c r="E26" s="16" t="str">
        <f>IF(Contribute="abcd",_xll.RtContribute(SourceAlias,M26,Fields,N26:O26,"SCOPE:SERVER"),"stopped")</f>
        <v>stopped</v>
      </c>
      <c r="F26" s="105" t="str">
        <f>IF(Contribute="abcd",_xll.RtContribute(SourceAlias,P26,Fields,Q26:R26,"SCOPE:SERVER"),"stopped")</f>
        <v>stopped</v>
      </c>
      <c r="G26" s="16" t="str">
        <f>IF(Contribute="abcd",_xll.RtContribute(SourceAlias,S26,Fields,T26:U26,"SCOPE:SERVER"),"stopped")</f>
        <v>stopped</v>
      </c>
      <c r="H26" s="16" t="str">
        <f>IF(Contribute="abcd",_xll.RtContribute(SourceAlias,V26,Fields,W26:X26,"SCOPE:SERVER"),"stopped")</f>
        <v>stopped</v>
      </c>
      <c r="I26" s="1"/>
      <c r="J26" s="10" t="str">
        <v>SEK3M2Y=</v>
      </c>
      <c r="K26" s="11">
        <v>-6.2499999995672698E-2</v>
      </c>
      <c r="L26" s="11">
        <v>-6.2499999995672698E-2</v>
      </c>
      <c r="M26" s="10" t="str">
        <f t="shared" si="15"/>
        <v>SEKON2YD=</v>
      </c>
      <c r="N26" s="11">
        <f>'ON Pricing'!H26*100</f>
        <v>-0.10374999999999887</v>
      </c>
      <c r="O26" s="11">
        <f t="shared" si="12"/>
        <v>-0.10374999999999887</v>
      </c>
      <c r="P26" s="89" t="str">
        <f t="shared" si="16"/>
        <v>SEK1M2Y=</v>
      </c>
      <c r="Q26" s="90">
        <f>'1M Pricing'!H26*100</f>
        <v>-0.15627027289320405</v>
      </c>
      <c r="R26" s="90">
        <f>Q26</f>
        <v>-0.15627027289320405</v>
      </c>
      <c r="S26" s="10" t="str">
        <f t="shared" si="18"/>
        <v>SEK3M2Y=</v>
      </c>
      <c r="T26" s="11">
        <f>'3M Pricing'!H26*100</f>
        <v>-6.2499999995672698E-2</v>
      </c>
      <c r="U26" s="11">
        <f t="shared" ref="U26:U39" si="20">T26</f>
        <v>-6.2499999995672698E-2</v>
      </c>
      <c r="V26" s="10" t="str">
        <f t="shared" si="19"/>
        <v>SEK6M2Y=</v>
      </c>
      <c r="W26" s="11">
        <f>'6M Pricing'!H26*100</f>
        <v>2.3970658132554442E-2</v>
      </c>
      <c r="X26" s="11">
        <f t="shared" ref="X26:X39" si="21">W26</f>
        <v>2.3970658132554442E-2</v>
      </c>
      <c r="Y26" s="67" t="s">
        <v>56</v>
      </c>
      <c r="Z26" s="11">
        <v>1.2499999995672695E-2</v>
      </c>
      <c r="AA26" s="11">
        <v>1.2499999995672695E-2</v>
      </c>
      <c r="AB26" s="11">
        <f>ABS(_xll.RtGet(SourceAlias,$M26,BID)-N26)</f>
        <v>7.4999999999988687E-3</v>
      </c>
      <c r="AC26" s="11">
        <f>ABS(_xll.RtGet(SourceAlias,$M26,ASK)-O26)</f>
        <v>7.4999999999988687E-3</v>
      </c>
      <c r="AD26" s="91">
        <f>ABS(_xll.RtGet(SourceAlias,$P26,BID)-Q26)</f>
        <v>1.2494577893204045E-2</v>
      </c>
      <c r="AE26" s="91">
        <f>ABS(_xll.RtGet(SourceAlias,$P26,ASK)-R26)</f>
        <v>1.2494577893204045E-2</v>
      </c>
      <c r="AF26" s="11">
        <f>ABS(_xll.RtGet(SourceAlias,$S26,BID)-T26)</f>
        <v>1.2499999995672695E-2</v>
      </c>
      <c r="AG26" s="11">
        <f>ABS(_xll.RtGet(SourceAlias,$S26,ASK)-U26)</f>
        <v>1.2499999995672695E-2</v>
      </c>
      <c r="AH26" s="11">
        <f>ABS(_xll.RtGet(SourceAlias,$V26,BID)-W26)</f>
        <v>1.575231486744556E-2</v>
      </c>
      <c r="AI26" s="11">
        <f>ABS(_xll.RtGet(SourceAlias,$V26,ASK)-X26)</f>
        <v>1.575231486744556E-2</v>
      </c>
      <c r="AJ26" s="33" t="s">
        <v>56</v>
      </c>
    </row>
    <row r="27" spans="1:36" ht="11.25" customHeight="1" x14ac:dyDescent="0.2">
      <c r="C27" s="16" t="s">
        <v>27</v>
      </c>
      <c r="D27" s="16" t="str">
        <v>stopped</v>
      </c>
      <c r="E27" s="16" t="str">
        <f>IF(Contribute="abcd",_xll.RtContribute(SourceAlias,M27,Fields,N27:O27,"SCOPE:SERVER"),"stopped")</f>
        <v>stopped</v>
      </c>
      <c r="F27" s="105" t="str">
        <f>IF(Contribute="abcd",_xll.RtContribute(SourceAlias,P27,Fields,Q27:R27,"SCOPE:SERVER"),"stopped")</f>
        <v>stopped</v>
      </c>
      <c r="G27" s="16" t="str">
        <f>IF(Contribute="abcd",_xll.RtContribute(SourceAlias,S27,Fields,T27:U27,"SCOPE:SERVER"),"stopped")</f>
        <v>stopped</v>
      </c>
      <c r="H27" s="16" t="str">
        <f>IF(Contribute="abcd",_xll.RtContribute(SourceAlias,V27,Fields,W27:X27,"SCOPE:SERVER"),"stopped")</f>
        <v>stopped</v>
      </c>
      <c r="I27" s="1"/>
      <c r="J27" s="10" t="str">
        <v>SEK3M3Y=</v>
      </c>
      <c r="K27" s="11">
        <v>6.7499999989308779E-2</v>
      </c>
      <c r="L27" s="11">
        <v>6.7499999989308779E-2</v>
      </c>
      <c r="M27" s="10" t="str">
        <f t="shared" si="15"/>
        <v>SEKON3YD=</v>
      </c>
      <c r="N27" s="11">
        <f>'ON Pricing'!H27*100</f>
        <v>-4.4999999999999436E-2</v>
      </c>
      <c r="O27" s="11">
        <f t="shared" si="12"/>
        <v>-4.4999999999999436E-2</v>
      </c>
      <c r="P27" s="89" t="str">
        <f t="shared" si="16"/>
        <v>SEK1M3Y=</v>
      </c>
      <c r="Q27" s="90">
        <f>'1M Pricing'!H27*100</f>
        <v>-3.2037612674177235E-2</v>
      </c>
      <c r="R27" s="90">
        <f t="shared" ref="R27:R39" si="22">Q27</f>
        <v>-3.2037612674177235E-2</v>
      </c>
      <c r="S27" s="10" t="str">
        <f t="shared" si="18"/>
        <v>SEK3M3Y=</v>
      </c>
      <c r="T27" s="11">
        <f>'3M Pricing'!H27*100</f>
        <v>6.7499999989308779E-2</v>
      </c>
      <c r="U27" s="11">
        <f t="shared" si="20"/>
        <v>6.7499999989308779E-2</v>
      </c>
      <c r="V27" s="10" t="str">
        <f t="shared" si="19"/>
        <v>SEK6M3Y=</v>
      </c>
      <c r="W27" s="11">
        <f>'6M Pricing'!H27*100</f>
        <v>0.15882204778771206</v>
      </c>
      <c r="X27" s="11">
        <f t="shared" si="21"/>
        <v>0.15882204778771206</v>
      </c>
      <c r="Y27" s="67" t="s">
        <v>56</v>
      </c>
      <c r="Z27" s="11">
        <v>1.2500000010691223E-2</v>
      </c>
      <c r="AA27" s="11">
        <v>1.2500000010691223E-2</v>
      </c>
      <c r="AB27" s="11">
        <f>ABS(_xll.RtGet(SourceAlias,$M27,BID)-N27)</f>
        <v>7.4999999999994377E-3</v>
      </c>
      <c r="AC27" s="11">
        <f>ABS(_xll.RtGet(SourceAlias,$M27,ASK)-O27)</f>
        <v>7.4999999999994377E-3</v>
      </c>
      <c r="AD27" s="91">
        <f>ABS(_xll.RtGet(SourceAlias,$P27,BID)-Q27)</f>
        <v>1.2495368674177235E-2</v>
      </c>
      <c r="AE27" s="91">
        <f>ABS(_xll.RtGet(SourceAlias,$P27,ASK)-R27)</f>
        <v>1.2495368674177235E-2</v>
      </c>
      <c r="AF27" s="11">
        <f>ABS(_xll.RtGet(SourceAlias,$S27,BID)-T27)</f>
        <v>1.2500000010691223E-2</v>
      </c>
      <c r="AG27" s="11">
        <f>ABS(_xll.RtGet(SourceAlias,$S27,ASK)-U27)</f>
        <v>1.2500000010691223E-2</v>
      </c>
      <c r="AH27" s="11">
        <f>ABS(_xll.RtGet(SourceAlias,$V27,BID)-W27)</f>
        <v>1.4634603212287961E-2</v>
      </c>
      <c r="AI27" s="11">
        <f>ABS(_xll.RtGet(SourceAlias,$V27,ASK)-X27)</f>
        <v>1.4634603212287961E-2</v>
      </c>
      <c r="AJ27" s="33" t="s">
        <v>56</v>
      </c>
    </row>
    <row r="28" spans="1:36" ht="11.25" customHeight="1" x14ac:dyDescent="0.2">
      <c r="C28" s="16" t="s">
        <v>28</v>
      </c>
      <c r="D28" s="16" t="str">
        <v>stopped</v>
      </c>
      <c r="E28" s="16" t="str">
        <f>IF(Contribute="abcd",_xll.RtContribute(SourceAlias,M28,Fields,N28:O28,"SCOPE:SERVER"),"stopped")</f>
        <v>stopped</v>
      </c>
      <c r="F28" s="105" t="str">
        <f>IF(Contribute="abcd",_xll.RtContribute(SourceAlias,P28,Fields,Q28:R28,"SCOPE:SERVER"),"stopped")</f>
        <v>stopped</v>
      </c>
      <c r="G28" s="16" t="str">
        <f>IF(Contribute="abcd",_xll.RtContribute(SourceAlias,S28,Fields,T28:U28,"SCOPE:SERVER"),"stopped")</f>
        <v>stopped</v>
      </c>
      <c r="H28" s="16" t="str">
        <f>IF(Contribute="abcd",_xll.RtContribute(SourceAlias,V28,Fields,W28:X28,"SCOPE:SERVER"),"stopped")</f>
        <v>stopped</v>
      </c>
      <c r="I28" s="1"/>
      <c r="J28" s="10" t="str">
        <v>SEK3M4Y=</v>
      </c>
      <c r="K28" s="11">
        <v>0.21500000000126918</v>
      </c>
      <c r="L28" s="11">
        <v>0.21500000000126918</v>
      </c>
      <c r="M28" s="10" t="str">
        <f t="shared" si="15"/>
        <v>SEKON4YD=</v>
      </c>
      <c r="N28" s="11">
        <f>'ON Pricing'!H28*100</f>
        <v>2.3750000009517241E-2</v>
      </c>
      <c r="O28" s="11">
        <f t="shared" si="12"/>
        <v>2.3750000009517241E-2</v>
      </c>
      <c r="P28" s="89" t="str">
        <f t="shared" si="16"/>
        <v>SEK1M4Y=</v>
      </c>
      <c r="Q28" s="90">
        <f>'1M Pricing'!H28*100</f>
        <v>0.11270977705203478</v>
      </c>
      <c r="R28" s="90">
        <f t="shared" si="22"/>
        <v>0.11270977705203478</v>
      </c>
      <c r="S28" s="10" t="str">
        <f t="shared" si="18"/>
        <v>SEK3M4Y=</v>
      </c>
      <c r="T28" s="11">
        <f>'3M Pricing'!H28*100</f>
        <v>0.21500000000126918</v>
      </c>
      <c r="U28" s="11">
        <f t="shared" si="20"/>
        <v>0.21500000000126918</v>
      </c>
      <c r="V28" s="10" t="str">
        <f t="shared" si="19"/>
        <v>SEK6M4Y=</v>
      </c>
      <c r="W28" s="11">
        <f>'6M Pricing'!H28*100</f>
        <v>0.30856076319858533</v>
      </c>
      <c r="X28" s="11">
        <f t="shared" si="21"/>
        <v>0.30856076319858533</v>
      </c>
      <c r="Y28" s="67" t="s">
        <v>56</v>
      </c>
      <c r="Z28" s="11">
        <v>1.4999999998730834E-2</v>
      </c>
      <c r="AA28" s="11">
        <v>1.4999999998730834E-2</v>
      </c>
      <c r="AB28" s="11">
        <f>ABS(_xll.RtGet(SourceAlias,$M28,BID)-N28)</f>
        <v>6.2499999904827575E-3</v>
      </c>
      <c r="AC28" s="11">
        <f>ABS(_xll.RtGet(SourceAlias,$M28,ASK)-O28)</f>
        <v>6.2499999904827575E-3</v>
      </c>
      <c r="AD28" s="91">
        <f>ABS(_xll.RtGet(SourceAlias,$P28,BID)-Q28)</f>
        <v>1.4995898947965242E-2</v>
      </c>
      <c r="AE28" s="91">
        <f>ABS(_xll.RtGet(SourceAlias,$P28,ASK)-R28)</f>
        <v>1.4995898947965242E-2</v>
      </c>
      <c r="AF28" s="11">
        <f>ABS(_xll.RtGet(SourceAlias,$S28,BID)-T28)</f>
        <v>1.4999999998730834E-2</v>
      </c>
      <c r="AG28" s="11">
        <f>ABS(_xll.RtGet(SourceAlias,$S28,ASK)-U28)</f>
        <v>1.4999999998730834E-2</v>
      </c>
      <c r="AH28" s="11">
        <f>ABS(_xll.RtGet(SourceAlias,$V28,BID)-W28)</f>
        <v>1.6626917801414676E-2</v>
      </c>
      <c r="AI28" s="11">
        <f>ABS(_xll.RtGet(SourceAlias,$V28,ASK)-X28)</f>
        <v>1.6626917801414676E-2</v>
      </c>
      <c r="AJ28" s="33" t="s">
        <v>56</v>
      </c>
    </row>
    <row r="29" spans="1:36" ht="11.25" customHeight="1" x14ac:dyDescent="0.2">
      <c r="C29" s="16" t="s">
        <v>29</v>
      </c>
      <c r="D29" s="16" t="str">
        <v>stopped</v>
      </c>
      <c r="E29" s="16" t="str">
        <f>IF(Contribute="abcd",_xll.RtContribute(SourceAlias,M29,Fields,N29:O29,"SCOPE:SERVER"),"stopped")</f>
        <v>stopped</v>
      </c>
      <c r="F29" s="105" t="str">
        <f>IF(Contribute="abcd",_xll.RtContribute(SourceAlias,P29,Fields,Q29:R29,"SCOPE:SERVER"),"stopped")</f>
        <v>stopped</v>
      </c>
      <c r="G29" s="16" t="str">
        <f>IF(Contribute="abcd",_xll.RtContribute(SourceAlias,S29,Fields,T29:U29,"SCOPE:SERVER"),"stopped")</f>
        <v>stopped</v>
      </c>
      <c r="H29" s="16" t="str">
        <f>IF(Contribute="abcd",_xll.RtContribute(SourceAlias,V29,Fields,W29:X29,"SCOPE:SERVER"),"stopped")</f>
        <v>stopped</v>
      </c>
      <c r="I29" s="1"/>
      <c r="J29" s="10" t="str">
        <v>SEK3M5Y=</v>
      </c>
      <c r="K29" s="11">
        <v>0.36500000000124277</v>
      </c>
      <c r="L29" s="11">
        <v>0.36500000000124277</v>
      </c>
      <c r="M29" s="10" t="str">
        <f t="shared" si="15"/>
        <v>SEKON5YD=</v>
      </c>
      <c r="N29" s="11">
        <f>'ON Pricing'!H29*100</f>
        <v>9.5000000000941387E-2</v>
      </c>
      <c r="O29" s="11">
        <f t="shared" si="12"/>
        <v>9.5000000000941387E-2</v>
      </c>
      <c r="P29" s="89" t="str">
        <f t="shared" si="16"/>
        <v>SEK1M5Y=</v>
      </c>
      <c r="Q29" s="90">
        <f>'1M Pricing'!H29*100</f>
        <v>0.262125719465582</v>
      </c>
      <c r="R29" s="90">
        <f t="shared" si="22"/>
        <v>0.262125719465582</v>
      </c>
      <c r="S29" s="10" t="str">
        <f t="shared" si="18"/>
        <v>SEK3M5Y=</v>
      </c>
      <c r="T29" s="11">
        <f>'3M Pricing'!H29*100</f>
        <v>0.36500000000124277</v>
      </c>
      <c r="U29" s="11">
        <f t="shared" si="20"/>
        <v>0.36500000000124277</v>
      </c>
      <c r="V29" s="10" t="str">
        <f t="shared" si="19"/>
        <v>SEK6M5Y=</v>
      </c>
      <c r="W29" s="11">
        <f>'6M Pricing'!H29*100</f>
        <v>0.45994495849480627</v>
      </c>
      <c r="X29" s="11">
        <f t="shared" si="21"/>
        <v>0.45994495849480627</v>
      </c>
      <c r="Y29" s="67" t="s">
        <v>56</v>
      </c>
      <c r="Z29" s="11">
        <v>1.7499999998757232E-2</v>
      </c>
      <c r="AA29" s="11">
        <v>1.7499999998757232E-2</v>
      </c>
      <c r="AB29" s="11">
        <f>ABS(_xll.RtGet(SourceAlias,$M29,BID)-N29)</f>
        <v>9.9999999990586091E-3</v>
      </c>
      <c r="AC29" s="11">
        <f>ABS(_xll.RtGet(SourceAlias,$M29,ASK)-O29)</f>
        <v>9.9999999990586091E-3</v>
      </c>
      <c r="AD29" s="91">
        <f>ABS(_xll.RtGet(SourceAlias,$P29,BID)-Q29)</f>
        <v>1.7493939534418024E-2</v>
      </c>
      <c r="AE29" s="91">
        <f>ABS(_xll.RtGet(SourceAlias,$P29,ASK)-R29)</f>
        <v>1.7493939534418024E-2</v>
      </c>
      <c r="AF29" s="11">
        <f>ABS(_xll.RtGet(SourceAlias,$S29,BID)-T29)</f>
        <v>1.7499999998757232E-2</v>
      </c>
      <c r="AG29" s="11">
        <f>ABS(_xll.RtGet(SourceAlias,$S29,ASK)-U29)</f>
        <v>1.7499999998757232E-2</v>
      </c>
      <c r="AH29" s="11">
        <f>ABS(_xll.RtGet(SourceAlias,$V29,BID)-W29)</f>
        <v>1.8824920505193743E-2</v>
      </c>
      <c r="AI29" s="11">
        <f>ABS(_xll.RtGet(SourceAlias,$V29,ASK)-X29)</f>
        <v>1.8824920505193743E-2</v>
      </c>
      <c r="AJ29" s="33" t="s">
        <v>56</v>
      </c>
    </row>
    <row r="30" spans="1:36" ht="11.25" customHeight="1" x14ac:dyDescent="0.2">
      <c r="C30" s="16" t="s">
        <v>30</v>
      </c>
      <c r="D30" s="16" t="str">
        <v>stopped</v>
      </c>
      <c r="E30" s="16" t="str">
        <f>IF(Contribute="abcd",_xll.RtContribute(SourceAlias,M30,Fields,N30:O30,"SCOPE:SERVER"),"stopped")</f>
        <v>stopped</v>
      </c>
      <c r="F30" s="105" t="str">
        <f>IF(Contribute="abcd",_xll.RtContribute(SourceAlias,P30,Fields,Q30:R30,"SCOPE:SERVER"),"stopped")</f>
        <v>stopped</v>
      </c>
      <c r="G30" s="16" t="str">
        <f>IF(Contribute="abcd",_xll.RtContribute(SourceAlias,S30,Fields,T30:U30,"SCOPE:SERVER"),"stopped")</f>
        <v>stopped</v>
      </c>
      <c r="H30" s="16" t="str">
        <f>IF(Contribute="abcd",_xll.RtContribute(SourceAlias,V30,Fields,W30:X30,"SCOPE:SERVER"),"stopped")</f>
        <v>stopped</v>
      </c>
      <c r="I30" s="1"/>
      <c r="J30" s="10" t="str">
        <v>SEK3M6Y=</v>
      </c>
      <c r="K30" s="11">
        <v>0.50500000000097667</v>
      </c>
      <c r="L30" s="11">
        <v>0.50500000000097667</v>
      </c>
      <c r="M30" s="10" t="str">
        <f t="shared" si="15"/>
        <v>SEKON6YD=</v>
      </c>
      <c r="N30" s="11">
        <f>'ON Pricing'!H30*100</f>
        <v>0.16375000000039086</v>
      </c>
      <c r="O30" s="11">
        <f t="shared" si="12"/>
        <v>0.16375000000039086</v>
      </c>
      <c r="P30" s="89" t="str">
        <f t="shared" si="16"/>
        <v>SEK1M6Y=</v>
      </c>
      <c r="Q30" s="90">
        <f>'1M Pricing'!H30*100</f>
        <v>0.40180681344880159</v>
      </c>
      <c r="R30" s="90">
        <f t="shared" si="22"/>
        <v>0.40180681344880159</v>
      </c>
      <c r="S30" s="10" t="str">
        <f t="shared" si="18"/>
        <v>SEK3M6Y=</v>
      </c>
      <c r="T30" s="11">
        <f>'3M Pricing'!H30*100</f>
        <v>0.50500000000097667</v>
      </c>
      <c r="U30" s="11">
        <f t="shared" si="20"/>
        <v>0.50500000000097667</v>
      </c>
      <c r="V30" s="10" t="str">
        <f t="shared" si="19"/>
        <v>SEK6M6Y=</v>
      </c>
      <c r="W30" s="11">
        <f>'6M Pricing'!H30*100</f>
        <v>0.60066344015783124</v>
      </c>
      <c r="X30" s="11">
        <f t="shared" si="21"/>
        <v>0.60066344015783124</v>
      </c>
      <c r="Y30" s="67" t="s">
        <v>56</v>
      </c>
      <c r="Z30" s="11">
        <v>2.4999999999023359E-2</v>
      </c>
      <c r="AA30" s="11">
        <v>2.4999999999023359E-2</v>
      </c>
      <c r="AB30" s="11">
        <f>ABS(_xll.RtGet(SourceAlias,$M30,BID)-N30)</f>
        <v>1.3749999999609158E-2</v>
      </c>
      <c r="AC30" s="11">
        <f>ABS(_xll.RtGet(SourceAlias,$M30,ASK)-O30)</f>
        <v>1.3749999999609158E-2</v>
      </c>
      <c r="AD30" s="91">
        <f>ABS(_xll.RtGet(SourceAlias,$P30,BID)-Q30)</f>
        <v>2.509402555119844E-2</v>
      </c>
      <c r="AE30" s="91">
        <f>ABS(_xll.RtGet(SourceAlias,$P30,ASK)-R30)</f>
        <v>2.509402555119844E-2</v>
      </c>
      <c r="AF30" s="11">
        <f>ABS(_xll.RtGet(SourceAlias,$S30,BID)-T30)</f>
        <v>2.4999999999023359E-2</v>
      </c>
      <c r="AG30" s="11">
        <f>ABS(_xll.RtGet(SourceAlias,$S30,ASK)-U30)</f>
        <v>2.4999999999023359E-2</v>
      </c>
      <c r="AH30" s="11">
        <f>ABS(_xll.RtGet(SourceAlias,$V30,BID)-W30)</f>
        <v>2.6021468842168827E-2</v>
      </c>
      <c r="AI30" s="11">
        <f>ABS(_xll.RtGet(SourceAlias,$V30,ASK)-X30)</f>
        <v>2.6021468842168827E-2</v>
      </c>
      <c r="AJ30" s="33" t="s">
        <v>56</v>
      </c>
    </row>
    <row r="31" spans="1:36" ht="11.25" customHeight="1" x14ac:dyDescent="0.2">
      <c r="C31" s="16" t="s">
        <v>31</v>
      </c>
      <c r="D31" s="16" t="str">
        <v>stopped</v>
      </c>
      <c r="E31" s="16" t="str">
        <f>IF(Contribute="abcd",_xll.RtContribute(SourceAlias,M31,Fields,N31:O31,"SCOPE:SERVER"),"stopped")</f>
        <v>stopped</v>
      </c>
      <c r="F31" s="105" t="str">
        <f>IF(Contribute="abcd",_xll.RtContribute(SourceAlias,P31,Fields,Q31:R31,"SCOPE:SERVER"),"stopped")</f>
        <v>stopped</v>
      </c>
      <c r="G31" s="16" t="str">
        <f>IF(Contribute="abcd",_xll.RtContribute(SourceAlias,S31,Fields,T31:U31,"SCOPE:SERVER"),"stopped")</f>
        <v>stopped</v>
      </c>
      <c r="H31" s="16" t="str">
        <f>IF(Contribute="abcd",_xll.RtContribute(SourceAlias,V31,Fields,W31:X31,"SCOPE:SERVER"),"stopped")</f>
        <v>stopped</v>
      </c>
      <c r="I31" s="1"/>
      <c r="J31" s="10" t="str">
        <v>SEK3M7Y=</v>
      </c>
      <c r="K31" s="11">
        <v>0.62750000000087758</v>
      </c>
      <c r="L31" s="11">
        <v>0.62750000000087758</v>
      </c>
      <c r="M31" s="10" t="str">
        <f t="shared" si="15"/>
        <v>SEKON7YD=</v>
      </c>
      <c r="N31" s="11">
        <f>'ON Pricing'!H31*100</f>
        <v>0.22500000000067044</v>
      </c>
      <c r="O31" s="11">
        <f t="shared" si="12"/>
        <v>0.22500000000067044</v>
      </c>
      <c r="P31" s="89" t="str">
        <f t="shared" si="16"/>
        <v>SEK1M7Y=</v>
      </c>
      <c r="Q31" s="90">
        <f>'1M Pricing'!H31*100</f>
        <v>0.52429125738546822</v>
      </c>
      <c r="R31" s="90">
        <f t="shared" si="22"/>
        <v>0.52429125738546822</v>
      </c>
      <c r="S31" s="10" t="str">
        <f t="shared" si="18"/>
        <v>SEK3M7Y=</v>
      </c>
      <c r="T31" s="11">
        <f>'3M Pricing'!H31*100</f>
        <v>0.62750000000087758</v>
      </c>
      <c r="U31" s="11">
        <f t="shared" si="20"/>
        <v>0.62750000000087758</v>
      </c>
      <c r="V31" s="10" t="str">
        <f t="shared" si="19"/>
        <v>SEK6M7Y=</v>
      </c>
      <c r="W31" s="11">
        <f>'6M Pricing'!H31*100</f>
        <v>0.72357920977970636</v>
      </c>
      <c r="X31" s="11">
        <f t="shared" si="21"/>
        <v>0.72357920977970636</v>
      </c>
      <c r="Y31" s="67" t="s">
        <v>56</v>
      </c>
      <c r="Z31" s="11">
        <v>2.4999999999122502E-2</v>
      </c>
      <c r="AA31" s="11">
        <v>2.4999999999122502E-2</v>
      </c>
      <c r="AB31" s="11">
        <f>ABS(_xll.RtGet(SourceAlias,$M31,BID)-N31)</f>
        <v>1.3749999999329576E-2</v>
      </c>
      <c r="AC31" s="11">
        <f>ABS(_xll.RtGet(SourceAlias,$M31,ASK)-O31)</f>
        <v>1.3749999999329576E-2</v>
      </c>
      <c r="AD31" s="91">
        <f>ABS(_xll.RtGet(SourceAlias,$P31,BID)-Q31)</f>
        <v>2.4992864614531762E-2</v>
      </c>
      <c r="AE31" s="91">
        <f>ABS(_xll.RtGet(SourceAlias,$P31,ASK)-R31)</f>
        <v>2.4992864614531762E-2</v>
      </c>
      <c r="AF31" s="11">
        <f>ABS(_xll.RtGet(SourceAlias,$S31,BID)-T31)</f>
        <v>2.4999999999122502E-2</v>
      </c>
      <c r="AG31" s="11">
        <f>ABS(_xll.RtGet(SourceAlias,$S31,ASK)-U31)</f>
        <v>2.4999999999122502E-2</v>
      </c>
      <c r="AH31" s="11">
        <f>ABS(_xll.RtGet(SourceAlias,$V31,BID)-W31)</f>
        <v>2.5919651220293716E-2</v>
      </c>
      <c r="AI31" s="11">
        <f>ABS(_xll.RtGet(SourceAlias,$V31,ASK)-X31)</f>
        <v>2.5919651220293716E-2</v>
      </c>
      <c r="AJ31" s="33" t="s">
        <v>56</v>
      </c>
    </row>
    <row r="32" spans="1:36" ht="11.25" customHeight="1" x14ac:dyDescent="0.2">
      <c r="C32" s="16" t="s">
        <v>32</v>
      </c>
      <c r="D32" s="16" t="str">
        <v>stopped</v>
      </c>
      <c r="E32" s="16" t="str">
        <f>IF(Contribute="abcd",_xll.RtContribute(SourceAlias,M32,Fields,N32:O32,"SCOPE:SERVER"),"stopped")</f>
        <v>stopped</v>
      </c>
      <c r="F32" s="105" t="str">
        <f>IF(Contribute="abcd",_xll.RtContribute(SourceAlias,P32,Fields,Q32:R32,"SCOPE:SERVER"),"stopped")</f>
        <v>stopped</v>
      </c>
      <c r="G32" s="16" t="str">
        <f>IF(Contribute="abcd",_xll.RtContribute(SourceAlias,S32,Fields,T32:U32,"SCOPE:SERVER"),"stopped")</f>
        <v>stopped</v>
      </c>
      <c r="H32" s="16" t="str">
        <f>IF(Contribute="abcd",_xll.RtContribute(SourceAlias,V32,Fields,W32:X32,"SCOPE:SERVER"),"stopped")</f>
        <v>stopped</v>
      </c>
      <c r="I32" s="1"/>
      <c r="J32" s="10" t="str">
        <v>SEK3M8Y=</v>
      </c>
      <c r="K32" s="11">
        <v>0.7325000000007581</v>
      </c>
      <c r="L32" s="11">
        <v>0.7325000000007581</v>
      </c>
      <c r="M32" s="10" t="str">
        <f t="shared" si="15"/>
        <v>SEKON8YD=</v>
      </c>
      <c r="N32" s="11">
        <f>'ON Pricing'!H32*100</f>
        <v>0.27875000000133238</v>
      </c>
      <c r="O32" s="11">
        <f t="shared" si="12"/>
        <v>0.27875000000133238</v>
      </c>
      <c r="P32" s="89" t="str">
        <f t="shared" si="16"/>
        <v>SEK1M8Y=</v>
      </c>
      <c r="Q32" s="90">
        <f>'1M Pricing'!H32*100</f>
        <v>0.62917539919121301</v>
      </c>
      <c r="R32" s="90">
        <f t="shared" si="22"/>
        <v>0.62917539919121301</v>
      </c>
      <c r="S32" s="10" t="str">
        <f t="shared" si="18"/>
        <v>SEK3M8Y=</v>
      </c>
      <c r="T32" s="11">
        <f>'3M Pricing'!H32*100</f>
        <v>0.7325000000007581</v>
      </c>
      <c r="U32" s="11">
        <f t="shared" si="20"/>
        <v>0.7325000000007581</v>
      </c>
      <c r="V32" s="10" t="str">
        <f t="shared" si="19"/>
        <v>SEK6M8Y=</v>
      </c>
      <c r="W32" s="11">
        <f>'6M Pricing'!H32*100</f>
        <v>0.8288928587255483</v>
      </c>
      <c r="X32" s="11">
        <f t="shared" si="21"/>
        <v>0.8288928587255483</v>
      </c>
      <c r="Y32" s="67" t="s">
        <v>56</v>
      </c>
      <c r="Z32" s="11">
        <v>2.4999999999241962E-2</v>
      </c>
      <c r="AA32" s="11">
        <v>2.4999999999241962E-2</v>
      </c>
      <c r="AB32" s="11">
        <f>ABS(_xll.RtGet(SourceAlias,$M32,BID)-N32)</f>
        <v>1.2499999998667632E-2</v>
      </c>
      <c r="AC32" s="11">
        <f>ABS(_xll.RtGet(SourceAlias,$M32,ASK)-O32)</f>
        <v>1.2499999998667632E-2</v>
      </c>
      <c r="AD32" s="91">
        <f>ABS(_xll.RtGet(SourceAlias,$P32,BID)-Q32)</f>
        <v>2.5094973808787002E-2</v>
      </c>
      <c r="AE32" s="91">
        <f>ABS(_xll.RtGet(SourceAlias,$P32,ASK)-R32)</f>
        <v>2.5094973808787002E-2</v>
      </c>
      <c r="AF32" s="11">
        <f>ABS(_xll.RtGet(SourceAlias,$S32,BID)-T32)</f>
        <v>2.4999999999241962E-2</v>
      </c>
      <c r="AG32" s="11">
        <f>ABS(_xll.RtGet(SourceAlias,$S32,ASK)-U32)</f>
        <v>2.4999999999241962E-2</v>
      </c>
      <c r="AH32" s="11">
        <f>ABS(_xll.RtGet(SourceAlias,$V32,BID)-W32)</f>
        <v>2.5817788274451803E-2</v>
      </c>
      <c r="AI32" s="11">
        <f>ABS(_xll.RtGet(SourceAlias,$V32,ASK)-X32)</f>
        <v>2.5817788274451803E-2</v>
      </c>
      <c r="AJ32" s="33" t="s">
        <v>56</v>
      </c>
    </row>
    <row r="33" spans="3:36" ht="11.25" customHeight="1" x14ac:dyDescent="0.2">
      <c r="C33" s="16" t="s">
        <v>33</v>
      </c>
      <c r="D33" s="16" t="str">
        <v>stopped</v>
      </c>
      <c r="E33" s="16" t="str">
        <f>IF(Contribute="abcd",_xll.RtContribute(SourceAlias,M33,Fields,N33:O33,"SCOPE:SERVER"),"stopped")</f>
        <v>stopped</v>
      </c>
      <c r="F33" s="105" t="str">
        <f>IF(Contribute="abcd",_xll.RtContribute(SourceAlias,P33,Fields,Q33:R33,"SCOPE:SERVER"),"stopped")</f>
        <v>stopped</v>
      </c>
      <c r="G33" s="16" t="str">
        <f>IF(Contribute="abcd",_xll.RtContribute(SourceAlias,S33,Fields,T33:U33,"SCOPE:SERVER"),"stopped")</f>
        <v>stopped</v>
      </c>
      <c r="H33" s="16" t="str">
        <f>IF(Contribute="abcd",_xll.RtContribute(SourceAlias,V33,Fields,W33:X33,"SCOPE:SERVER"),"stopped")</f>
        <v>stopped</v>
      </c>
      <c r="I33" s="1"/>
      <c r="J33" s="10" t="str">
        <v>SEK3M9Y=</v>
      </c>
      <c r="K33" s="11">
        <v>0.82000000000067386</v>
      </c>
      <c r="L33" s="11">
        <v>0.82000000000067386</v>
      </c>
      <c r="M33" s="10" t="str">
        <f t="shared" si="15"/>
        <v>SEKON9YD=</v>
      </c>
      <c r="N33" s="11">
        <f>'ON Pricing'!H33*100</f>
        <v>0.32250000000310963</v>
      </c>
      <c r="O33" s="11">
        <f t="shared" si="12"/>
        <v>0.32250000000310963</v>
      </c>
      <c r="P33" s="89" t="str">
        <f t="shared" si="16"/>
        <v>SEK1M9Y=</v>
      </c>
      <c r="Q33" s="90">
        <f>'1M Pricing'!H33*100</f>
        <v>0.71673290638369691</v>
      </c>
      <c r="R33" s="90">
        <f t="shared" si="22"/>
        <v>0.71673290638369691</v>
      </c>
      <c r="S33" s="10" t="str">
        <f t="shared" si="18"/>
        <v>SEK3M9Y=</v>
      </c>
      <c r="T33" s="11">
        <f>'3M Pricing'!H33*100</f>
        <v>0.82000000000067386</v>
      </c>
      <c r="U33" s="11">
        <f t="shared" si="20"/>
        <v>0.82000000000067386</v>
      </c>
      <c r="V33" s="10" t="str">
        <f t="shared" si="19"/>
        <v>SEK6M9Y=</v>
      </c>
      <c r="W33" s="11">
        <f>'6M Pricing'!H33*100</f>
        <v>0.91663376432828592</v>
      </c>
      <c r="X33" s="11">
        <f t="shared" si="21"/>
        <v>0.91663376432828592</v>
      </c>
      <c r="Y33" s="67" t="s">
        <v>56</v>
      </c>
      <c r="Z33" s="11">
        <v>2.7499999999326175E-2</v>
      </c>
      <c r="AA33" s="11">
        <v>2.7499999999326175E-2</v>
      </c>
      <c r="AB33" s="11">
        <f>ABS(_xll.RtGet(SourceAlias,$M33,BID)-N33)</f>
        <v>1.3749999996890416E-2</v>
      </c>
      <c r="AC33" s="11">
        <f>ABS(_xll.RtGet(SourceAlias,$M33,ASK)-O33)</f>
        <v>1.3749999996890416E-2</v>
      </c>
      <c r="AD33" s="91">
        <f>ABS(_xll.RtGet(SourceAlias,$P33,BID)-Q33)</f>
        <v>2.7492880616303172E-2</v>
      </c>
      <c r="AE33" s="91">
        <f>ABS(_xll.RtGet(SourceAlias,$P33,ASK)-R33)</f>
        <v>2.7492880616303172E-2</v>
      </c>
      <c r="AF33" s="11">
        <f>ABS(_xll.RtGet(SourceAlias,$S33,BID)-T33)</f>
        <v>2.7499999999326175E-2</v>
      </c>
      <c r="AG33" s="11">
        <f>ABS(_xll.RtGet(SourceAlias,$S33,ASK)-U33)</f>
        <v>2.7499999999326175E-2</v>
      </c>
      <c r="AH33" s="11">
        <f>ABS(_xll.RtGet(SourceAlias,$V33,BID)-W33)</f>
        <v>2.8216865671714109E-2</v>
      </c>
      <c r="AI33" s="11">
        <f>ABS(_xll.RtGet(SourceAlias,$V33,ASK)-X33)</f>
        <v>2.8216865671714109E-2</v>
      </c>
      <c r="AJ33" s="33" t="s">
        <v>56</v>
      </c>
    </row>
    <row r="34" spans="3:36" x14ac:dyDescent="0.2">
      <c r="C34" s="16" t="s">
        <v>34</v>
      </c>
      <c r="D34" s="16" t="str">
        <v>stopped</v>
      </c>
      <c r="E34" s="16" t="str">
        <f>IF(Contribute="abcd",_xll.RtContribute(SourceAlias,M34,Fields,N34:O34,"SCOPE:SERVER"),"stopped")</f>
        <v>stopped</v>
      </c>
      <c r="F34" s="105" t="str">
        <f>IF(Contribute="abcd",_xll.RtContribute(SourceAlias,P34,Fields,Q34:R34,"SCOPE:SERVER"),"stopped")</f>
        <v>stopped</v>
      </c>
      <c r="G34" s="16" t="str">
        <f>IF(Contribute="abcd",_xll.RtContribute(SourceAlias,S34,Fields,T34:U34,"SCOPE:SERVER"),"stopped")</f>
        <v>stopped</v>
      </c>
      <c r="H34" s="16" t="str">
        <f>IF(Contribute="abcd",_xll.RtContribute(SourceAlias,V34,Fields,W34:X34,"SCOPE:SERVER"),"stopped")</f>
        <v>stopped</v>
      </c>
      <c r="I34" s="1"/>
      <c r="J34" s="10" t="str">
        <v>SEK3M10Y=</v>
      </c>
      <c r="K34" s="11">
        <v>0.89500000000058522</v>
      </c>
      <c r="L34" s="11">
        <v>0.89500000000058522</v>
      </c>
      <c r="M34" s="10" t="str">
        <f t="shared" si="15"/>
        <v>SEKON10YD=</v>
      </c>
      <c r="N34" s="11">
        <f>'ON Pricing'!H34*100</f>
        <v>0.36000000000353177</v>
      </c>
      <c r="O34" s="11">
        <f t="shared" si="12"/>
        <v>0.36000000000353177</v>
      </c>
      <c r="P34" s="89" t="str">
        <f t="shared" si="16"/>
        <v>SEK1M10Y=</v>
      </c>
      <c r="Q34" s="90">
        <f>'1M Pricing'!H34*100</f>
        <v>0.79172464384677022</v>
      </c>
      <c r="R34" s="90">
        <f t="shared" si="22"/>
        <v>0.79172464384677022</v>
      </c>
      <c r="S34" s="10" t="str">
        <f t="shared" si="18"/>
        <v>SEK3M10Y=</v>
      </c>
      <c r="T34" s="11">
        <f>'3M Pricing'!H34*100</f>
        <v>0.89500000000058522</v>
      </c>
      <c r="U34" s="11">
        <f t="shared" si="20"/>
        <v>0.89500000000058522</v>
      </c>
      <c r="V34" s="10" t="str">
        <f t="shared" si="19"/>
        <v>SEK6M10Y=</v>
      </c>
      <c r="W34" s="11">
        <f>'6M Pricing'!H34*100</f>
        <v>0.99123199980293353</v>
      </c>
      <c r="X34" s="11">
        <f t="shared" si="21"/>
        <v>0.99123199980293353</v>
      </c>
      <c r="Y34" s="67" t="s">
        <v>56</v>
      </c>
      <c r="Z34" s="11">
        <v>2.4999999999414824E-2</v>
      </c>
      <c r="AA34" s="11">
        <v>2.4999999999414824E-2</v>
      </c>
      <c r="AB34" s="11">
        <f>ABS(_xll.RtGet(SourceAlias,$M34,BID)-N34)</f>
        <v>1.2499999996468225E-2</v>
      </c>
      <c r="AC34" s="11">
        <f>ABS(_xll.RtGet(SourceAlias,$M34,ASK)-O34)</f>
        <v>1.2499999996468225E-2</v>
      </c>
      <c r="AD34" s="91">
        <f>ABS(_xll.RtGet(SourceAlias,$P34,BID)-Q34)</f>
        <v>2.4993665153229871E-2</v>
      </c>
      <c r="AE34" s="91">
        <f>ABS(_xll.RtGet(SourceAlias,$P34,ASK)-R34)</f>
        <v>2.4993665153229871E-2</v>
      </c>
      <c r="AF34" s="11">
        <f>ABS(_xll.RtGet(SourceAlias,$S34,BID)-T34)</f>
        <v>2.4999999999414824E-2</v>
      </c>
      <c r="AG34" s="11">
        <f>ABS(_xll.RtGet(SourceAlias,$S34,ASK)-U34)</f>
        <v>2.4999999999414824E-2</v>
      </c>
      <c r="AH34" s="11">
        <f>ABS(_xll.RtGet(SourceAlias,$V34,BID)-W34)</f>
        <v>2.571625019706647E-2</v>
      </c>
      <c r="AI34" s="11">
        <f>ABS(_xll.RtGet(SourceAlias,$V34,ASK)-X34)</f>
        <v>2.571625019706647E-2</v>
      </c>
      <c r="AJ34" s="33" t="s">
        <v>56</v>
      </c>
    </row>
    <row r="35" spans="3:36" x14ac:dyDescent="0.2">
      <c r="C35" s="16" t="s">
        <v>35</v>
      </c>
      <c r="D35" s="16" t="str">
        <v>stopped</v>
      </c>
      <c r="E35" s="16" t="str">
        <f>IF(Contribute="abcd",_xll.RtContribute(SourceAlias,M35,Fields,N35:O35,"SCOPE:SERVER"),"stopped")</f>
        <v>stopped</v>
      </c>
      <c r="F35" s="105" t="str">
        <f>IF(Contribute="abcd",_xll.RtContribute(SourceAlias,P35,Fields,Q35:R35,"SCOPE:SERVER"),"stopped")</f>
        <v>stopped</v>
      </c>
      <c r="G35" s="16" t="str">
        <f>IF(Contribute="abcd",_xll.RtContribute(SourceAlias,S35,Fields,T35:U35,"SCOPE:SERVER"),"stopped")</f>
        <v>stopped</v>
      </c>
      <c r="H35" s="16" t="str">
        <f>IF(Contribute="abcd",_xll.RtContribute(SourceAlias,V35,Fields,W35:X35,"SCOPE:SERVER"),"stopped")</f>
        <v>stopped</v>
      </c>
      <c r="I35" s="1"/>
      <c r="J35" s="10" t="str">
        <v>SEK3M12Y=</v>
      </c>
      <c r="K35" s="11">
        <v>1.0175000000005168</v>
      </c>
      <c r="L35" s="11">
        <v>1.0175000000005168</v>
      </c>
      <c r="M35" s="10" t="str">
        <f t="shared" si="15"/>
        <v>SEKON12YD=</v>
      </c>
      <c r="N35" s="11">
        <f>'ON Pricing'!H35*100</f>
        <v>0.42250000000587323</v>
      </c>
      <c r="O35" s="11">
        <f t="shared" si="12"/>
        <v>0.42250000000587323</v>
      </c>
      <c r="P35" s="89" t="str">
        <f t="shared" si="16"/>
        <v>SEK1M12Y=</v>
      </c>
      <c r="Q35" s="90">
        <f>'1M Pricing'!H35*100</f>
        <v>0.91431103235379041</v>
      </c>
      <c r="R35" s="90">
        <f t="shared" si="22"/>
        <v>0.91431103235379041</v>
      </c>
      <c r="S35" s="10" t="str">
        <f t="shared" si="18"/>
        <v>SEK3M12Y=</v>
      </c>
      <c r="T35" s="11">
        <f>'3M Pricing'!H35*100</f>
        <v>1.0175000000005168</v>
      </c>
      <c r="U35" s="11">
        <f t="shared" si="20"/>
        <v>1.0175000000005168</v>
      </c>
      <c r="V35" s="10" t="str">
        <f t="shared" si="19"/>
        <v>SEK6M12Y=</v>
      </c>
      <c r="W35" s="11">
        <f>'6M Pricing'!H35*100</f>
        <v>1.1114037811975774</v>
      </c>
      <c r="X35" s="11">
        <f t="shared" si="21"/>
        <v>1.1114037811975774</v>
      </c>
      <c r="Y35" s="67" t="s">
        <v>56</v>
      </c>
      <c r="Z35" s="11">
        <v>2.749999999948316E-2</v>
      </c>
      <c r="AA35" s="11">
        <v>2.749999999948316E-2</v>
      </c>
      <c r="AB35" s="11">
        <f>ABS(_xll.RtGet(SourceAlias,$M35,BID)-N35)</f>
        <v>1.2499999994126765E-2</v>
      </c>
      <c r="AC35" s="11">
        <f>ABS(_xll.RtGet(SourceAlias,$M35,ASK)-O35)</f>
        <v>1.2499999994126765E-2</v>
      </c>
      <c r="AD35" s="91">
        <f>ABS(_xll.RtGet(SourceAlias,$P35,BID)-Q35)</f>
        <v>2.74935556462097E-2</v>
      </c>
      <c r="AE35" s="91">
        <f>ABS(_xll.RtGet(SourceAlias,$P35,ASK)-R35)</f>
        <v>2.74935556462097E-2</v>
      </c>
      <c r="AF35" s="11">
        <f>ABS(_xll.RtGet(SourceAlias,$S35,BID)-T35)</f>
        <v>2.749999999948316E-2</v>
      </c>
      <c r="AG35" s="11">
        <f>ABS(_xll.RtGet(SourceAlias,$S35,ASK)-U35)</f>
        <v>2.749999999948316E-2</v>
      </c>
      <c r="AH35" s="11">
        <f>ABS(_xll.RtGet(SourceAlias,$V35,BID)-W35)</f>
        <v>2.8114665802422723E-2</v>
      </c>
      <c r="AI35" s="11">
        <f>ABS(_xll.RtGet(SourceAlias,$V35,ASK)-X35)</f>
        <v>2.8114665802422723E-2</v>
      </c>
      <c r="AJ35" s="33" t="s">
        <v>56</v>
      </c>
    </row>
    <row r="36" spans="3:36" x14ac:dyDescent="0.2">
      <c r="C36" s="16" t="s">
        <v>36</v>
      </c>
      <c r="D36" s="16" t="str">
        <v>stopped</v>
      </c>
      <c r="E36" s="16" t="str">
        <f>IF(Contribute="abcd",_xll.RtContribute(SourceAlias,M36,Fields,N36:O36,"SCOPE:SERVER"),"stopped")</f>
        <v>stopped</v>
      </c>
      <c r="F36" s="105" t="str">
        <f>IF(Contribute="abcd",_xll.RtContribute(SourceAlias,P36,Fields,Q36:R36,"SCOPE:SERVER"),"stopped")</f>
        <v>stopped</v>
      </c>
      <c r="G36" s="16" t="str">
        <f>IF(Contribute="abcd",_xll.RtContribute(SourceAlias,S36,Fields,T36:U36,"SCOPE:SERVER"),"stopped")</f>
        <v>stopped</v>
      </c>
      <c r="H36" s="16" t="str">
        <f>IF(Contribute="abcd",_xll.RtContribute(SourceAlias,V36,Fields,W36:X36,"SCOPE:SERVER"),"stopped")</f>
        <v>stopped</v>
      </c>
      <c r="I36" s="1"/>
      <c r="J36" s="10" t="str">
        <v>SEK3M15Y=</v>
      </c>
      <c r="K36" s="11">
        <v>1.1549999999989691</v>
      </c>
      <c r="L36" s="11">
        <v>1.1549999999989691</v>
      </c>
      <c r="M36" s="10" t="str">
        <f t="shared" si="15"/>
        <v>SEKON15YD=</v>
      </c>
      <c r="N36" s="11">
        <f>'ON Pricing'!H36*100</f>
        <v>0.49250000000551464</v>
      </c>
      <c r="O36" s="11">
        <f t="shared" si="12"/>
        <v>0.49250000000551464</v>
      </c>
      <c r="P36" s="89" t="str">
        <f t="shared" si="16"/>
        <v>SEK1M15Y=</v>
      </c>
      <c r="Q36" s="90">
        <f>'1M Pricing'!H36*100</f>
        <v>1.0539096029397896</v>
      </c>
      <c r="R36" s="90">
        <f t="shared" si="22"/>
        <v>1.0539096029397896</v>
      </c>
      <c r="S36" s="10" t="str">
        <f t="shared" si="18"/>
        <v>SEK3M15Y=</v>
      </c>
      <c r="T36" s="11">
        <f>'3M Pricing'!H36*100</f>
        <v>1.1549999999989691</v>
      </c>
      <c r="U36" s="11">
        <f t="shared" si="20"/>
        <v>1.1549999999989691</v>
      </c>
      <c r="V36" s="10" t="str">
        <f t="shared" si="19"/>
        <v>SEK6M15Y=</v>
      </c>
      <c r="W36" s="11">
        <f>'6M Pricing'!H36*100</f>
        <v>1.2422226574754835</v>
      </c>
      <c r="X36" s="11">
        <f t="shared" si="21"/>
        <v>1.2422226574754835</v>
      </c>
      <c r="Y36" s="67" t="s">
        <v>56</v>
      </c>
      <c r="Z36" s="11">
        <v>3.000000000103098E-2</v>
      </c>
      <c r="AA36" s="11">
        <v>3.000000000103098E-2</v>
      </c>
      <c r="AB36" s="11">
        <f>ABS(_xll.RtGet(SourceAlias,$M36,BID)-N36)</f>
        <v>1.4999999994485425E-2</v>
      </c>
      <c r="AC36" s="11">
        <f>ABS(_xll.RtGet(SourceAlias,$M36,ASK)-O36)</f>
        <v>1.4999999994485425E-2</v>
      </c>
      <c r="AD36" s="91">
        <f>ABS(_xll.RtGet(SourceAlias,$P36,BID)-Q36)</f>
        <v>2.9992596060210541E-2</v>
      </c>
      <c r="AE36" s="91">
        <f>ABS(_xll.RtGet(SourceAlias,$P36,ASK)-R36)</f>
        <v>2.9992596060210541E-2</v>
      </c>
      <c r="AF36" s="11">
        <f>ABS(_xll.RtGet(SourceAlias,$S36,BID)-T36)</f>
        <v>3.000000000103098E-2</v>
      </c>
      <c r="AG36" s="11">
        <f>ABS(_xll.RtGet(SourceAlias,$S36,ASK)-U36)</f>
        <v>3.000000000103098E-2</v>
      </c>
      <c r="AH36" s="11">
        <f>ABS(_xll.RtGet(SourceAlias,$V36,BID)-W36)</f>
        <v>3.0513603524516597E-2</v>
      </c>
      <c r="AI36" s="11">
        <f>ABS(_xll.RtGet(SourceAlias,$V36,ASK)-X36)</f>
        <v>3.0513603524516597E-2</v>
      </c>
      <c r="AJ36" s="33" t="s">
        <v>56</v>
      </c>
    </row>
    <row r="37" spans="3:36" x14ac:dyDescent="0.2">
      <c r="C37" s="16" t="s">
        <v>37</v>
      </c>
      <c r="D37" s="16" t="str">
        <v>stopped</v>
      </c>
      <c r="E37" s="16" t="str">
        <f>IF(Contribute="abcd",_xll.RtContribute(SourceAlias,M37,Fields,N37:O37,"SCOPE:SERVER"),"stopped")</f>
        <v>stopped</v>
      </c>
      <c r="F37" s="105" t="str">
        <f>IF(Contribute="abcd",_xll.RtContribute(SourceAlias,P37,Fields,Q37:R37,"SCOPE:SERVER"),"stopped")</f>
        <v>stopped</v>
      </c>
      <c r="G37" s="16" t="str">
        <f>IF(Contribute="abcd",_xll.RtContribute(SourceAlias,S37,Fields,T37:U37,"SCOPE:SERVER"),"stopped")</f>
        <v>stopped</v>
      </c>
      <c r="H37" s="16" t="str">
        <f>IF(Contribute="abcd",_xll.RtContribute(SourceAlias,V37,Fields,W37:X37,"SCOPE:SERVER"),"stopped")</f>
        <v>stopped</v>
      </c>
      <c r="I37" s="1"/>
      <c r="J37" s="10" t="str">
        <v>SEK3M20Y=</v>
      </c>
      <c r="K37" s="11">
        <v>1.3100000000004361</v>
      </c>
      <c r="L37" s="11">
        <v>1.3100000000004361</v>
      </c>
      <c r="M37" s="10" t="str">
        <f t="shared" si="15"/>
        <v>SEKON20YD=</v>
      </c>
      <c r="N37" s="11">
        <f>'ON Pricing'!H37*100</f>
        <v>0.57749999999802648</v>
      </c>
      <c r="O37" s="11">
        <f t="shared" si="12"/>
        <v>0.57749999999802648</v>
      </c>
      <c r="P37" s="89" t="str">
        <f t="shared" si="16"/>
        <v>SEK1M20Y=</v>
      </c>
      <c r="Q37" s="90">
        <f>'1M Pricing'!H37*100</f>
        <v>1.2141657616593624</v>
      </c>
      <c r="R37" s="90">
        <f t="shared" si="22"/>
        <v>1.2141657616593624</v>
      </c>
      <c r="S37" s="10" t="str">
        <f t="shared" si="18"/>
        <v>SEK3M20Y=</v>
      </c>
      <c r="T37" s="11">
        <f>'3M Pricing'!H37*100</f>
        <v>1.3100000000004361</v>
      </c>
      <c r="U37" s="11">
        <f t="shared" si="20"/>
        <v>1.3100000000004361</v>
      </c>
      <c r="V37" s="10" t="str">
        <f t="shared" si="19"/>
        <v>SEK6M20Y=</v>
      </c>
      <c r="W37" s="11">
        <f>'6M Pricing'!H37*100</f>
        <v>1.3870773285585209</v>
      </c>
      <c r="X37" s="11">
        <f t="shared" si="21"/>
        <v>1.3870773285585209</v>
      </c>
      <c r="Y37" s="67" t="s">
        <v>56</v>
      </c>
      <c r="Z37" s="11">
        <v>3.4999999999563824E-2</v>
      </c>
      <c r="AA37" s="11">
        <v>3.4999999999563824E-2</v>
      </c>
      <c r="AB37" s="11">
        <f>ABS(_xll.RtGet(SourceAlias,$M37,BID)-N37)</f>
        <v>1.6250000001973519E-2</v>
      </c>
      <c r="AC37" s="11">
        <f>ABS(_xll.RtGet(SourceAlias,$M37,ASK)-O37)</f>
        <v>1.6250000001973519E-2</v>
      </c>
      <c r="AD37" s="91">
        <f>ABS(_xll.RtGet(SourceAlias,$P37,BID)-Q37)</f>
        <v>3.5094256340637564E-2</v>
      </c>
      <c r="AE37" s="91">
        <f>ABS(_xll.RtGet(SourceAlias,$P37,ASK)-R37)</f>
        <v>3.5094256340637564E-2</v>
      </c>
      <c r="AF37" s="11">
        <f>ABS(_xll.RtGet(SourceAlias,$S37,BID)-T37)</f>
        <v>3.4999999999563824E-2</v>
      </c>
      <c r="AG37" s="11">
        <f>ABS(_xll.RtGet(SourceAlias,$S37,ASK)-U37)</f>
        <v>3.4999999999563824E-2</v>
      </c>
      <c r="AH37" s="11">
        <f>ABS(_xll.RtGet(SourceAlias,$V37,BID)-W37)</f>
        <v>3.5310039441479146E-2</v>
      </c>
      <c r="AI37" s="11">
        <f>ABS(_xll.RtGet(SourceAlias,$V37,ASK)-X37)</f>
        <v>3.5310039441479146E-2</v>
      </c>
      <c r="AJ37" s="33" t="s">
        <v>56</v>
      </c>
    </row>
    <row r="38" spans="3:36" x14ac:dyDescent="0.2">
      <c r="C38" s="16" t="s">
        <v>38</v>
      </c>
      <c r="D38" s="16" t="str">
        <v>stopped</v>
      </c>
      <c r="E38" s="16" t="str">
        <f>IF(Contribute="abcd",_xll.RtContribute(SourceAlias,M38,Fields,N38:O38,"SCOPE:SERVER"),"stopped")</f>
        <v>stopped</v>
      </c>
      <c r="F38" s="105" t="str">
        <f>IF(Contribute="abcd",_xll.RtContribute(SourceAlias,P38,Fields,Q38:R38,"SCOPE:SERVER"),"stopped")</f>
        <v>stopped</v>
      </c>
      <c r="G38" s="16" t="str">
        <f>IF(Contribute="abcd",_xll.RtContribute(SourceAlias,S38,Fields,T38:U38,"SCOPE:SERVER"),"stopped")</f>
        <v>stopped</v>
      </c>
      <c r="H38" s="16" t="str">
        <f>IF(Contribute="abcd",_xll.RtContribute(SourceAlias,V38,Fields,W38:X38,"SCOPE:SERVER"),"stopped")</f>
        <v>stopped</v>
      </c>
      <c r="I38" s="1"/>
      <c r="J38" s="10" t="str">
        <v>SEK3M25Y=</v>
      </c>
      <c r="K38" s="11">
        <v>1.385000000000296</v>
      </c>
      <c r="L38" s="11">
        <v>1.385000000000296</v>
      </c>
      <c r="M38" s="10" t="str">
        <f t="shared" si="15"/>
        <v>SEKON25YD=</v>
      </c>
      <c r="N38" s="11">
        <f>'ON Pricing'!H38*100</f>
        <v>0.62124999999970199</v>
      </c>
      <c r="O38" s="11">
        <f t="shared" si="12"/>
        <v>0.62124999999970199</v>
      </c>
      <c r="P38" s="89" t="str">
        <f t="shared" si="16"/>
        <v>SEK1M25Y=</v>
      </c>
      <c r="Q38" s="90">
        <f>'1M Pricing'!H38*100</f>
        <v>1.2937192639630541</v>
      </c>
      <c r="R38" s="90">
        <f t="shared" si="22"/>
        <v>1.2937192639630541</v>
      </c>
      <c r="S38" s="10" t="str">
        <f t="shared" si="18"/>
        <v>SEK3M25Y=</v>
      </c>
      <c r="T38" s="11">
        <f>'3M Pricing'!H38*100</f>
        <v>1.385000000000296</v>
      </c>
      <c r="U38" s="11">
        <f t="shared" si="20"/>
        <v>1.385000000000296</v>
      </c>
      <c r="V38" s="10" t="str">
        <f t="shared" si="19"/>
        <v>SEK6M25Y=</v>
      </c>
      <c r="W38" s="11">
        <f>'6M Pricing'!H38*100</f>
        <v>1.4545688348535903</v>
      </c>
      <c r="X38" s="11">
        <f t="shared" si="21"/>
        <v>1.4545688348535903</v>
      </c>
      <c r="Y38" s="67" t="s">
        <v>56</v>
      </c>
      <c r="Z38" s="11">
        <v>3.4999999999703935E-2</v>
      </c>
      <c r="AA38" s="11">
        <v>3.4999999999703935E-2</v>
      </c>
      <c r="AB38" s="11">
        <f>ABS(_xll.RtGet(SourceAlias,$M38,BID)-N38)</f>
        <v>1.7500000000298055E-2</v>
      </c>
      <c r="AC38" s="11">
        <f>ABS(_xll.RtGet(SourceAlias,$M38,ASK)-O38)</f>
        <v>1.7500000000298055E-2</v>
      </c>
      <c r="AD38" s="91">
        <f>ABS(_xll.RtGet(SourceAlias,$P38,BID)-Q38)</f>
        <v>3.4992421036945887E-2</v>
      </c>
      <c r="AE38" s="91">
        <f>ABS(_xll.RtGet(SourceAlias,$P38,ASK)-R38)</f>
        <v>3.4992421036945887E-2</v>
      </c>
      <c r="AF38" s="11">
        <f>ABS(_xll.RtGet(SourceAlias,$S38,BID)-T38)</f>
        <v>3.4999999999703935E-2</v>
      </c>
      <c r="AG38" s="11">
        <f>ABS(_xll.RtGet(SourceAlias,$S38,ASK)-U38)</f>
        <v>3.4999999999703935E-2</v>
      </c>
      <c r="AH38" s="11">
        <f>ABS(_xll.RtGet(SourceAlias,$V38,BID)-W38)</f>
        <v>3.5309899146409807E-2</v>
      </c>
      <c r="AI38" s="11">
        <f>ABS(_xll.RtGet(SourceAlias,$V38,ASK)-X38)</f>
        <v>3.5309899146409807E-2</v>
      </c>
      <c r="AJ38" s="33" t="s">
        <v>56</v>
      </c>
    </row>
    <row r="39" spans="3:36" x14ac:dyDescent="0.2">
      <c r="C39" s="17" t="s">
        <v>39</v>
      </c>
      <c r="D39" s="17" t="str">
        <v>stopped</v>
      </c>
      <c r="E39" s="17" t="str">
        <f>IF(Contribute="abcd",_xll.RtContribute(SourceAlias,M39,Fields,N39:O39,"SCOPE:SERVER"),"stopped")</f>
        <v>stopped</v>
      </c>
      <c r="F39" s="106" t="str">
        <f>IF(Contribute="abcd",_xll.RtContribute(SourceAlias,P39,Fields,Q39:R39,"SCOPE:SERVER"),"stopped")</f>
        <v>stopped</v>
      </c>
      <c r="G39" s="17" t="str">
        <f>IF(Contribute="abcd",_xll.RtContribute(SourceAlias,S39,Fields,T39:U39,"SCOPE:SERVER"),"stopped")</f>
        <v>stopped</v>
      </c>
      <c r="H39" s="17" t="str">
        <f>IF(Contribute="abcd",_xll.RtContribute(SourceAlias,V39,Fields,W39:X39,"SCOPE:SERVER"),"stopped")</f>
        <v>stopped</v>
      </c>
      <c r="I39" s="1"/>
      <c r="J39" s="12" t="str">
        <v>SEK3M30Y=</v>
      </c>
      <c r="K39" s="13">
        <v>1.4100000000002075</v>
      </c>
      <c r="L39" s="13">
        <v>1.4100000000002075</v>
      </c>
      <c r="M39" s="12" t="str">
        <f t="shared" si="15"/>
        <v>SEKON30YD=</v>
      </c>
      <c r="N39" s="13">
        <f>'ON Pricing'!H39*100</f>
        <v>0.63999999999958168</v>
      </c>
      <c r="O39" s="13">
        <f t="shared" si="12"/>
        <v>0.63999999999958168</v>
      </c>
      <c r="P39" s="102" t="str">
        <f t="shared" si="16"/>
        <v>SEK1M30Y=</v>
      </c>
      <c r="Q39" s="103">
        <f>'1M Pricing'!H39*100</f>
        <v>1.3216662399604417</v>
      </c>
      <c r="R39" s="103">
        <f t="shared" si="22"/>
        <v>1.3216662399604417</v>
      </c>
      <c r="S39" s="12" t="str">
        <f t="shared" si="18"/>
        <v>SEK3M30Y=</v>
      </c>
      <c r="T39" s="13">
        <f>'3M Pricing'!H39*100</f>
        <v>1.4100000000002075</v>
      </c>
      <c r="U39" s="13">
        <f t="shared" si="20"/>
        <v>1.4100000000002075</v>
      </c>
      <c r="V39" s="12" t="str">
        <f t="shared" si="19"/>
        <v>SEK6M30Y=</v>
      </c>
      <c r="W39" s="13">
        <f>'6M Pricing'!H39*100</f>
        <v>1.4733665776958309</v>
      </c>
      <c r="X39" s="13">
        <f t="shared" si="21"/>
        <v>1.4733665776958309</v>
      </c>
      <c r="Y39" s="67" t="s">
        <v>56</v>
      </c>
      <c r="Z39" s="13">
        <v>3.499999999979253E-2</v>
      </c>
      <c r="AA39" s="13">
        <v>3.499999999979253E-2</v>
      </c>
      <c r="AB39" s="13">
        <f>ABS(_xll.RtGet(SourceAlias,$M39,BID)-N39)</f>
        <v>1.6250000000418319E-2</v>
      </c>
      <c r="AC39" s="13">
        <f>ABS(_xll.RtGet(SourceAlias,$M39,ASK)-O39)</f>
        <v>1.6250000000418319E-2</v>
      </c>
      <c r="AD39" s="104">
        <f>ABS(_xll.RtGet(SourceAlias,$P39,BID)-Q39)</f>
        <v>3.4993224039558291E-2</v>
      </c>
      <c r="AE39" s="104">
        <f>ABS(_xll.RtGet(SourceAlias,$P39,ASK)-R39)</f>
        <v>3.4993224039558291E-2</v>
      </c>
      <c r="AF39" s="13">
        <f>ABS(_xll.RtGet(SourceAlias,$S39,BID)-T39)</f>
        <v>3.499999999979253E-2</v>
      </c>
      <c r="AG39" s="13">
        <f>ABS(_xll.RtGet(SourceAlias,$S39,ASK)-U39)</f>
        <v>3.499999999979253E-2</v>
      </c>
      <c r="AH39" s="13">
        <f>ABS(_xll.RtGet(SourceAlias,$V39,BID)-W39)</f>
        <v>3.5309150304169146E-2</v>
      </c>
      <c r="AI39" s="13">
        <f>ABS(_xll.RtGet(SourceAlias,$V39,ASK)-X39)</f>
        <v>3.5309150304169146E-2</v>
      </c>
      <c r="AJ39" s="33" t="s">
        <v>56</v>
      </c>
    </row>
    <row r="40" spans="3:36" x14ac:dyDescent="0.2">
      <c r="J40" s="54"/>
      <c r="M40" s="54"/>
    </row>
    <row r="41" spans="3:36" x14ac:dyDescent="0.2">
      <c r="J41" s="54"/>
      <c r="M41" s="54"/>
    </row>
    <row r="42" spans="3:36" x14ac:dyDescent="0.2">
      <c r="J42" s="54"/>
      <c r="M42" s="54"/>
    </row>
    <row r="43" spans="3:36" x14ac:dyDescent="0.2">
      <c r="J43" s="54"/>
      <c r="M43" s="54"/>
    </row>
    <row r="44" spans="3:36" x14ac:dyDescent="0.2">
      <c r="J44" s="54"/>
      <c r="M44" s="54"/>
    </row>
    <row r="45" spans="3:36" x14ac:dyDescent="0.2">
      <c r="J45" s="54"/>
      <c r="M45" s="54"/>
    </row>
    <row r="46" spans="3:36" x14ac:dyDescent="0.2">
      <c r="J46" s="54"/>
      <c r="M46" s="54"/>
    </row>
    <row r="47" spans="3:36" x14ac:dyDescent="0.2">
      <c r="J47" s="54"/>
      <c r="M47" s="54"/>
    </row>
    <row r="48" spans="3:36" x14ac:dyDescent="0.2">
      <c r="J48" s="54"/>
      <c r="M48" s="54"/>
    </row>
    <row r="49" spans="10:13" x14ac:dyDescent="0.2">
      <c r="J49" s="54"/>
      <c r="M49" s="54"/>
    </row>
  </sheetData>
  <conditionalFormatting sqref="C2">
    <cfRule type="cellIs" dxfId="1" priority="13" operator="equal">
      <formula>"abcd"</formula>
    </cfRule>
  </conditionalFormatting>
  <conditionalFormatting sqref="D6:H39">
    <cfRule type="containsText" dxfId="0" priority="2" operator="containsText" text="Failure">
      <formula>NOT(ISERROR(SEARCH("Failure",D6)))</formula>
    </cfRule>
  </conditionalFormatting>
  <pageMargins left="0.7" right="0.7" top="0.75" bottom="0.75" header="0.3" footer="0.3"/>
  <pageSetup paperSize="9" orientation="portrait" r:id="rId1"/>
  <ignoredErrors>
    <ignoredError sqref="Q8:Q12 R19:R24 T19:X24 T18:X18 R8:R18 T8:U17 W8:X17" evalError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9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9" style="4" bestFit="1" customWidth="1"/>
    <col min="9" max="9" width="13.140625" style="4" bestFit="1" customWidth="1"/>
    <col min="10" max="10" width="17.28515625" style="6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1" customWidth="1" collapsed="1"/>
    <col min="14" max="14" width="20.28515625" style="1" bestFit="1" customWidth="1"/>
    <col min="15" max="15" width="19.28515625" style="1" bestFit="1" customWidth="1"/>
    <col min="16" max="16" width="20.28515625" style="1" bestFit="1" customWidth="1"/>
    <col min="17" max="17" width="19.28515625" style="1" bestFit="1" customWidth="1"/>
    <col min="18" max="18" width="17.28515625" style="1" bestFit="1" customWidth="1"/>
    <col min="19" max="19" width="13.140625" style="1" bestFit="1" customWidth="1"/>
    <col min="20" max="20" width="14.140625" style="1" bestFit="1" customWidth="1"/>
    <col min="21" max="21" width="12" style="1" bestFit="1" customWidth="1"/>
    <col min="22" max="22" width="17.28515625" style="1" bestFit="1" customWidth="1"/>
    <col min="23" max="23" width="12" style="1" bestFit="1" customWidth="1"/>
    <col min="24" max="25" width="15.140625" style="1" bestFit="1" customWidth="1"/>
    <col min="26" max="26" width="6" style="1" bestFit="1" customWidth="1"/>
    <col min="27" max="27" width="8" style="1" bestFit="1" customWidth="1"/>
    <col min="28" max="28" width="13.140625" style="1" bestFit="1" customWidth="1"/>
    <col min="29" max="29" width="11" style="1" bestFit="1" customWidth="1"/>
    <col min="30" max="30" width="8" style="1" bestFit="1" customWidth="1"/>
    <col min="31" max="31" width="5" style="1" bestFit="1" customWidth="1"/>
    <col min="32" max="32" width="20.28515625" style="1" bestFit="1" customWidth="1"/>
    <col min="33" max="33" width="19.28515625" style="1" bestFit="1" customWidth="1"/>
    <col min="34" max="45" width="5" style="1" bestFit="1" customWidth="1"/>
    <col min="46" max="146" width="14.85546875" style="1" customWidth="1"/>
    <col min="147" max="16384" width="2.85546875" style="1"/>
  </cols>
  <sheetData>
    <row r="1" spans="1:64" x14ac:dyDescent="0.2">
      <c r="D1" s="18" t="s">
        <v>60</v>
      </c>
      <c r="E1" s="14" t="s">
        <v>15</v>
      </c>
    </row>
    <row r="2" spans="1:64" x14ac:dyDescent="0.2">
      <c r="A2" s="62"/>
      <c r="B2" s="62"/>
      <c r="C2" s="57"/>
      <c r="D2" s="131" t="s">
        <v>61</v>
      </c>
      <c r="E2" s="14" t="str">
        <f>Currency&amp;CurveTenor</f>
        <v>SEKON</v>
      </c>
      <c r="F2" s="47"/>
      <c r="G2" s="47"/>
      <c r="H2" s="47"/>
      <c r="I2" s="47"/>
      <c r="J2" s="49"/>
      <c r="K2" s="47"/>
      <c r="N2" s="33"/>
    </row>
    <row r="3" spans="1:64" x14ac:dyDescent="0.2">
      <c r="A3" s="62"/>
      <c r="B3" s="62"/>
      <c r="D3" s="18" t="s">
        <v>55</v>
      </c>
      <c r="E3" s="59" t="str">
        <f>IborIndexFamily&amp;CurveTenor</f>
        <v>SekiborON</v>
      </c>
      <c r="F3" s="47"/>
      <c r="G3" s="47"/>
      <c r="H3" s="47"/>
      <c r="I3" s="47"/>
      <c r="J3" s="49"/>
      <c r="K3" s="47"/>
      <c r="N3" s="33"/>
    </row>
    <row r="4" spans="1:64" x14ac:dyDescent="0.2">
      <c r="A4" s="62"/>
      <c r="B4" s="62"/>
      <c r="C4" s="57"/>
      <c r="E4" s="47"/>
      <c r="F4" s="47"/>
      <c r="G4" s="62"/>
      <c r="H4" s="47"/>
      <c r="I4" s="47"/>
      <c r="J4" s="49"/>
      <c r="K4" s="47"/>
      <c r="N4" s="33"/>
    </row>
    <row r="5" spans="1:64" x14ac:dyDescent="0.2">
      <c r="A5" s="62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51"/>
      <c r="L5" s="58" t="s">
        <v>75</v>
      </c>
      <c r="M5" s="33"/>
      <c r="N5" s="33"/>
    </row>
    <row r="6" spans="1:64" x14ac:dyDescent="0.2">
      <c r="A6" s="62"/>
      <c r="B6" s="16">
        <f t="shared" ref="B6:B18" si="0">G6-EvaluationDate</f>
        <v>1</v>
      </c>
      <c r="C6" s="15" t="s">
        <v>15</v>
      </c>
      <c r="D6" s="24" t="s">
        <v>76</v>
      </c>
      <c r="E6" s="37">
        <f t="shared" ref="E6:E7" si="1">EvaluationDate</f>
        <v>42086</v>
      </c>
      <c r="F6" s="37">
        <f>E6</f>
        <v>42086</v>
      </c>
      <c r="G6" s="37">
        <f>_xll.qlCalendarAdvance(Calendar,F6,"1D","f",TRUE,Trigger)</f>
        <v>42087</v>
      </c>
      <c r="H6" s="43">
        <f>_xll.qlInterpolationInterpolate(Interpolation,B6,TRUE)</f>
        <v>-2.0716389393711679E-3</v>
      </c>
      <c r="I6" s="44" t="str">
        <f>Contribution!M6</f>
        <v>SEKONOND=</v>
      </c>
      <c r="J6" s="45"/>
      <c r="K6" s="33"/>
      <c r="L6" s="123" t="str">
        <f>_xll.qlInterpolation(,InterpolationType,B8:B18,H8:H18,,Trigger)</f>
        <v>obj_0035c#0000</v>
      </c>
      <c r="M6" s="33"/>
      <c r="N6" s="33"/>
    </row>
    <row r="7" spans="1:64" x14ac:dyDescent="0.2">
      <c r="A7" s="62"/>
      <c r="B7" s="152">
        <f t="shared" si="0"/>
        <v>2</v>
      </c>
      <c r="C7" s="152" t="s">
        <v>73</v>
      </c>
      <c r="D7" s="153" t="s">
        <v>76</v>
      </c>
      <c r="E7" s="154">
        <f t="shared" si="1"/>
        <v>42086</v>
      </c>
      <c r="F7" s="154">
        <f>_xll.qlInterestRateIndexValueDate(OvernightIndex,E7,)</f>
        <v>42087</v>
      </c>
      <c r="G7" s="154">
        <f>_xll.qlInterestRateIndexMaturity(OvernightIndex,F7)</f>
        <v>42088</v>
      </c>
      <c r="H7" s="155">
        <f>_xll.qlInterpolationInterpolate(Interpolation,B7,TRUE)</f>
        <v>-2.0719513692053866E-3</v>
      </c>
      <c r="I7" s="156" t="str">
        <f>Contribution!M7</f>
        <v>SEKONTND=</v>
      </c>
      <c r="J7" s="156" t="s">
        <v>111</v>
      </c>
      <c r="K7" s="51"/>
      <c r="L7" s="58" t="s">
        <v>45</v>
      </c>
      <c r="M7" s="33"/>
      <c r="N7" s="33"/>
    </row>
    <row r="8" spans="1:64" x14ac:dyDescent="0.2">
      <c r="A8" s="62"/>
      <c r="B8" s="15">
        <f t="shared" si="0"/>
        <v>3</v>
      </c>
      <c r="C8" s="15" t="s">
        <v>74</v>
      </c>
      <c r="D8" s="23" t="s">
        <v>47</v>
      </c>
      <c r="E8" s="37">
        <f t="shared" ref="E8:E18" si="2">EvaluationDate</f>
        <v>42086</v>
      </c>
      <c r="F8" s="37">
        <f>_xll.qlCalendarAdvance(Calendar,E8,"2D","f",FALSE)</f>
        <v>42088</v>
      </c>
      <c r="G8" s="37">
        <f>_xll.qlCalendarAdvance(Calendar,F8,IF(C8="SN","1D",IF(C8="SW","1W",C8)),"f",FALSE)</f>
        <v>42089</v>
      </c>
      <c r="H8" s="43">
        <f>_xll.qlOvernightIndexedSwapFairRate(L8,InterestRateTrigger)</f>
        <v>-2.072241501993588E-3</v>
      </c>
      <c r="I8" s="44"/>
      <c r="J8" s="45"/>
      <c r="K8" s="51"/>
      <c r="L8" s="123" t="str">
        <f>_xll.qlMakeOIS(,IF(C8="SN","1D",IF(C8="SW","1W",C8)),OvernightIndex,,"0D",,,,Trigger)</f>
        <v>obj_00309#0000</v>
      </c>
      <c r="M8" s="33"/>
      <c r="N8" s="3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3"/>
      <c r="AP8" s="163"/>
      <c r="AQ8" s="163"/>
      <c r="AR8" s="163"/>
      <c r="AS8" s="163"/>
    </row>
    <row r="9" spans="1:64" x14ac:dyDescent="0.2">
      <c r="A9" s="62"/>
      <c r="B9" s="16">
        <f t="shared" si="0"/>
        <v>9</v>
      </c>
      <c r="C9" s="16" t="s">
        <v>16</v>
      </c>
      <c r="D9" s="24" t="s">
        <v>47</v>
      </c>
      <c r="E9" s="40">
        <f t="shared" si="2"/>
        <v>42086</v>
      </c>
      <c r="F9" s="40">
        <f>_xll.qlCalendarAdvance(Calendar,E9,"2D","f",FALSE)</f>
        <v>42088</v>
      </c>
      <c r="G9" s="40">
        <f>_xll.qlCalendarAdvance(Calendar,F9,IF(C9="SN","1D",IF(C9="SW","1W",C9)),"f",FALSE)</f>
        <v>42095</v>
      </c>
      <c r="H9" s="39">
        <f>_xll.qlOvernightIndexedSwapFairRate(L9,InterestRateTrigger)</f>
        <v>-2.0747626953334019E-3</v>
      </c>
      <c r="I9" s="30"/>
      <c r="J9" s="30"/>
      <c r="K9" s="51"/>
      <c r="L9" s="24" t="str">
        <f>_xll.qlMakeOIS(,IF(C9="SN","1D",IF(C9="SW","1W",C9)),OvernightIndex,,"0D",,,,Trigger)</f>
        <v>obj_00304#0000</v>
      </c>
      <c r="M9" s="33"/>
      <c r="N9" s="33"/>
      <c r="P9" s="164"/>
      <c r="Q9" s="165"/>
      <c r="R9" s="165"/>
      <c r="S9" s="166"/>
      <c r="T9" s="167"/>
      <c r="U9" s="166"/>
      <c r="V9" s="165"/>
      <c r="W9" s="166"/>
      <c r="X9" s="168"/>
      <c r="Y9" s="169"/>
      <c r="Z9" s="169"/>
      <c r="AA9" s="170"/>
      <c r="AB9" s="169"/>
      <c r="AC9" s="169"/>
      <c r="AD9" s="169"/>
      <c r="AE9" s="169"/>
      <c r="AF9" s="169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159"/>
      <c r="BL9" s="159"/>
    </row>
    <row r="10" spans="1:64" x14ac:dyDescent="0.2">
      <c r="A10" s="62"/>
      <c r="B10" s="16">
        <f t="shared" si="0"/>
        <v>16</v>
      </c>
      <c r="C10" s="16" t="s">
        <v>17</v>
      </c>
      <c r="D10" s="24" t="s">
        <v>47</v>
      </c>
      <c r="E10" s="40">
        <f t="shared" si="2"/>
        <v>42086</v>
      </c>
      <c r="F10" s="40">
        <f>_xll.qlCalendarAdvance(Calendar,E10,"2D","f",FALSE)</f>
        <v>42088</v>
      </c>
      <c r="G10" s="40">
        <f>_xll.qlCalendarAdvance(Calendar,F10,IF(C10="SN","1D",IF(C10="SW","1W",C10)),"f",FALSE)</f>
        <v>42102</v>
      </c>
      <c r="H10" s="39">
        <f>_xll.qlOvernightIndexedSwapFairRate(L10,InterestRateTrigger)</f>
        <v>-2.0825512720255646E-3</v>
      </c>
      <c r="I10" s="30"/>
      <c r="J10" s="30"/>
      <c r="K10" s="51"/>
      <c r="L10" s="24" t="str">
        <f>_xll.qlMakeOIS(,IF(C10="SN","1D",IF(C10="SW","1W",C10)),OvernightIndex,,"0D",,,,Trigger)</f>
        <v>obj_00306#0000</v>
      </c>
      <c r="M10" s="57"/>
      <c r="N10" s="33"/>
      <c r="P10" s="164"/>
      <c r="Q10" s="165"/>
      <c r="R10" s="165"/>
      <c r="S10" s="166"/>
      <c r="T10" s="167"/>
      <c r="U10" s="166"/>
      <c r="V10" s="165"/>
      <c r="W10" s="166"/>
      <c r="X10" s="168"/>
      <c r="Y10" s="169"/>
      <c r="Z10" s="169"/>
      <c r="AA10" s="170"/>
      <c r="AB10" s="169"/>
      <c r="AC10" s="169"/>
      <c r="AD10" s="169"/>
      <c r="AE10" s="169"/>
      <c r="AF10" s="169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59"/>
      <c r="AU10" s="159"/>
      <c r="AV10" s="159"/>
      <c r="AW10" s="159"/>
      <c r="AX10" s="159"/>
      <c r="AY10" s="159"/>
      <c r="AZ10" s="159"/>
      <c r="BA10" s="159"/>
      <c r="BB10" s="159"/>
      <c r="BC10" s="159"/>
      <c r="BD10" s="159"/>
      <c r="BE10" s="159"/>
      <c r="BF10" s="159"/>
      <c r="BG10" s="159"/>
      <c r="BH10" s="159"/>
      <c r="BI10" s="159"/>
      <c r="BJ10" s="159"/>
      <c r="BK10" s="159"/>
      <c r="BL10" s="159"/>
    </row>
    <row r="11" spans="1:64" x14ac:dyDescent="0.2">
      <c r="A11" s="62"/>
      <c r="B11" s="16">
        <f t="shared" si="0"/>
        <v>23</v>
      </c>
      <c r="C11" s="16" t="s">
        <v>18</v>
      </c>
      <c r="D11" s="24" t="s">
        <v>47</v>
      </c>
      <c r="E11" s="40">
        <f t="shared" si="2"/>
        <v>42086</v>
      </c>
      <c r="F11" s="40">
        <f>_xll.qlCalendarAdvance(Calendar,E11,"2D","f",FALSE)</f>
        <v>42088</v>
      </c>
      <c r="G11" s="40">
        <f>_xll.qlCalendarAdvance(Calendar,F11,IF(C11="SN","1D",IF(C11="SW","1W",C11)),"f",FALSE)</f>
        <v>42109</v>
      </c>
      <c r="H11" s="39">
        <f>_xll.qlOvernightIndexedSwapFairRate(L11,InterestRateTrigger)</f>
        <v>-2.0955592828026631E-3</v>
      </c>
      <c r="I11" s="30"/>
      <c r="J11" s="30"/>
      <c r="K11" s="51"/>
      <c r="L11" s="24" t="str">
        <f>_xll.qlMakeOIS(,IF(C11="SN","1D",IF(C11="SW","1W",C11)),OvernightIndex,,"0D",,,,Trigger)</f>
        <v>obj_00312#0000</v>
      </c>
      <c r="M11" s="33"/>
      <c r="N11" s="33"/>
      <c r="P11" s="164"/>
      <c r="Q11" s="165"/>
      <c r="R11" s="165"/>
      <c r="S11" s="166"/>
      <c r="T11" s="167"/>
      <c r="U11" s="166"/>
      <c r="V11" s="165"/>
      <c r="W11" s="166"/>
      <c r="X11" s="168"/>
      <c r="Y11" s="169"/>
      <c r="Z11" s="169"/>
      <c r="AA11" s="170"/>
      <c r="AB11" s="169"/>
      <c r="AC11" s="169"/>
      <c r="AD11" s="169"/>
      <c r="AE11" s="169"/>
      <c r="AF11" s="169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</row>
    <row r="12" spans="1:64" x14ac:dyDescent="0.2">
      <c r="A12" s="62"/>
      <c r="B12" s="173">
        <f t="shared" si="0"/>
        <v>35</v>
      </c>
      <c r="C12" s="173" t="s">
        <v>19</v>
      </c>
      <c r="D12" s="174" t="s">
        <v>47</v>
      </c>
      <c r="E12" s="175">
        <f t="shared" si="2"/>
        <v>42086</v>
      </c>
      <c r="F12" s="175">
        <f>_xll.qlCalendarAdvance(Calendar,E12,"2D","f",FALSE)</f>
        <v>42088</v>
      </c>
      <c r="G12" s="175">
        <f>_xll.qlCalendarAdvance(Calendar,F12,IF(C12="SN","1D",IF(C12="SW","1W",C12)),"mf",TRUE)</f>
        <v>42121</v>
      </c>
      <c r="H12" s="176">
        <f>_xll.qlOvernightIndexedSwapFairRate(L12,InterestRateTrigger)</f>
        <v>-2.1299999992343351E-3</v>
      </c>
      <c r="I12" s="177" t="str">
        <f>Contribution!M12</f>
        <v>SEKON1MD=</v>
      </c>
      <c r="J12" s="177" t="s">
        <v>83</v>
      </c>
      <c r="K12" s="51"/>
      <c r="L12" s="24" t="str">
        <f>_xll.qlMakeOIS(,IF(C12="SN","1D",IF(C12="SW","1W",C12)),OvernightIndex,,"0D",,,,Trigger)</f>
        <v>obj_0030f#0000</v>
      </c>
      <c r="M12" s="33"/>
      <c r="N12" s="33"/>
      <c r="P12" s="164"/>
      <c r="Q12" s="165"/>
      <c r="R12" s="165"/>
      <c r="S12" s="166"/>
      <c r="T12" s="167"/>
      <c r="U12" s="166"/>
      <c r="V12" s="165"/>
      <c r="W12" s="166"/>
      <c r="X12" s="168"/>
      <c r="Y12" s="169"/>
      <c r="Z12" s="169"/>
      <c r="AA12" s="170"/>
      <c r="AB12" s="169"/>
      <c r="AC12" s="169"/>
      <c r="AD12" s="169"/>
      <c r="AE12" s="169"/>
      <c r="AF12" s="169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  <c r="BL12" s="159"/>
    </row>
    <row r="13" spans="1:64" x14ac:dyDescent="0.2">
      <c r="A13" s="62"/>
      <c r="B13" s="16">
        <f t="shared" si="0"/>
        <v>64</v>
      </c>
      <c r="C13" s="16" t="s">
        <v>20</v>
      </c>
      <c r="D13" s="24" t="s">
        <v>47</v>
      </c>
      <c r="E13" s="40">
        <f t="shared" si="2"/>
        <v>42086</v>
      </c>
      <c r="F13" s="40">
        <f>_xll.qlCalendarAdvance(Calendar,E13,"2D","f",FALSE)</f>
        <v>42088</v>
      </c>
      <c r="G13" s="40">
        <f>_xll.qlCalendarAdvance(Calendar,F13,IF(C13="SN","1D",IF(C13="SW","1W",C13)),"mf",TRUE)</f>
        <v>42150</v>
      </c>
      <c r="H13" s="39">
        <f>_xll.qlOvernightIndexedSwapFairRate(L13,InterestRateTrigger)</f>
        <v>-2.2399999979947427E-3</v>
      </c>
      <c r="I13" s="30" t="str">
        <f>Contribution!M13</f>
        <v>SEKON2MD=</v>
      </c>
      <c r="J13" s="30" t="s">
        <v>84</v>
      </c>
      <c r="K13" s="51"/>
      <c r="L13" s="24" t="str">
        <f>_xll.qlMakeOIS(,IF(C13="SN","1D",IF(C13="SW","1W",C13)),OvernightIndex,,"0D",,,,Trigger)</f>
        <v>obj_00319#0000</v>
      </c>
      <c r="M13" s="33"/>
      <c r="N13" s="33"/>
      <c r="P13" s="164"/>
      <c r="Q13" s="165"/>
      <c r="R13" s="165"/>
      <c r="S13" s="166"/>
      <c r="T13" s="167"/>
      <c r="U13" s="166"/>
      <c r="V13" s="165"/>
      <c r="W13" s="166"/>
      <c r="X13" s="168"/>
      <c r="Y13" s="169"/>
      <c r="Z13" s="169"/>
      <c r="AA13" s="170"/>
      <c r="AB13" s="169"/>
      <c r="AC13" s="169"/>
      <c r="AD13" s="169"/>
      <c r="AE13" s="169"/>
      <c r="AF13" s="169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</row>
    <row r="14" spans="1:64" x14ac:dyDescent="0.2">
      <c r="A14" s="62"/>
      <c r="B14" s="173">
        <f t="shared" si="0"/>
        <v>94</v>
      </c>
      <c r="C14" s="173" t="s">
        <v>21</v>
      </c>
      <c r="D14" s="174" t="s">
        <v>47</v>
      </c>
      <c r="E14" s="175">
        <f t="shared" si="2"/>
        <v>42086</v>
      </c>
      <c r="F14" s="175">
        <f>_xll.qlCalendarAdvance(Calendar,E14,"2D","f",FALSE)</f>
        <v>42088</v>
      </c>
      <c r="G14" s="175">
        <f>_xll.qlCalendarAdvance(Calendar,F14,IF(C14="SN","1D",IF(C14="SW","1W",C14)),"mf",TRUE)</f>
        <v>42180</v>
      </c>
      <c r="H14" s="176">
        <f>_xll.qlOvernightIndexedSwapFairRate(L14,InterestRateTrigger)</f>
        <v>-2.3200000000003409E-3</v>
      </c>
      <c r="I14" s="177" t="str">
        <f>Contribution!M14</f>
        <v>SEKON3MD=</v>
      </c>
      <c r="J14" s="177" t="s">
        <v>85</v>
      </c>
      <c r="K14" s="51"/>
      <c r="L14" s="24" t="str">
        <f>_xll.qlMakeOIS(,IF(C14="SN","1D",IF(C14="SW","1W",C14)),OvernightIndex,,"0D",,,,Trigger)</f>
        <v>obj_0030c#0000</v>
      </c>
      <c r="M14" s="33"/>
      <c r="N14" s="33"/>
      <c r="P14" s="164"/>
      <c r="Q14" s="165"/>
      <c r="R14" s="165"/>
      <c r="S14" s="166"/>
      <c r="T14" s="167"/>
      <c r="U14" s="166"/>
      <c r="V14" s="165"/>
      <c r="W14" s="166"/>
      <c r="X14" s="168"/>
      <c r="Y14" s="169"/>
      <c r="Z14" s="169"/>
      <c r="AA14" s="170"/>
      <c r="AB14" s="169"/>
      <c r="AC14" s="169"/>
      <c r="AD14" s="169"/>
      <c r="AE14" s="169"/>
      <c r="AF14" s="169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59"/>
      <c r="AU14" s="159"/>
      <c r="AV14" s="159"/>
      <c r="AW14" s="159"/>
      <c r="AX14" s="159"/>
      <c r="AY14" s="159"/>
      <c r="AZ14" s="159"/>
      <c r="BA14" s="159"/>
      <c r="BB14" s="159"/>
      <c r="BC14" s="159"/>
      <c r="BD14" s="159"/>
      <c r="BE14" s="159"/>
      <c r="BF14" s="159"/>
      <c r="BG14" s="159"/>
      <c r="BH14" s="159"/>
      <c r="BI14" s="159"/>
      <c r="BJ14" s="159"/>
      <c r="BK14" s="159"/>
      <c r="BL14" s="159"/>
    </row>
    <row r="15" spans="1:64" x14ac:dyDescent="0.2">
      <c r="A15" s="62"/>
      <c r="B15" s="16">
        <f t="shared" si="0"/>
        <v>126</v>
      </c>
      <c r="C15" s="16" t="s">
        <v>22</v>
      </c>
      <c r="D15" s="24" t="s">
        <v>47</v>
      </c>
      <c r="E15" s="40">
        <f t="shared" si="2"/>
        <v>42086</v>
      </c>
      <c r="F15" s="40">
        <f>_xll.qlCalendarAdvance(Calendar,E15,"2D","f",FALSE)</f>
        <v>42088</v>
      </c>
      <c r="G15" s="40">
        <f>_xll.qlCalendarAdvance(Calendar,F15,IF(C15="SN","1D",IF(C15="SW","1W",C15)),"mf",TRUE)</f>
        <v>42212</v>
      </c>
      <c r="H15" s="39">
        <f>_xll.qlOvernightIndexedSwapFairRate(L15,InterestRateTrigger)</f>
        <v>-2.3700000000002482E-3</v>
      </c>
      <c r="I15" s="30" t="str">
        <f>Contribution!M15</f>
        <v>SEKON4MD=</v>
      </c>
      <c r="J15" s="30" t="s">
        <v>86</v>
      </c>
      <c r="K15" s="51"/>
      <c r="L15" s="24" t="str">
        <f>_xll.qlMakeOIS(,IF(C15="SN","1D",IF(C15="SW","1W",C15)),OvernightIndex,,"0D",,,,Trigger)</f>
        <v>obj_0030e#0000</v>
      </c>
      <c r="M15" s="33"/>
      <c r="N15" s="33"/>
      <c r="P15" s="164"/>
      <c r="Q15" s="165"/>
      <c r="R15" s="165"/>
      <c r="S15" s="166"/>
      <c r="T15" s="167"/>
      <c r="U15" s="166"/>
      <c r="V15" s="165"/>
      <c r="W15" s="166"/>
      <c r="X15" s="168"/>
      <c r="Y15" s="169"/>
      <c r="Z15" s="169"/>
      <c r="AA15" s="170"/>
      <c r="AB15" s="169"/>
      <c r="AC15" s="169"/>
      <c r="AD15" s="169"/>
      <c r="AE15" s="169"/>
      <c r="AF15" s="169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  <c r="BI15" s="159"/>
      <c r="BJ15" s="159"/>
      <c r="BK15" s="159"/>
      <c r="BL15" s="159"/>
    </row>
    <row r="16" spans="1:64" x14ac:dyDescent="0.2">
      <c r="A16" s="62"/>
      <c r="B16" s="16">
        <f t="shared" si="0"/>
        <v>155</v>
      </c>
      <c r="C16" s="16" t="s">
        <v>23</v>
      </c>
      <c r="D16" s="24" t="s">
        <v>47</v>
      </c>
      <c r="E16" s="40">
        <f t="shared" si="2"/>
        <v>42086</v>
      </c>
      <c r="F16" s="40">
        <f>_xll.qlCalendarAdvance(Calendar,E16,"2D","f",FALSE)</f>
        <v>42088</v>
      </c>
      <c r="G16" s="40">
        <f>_xll.qlCalendarAdvance(Calendar,F16,IF(C16="SN","1D",IF(C16="SW","1W",C16)),"mf",TRUE)</f>
        <v>42241</v>
      </c>
      <c r="H16" s="39">
        <f>_xll.qlOvernightIndexedSwapFairRate(L16,InterestRateTrigger)</f>
        <v>-2.4099999999998797E-3</v>
      </c>
      <c r="I16" s="30" t="str">
        <f>Contribution!M16</f>
        <v>SEKON5MD=</v>
      </c>
      <c r="J16" s="30" t="s">
        <v>87</v>
      </c>
      <c r="K16" s="51"/>
      <c r="L16" s="24" t="str">
        <f>_xll.qlMakeOIS(,IF(C16="SN","1D",IF(C16="SW","1W",C16)),OvernightIndex,,"0D",,,,Trigger)</f>
        <v>obj_00307#0000</v>
      </c>
      <c r="M16" s="33"/>
      <c r="N16" s="33"/>
      <c r="P16" s="164"/>
      <c r="Q16" s="165"/>
      <c r="R16" s="165"/>
      <c r="S16" s="166"/>
      <c r="T16" s="167"/>
      <c r="U16" s="166"/>
      <c r="V16" s="165"/>
      <c r="W16" s="166"/>
      <c r="X16" s="168"/>
      <c r="Y16" s="169"/>
      <c r="Z16" s="169"/>
      <c r="AA16" s="170"/>
      <c r="AB16" s="169"/>
      <c r="AC16" s="169"/>
      <c r="AD16" s="169"/>
      <c r="AE16" s="169"/>
      <c r="AF16" s="169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59"/>
      <c r="AU16" s="159"/>
      <c r="AV16" s="159"/>
      <c r="AW16" s="159"/>
      <c r="AX16" s="159"/>
      <c r="AY16" s="159"/>
      <c r="AZ16" s="159"/>
      <c r="BA16" s="159"/>
      <c r="BB16" s="159"/>
      <c r="BC16" s="159"/>
      <c r="BD16" s="159"/>
      <c r="BE16" s="159"/>
      <c r="BF16" s="159"/>
      <c r="BG16" s="159"/>
      <c r="BH16" s="159"/>
      <c r="BI16" s="159"/>
      <c r="BJ16" s="159"/>
      <c r="BK16" s="159"/>
      <c r="BL16" s="159"/>
    </row>
    <row r="17" spans="1:64" x14ac:dyDescent="0.2">
      <c r="A17" s="62"/>
      <c r="B17" s="173">
        <f t="shared" si="0"/>
        <v>186</v>
      </c>
      <c r="C17" s="173" t="s">
        <v>14</v>
      </c>
      <c r="D17" s="174" t="s">
        <v>47</v>
      </c>
      <c r="E17" s="175">
        <f t="shared" si="2"/>
        <v>42086</v>
      </c>
      <c r="F17" s="175">
        <f>_xll.qlCalendarAdvance(Calendar,E17,"2D","f",FALSE)</f>
        <v>42088</v>
      </c>
      <c r="G17" s="175">
        <f>_xll.qlCalendarAdvance(Calendar,F17,IF(C17="SN","1D",IF(C17="SW","1W",C17)),"mf",TRUE)</f>
        <v>42272</v>
      </c>
      <c r="H17" s="176">
        <f>_xll.qlOvernightIndexedSwapFairRate(L17,InterestRateTrigger)</f>
        <v>-2.4400000000001716E-3</v>
      </c>
      <c r="I17" s="177" t="str">
        <f>Contribution!M17</f>
        <v>SEKON6MD=</v>
      </c>
      <c r="J17" s="177" t="s">
        <v>88</v>
      </c>
      <c r="K17" s="51"/>
      <c r="L17" s="24" t="str">
        <f>_xll.qlMakeOIS(,IF(C17="SN","1D",IF(C17="SW","1W",C17)),OvernightIndex,,"0D",,,,Trigger)</f>
        <v>obj_00310#0000</v>
      </c>
      <c r="M17" s="33"/>
      <c r="N17" s="33"/>
      <c r="P17" s="164"/>
      <c r="Q17" s="165"/>
      <c r="R17" s="165"/>
      <c r="S17" s="166"/>
      <c r="T17" s="167"/>
      <c r="U17" s="166"/>
      <c r="V17" s="165"/>
      <c r="W17" s="166"/>
      <c r="X17" s="168"/>
      <c r="Y17" s="169"/>
      <c r="Z17" s="169"/>
      <c r="AA17" s="170"/>
      <c r="AB17" s="169"/>
      <c r="AC17" s="169"/>
      <c r="AD17" s="169"/>
      <c r="AE17" s="169"/>
      <c r="AF17" s="169"/>
      <c r="AG17" s="167"/>
      <c r="AH17" s="167"/>
      <c r="AI17" s="167"/>
      <c r="AJ17" s="167"/>
      <c r="AK17" s="167"/>
      <c r="AL17" s="167"/>
      <c r="AM17" s="167"/>
      <c r="AN17" s="167"/>
      <c r="AO17" s="167"/>
      <c r="AP17" s="167"/>
      <c r="AQ17" s="167"/>
      <c r="AR17" s="167"/>
      <c r="AS17" s="167"/>
      <c r="AT17" s="159"/>
      <c r="AU17" s="159"/>
      <c r="AV17" s="159"/>
      <c r="AW17" s="159"/>
      <c r="AX17" s="159"/>
      <c r="AY17" s="159"/>
      <c r="AZ17" s="159"/>
      <c r="BA17" s="159"/>
      <c r="BB17" s="159"/>
      <c r="BC17" s="159"/>
      <c r="BD17" s="159"/>
      <c r="BE17" s="159"/>
      <c r="BF17" s="159"/>
      <c r="BG17" s="159"/>
      <c r="BH17" s="159"/>
      <c r="BI17" s="159"/>
      <c r="BJ17" s="159"/>
      <c r="BK17" s="159"/>
      <c r="BL17" s="159"/>
    </row>
    <row r="18" spans="1:64" x14ac:dyDescent="0.2">
      <c r="A18" s="62"/>
      <c r="B18" s="17">
        <f t="shared" si="0"/>
        <v>280</v>
      </c>
      <c r="C18" s="17" t="s">
        <v>24</v>
      </c>
      <c r="D18" s="26" t="s">
        <v>47</v>
      </c>
      <c r="E18" s="41">
        <f t="shared" si="2"/>
        <v>42086</v>
      </c>
      <c r="F18" s="41">
        <f>_xll.qlCalendarAdvance(Calendar,E18,"2D","f",FALSE)</f>
        <v>42088</v>
      </c>
      <c r="G18" s="41">
        <f>_xll.qlCalendarAdvance(Calendar,F18,IF(C18="SN","1D",IF(C18="SW","1W",C18)),"mf",TRUE)</f>
        <v>42366</v>
      </c>
      <c r="H18" s="42">
        <f>_xll.qlOvernightIndexedSwapFairRate(L18,InterestRateTrigger)</f>
        <v>-2.5000000000004194E-3</v>
      </c>
      <c r="I18" s="32" t="str">
        <f>Contribution!M18</f>
        <v>SEKON9MD=</v>
      </c>
      <c r="J18" s="32" t="s">
        <v>89</v>
      </c>
      <c r="K18" s="51"/>
      <c r="L18" s="26" t="str">
        <f>_xll.qlMakeOIS(,IF(C18="SN","1D",IF(C18="SW","1W",C18)),OvernightIndex,,"0D",,,,Trigger)</f>
        <v>obj_0031a#0000</v>
      </c>
      <c r="M18" s="33"/>
      <c r="N18" s="33"/>
      <c r="P18" s="164"/>
      <c r="Q18" s="165"/>
      <c r="R18" s="165"/>
      <c r="S18" s="166"/>
      <c r="T18" s="167"/>
      <c r="U18" s="166"/>
      <c r="V18" s="165"/>
      <c r="W18" s="166"/>
      <c r="X18" s="168"/>
      <c r="Y18" s="169"/>
      <c r="Z18" s="169"/>
      <c r="AA18" s="170"/>
      <c r="AB18" s="169"/>
      <c r="AC18" s="169"/>
      <c r="AD18" s="169"/>
      <c r="AE18" s="169"/>
      <c r="AF18" s="169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</row>
    <row r="19" spans="1:64" x14ac:dyDescent="0.2">
      <c r="A19" s="62"/>
      <c r="B19" s="15"/>
      <c r="C19" s="15"/>
      <c r="D19" s="23"/>
      <c r="E19" s="37"/>
      <c r="F19" s="37"/>
      <c r="G19" s="37"/>
      <c r="H19" s="77"/>
      <c r="I19" s="31"/>
      <c r="J19" s="31"/>
      <c r="K19" s="51"/>
      <c r="L19" s="33"/>
      <c r="M19" s="33"/>
      <c r="N19" s="33"/>
      <c r="P19" s="164"/>
      <c r="Q19" s="165"/>
      <c r="R19" s="165"/>
      <c r="S19" s="166"/>
      <c r="T19" s="167"/>
      <c r="U19" s="166"/>
      <c r="V19" s="165"/>
      <c r="W19" s="166"/>
      <c r="X19" s="168"/>
      <c r="Y19" s="169"/>
      <c r="Z19" s="169"/>
      <c r="AA19" s="170"/>
      <c r="AB19" s="169"/>
      <c r="AC19" s="169"/>
      <c r="AD19" s="169"/>
      <c r="AE19" s="169"/>
      <c r="AF19" s="169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59"/>
      <c r="AU19" s="159"/>
      <c r="AV19" s="159"/>
      <c r="AW19" s="159"/>
      <c r="AX19" s="159"/>
      <c r="AY19" s="159"/>
      <c r="AZ19" s="159"/>
      <c r="BA19" s="159"/>
      <c r="BB19" s="159"/>
      <c r="BC19" s="159"/>
      <c r="BD19" s="159"/>
      <c r="BE19" s="159"/>
      <c r="BF19" s="159"/>
      <c r="BG19" s="159"/>
      <c r="BH19" s="159"/>
      <c r="BI19" s="159"/>
      <c r="BJ19" s="159"/>
      <c r="BK19" s="159"/>
      <c r="BL19" s="159"/>
    </row>
    <row r="20" spans="1:64" x14ac:dyDescent="0.2">
      <c r="A20" s="62"/>
      <c r="B20" s="16"/>
      <c r="C20" s="16"/>
      <c r="D20" s="24"/>
      <c r="E20" s="40"/>
      <c r="F20" s="40"/>
      <c r="G20" s="40"/>
      <c r="H20" s="78"/>
      <c r="I20" s="30"/>
      <c r="J20" s="30"/>
      <c r="K20" s="51"/>
      <c r="L20" s="33"/>
      <c r="M20" s="33"/>
      <c r="N20" s="33"/>
      <c r="P20" s="164"/>
      <c r="Q20" s="165"/>
      <c r="R20" s="165"/>
      <c r="S20" s="166"/>
      <c r="T20" s="167"/>
      <c r="U20" s="166"/>
      <c r="V20" s="165"/>
      <c r="W20" s="166"/>
      <c r="X20" s="168"/>
      <c r="Y20" s="169"/>
      <c r="Z20" s="169"/>
      <c r="AA20" s="170"/>
      <c r="AB20" s="169"/>
      <c r="AC20" s="169"/>
      <c r="AD20" s="169"/>
      <c r="AE20" s="169"/>
      <c r="AF20" s="169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  <c r="BI20" s="159"/>
      <c r="BJ20" s="159"/>
      <c r="BK20" s="159"/>
      <c r="BL20" s="159"/>
    </row>
    <row r="21" spans="1:64" x14ac:dyDescent="0.2">
      <c r="A21" s="62"/>
      <c r="B21" s="16"/>
      <c r="C21" s="16"/>
      <c r="D21" s="24"/>
      <c r="E21" s="40"/>
      <c r="F21" s="40"/>
      <c r="G21" s="40"/>
      <c r="H21" s="78"/>
      <c r="I21" s="30"/>
      <c r="J21" s="30"/>
      <c r="K21" s="51"/>
      <c r="L21" s="33"/>
      <c r="M21" s="33"/>
      <c r="N21" s="33"/>
      <c r="P21" s="164"/>
      <c r="Q21" s="165"/>
      <c r="R21" s="165"/>
      <c r="S21" s="166"/>
      <c r="T21" s="167"/>
      <c r="U21" s="166"/>
      <c r="V21" s="165"/>
      <c r="W21" s="166"/>
      <c r="X21" s="168"/>
      <c r="Y21" s="169"/>
      <c r="Z21" s="169"/>
      <c r="AA21" s="170"/>
      <c r="AB21" s="169"/>
      <c r="AC21" s="169"/>
      <c r="AD21" s="169"/>
      <c r="AE21" s="169"/>
      <c r="AF21" s="169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59"/>
      <c r="AU21" s="159"/>
      <c r="AV21" s="159"/>
      <c r="AW21" s="159"/>
      <c r="AX21" s="159"/>
      <c r="AY21" s="159"/>
      <c r="AZ21" s="159"/>
      <c r="BA21" s="159"/>
      <c r="BB21" s="159"/>
      <c r="BC21" s="159"/>
      <c r="BD21" s="159"/>
      <c r="BE21" s="159"/>
      <c r="BF21" s="159"/>
      <c r="BG21" s="159"/>
      <c r="BH21" s="159"/>
      <c r="BI21" s="159"/>
      <c r="BJ21" s="159"/>
      <c r="BK21" s="159"/>
      <c r="BL21" s="159"/>
    </row>
    <row r="22" spans="1:64" x14ac:dyDescent="0.2">
      <c r="A22" s="62"/>
      <c r="B22" s="16"/>
      <c r="C22" s="16"/>
      <c r="D22" s="24"/>
      <c r="E22" s="40"/>
      <c r="F22" s="40"/>
      <c r="G22" s="40"/>
      <c r="H22" s="78"/>
      <c r="I22" s="30"/>
      <c r="J22" s="30"/>
      <c r="K22" s="51"/>
      <c r="L22" s="33"/>
      <c r="M22" s="33"/>
      <c r="N22" s="33"/>
      <c r="P22" s="164"/>
      <c r="Q22" s="165"/>
      <c r="R22" s="165"/>
      <c r="S22" s="166"/>
      <c r="T22" s="167"/>
      <c r="U22" s="166"/>
      <c r="V22" s="165"/>
      <c r="W22" s="166"/>
      <c r="X22" s="168"/>
      <c r="Y22" s="169"/>
      <c r="Z22" s="169"/>
      <c r="AA22" s="170"/>
      <c r="AB22" s="169"/>
      <c r="AC22" s="169"/>
      <c r="AD22" s="169"/>
      <c r="AE22" s="169"/>
      <c r="AF22" s="169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59"/>
      <c r="AU22" s="159"/>
      <c r="AV22" s="159"/>
      <c r="AW22" s="159"/>
      <c r="AX22" s="159"/>
      <c r="AY22" s="159"/>
      <c r="AZ22" s="159"/>
      <c r="BA22" s="159"/>
      <c r="BB22" s="159"/>
      <c r="BC22" s="159"/>
      <c r="BD22" s="159"/>
      <c r="BE22" s="159"/>
      <c r="BF22" s="159"/>
      <c r="BG22" s="159"/>
      <c r="BH22" s="159"/>
      <c r="BI22" s="159"/>
      <c r="BJ22" s="159"/>
      <c r="BK22" s="159"/>
      <c r="BL22" s="159"/>
    </row>
    <row r="23" spans="1:64" x14ac:dyDescent="0.2">
      <c r="A23" s="62"/>
      <c r="B23" s="16"/>
      <c r="C23" s="16"/>
      <c r="D23" s="24"/>
      <c r="E23" s="40"/>
      <c r="F23" s="40"/>
      <c r="G23" s="40"/>
      <c r="H23" s="78"/>
      <c r="I23" s="30"/>
      <c r="J23" s="30"/>
      <c r="K23" s="51"/>
      <c r="L23" s="33"/>
      <c r="M23" s="33"/>
      <c r="N23" s="33"/>
      <c r="P23" s="164"/>
      <c r="Q23" s="165"/>
      <c r="R23" s="165"/>
      <c r="S23" s="166"/>
      <c r="T23" s="167"/>
      <c r="U23" s="166"/>
      <c r="V23" s="165"/>
      <c r="W23" s="166"/>
      <c r="X23" s="168"/>
      <c r="Y23" s="169"/>
      <c r="Z23" s="169"/>
      <c r="AA23" s="170"/>
      <c r="AB23" s="169"/>
      <c r="AC23" s="169"/>
      <c r="AD23" s="169"/>
      <c r="AE23" s="169"/>
      <c r="AF23" s="169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59"/>
      <c r="AU23" s="159"/>
      <c r="AV23" s="159"/>
      <c r="AW23" s="159"/>
      <c r="AX23" s="159"/>
      <c r="AY23" s="159"/>
      <c r="AZ23" s="159"/>
      <c r="BA23" s="159"/>
      <c r="BB23" s="159"/>
      <c r="BC23" s="159"/>
      <c r="BD23" s="159"/>
      <c r="BE23" s="159"/>
      <c r="BF23" s="159"/>
      <c r="BG23" s="159"/>
      <c r="BH23" s="159"/>
      <c r="BI23" s="159"/>
      <c r="BJ23" s="159"/>
      <c r="BK23" s="159"/>
      <c r="BL23" s="159"/>
    </row>
    <row r="24" spans="1:64" x14ac:dyDescent="0.2">
      <c r="A24" s="62"/>
      <c r="B24" s="17"/>
      <c r="C24" s="17"/>
      <c r="D24" s="26"/>
      <c r="E24" s="41"/>
      <c r="F24" s="41"/>
      <c r="G24" s="41"/>
      <c r="H24" s="79"/>
      <c r="I24" s="32"/>
      <c r="J24" s="32"/>
      <c r="K24" s="51"/>
      <c r="L24" s="33"/>
      <c r="M24" s="33"/>
      <c r="N24" s="33"/>
      <c r="P24" s="164"/>
      <c r="Q24" s="165"/>
      <c r="R24" s="165"/>
      <c r="S24" s="166"/>
      <c r="T24" s="167"/>
      <c r="U24" s="166"/>
      <c r="V24" s="165"/>
      <c r="W24" s="166"/>
      <c r="X24" s="168"/>
      <c r="Y24" s="169"/>
      <c r="Z24" s="169"/>
      <c r="AA24" s="170"/>
      <c r="AB24" s="169"/>
      <c r="AC24" s="169"/>
      <c r="AD24" s="169"/>
      <c r="AE24" s="169"/>
      <c r="AF24" s="169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7"/>
      <c r="AR24" s="167"/>
      <c r="AS24" s="167"/>
      <c r="AT24" s="159"/>
      <c r="AU24" s="159"/>
      <c r="AV24" s="159"/>
      <c r="AW24" s="159"/>
      <c r="AX24" s="159"/>
      <c r="AY24" s="159"/>
      <c r="AZ24" s="159"/>
      <c r="BA24" s="159"/>
      <c r="BB24" s="159"/>
      <c r="BC24" s="159"/>
      <c r="BD24" s="159"/>
      <c r="BE24" s="159"/>
      <c r="BF24" s="159"/>
      <c r="BG24" s="159"/>
      <c r="BH24" s="159"/>
      <c r="BI24" s="159"/>
      <c r="BJ24" s="159"/>
      <c r="BK24" s="159"/>
      <c r="BL24" s="159"/>
    </row>
    <row r="25" spans="1:64" x14ac:dyDescent="0.2">
      <c r="A25" s="62"/>
      <c r="B25" s="15"/>
      <c r="C25" s="15" t="s">
        <v>25</v>
      </c>
      <c r="D25" s="23" t="s">
        <v>47</v>
      </c>
      <c r="E25" s="37">
        <f t="shared" ref="E25:E39" si="3">EvaluationDate</f>
        <v>42086</v>
      </c>
      <c r="F25" s="37">
        <f>_xll.qlCalendarAdvance(Calendar,E25,"2D","f",FALSE)</f>
        <v>42088</v>
      </c>
      <c r="G25" s="37">
        <f>_xll.qlCalendarAdvance(Calendar,F25,IF(C25="SN","1D",IF(C25="SW","1W",C25)),"mf",TRUE)</f>
        <v>42458</v>
      </c>
      <c r="H25" s="38">
        <f>_xll.qlOvernightIndexedSwapFairRate(L25,InterestRateTrigger)</f>
        <v>-2.4300000000006881E-3</v>
      </c>
      <c r="I25" s="31" t="str">
        <f>Contribution!M25</f>
        <v>SEKON1YD=</v>
      </c>
      <c r="J25" s="31" t="s">
        <v>90</v>
      </c>
      <c r="K25" s="50"/>
      <c r="L25" s="23" t="str">
        <f>_xll.qlMakeOIS(,IF(C25="SN","1D",IF(C25="SW","1W",C25)),OvernightIndex,,"0D",,,,Trigger)</f>
        <v>obj_0030b#0000</v>
      </c>
      <c r="M25" s="33"/>
      <c r="N25" s="33"/>
      <c r="P25" s="164"/>
      <c r="Q25" s="165"/>
      <c r="R25" s="165"/>
      <c r="S25" s="166"/>
      <c r="T25" s="167"/>
      <c r="U25" s="166"/>
      <c r="V25" s="165"/>
      <c r="W25" s="166"/>
      <c r="X25" s="168"/>
      <c r="Y25" s="169"/>
      <c r="Z25" s="169"/>
      <c r="AA25" s="170"/>
      <c r="AB25" s="169"/>
      <c r="AC25" s="169"/>
      <c r="AD25" s="169"/>
      <c r="AE25" s="169"/>
      <c r="AF25" s="169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</row>
    <row r="26" spans="1:64" x14ac:dyDescent="0.2">
      <c r="A26" s="62"/>
      <c r="B26" s="16"/>
      <c r="C26" s="16" t="s">
        <v>26</v>
      </c>
      <c r="D26" s="24" t="s">
        <v>47</v>
      </c>
      <c r="E26" s="40">
        <f t="shared" si="3"/>
        <v>42086</v>
      </c>
      <c r="F26" s="40">
        <f>_xll.qlCalendarAdvance(Calendar,E26,"2D","f",FALSE)</f>
        <v>42088</v>
      </c>
      <c r="G26" s="40">
        <f>_xll.qlCalendarAdvance(Calendar,F26,IF(C26="SN","1D",IF(C26="SW","1W",C26)),"mf",TRUE)</f>
        <v>42821</v>
      </c>
      <c r="H26" s="39">
        <f>_xll.qlOvernightIndexedSwapFairRate(L26,InterestRateTrigger)</f>
        <v>-1.0374999999999887E-3</v>
      </c>
      <c r="I26" s="30" t="str">
        <f>Contribution!M26</f>
        <v>SEKON2YD=</v>
      </c>
      <c r="J26" s="30" t="s">
        <v>91</v>
      </c>
      <c r="K26" s="50"/>
      <c r="L26" s="24" t="str">
        <f>_xll.qlMakeOIS(,IF(C26="SN","1D",IF(C26="SW","1W",C26)),OvernightIndex,,"0D",,,,Trigger)</f>
        <v>obj_00305#0000</v>
      </c>
      <c r="M26" s="33"/>
      <c r="N26" s="33"/>
      <c r="P26" s="164"/>
      <c r="Q26" s="165"/>
      <c r="R26" s="165"/>
      <c r="S26" s="166"/>
      <c r="T26" s="167"/>
      <c r="U26" s="166"/>
      <c r="V26" s="165"/>
      <c r="W26" s="166"/>
      <c r="X26" s="168"/>
      <c r="Y26" s="169"/>
      <c r="Z26" s="169"/>
      <c r="AA26" s="170"/>
      <c r="AB26" s="169"/>
      <c r="AC26" s="169"/>
      <c r="AD26" s="169"/>
      <c r="AE26" s="169"/>
      <c r="AF26" s="169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7"/>
      <c r="AR26" s="167"/>
      <c r="AS26" s="167"/>
      <c r="AT26" s="159"/>
      <c r="AU26" s="159"/>
      <c r="AV26" s="159"/>
      <c r="AW26" s="159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/>
      <c r="BH26" s="159"/>
      <c r="BI26" s="159"/>
      <c r="BJ26" s="159"/>
      <c r="BK26" s="159"/>
      <c r="BL26" s="159"/>
    </row>
    <row r="27" spans="1:64" x14ac:dyDescent="0.2">
      <c r="A27" s="62"/>
      <c r="B27" s="16"/>
      <c r="C27" s="16" t="s">
        <v>27</v>
      </c>
      <c r="D27" s="24" t="s">
        <v>47</v>
      </c>
      <c r="E27" s="40">
        <f t="shared" si="3"/>
        <v>42086</v>
      </c>
      <c r="F27" s="40">
        <f>_xll.qlCalendarAdvance(Calendar,E27,"2D","f",FALSE)</f>
        <v>42088</v>
      </c>
      <c r="G27" s="40">
        <f>_xll.qlCalendarAdvance(Calendar,F27,IF(C27="SN","1D",IF(C27="SW","1W",C27)),"mf",TRUE)</f>
        <v>43185</v>
      </c>
      <c r="H27" s="39">
        <f>_xll.qlOvernightIndexedSwapFairRate(L27,InterestRateTrigger)</f>
        <v>-4.4999999999999435E-4</v>
      </c>
      <c r="I27" s="30" t="str">
        <f>Contribution!M27</f>
        <v>SEKON3YD=</v>
      </c>
      <c r="J27" s="30" t="s">
        <v>92</v>
      </c>
      <c r="K27" s="50"/>
      <c r="L27" s="24" t="str">
        <f>_xll.qlMakeOIS(,IF(C27="SN","1D",IF(C27="SW","1W",C27)),OvernightIndex,,"0D",,,,Trigger)</f>
        <v>obj_00308#0000</v>
      </c>
      <c r="M27" s="33"/>
      <c r="N27" s="33"/>
      <c r="P27" s="164"/>
      <c r="Q27" s="165"/>
      <c r="R27" s="165"/>
      <c r="S27" s="166"/>
      <c r="T27" s="167"/>
      <c r="U27" s="166"/>
      <c r="V27" s="165"/>
      <c r="W27" s="166"/>
      <c r="X27" s="168"/>
      <c r="Y27" s="169"/>
      <c r="Z27" s="169"/>
      <c r="AA27" s="170"/>
      <c r="AB27" s="169"/>
      <c r="AC27" s="169"/>
      <c r="AD27" s="169"/>
      <c r="AE27" s="169"/>
      <c r="AF27" s="169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59"/>
      <c r="AU27" s="159"/>
      <c r="AV27" s="159"/>
      <c r="AW27" s="159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/>
      <c r="BI27" s="159"/>
      <c r="BJ27" s="159"/>
      <c r="BK27" s="159"/>
      <c r="BL27" s="159"/>
    </row>
    <row r="28" spans="1:64" x14ac:dyDescent="0.2">
      <c r="A28" s="62"/>
      <c r="B28" s="16"/>
      <c r="C28" s="16" t="s">
        <v>28</v>
      </c>
      <c r="D28" s="24" t="s">
        <v>47</v>
      </c>
      <c r="E28" s="40">
        <f t="shared" si="3"/>
        <v>42086</v>
      </c>
      <c r="F28" s="40">
        <f>_xll.qlCalendarAdvance(Calendar,E28,"2D","f",FALSE)</f>
        <v>42088</v>
      </c>
      <c r="G28" s="40">
        <f>_xll.qlCalendarAdvance(Calendar,F28,IF(C28="SN","1D",IF(C28="SW","1W",C28)),"mf",TRUE)</f>
        <v>43549</v>
      </c>
      <c r="H28" s="39">
        <f>_xll.qlOvernightIndexedSwapFairRate(L28,InterestRateTrigger)</f>
        <v>2.375000000951724E-4</v>
      </c>
      <c r="I28" s="30" t="str">
        <f>Contribution!M28</f>
        <v>SEKON4YD=</v>
      </c>
      <c r="J28" s="46" t="s">
        <v>93</v>
      </c>
      <c r="K28" s="50"/>
      <c r="L28" s="24" t="str">
        <f>_xll.qlMakeOIS(,IF(C28="SN","1D",IF(C28="SW","1W",C28)),OvernightIndex,,"0D",,,,Trigger)</f>
        <v>obj_00303#0000</v>
      </c>
      <c r="M28" s="33"/>
      <c r="N28" s="33"/>
      <c r="P28" s="164"/>
      <c r="Q28" s="165"/>
      <c r="R28" s="165"/>
      <c r="S28" s="166"/>
      <c r="T28" s="167"/>
      <c r="U28" s="166"/>
      <c r="V28" s="165"/>
      <c r="W28" s="166"/>
      <c r="X28" s="168"/>
      <c r="Y28" s="169"/>
      <c r="Z28" s="169"/>
      <c r="AA28" s="170"/>
      <c r="AB28" s="169"/>
      <c r="AC28" s="169"/>
      <c r="AD28" s="169"/>
      <c r="AE28" s="169"/>
      <c r="AF28" s="169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59"/>
      <c r="AU28" s="159"/>
      <c r="AV28" s="159"/>
      <c r="AW28" s="159"/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159"/>
      <c r="BJ28" s="159"/>
      <c r="BK28" s="159"/>
      <c r="BL28" s="159"/>
    </row>
    <row r="29" spans="1:64" x14ac:dyDescent="0.2">
      <c r="A29" s="62"/>
      <c r="B29" s="16"/>
      <c r="C29" s="16" t="s">
        <v>29</v>
      </c>
      <c r="D29" s="24" t="s">
        <v>47</v>
      </c>
      <c r="E29" s="40">
        <f t="shared" si="3"/>
        <v>42086</v>
      </c>
      <c r="F29" s="40">
        <f>_xll.qlCalendarAdvance(Calendar,E29,"2D","f",FALSE)</f>
        <v>42088</v>
      </c>
      <c r="G29" s="40">
        <f>_xll.qlCalendarAdvance(Calendar,F29,IF(C29="SN","1D",IF(C29="SW","1W",C29)),"mf",TRUE)</f>
        <v>43915</v>
      </c>
      <c r="H29" s="39">
        <f>_xll.qlOvernightIndexedSwapFairRate(L29,InterestRateTrigger)</f>
        <v>9.5000000000941391E-4</v>
      </c>
      <c r="I29" s="30" t="str">
        <f>Contribution!M29</f>
        <v>SEKON5YD=</v>
      </c>
      <c r="J29" s="46" t="s">
        <v>94</v>
      </c>
      <c r="K29" s="50"/>
      <c r="L29" s="24" t="str">
        <f>_xll.qlMakeOIS(,IF(C29="SN","1D",IF(C29="SW","1W",C29)),OvernightIndex,,"0D",,,,Trigger)</f>
        <v>obj_00316#0000</v>
      </c>
      <c r="M29" s="33"/>
      <c r="N29" s="33"/>
      <c r="P29" s="164"/>
      <c r="Q29" s="165"/>
      <c r="R29" s="165"/>
      <c r="S29" s="166"/>
      <c r="T29" s="167"/>
      <c r="U29" s="166"/>
      <c r="V29" s="165"/>
      <c r="W29" s="166"/>
      <c r="X29" s="168"/>
      <c r="Y29" s="169"/>
      <c r="Z29" s="169"/>
      <c r="AA29" s="170"/>
      <c r="AB29" s="169"/>
      <c r="AC29" s="169"/>
      <c r="AD29" s="169"/>
      <c r="AE29" s="169"/>
      <c r="AF29" s="169"/>
      <c r="AG29" s="167"/>
      <c r="AH29" s="167"/>
      <c r="AI29" s="167"/>
      <c r="AJ29" s="167"/>
      <c r="AK29" s="167"/>
      <c r="AL29" s="167"/>
      <c r="AM29" s="167"/>
      <c r="AN29" s="167"/>
      <c r="AO29" s="167"/>
      <c r="AP29" s="167"/>
      <c r="AQ29" s="167"/>
      <c r="AR29" s="167"/>
      <c r="AS29" s="167"/>
      <c r="AT29" s="159"/>
      <c r="AU29" s="159"/>
      <c r="AV29" s="159"/>
      <c r="AW29" s="159"/>
      <c r="AX29" s="159"/>
      <c r="AY29" s="159"/>
      <c r="AZ29" s="159"/>
      <c r="BA29" s="159"/>
      <c r="BB29" s="159"/>
      <c r="BC29" s="159"/>
      <c r="BD29" s="159"/>
      <c r="BE29" s="159"/>
      <c r="BF29" s="159"/>
      <c r="BG29" s="159"/>
      <c r="BH29" s="159"/>
      <c r="BI29" s="159"/>
      <c r="BJ29" s="159"/>
      <c r="BK29" s="159"/>
      <c r="BL29" s="159"/>
    </row>
    <row r="30" spans="1:64" x14ac:dyDescent="0.2">
      <c r="A30" s="62"/>
      <c r="B30" s="16"/>
      <c r="C30" s="16" t="s">
        <v>30</v>
      </c>
      <c r="D30" s="24" t="s">
        <v>47</v>
      </c>
      <c r="E30" s="40">
        <f t="shared" si="3"/>
        <v>42086</v>
      </c>
      <c r="F30" s="40">
        <f>_xll.qlCalendarAdvance(Calendar,E30,"2D","f",FALSE)</f>
        <v>42088</v>
      </c>
      <c r="G30" s="40">
        <f>_xll.qlCalendarAdvance(Calendar,F30,IF(C30="SN","1D",IF(C30="SW","1W",C30)),"mf",TRUE)</f>
        <v>44280</v>
      </c>
      <c r="H30" s="39">
        <f>_xll.qlOvernightIndexedSwapFairRate(L30,InterestRateTrigger)</f>
        <v>1.6375000000039086E-3</v>
      </c>
      <c r="I30" s="30" t="str">
        <f>Contribution!M30</f>
        <v>SEKON6YD=</v>
      </c>
      <c r="J30" s="46" t="s">
        <v>95</v>
      </c>
      <c r="K30" s="50"/>
      <c r="L30" s="24" t="str">
        <f>_xll.qlMakeOIS(,IF(C30="SN","1D",IF(C30="SW","1W",C30)),OvernightIndex,,"0D",,,,Trigger)</f>
        <v>obj_0031b#0000</v>
      </c>
      <c r="M30" s="33"/>
      <c r="N30" s="33"/>
      <c r="P30" s="164"/>
      <c r="Q30" s="165"/>
      <c r="R30" s="165"/>
      <c r="S30" s="166"/>
      <c r="T30" s="167"/>
      <c r="U30" s="166"/>
      <c r="V30" s="165"/>
      <c r="W30" s="166"/>
      <c r="X30" s="168"/>
      <c r="Y30" s="169"/>
      <c r="Z30" s="169"/>
      <c r="AA30" s="170"/>
      <c r="AB30" s="169"/>
      <c r="AC30" s="169"/>
      <c r="AD30" s="169"/>
      <c r="AE30" s="169"/>
      <c r="AF30" s="169"/>
      <c r="AG30" s="167"/>
      <c r="AH30" s="167"/>
      <c r="AI30" s="167"/>
      <c r="AJ30" s="167"/>
      <c r="AK30" s="167"/>
      <c r="AL30" s="167"/>
      <c r="AM30" s="167"/>
      <c r="AN30" s="167"/>
      <c r="AO30" s="167"/>
      <c r="AP30" s="167"/>
      <c r="AQ30" s="167"/>
      <c r="AR30" s="167"/>
      <c r="AS30" s="167"/>
      <c r="AT30" s="159"/>
      <c r="AU30" s="159"/>
      <c r="AV30" s="159"/>
      <c r="AW30" s="159"/>
      <c r="AX30" s="159"/>
      <c r="AY30" s="159"/>
      <c r="AZ30" s="159"/>
      <c r="BA30" s="159"/>
      <c r="BB30" s="159"/>
      <c r="BC30" s="159"/>
      <c r="BD30" s="159"/>
      <c r="BE30" s="159"/>
      <c r="BF30" s="159"/>
      <c r="BG30" s="159"/>
      <c r="BH30" s="159"/>
      <c r="BI30" s="159"/>
      <c r="BJ30" s="159"/>
      <c r="BK30" s="159"/>
      <c r="BL30" s="159"/>
    </row>
    <row r="31" spans="1:64" x14ac:dyDescent="0.2">
      <c r="A31" s="62"/>
      <c r="B31" s="16"/>
      <c r="C31" s="16" t="s">
        <v>31</v>
      </c>
      <c r="D31" s="24" t="s">
        <v>47</v>
      </c>
      <c r="E31" s="40">
        <f t="shared" si="3"/>
        <v>42086</v>
      </c>
      <c r="F31" s="40">
        <f>_xll.qlCalendarAdvance(Calendar,E31,"2D","f",FALSE)</f>
        <v>42088</v>
      </c>
      <c r="G31" s="40">
        <f>_xll.qlCalendarAdvance(Calendar,F31,IF(C31="SN","1D",IF(C31="SW","1W",C31)),"mf",TRUE)</f>
        <v>44645</v>
      </c>
      <c r="H31" s="39">
        <f>_xll.qlOvernightIndexedSwapFairRate(L31,InterestRateTrigger)</f>
        <v>2.2500000000067045E-3</v>
      </c>
      <c r="I31" s="30" t="str">
        <f>Contribution!M31</f>
        <v>SEKON7YD=</v>
      </c>
      <c r="J31" s="46" t="s">
        <v>96</v>
      </c>
      <c r="K31" s="50"/>
      <c r="L31" s="24" t="str">
        <f>_xll.qlMakeOIS(,IF(C31="SN","1D",IF(C31="SW","1W",C31)),OvernightIndex,,"0D",,,,Trigger)</f>
        <v>obj_00315#0000</v>
      </c>
      <c r="M31" s="33"/>
      <c r="N31" s="33"/>
      <c r="P31" s="164"/>
      <c r="Q31" s="165"/>
      <c r="R31" s="165"/>
      <c r="S31" s="166"/>
      <c r="T31" s="167"/>
      <c r="U31" s="166"/>
      <c r="V31" s="165"/>
      <c r="W31" s="166"/>
      <c r="X31" s="168"/>
      <c r="Y31" s="169"/>
      <c r="Z31" s="169"/>
      <c r="AA31" s="170"/>
      <c r="AB31" s="169"/>
      <c r="AC31" s="169"/>
      <c r="AD31" s="169"/>
      <c r="AE31" s="169"/>
      <c r="AF31" s="169"/>
      <c r="AG31" s="167"/>
      <c r="AH31" s="167"/>
      <c r="AI31" s="167"/>
      <c r="AJ31" s="167"/>
      <c r="AK31" s="167"/>
      <c r="AL31" s="167"/>
      <c r="AM31" s="167"/>
      <c r="AN31" s="167"/>
      <c r="AO31" s="167"/>
      <c r="AP31" s="167"/>
      <c r="AQ31" s="167"/>
      <c r="AR31" s="167"/>
      <c r="AS31" s="167"/>
      <c r="AT31" s="159"/>
      <c r="AU31" s="159"/>
      <c r="AV31" s="159"/>
      <c r="AW31" s="159"/>
      <c r="AX31" s="159"/>
      <c r="AY31" s="159"/>
      <c r="AZ31" s="159"/>
      <c r="BA31" s="159"/>
      <c r="BB31" s="159"/>
      <c r="BC31" s="159"/>
      <c r="BD31" s="159"/>
      <c r="BE31" s="159"/>
      <c r="BF31" s="159"/>
      <c r="BG31" s="159"/>
      <c r="BH31" s="159"/>
      <c r="BI31" s="159"/>
      <c r="BJ31" s="159"/>
      <c r="BK31" s="159"/>
      <c r="BL31" s="159"/>
    </row>
    <row r="32" spans="1:64" x14ac:dyDescent="0.2">
      <c r="A32" s="62"/>
      <c r="B32" s="16"/>
      <c r="C32" s="16" t="s">
        <v>32</v>
      </c>
      <c r="D32" s="24" t="s">
        <v>47</v>
      </c>
      <c r="E32" s="40">
        <f t="shared" si="3"/>
        <v>42086</v>
      </c>
      <c r="F32" s="40">
        <f>_xll.qlCalendarAdvance(Calendar,E32,"2D","f",FALSE)</f>
        <v>42088</v>
      </c>
      <c r="G32" s="40">
        <f>_xll.qlCalendarAdvance(Calendar,F32,IF(C32="SN","1D",IF(C32="SW","1W",C32)),"mf",TRUE)</f>
        <v>45012</v>
      </c>
      <c r="H32" s="39">
        <f>_xll.qlOvernightIndexedSwapFairRate(L32,InterestRateTrigger)</f>
        <v>2.787500000013324E-3</v>
      </c>
      <c r="I32" s="30" t="str">
        <f>Contribution!M32</f>
        <v>SEKON8YD=</v>
      </c>
      <c r="J32" s="46" t="s">
        <v>97</v>
      </c>
      <c r="K32" s="50"/>
      <c r="L32" s="24" t="str">
        <f>_xll.qlMakeOIS(,IF(C32="SN","1D",IF(C32="SW","1W",C32)),OvernightIndex,,"0D",,,,Trigger)</f>
        <v>obj_00302#0000</v>
      </c>
      <c r="M32" s="33"/>
      <c r="N32" s="33"/>
      <c r="P32" s="164"/>
      <c r="Q32" s="165"/>
      <c r="R32" s="165"/>
      <c r="S32" s="166"/>
      <c r="T32" s="167"/>
      <c r="U32" s="166"/>
      <c r="V32" s="165"/>
      <c r="W32" s="166"/>
      <c r="X32" s="168"/>
      <c r="Y32" s="169"/>
      <c r="Z32" s="169"/>
      <c r="AA32" s="170"/>
      <c r="AB32" s="169"/>
      <c r="AC32" s="169"/>
      <c r="AD32" s="169"/>
      <c r="AE32" s="169"/>
      <c r="AF32" s="169"/>
      <c r="AG32" s="167"/>
      <c r="AH32" s="167"/>
      <c r="AI32" s="167"/>
      <c r="AJ32" s="167"/>
      <c r="AK32" s="167"/>
      <c r="AL32" s="167"/>
      <c r="AM32" s="167"/>
      <c r="AN32" s="167"/>
      <c r="AO32" s="167"/>
      <c r="AP32" s="167"/>
      <c r="AQ32" s="167"/>
      <c r="AR32" s="167"/>
      <c r="AS32" s="167"/>
      <c r="AT32" s="159"/>
      <c r="AU32" s="159"/>
      <c r="AV32" s="159"/>
      <c r="AW32" s="159"/>
      <c r="AX32" s="159"/>
      <c r="AY32" s="159"/>
      <c r="AZ32" s="159"/>
      <c r="BA32" s="159"/>
      <c r="BB32" s="159"/>
      <c r="BC32" s="159"/>
      <c r="BD32" s="159"/>
      <c r="BE32" s="159"/>
      <c r="BF32" s="159"/>
      <c r="BG32" s="159"/>
      <c r="BH32" s="159"/>
      <c r="BI32" s="159"/>
      <c r="BJ32" s="159"/>
      <c r="BK32" s="159"/>
      <c r="BL32" s="159"/>
    </row>
    <row r="33" spans="1:64" x14ac:dyDescent="0.2">
      <c r="A33" s="62"/>
      <c r="B33" s="16"/>
      <c r="C33" s="16" t="s">
        <v>33</v>
      </c>
      <c r="D33" s="24" t="s">
        <v>47</v>
      </c>
      <c r="E33" s="40">
        <f t="shared" si="3"/>
        <v>42086</v>
      </c>
      <c r="F33" s="40">
        <f>_xll.qlCalendarAdvance(Calendar,E33,"2D","f",FALSE)</f>
        <v>42088</v>
      </c>
      <c r="G33" s="40">
        <f>_xll.qlCalendarAdvance(Calendar,F33,IF(C33="SN","1D",IF(C33="SW","1W",C33)),"mf",TRUE)</f>
        <v>45376</v>
      </c>
      <c r="H33" s="39">
        <f>_xll.qlOvernightIndexedSwapFairRate(L33,InterestRateTrigger)</f>
        <v>3.2250000000310962E-3</v>
      </c>
      <c r="I33" s="30" t="str">
        <f>Contribution!M33</f>
        <v>SEKON9YD=</v>
      </c>
      <c r="J33" s="30" t="s">
        <v>98</v>
      </c>
      <c r="K33" s="50"/>
      <c r="L33" s="24" t="str">
        <f>_xll.qlMakeOIS(,IF(C33="SN","1D",IF(C33="SW","1W",C33)),OvernightIndex,,"0D",,,,Trigger)</f>
        <v>obj_00317#0000</v>
      </c>
      <c r="M33" s="33"/>
      <c r="N33" s="33"/>
      <c r="P33" s="164"/>
      <c r="Q33" s="165"/>
      <c r="R33" s="165"/>
      <c r="S33" s="166"/>
      <c r="T33" s="167"/>
      <c r="U33" s="166"/>
      <c r="V33" s="165"/>
      <c r="W33" s="166"/>
      <c r="X33" s="168"/>
      <c r="Y33" s="169"/>
      <c r="Z33" s="169"/>
      <c r="AA33" s="170"/>
      <c r="AB33" s="169"/>
      <c r="AC33" s="169"/>
      <c r="AD33" s="169"/>
      <c r="AE33" s="169"/>
      <c r="AF33" s="169"/>
      <c r="AG33" s="167"/>
      <c r="AH33" s="167"/>
      <c r="AI33" s="167"/>
      <c r="AJ33" s="167"/>
      <c r="AK33" s="167"/>
      <c r="AL33" s="167"/>
      <c r="AM33" s="167"/>
      <c r="AN33" s="167"/>
      <c r="AO33" s="167"/>
      <c r="AP33" s="167"/>
      <c r="AQ33" s="167"/>
      <c r="AR33" s="167"/>
      <c r="AS33" s="167"/>
      <c r="AT33" s="159"/>
      <c r="AU33" s="159"/>
      <c r="AV33" s="159"/>
      <c r="AW33" s="159"/>
      <c r="AX33" s="159"/>
      <c r="AY33" s="159"/>
      <c r="AZ33" s="159"/>
      <c r="BA33" s="159"/>
      <c r="BB33" s="159"/>
      <c r="BC33" s="159"/>
      <c r="BD33" s="159"/>
      <c r="BE33" s="159"/>
      <c r="BF33" s="159"/>
      <c r="BG33" s="159"/>
      <c r="BH33" s="159"/>
      <c r="BI33" s="159"/>
      <c r="BJ33" s="159"/>
      <c r="BK33" s="159"/>
      <c r="BL33" s="159"/>
    </row>
    <row r="34" spans="1:64" x14ac:dyDescent="0.2">
      <c r="A34" s="62"/>
      <c r="B34" s="16"/>
      <c r="C34" s="16" t="s">
        <v>34</v>
      </c>
      <c r="D34" s="24" t="s">
        <v>47</v>
      </c>
      <c r="E34" s="40">
        <f t="shared" si="3"/>
        <v>42086</v>
      </c>
      <c r="F34" s="40">
        <f>_xll.qlCalendarAdvance(Calendar,E34,"2D","f",FALSE)</f>
        <v>42088</v>
      </c>
      <c r="G34" s="40">
        <f>_xll.qlCalendarAdvance(Calendar,F34,IF(C34="SN","1D",IF(C34="SW","1W",C34)),"mf",TRUE)</f>
        <v>45741</v>
      </c>
      <c r="H34" s="39">
        <f>_xll.qlOvernightIndexedSwapFairRate(L34,InterestRateTrigger)</f>
        <v>3.6000000000353176E-3</v>
      </c>
      <c r="I34" s="30" t="str">
        <f>Contribution!M34</f>
        <v>SEKON10YD=</v>
      </c>
      <c r="J34" s="30" t="s">
        <v>99</v>
      </c>
      <c r="K34" s="50"/>
      <c r="L34" s="24" t="str">
        <f>_xll.qlMakeOIS(,IF(C34="SN","1D",IF(C34="SW","1W",C34)),OvernightIndex,,"0D",,,,Trigger)</f>
        <v>obj_00311#0000</v>
      </c>
      <c r="M34" s="33"/>
      <c r="N34" s="33"/>
      <c r="P34" s="164"/>
      <c r="Q34" s="165"/>
      <c r="R34" s="165"/>
      <c r="S34" s="166"/>
      <c r="T34" s="167"/>
      <c r="U34" s="166"/>
      <c r="V34" s="165"/>
      <c r="W34" s="166"/>
      <c r="X34" s="168"/>
      <c r="Y34" s="169"/>
      <c r="Z34" s="169"/>
      <c r="AA34" s="170"/>
      <c r="AB34" s="169"/>
      <c r="AC34" s="169"/>
      <c r="AD34" s="169"/>
      <c r="AE34" s="169"/>
      <c r="AF34" s="169"/>
      <c r="AG34" s="167"/>
      <c r="AH34" s="167"/>
      <c r="AI34" s="167"/>
      <c r="AJ34" s="167"/>
      <c r="AK34" s="167"/>
      <c r="AL34" s="167"/>
      <c r="AM34" s="167"/>
      <c r="AN34" s="167"/>
      <c r="AO34" s="167"/>
      <c r="AP34" s="167"/>
      <c r="AQ34" s="167"/>
      <c r="AR34" s="167"/>
      <c r="AS34" s="167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</row>
    <row r="35" spans="1:64" x14ac:dyDescent="0.2">
      <c r="A35" s="62"/>
      <c r="B35" s="16"/>
      <c r="C35" s="16" t="s">
        <v>35</v>
      </c>
      <c r="D35" s="24" t="s">
        <v>47</v>
      </c>
      <c r="E35" s="40">
        <f t="shared" si="3"/>
        <v>42086</v>
      </c>
      <c r="F35" s="40">
        <f>_xll.qlCalendarAdvance(Calendar,E35,"2D","f",FALSE)</f>
        <v>42088</v>
      </c>
      <c r="G35" s="40">
        <f>_xll.qlCalendarAdvance(Calendar,F35,IF(C35="SN","1D",IF(C35="SW","1W",C35)),"mf",TRUE)</f>
        <v>46471</v>
      </c>
      <c r="H35" s="39">
        <f>_xll.qlOvernightIndexedSwapFairRate(L35,InterestRateTrigger)</f>
        <v>4.2250000000587321E-3</v>
      </c>
      <c r="I35" s="30" t="str">
        <f>Contribution!M35</f>
        <v>SEKON12YD=</v>
      </c>
      <c r="J35" s="30" t="s">
        <v>100</v>
      </c>
      <c r="K35" s="50"/>
      <c r="L35" s="24" t="str">
        <f>_xll.qlMakeOIS(,IF(C35="SN","1D",IF(C35="SW","1W",C35)),OvernightIndex,,"0D",,,,Trigger)</f>
        <v>obj_0030d#0000</v>
      </c>
      <c r="M35" s="33"/>
      <c r="N35" s="33"/>
      <c r="P35" s="164"/>
      <c r="Q35" s="165"/>
      <c r="R35" s="165"/>
      <c r="S35" s="166"/>
      <c r="T35" s="167"/>
      <c r="U35" s="166"/>
      <c r="V35" s="165"/>
      <c r="W35" s="166"/>
      <c r="X35" s="168"/>
      <c r="Y35" s="169"/>
      <c r="Z35" s="169"/>
      <c r="AA35" s="170"/>
      <c r="AB35" s="169"/>
      <c r="AC35" s="169"/>
      <c r="AD35" s="169"/>
      <c r="AE35" s="169"/>
      <c r="AF35" s="169"/>
      <c r="AG35" s="167"/>
      <c r="AH35" s="167"/>
      <c r="AI35" s="167"/>
      <c r="AJ35" s="167"/>
      <c r="AK35" s="167"/>
      <c r="AL35" s="167"/>
      <c r="AM35" s="167"/>
      <c r="AN35" s="167"/>
      <c r="AO35" s="167"/>
      <c r="AP35" s="167"/>
      <c r="AQ35" s="167"/>
      <c r="AR35" s="167"/>
      <c r="AS35" s="167"/>
      <c r="AT35" s="159"/>
      <c r="AU35" s="159"/>
      <c r="AV35" s="159"/>
      <c r="AW35" s="159"/>
      <c r="AX35" s="159"/>
      <c r="AY35" s="159"/>
      <c r="AZ35" s="159"/>
      <c r="BA35" s="159"/>
      <c r="BB35" s="159"/>
      <c r="BC35" s="159"/>
      <c r="BD35" s="159"/>
      <c r="BE35" s="159"/>
      <c r="BF35" s="159"/>
      <c r="BG35" s="159"/>
      <c r="BH35" s="159"/>
      <c r="BI35" s="159"/>
      <c r="BJ35" s="159"/>
      <c r="BK35" s="159"/>
      <c r="BL35" s="159"/>
    </row>
    <row r="36" spans="1:64" x14ac:dyDescent="0.2">
      <c r="A36" s="62"/>
      <c r="B36" s="16"/>
      <c r="C36" s="16" t="s">
        <v>36</v>
      </c>
      <c r="D36" s="24" t="s">
        <v>47</v>
      </c>
      <c r="E36" s="40">
        <f t="shared" si="3"/>
        <v>42086</v>
      </c>
      <c r="F36" s="40">
        <f>_xll.qlCalendarAdvance(Calendar,E36,"2D","f",FALSE)</f>
        <v>42088</v>
      </c>
      <c r="G36" s="40">
        <f>_xll.qlCalendarAdvance(Calendar,F36,IF(C36="SN","1D",IF(C36="SW","1W",C36)),"mf",TRUE)</f>
        <v>47567</v>
      </c>
      <c r="H36" s="39">
        <f>_xll.qlOvernightIndexedSwapFairRate(L36,InterestRateTrigger)</f>
        <v>4.9250000000551465E-3</v>
      </c>
      <c r="I36" s="30" t="str">
        <f>Contribution!M36</f>
        <v>SEKON15YD=</v>
      </c>
      <c r="J36" s="30" t="s">
        <v>101</v>
      </c>
      <c r="K36" s="50"/>
      <c r="L36" s="24" t="str">
        <f>_xll.qlMakeOIS(,IF(C36="SN","1D",IF(C36="SW","1W",C36)),OvernightIndex,,"0D",,,,Trigger)</f>
        <v>obj_0030a#0000</v>
      </c>
      <c r="M36" s="33"/>
      <c r="N36" s="33"/>
      <c r="P36" s="164"/>
      <c r="Q36" s="165"/>
      <c r="R36" s="165"/>
      <c r="S36" s="166"/>
      <c r="T36" s="167"/>
      <c r="U36" s="166"/>
      <c r="V36" s="165"/>
      <c r="W36" s="166"/>
      <c r="X36" s="168"/>
      <c r="Y36" s="169"/>
      <c r="Z36" s="169"/>
      <c r="AA36" s="170"/>
      <c r="AB36" s="169"/>
      <c r="AC36" s="169"/>
      <c r="AD36" s="169"/>
      <c r="AE36" s="169"/>
      <c r="AF36" s="169"/>
      <c r="AG36" s="167"/>
      <c r="AH36" s="167"/>
      <c r="AI36" s="167"/>
      <c r="AJ36" s="167"/>
      <c r="AK36" s="167"/>
      <c r="AL36" s="167"/>
      <c r="AM36" s="167"/>
      <c r="AN36" s="167"/>
      <c r="AO36" s="167"/>
      <c r="AP36" s="167"/>
      <c r="AQ36" s="167"/>
      <c r="AR36" s="167"/>
      <c r="AS36" s="167"/>
      <c r="AT36" s="159"/>
      <c r="AU36" s="159"/>
      <c r="AV36" s="159"/>
      <c r="AW36" s="159"/>
      <c r="AX36" s="159"/>
      <c r="AY36" s="159"/>
      <c r="AZ36" s="159"/>
      <c r="BA36" s="159"/>
      <c r="BB36" s="159"/>
      <c r="BC36" s="159"/>
      <c r="BD36" s="159"/>
      <c r="BE36" s="159"/>
      <c r="BF36" s="159"/>
      <c r="BG36" s="159"/>
      <c r="BH36" s="159"/>
      <c r="BI36" s="159"/>
      <c r="BJ36" s="159"/>
      <c r="BK36" s="159"/>
      <c r="BL36" s="159"/>
    </row>
    <row r="37" spans="1:64" x14ac:dyDescent="0.2">
      <c r="A37" s="62"/>
      <c r="B37" s="16"/>
      <c r="C37" s="16" t="s">
        <v>37</v>
      </c>
      <c r="D37" s="24" t="s">
        <v>47</v>
      </c>
      <c r="E37" s="40">
        <f t="shared" si="3"/>
        <v>42086</v>
      </c>
      <c r="F37" s="40">
        <f>_xll.qlCalendarAdvance(Calendar,E37,"2D","f",FALSE)</f>
        <v>42088</v>
      </c>
      <c r="G37" s="40">
        <f>_xll.qlCalendarAdvance(Calendar,F37,IF(C37="SN","1D",IF(C37="SW","1W",C37)),"mf",TRUE)</f>
        <v>49395</v>
      </c>
      <c r="H37" s="39">
        <f>_xll.qlOvernightIndexedSwapFairRate(L37,InterestRateTrigger)</f>
        <v>5.7749999999802647E-3</v>
      </c>
      <c r="I37" s="30" t="str">
        <f>Contribution!M37</f>
        <v>SEKON20YD=</v>
      </c>
      <c r="J37" s="30" t="s">
        <v>102</v>
      </c>
      <c r="K37" s="50"/>
      <c r="L37" s="24" t="str">
        <f>_xll.qlMakeOIS(,IF(C37="SN","1D",IF(C37="SW","1W",C37)),OvernightIndex,,"0D",,,,Trigger)</f>
        <v>obj_00314#0000</v>
      </c>
      <c r="M37" s="33"/>
      <c r="N37" s="33"/>
      <c r="P37" s="164"/>
      <c r="Q37" s="165"/>
      <c r="R37" s="165"/>
      <c r="S37" s="166"/>
      <c r="T37" s="167"/>
      <c r="U37" s="166"/>
      <c r="V37" s="165"/>
      <c r="W37" s="166"/>
      <c r="X37" s="168"/>
      <c r="Y37" s="169"/>
      <c r="Z37" s="169"/>
      <c r="AA37" s="170"/>
      <c r="AB37" s="169"/>
      <c r="AC37" s="169"/>
      <c r="AD37" s="169"/>
      <c r="AE37" s="169"/>
      <c r="AF37" s="169"/>
      <c r="AG37" s="167"/>
      <c r="AH37" s="167"/>
      <c r="AI37" s="167"/>
      <c r="AJ37" s="167"/>
      <c r="AK37" s="167"/>
      <c r="AL37" s="167"/>
      <c r="AM37" s="167"/>
      <c r="AN37" s="167"/>
      <c r="AO37" s="167"/>
      <c r="AP37" s="167"/>
      <c r="AQ37" s="167"/>
      <c r="AR37" s="167"/>
      <c r="AS37" s="167"/>
      <c r="AT37" s="159"/>
      <c r="AU37" s="159"/>
      <c r="AV37" s="159"/>
      <c r="AW37" s="159"/>
      <c r="AX37" s="159"/>
      <c r="AY37" s="159"/>
      <c r="AZ37" s="159"/>
      <c r="BA37" s="159"/>
      <c r="BB37" s="159"/>
      <c r="BC37" s="159"/>
      <c r="BD37" s="159"/>
      <c r="BE37" s="159"/>
      <c r="BF37" s="159"/>
      <c r="BG37" s="159"/>
      <c r="BH37" s="159"/>
      <c r="BI37" s="159"/>
      <c r="BJ37" s="159"/>
      <c r="BK37" s="159"/>
      <c r="BL37" s="159"/>
    </row>
    <row r="38" spans="1:64" x14ac:dyDescent="0.2">
      <c r="A38" s="62"/>
      <c r="B38" s="16"/>
      <c r="C38" s="16" t="s">
        <v>38</v>
      </c>
      <c r="D38" s="24" t="s">
        <v>47</v>
      </c>
      <c r="E38" s="40">
        <f t="shared" si="3"/>
        <v>42086</v>
      </c>
      <c r="F38" s="40">
        <f>_xll.qlCalendarAdvance(Calendar,E38,"2D","f",FALSE)</f>
        <v>42088</v>
      </c>
      <c r="G38" s="40">
        <f>_xll.qlCalendarAdvance(Calendar,F38,IF(C38="SN","1D",IF(C38="SW","1W",C38)),"mf",TRUE)</f>
        <v>51221</v>
      </c>
      <c r="H38" s="39">
        <f>_xll.qlOvernightIndexedSwapFairRate(L38,InterestRateTrigger)</f>
        <v>6.2124999999970199E-3</v>
      </c>
      <c r="I38" s="30" t="str">
        <f>Contribution!M38</f>
        <v>SEKON25YD=</v>
      </c>
      <c r="J38" s="30" t="s">
        <v>103</v>
      </c>
      <c r="K38" s="50"/>
      <c r="L38" s="24" t="str">
        <f>_xll.qlMakeOIS(,IF(C38="SN","1D",IF(C38="SW","1W",C38)),OvernightIndex,,"0D",,,,Trigger)</f>
        <v>obj_00313#0000</v>
      </c>
      <c r="M38" s="33"/>
      <c r="N38" s="33"/>
      <c r="P38" s="164"/>
      <c r="Q38" s="165"/>
      <c r="R38" s="165"/>
      <c r="S38" s="166"/>
      <c r="T38" s="167"/>
      <c r="U38" s="166"/>
      <c r="V38" s="165"/>
      <c r="W38" s="166"/>
      <c r="X38" s="168"/>
      <c r="Y38" s="169"/>
      <c r="Z38" s="169"/>
      <c r="AA38" s="170"/>
      <c r="AB38" s="169"/>
      <c r="AC38" s="169"/>
      <c r="AD38" s="169"/>
      <c r="AE38" s="169"/>
      <c r="AF38" s="169"/>
      <c r="AG38" s="167"/>
      <c r="AH38" s="167"/>
      <c r="AI38" s="167"/>
      <c r="AJ38" s="167"/>
      <c r="AK38" s="167"/>
      <c r="AL38" s="167"/>
      <c r="AM38" s="167"/>
      <c r="AN38" s="167"/>
      <c r="AO38" s="167"/>
      <c r="AP38" s="167"/>
      <c r="AQ38" s="167"/>
      <c r="AR38" s="167"/>
      <c r="AS38" s="167"/>
      <c r="AT38" s="159"/>
      <c r="AU38" s="159"/>
      <c r="AV38" s="159"/>
      <c r="AW38" s="159"/>
      <c r="AX38" s="159"/>
      <c r="AY38" s="159"/>
      <c r="AZ38" s="159"/>
      <c r="BA38" s="159"/>
      <c r="BB38" s="159"/>
      <c r="BC38" s="159"/>
      <c r="BD38" s="159"/>
      <c r="BE38" s="159"/>
      <c r="BF38" s="159"/>
      <c r="BG38" s="159"/>
      <c r="BH38" s="159"/>
      <c r="BI38" s="159"/>
      <c r="BJ38" s="159"/>
      <c r="BK38" s="159"/>
      <c r="BL38" s="159"/>
    </row>
    <row r="39" spans="1:64" x14ac:dyDescent="0.2">
      <c r="A39" s="62"/>
      <c r="B39" s="17"/>
      <c r="C39" s="17" t="s">
        <v>39</v>
      </c>
      <c r="D39" s="26" t="s">
        <v>47</v>
      </c>
      <c r="E39" s="41">
        <f t="shared" si="3"/>
        <v>42086</v>
      </c>
      <c r="F39" s="41">
        <f>_xll.qlCalendarAdvance(Calendar,E39,"2D","f",FALSE)</f>
        <v>42088</v>
      </c>
      <c r="G39" s="41">
        <f>_xll.qlCalendarAdvance(Calendar,F39,IF(C39="SN","1D",IF(C39="SW","1W",C39)),"mf",TRUE)</f>
        <v>53048</v>
      </c>
      <c r="H39" s="42">
        <f>_xll.qlOvernightIndexedSwapFairRate(L39,InterestRateTrigger)</f>
        <v>6.399999999995817E-3</v>
      </c>
      <c r="I39" s="32" t="str">
        <f>Contribution!M39</f>
        <v>SEKON30YD=</v>
      </c>
      <c r="J39" s="32" t="s">
        <v>104</v>
      </c>
      <c r="K39" s="50"/>
      <c r="L39" s="26" t="str">
        <f>_xll.qlMakeOIS(,IF(C39="SN","1D",IF(C39="SW","1W",C39)),OvernightIndex,,"0D",,,,Trigger)</f>
        <v>obj_00318#0000</v>
      </c>
      <c r="M39" s="33"/>
      <c r="N39" s="33"/>
      <c r="P39" s="164"/>
      <c r="Q39" s="165"/>
      <c r="R39" s="165"/>
      <c r="S39" s="166"/>
      <c r="T39" s="167"/>
      <c r="U39" s="166"/>
      <c r="V39" s="165"/>
      <c r="W39" s="166"/>
      <c r="X39" s="168"/>
      <c r="Y39" s="169"/>
      <c r="Z39" s="169"/>
      <c r="AA39" s="170"/>
      <c r="AB39" s="169"/>
      <c r="AC39" s="169"/>
      <c r="AD39" s="169"/>
      <c r="AE39" s="169"/>
      <c r="AF39" s="169"/>
      <c r="AG39" s="167"/>
      <c r="AH39" s="167"/>
      <c r="AI39" s="167"/>
      <c r="AJ39" s="167"/>
      <c r="AK39" s="167"/>
      <c r="AL39" s="167"/>
      <c r="AM39" s="167"/>
      <c r="AN39" s="167"/>
      <c r="AO39" s="167"/>
      <c r="AP39" s="167"/>
      <c r="AQ39" s="167"/>
      <c r="AR39" s="167"/>
      <c r="AS39" s="167"/>
      <c r="AT39" s="159"/>
      <c r="AU39" s="159"/>
      <c r="AV39" s="159"/>
      <c r="AW39" s="159"/>
      <c r="AX39" s="159"/>
      <c r="AY39" s="159"/>
      <c r="AZ39" s="159"/>
      <c r="BA39" s="159"/>
      <c r="BB39" s="159"/>
      <c r="BC39" s="159"/>
      <c r="BD39" s="159"/>
      <c r="BE39" s="159"/>
      <c r="BF39" s="159"/>
      <c r="BG39" s="159"/>
      <c r="BH39" s="159"/>
      <c r="BI39" s="159"/>
      <c r="BJ39" s="159"/>
      <c r="BK39" s="159"/>
      <c r="BL39" s="159"/>
    </row>
    <row r="40" spans="1:64" x14ac:dyDescent="0.2">
      <c r="A40" s="62"/>
      <c r="B40" s="62"/>
      <c r="D40" s="48"/>
      <c r="E40" s="48"/>
      <c r="F40" s="48"/>
      <c r="G40" s="48"/>
      <c r="H40" s="48"/>
      <c r="I40" s="48"/>
      <c r="M40" s="33"/>
      <c r="N40" s="33"/>
      <c r="P40" s="164"/>
      <c r="Q40" s="165"/>
      <c r="R40" s="165"/>
      <c r="S40" s="166"/>
      <c r="T40" s="167"/>
      <c r="U40" s="166"/>
      <c r="V40" s="165"/>
      <c r="W40" s="166"/>
      <c r="X40" s="168"/>
      <c r="Y40" s="169"/>
      <c r="Z40" s="169"/>
      <c r="AA40" s="170"/>
      <c r="AB40" s="169"/>
      <c r="AC40" s="169"/>
      <c r="AD40" s="169"/>
      <c r="AE40" s="169"/>
      <c r="AF40" s="169"/>
      <c r="AG40" s="167"/>
      <c r="AH40" s="167"/>
      <c r="AI40" s="167"/>
      <c r="AJ40" s="167"/>
      <c r="AK40" s="167"/>
      <c r="AL40" s="167"/>
      <c r="AM40" s="167"/>
      <c r="AN40" s="167"/>
      <c r="AO40" s="167"/>
      <c r="AP40" s="167"/>
      <c r="AQ40" s="167"/>
      <c r="AR40" s="167"/>
      <c r="AS40" s="167"/>
      <c r="AT40" s="159"/>
      <c r="AU40" s="159"/>
      <c r="AV40" s="159"/>
      <c r="AW40" s="159"/>
      <c r="AX40" s="159"/>
      <c r="AY40" s="159"/>
      <c r="AZ40" s="159"/>
      <c r="BA40" s="159"/>
      <c r="BB40" s="159"/>
      <c r="BC40" s="159"/>
      <c r="BD40" s="159"/>
      <c r="BE40" s="159"/>
      <c r="BF40" s="159"/>
      <c r="BG40" s="159"/>
      <c r="BH40" s="159"/>
      <c r="BI40" s="159"/>
      <c r="BJ40" s="159"/>
      <c r="BK40" s="159"/>
      <c r="BL40" s="159"/>
    </row>
    <row r="41" spans="1:64" x14ac:dyDescent="0.2">
      <c r="A41" s="62"/>
      <c r="B41" s="62"/>
      <c r="D41" s="62"/>
      <c r="E41" s="62"/>
      <c r="F41" s="62"/>
      <c r="G41" s="62"/>
      <c r="H41" s="62"/>
      <c r="I41" s="62"/>
      <c r="K41" s="62"/>
      <c r="L41" s="62"/>
      <c r="M41" s="33"/>
      <c r="N41" s="33"/>
      <c r="P41" s="164"/>
      <c r="Q41" s="165"/>
      <c r="R41" s="165"/>
      <c r="S41" s="166"/>
      <c r="T41" s="167"/>
      <c r="U41" s="166"/>
      <c r="V41" s="165"/>
      <c r="W41" s="166"/>
      <c r="X41" s="168"/>
      <c r="Y41" s="169"/>
      <c r="Z41" s="169"/>
      <c r="AA41" s="170"/>
      <c r="AB41" s="169"/>
      <c r="AC41" s="169"/>
      <c r="AD41" s="169"/>
      <c r="AE41" s="169"/>
      <c r="AF41" s="169"/>
      <c r="AG41" s="167"/>
      <c r="AH41" s="167"/>
      <c r="AI41" s="167"/>
      <c r="AJ41" s="167"/>
      <c r="AK41" s="167"/>
      <c r="AL41" s="167"/>
      <c r="AM41" s="167"/>
      <c r="AN41" s="167"/>
      <c r="AO41" s="167"/>
      <c r="AP41" s="167"/>
      <c r="AQ41" s="167"/>
      <c r="AR41" s="167"/>
      <c r="AS41" s="167"/>
      <c r="AT41" s="159"/>
      <c r="AU41" s="159"/>
      <c r="AV41" s="159"/>
      <c r="AW41" s="159"/>
      <c r="AX41" s="159"/>
      <c r="AY41" s="159"/>
      <c r="AZ41" s="159"/>
      <c r="BA41" s="159"/>
      <c r="BB41" s="159"/>
      <c r="BC41" s="159"/>
      <c r="BD41" s="159"/>
      <c r="BE41" s="159"/>
      <c r="BF41" s="159"/>
      <c r="BG41" s="159"/>
      <c r="BH41" s="159"/>
      <c r="BI41" s="159"/>
      <c r="BJ41" s="159"/>
      <c r="BK41" s="159"/>
      <c r="BL41" s="159"/>
    </row>
    <row r="42" spans="1:64" x14ac:dyDescent="0.2">
      <c r="A42" s="62"/>
      <c r="B42" s="62"/>
      <c r="M42" s="33"/>
      <c r="N42" s="33"/>
      <c r="P42" s="164"/>
      <c r="Q42" s="165"/>
      <c r="R42" s="165"/>
      <c r="S42" s="166"/>
      <c r="T42" s="167"/>
      <c r="U42" s="166"/>
      <c r="V42" s="165"/>
      <c r="W42" s="166"/>
      <c r="X42" s="168"/>
      <c r="Y42" s="169"/>
      <c r="Z42" s="169"/>
      <c r="AA42" s="170"/>
      <c r="AB42" s="169"/>
      <c r="AC42" s="169"/>
      <c r="AD42" s="169"/>
      <c r="AE42" s="169"/>
      <c r="AF42" s="169"/>
      <c r="AG42" s="167"/>
      <c r="AH42" s="167"/>
      <c r="AI42" s="167"/>
      <c r="AJ42" s="167"/>
      <c r="AK42" s="167"/>
      <c r="AL42" s="167"/>
      <c r="AM42" s="167"/>
      <c r="AN42" s="167"/>
      <c r="AO42" s="167"/>
      <c r="AP42" s="167"/>
      <c r="AQ42" s="167"/>
      <c r="AR42" s="167"/>
      <c r="AS42" s="167"/>
      <c r="AT42" s="159"/>
      <c r="AU42" s="159"/>
      <c r="AV42" s="159"/>
      <c r="AW42" s="159"/>
      <c r="AX42" s="159"/>
      <c r="AY42" s="159"/>
      <c r="AZ42" s="159"/>
      <c r="BA42" s="159"/>
      <c r="BB42" s="159"/>
      <c r="BC42" s="159"/>
      <c r="BD42" s="159"/>
      <c r="BE42" s="159"/>
      <c r="BF42" s="159"/>
      <c r="BG42" s="159"/>
      <c r="BH42" s="159"/>
      <c r="BI42" s="159"/>
      <c r="BJ42" s="159"/>
      <c r="BK42" s="159"/>
      <c r="BL42" s="159"/>
    </row>
    <row r="43" spans="1:64" x14ac:dyDescent="0.2">
      <c r="A43" s="62"/>
      <c r="B43" s="62"/>
      <c r="K43" s="62"/>
      <c r="L43" s="62"/>
      <c r="M43" s="33"/>
      <c r="N43" s="33"/>
      <c r="P43" s="164"/>
      <c r="Q43" s="165"/>
      <c r="R43" s="165"/>
      <c r="S43" s="166"/>
      <c r="T43" s="167"/>
      <c r="U43" s="166"/>
      <c r="V43" s="165"/>
      <c r="W43" s="166"/>
      <c r="X43" s="168"/>
      <c r="Y43" s="169"/>
      <c r="Z43" s="169"/>
      <c r="AA43" s="170"/>
      <c r="AB43" s="169"/>
      <c r="AC43" s="169"/>
      <c r="AD43" s="169"/>
      <c r="AE43" s="169"/>
      <c r="AF43" s="169"/>
      <c r="AG43" s="167"/>
      <c r="AH43" s="167"/>
      <c r="AI43" s="167"/>
      <c r="AJ43" s="167"/>
      <c r="AK43" s="167"/>
      <c r="AL43" s="167"/>
      <c r="AM43" s="167"/>
      <c r="AN43" s="167"/>
      <c r="AO43" s="167"/>
      <c r="AP43" s="167"/>
      <c r="AQ43" s="167"/>
      <c r="AR43" s="167"/>
      <c r="AS43" s="167"/>
      <c r="AT43" s="159"/>
      <c r="AU43" s="159"/>
      <c r="AV43" s="159"/>
      <c r="AW43" s="159"/>
      <c r="AX43" s="159"/>
      <c r="AY43" s="159"/>
      <c r="AZ43" s="159"/>
      <c r="BA43" s="159"/>
      <c r="BB43" s="159"/>
      <c r="BC43" s="159"/>
      <c r="BD43" s="159"/>
      <c r="BE43" s="159"/>
      <c r="BF43" s="159"/>
      <c r="BG43" s="159"/>
      <c r="BH43" s="159"/>
      <c r="BI43" s="159"/>
      <c r="BJ43" s="159"/>
      <c r="BK43" s="159"/>
      <c r="BL43" s="159"/>
    </row>
    <row r="44" spans="1:64" x14ac:dyDescent="0.2">
      <c r="A44" s="62"/>
      <c r="B44" s="62"/>
      <c r="N44" s="33"/>
      <c r="P44" s="164"/>
      <c r="Q44" s="165"/>
      <c r="R44" s="157"/>
      <c r="S44" s="158"/>
      <c r="T44" s="159"/>
      <c r="U44" s="158"/>
      <c r="V44" s="157"/>
      <c r="W44" s="158"/>
      <c r="X44" s="160"/>
      <c r="Y44" s="161"/>
      <c r="Z44" s="161"/>
      <c r="AA44" s="162"/>
      <c r="AB44" s="161"/>
      <c r="AC44" s="161"/>
      <c r="AD44" s="161"/>
      <c r="AE44" s="161"/>
      <c r="AF44" s="161"/>
      <c r="AG44" s="159"/>
      <c r="AH44" s="159"/>
      <c r="AI44" s="159"/>
      <c r="AJ44" s="159"/>
      <c r="AK44" s="159"/>
      <c r="AL44" s="159"/>
      <c r="AM44" s="159"/>
      <c r="AN44" s="159"/>
      <c r="AO44" s="159"/>
      <c r="AP44" s="159"/>
      <c r="AQ44" s="159"/>
      <c r="AR44" s="159"/>
      <c r="AS44" s="159"/>
      <c r="AT44" s="159"/>
      <c r="AU44" s="159"/>
      <c r="AV44" s="159"/>
      <c r="AW44" s="159"/>
      <c r="AX44" s="159"/>
      <c r="AY44" s="159"/>
      <c r="AZ44" s="159"/>
      <c r="BA44" s="159"/>
      <c r="BB44" s="159"/>
      <c r="BC44" s="159"/>
      <c r="BD44" s="159"/>
      <c r="BE44" s="159"/>
      <c r="BF44" s="159"/>
      <c r="BG44" s="159"/>
      <c r="BH44" s="159"/>
      <c r="BI44" s="159"/>
      <c r="BJ44" s="159"/>
      <c r="BK44" s="159"/>
      <c r="BL44" s="159"/>
    </row>
    <row r="45" spans="1:64" x14ac:dyDescent="0.2">
      <c r="A45" s="62"/>
      <c r="B45" s="62"/>
      <c r="N45" s="33"/>
      <c r="P45" s="164"/>
      <c r="Q45" s="165"/>
    </row>
    <row r="46" spans="1:64" x14ac:dyDescent="0.2">
      <c r="B46" s="62"/>
      <c r="N46" s="33"/>
      <c r="P46" s="164"/>
      <c r="Q46" s="165"/>
    </row>
    <row r="47" spans="1:64" x14ac:dyDescent="0.2">
      <c r="H47" s="64"/>
    </row>
    <row r="48" spans="1:64" x14ac:dyDescent="0.2">
      <c r="H48" s="64"/>
    </row>
    <row r="49" spans="8:8" x14ac:dyDescent="0.2">
      <c r="H49" s="6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9" style="4" bestFit="1" customWidth="1"/>
    <col min="9" max="9" width="13.140625" style="4" bestFit="1" customWidth="1"/>
    <col min="10" max="10" width="17.28515625" style="4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4" hidden="1" customWidth="1" outlineLevel="1"/>
    <col min="14" max="14" width="14.140625" style="4" hidden="1" customWidth="1" outlineLevel="1"/>
    <col min="15" max="16" width="19.28515625" style="1" hidden="1" customWidth="1" outlineLevel="1"/>
    <col min="17" max="17" width="2.7109375" style="1" customWidth="1" collapsed="1"/>
    <col min="18" max="82" width="27.28515625" style="1" customWidth="1"/>
    <col min="83" max="16384" width="2.85546875" style="1"/>
  </cols>
  <sheetData>
    <row r="1" spans="1:18" x14ac:dyDescent="0.2">
      <c r="D1" s="18" t="s">
        <v>60</v>
      </c>
      <c r="E1" s="59" t="s">
        <v>19</v>
      </c>
    </row>
    <row r="2" spans="1:18" x14ac:dyDescent="0.2">
      <c r="A2" s="62"/>
      <c r="B2" s="62"/>
      <c r="C2" s="57"/>
      <c r="D2" s="18" t="s">
        <v>61</v>
      </c>
      <c r="E2" s="59" t="str">
        <f>Currency&amp;CurveTenor</f>
        <v>SEK1M</v>
      </c>
      <c r="F2" s="62"/>
      <c r="G2" s="62"/>
      <c r="H2" s="62"/>
      <c r="I2" s="62"/>
      <c r="J2" s="62"/>
      <c r="K2" s="62"/>
      <c r="M2" s="62"/>
      <c r="N2" s="62"/>
      <c r="O2" s="62"/>
      <c r="P2" s="62"/>
      <c r="Q2" s="62"/>
      <c r="R2" s="33"/>
    </row>
    <row r="3" spans="1:18" x14ac:dyDescent="0.2">
      <c r="A3" s="62"/>
      <c r="B3" s="62"/>
      <c r="D3" s="18" t="s">
        <v>40</v>
      </c>
      <c r="E3" s="59" t="str">
        <f>IborIndexFamily&amp;CurveTenor</f>
        <v>Sekibor1M</v>
      </c>
      <c r="F3" s="62"/>
      <c r="G3" s="62"/>
      <c r="H3" s="62"/>
      <c r="I3" s="62"/>
      <c r="J3" s="62"/>
      <c r="N3" s="62"/>
      <c r="O3" s="62"/>
      <c r="P3" s="62"/>
      <c r="Q3" s="62"/>
      <c r="R3" s="33"/>
    </row>
    <row r="4" spans="1:18" x14ac:dyDescent="0.2">
      <c r="A4" s="62"/>
      <c r="B4" s="62"/>
      <c r="C4" s="57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33"/>
    </row>
    <row r="5" spans="1:18" x14ac:dyDescent="0.2">
      <c r="A5" s="62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33"/>
      <c r="L5" s="58" t="s">
        <v>75</v>
      </c>
      <c r="M5" s="62"/>
      <c r="N5" s="62"/>
      <c r="O5" s="62"/>
      <c r="P5" s="62"/>
      <c r="Q5" s="33"/>
      <c r="R5" s="33"/>
    </row>
    <row r="6" spans="1:18" x14ac:dyDescent="0.2">
      <c r="A6" s="62"/>
      <c r="B6" s="16">
        <f t="shared" ref="B6:B12" si="0">G6-EvaluationDate</f>
        <v>1</v>
      </c>
      <c r="C6" s="15" t="s">
        <v>15</v>
      </c>
      <c r="D6" s="24" t="s">
        <v>76</v>
      </c>
      <c r="E6" s="37">
        <f t="shared" ref="E6:E39" si="1">EvaluationDate</f>
        <v>42086</v>
      </c>
      <c r="F6" s="37">
        <f>E6</f>
        <v>42086</v>
      </c>
      <c r="G6" s="37">
        <f>_xll.qlCalendarAdvance(Calendar,F6,"1D","f",TRUE,Trigger)</f>
        <v>42087</v>
      </c>
      <c r="H6" s="43">
        <f>_xll.qlInterpolationInterpolate(Interpolation,B6,TRUE)</f>
        <v>-1.2095604491853952E-3</v>
      </c>
      <c r="I6" s="44"/>
      <c r="J6" s="45"/>
      <c r="K6" s="33"/>
      <c r="L6" s="59" t="str">
        <f>_xll.qlInterpolation(,InterpolationType,B8:B12,H8:H12,,Trigger)</f>
        <v>obj_0035f#0000</v>
      </c>
      <c r="M6" s="62"/>
      <c r="N6" s="62"/>
      <c r="O6" s="62"/>
      <c r="P6" s="62"/>
      <c r="Q6" s="33"/>
      <c r="R6" s="33"/>
    </row>
    <row r="7" spans="1:18" x14ac:dyDescent="0.2">
      <c r="A7" s="62"/>
      <c r="B7" s="16">
        <f t="shared" si="0"/>
        <v>2</v>
      </c>
      <c r="C7" s="16" t="s">
        <v>73</v>
      </c>
      <c r="D7" s="24" t="s">
        <v>76</v>
      </c>
      <c r="E7" s="40">
        <f t="shared" si="1"/>
        <v>42086</v>
      </c>
      <c r="F7" s="40">
        <f>G6</f>
        <v>42087</v>
      </c>
      <c r="G7" s="40">
        <f>_xll.qlCalendarAdvance(Calendar,F7,"1D","f",TRUE,Trigger)</f>
        <v>42088</v>
      </c>
      <c r="H7" s="111">
        <f>_xll.qlInterpolationInterpolate(Interpolation,B7,TRUE)</f>
        <v>-1.2099117633482515E-3</v>
      </c>
      <c r="I7" s="46"/>
      <c r="J7" s="112"/>
      <c r="K7" s="33"/>
      <c r="L7" s="58" t="s">
        <v>40</v>
      </c>
      <c r="M7" s="57"/>
      <c r="N7" s="58" t="s">
        <v>72</v>
      </c>
      <c r="O7" s="58" t="s">
        <v>69</v>
      </c>
      <c r="P7" s="58" t="s">
        <v>70</v>
      </c>
      <c r="Q7" s="33"/>
      <c r="R7" s="33"/>
    </row>
    <row r="8" spans="1:18" x14ac:dyDescent="0.2">
      <c r="A8" s="62"/>
      <c r="B8" s="15">
        <f t="shared" si="0"/>
        <v>3</v>
      </c>
      <c r="C8" s="15" t="s">
        <v>74</v>
      </c>
      <c r="D8" s="23" t="s">
        <v>53</v>
      </c>
      <c r="E8" s="37">
        <f t="shared" si="1"/>
        <v>42086</v>
      </c>
      <c r="F8" s="37">
        <f>_xll.qlInterestRateIndexValueDate(L8,E8,Trigger)</f>
        <v>42088</v>
      </c>
      <c r="G8" s="37">
        <f>_xll.qlInterestRateIndexMaturity(L8,F8,Trigger)</f>
        <v>42089</v>
      </c>
      <c r="H8" s="43">
        <f>_xll.qlIndexFixing(L8,E8,TRUE,InterestRateTrigger)</f>
        <v>-1.2102406118863485E-3</v>
      </c>
      <c r="I8" s="44" t="str">
        <f>Contribution!P8</f>
        <v>SEK1MSND=</v>
      </c>
      <c r="J8" s="45"/>
      <c r="K8" s="33"/>
      <c r="L8" s="60" t="str">
        <f>_xll.qlIborIndex(,IborIndexFamily,IF(C8="SN","1D",IF(C8="SW","1W",C8)),SettlementDays,Currency,Calendar,BDayConvention,EndOfMonth,DayCounter,YieldCurve,,Trigger)</f>
        <v>obj_00350#0000</v>
      </c>
      <c r="M8" s="57"/>
      <c r="N8" s="59" t="b">
        <v>1</v>
      </c>
      <c r="O8" s="59" t="s">
        <v>48</v>
      </c>
      <c r="P8" s="59" t="s">
        <v>106</v>
      </c>
      <c r="Q8" s="33"/>
      <c r="R8" s="33"/>
    </row>
    <row r="9" spans="1:18" x14ac:dyDescent="0.2">
      <c r="A9" s="62"/>
      <c r="B9" s="16">
        <f t="shared" si="0"/>
        <v>9</v>
      </c>
      <c r="C9" s="16" t="s">
        <v>16</v>
      </c>
      <c r="D9" s="24" t="s">
        <v>53</v>
      </c>
      <c r="E9" s="40">
        <f t="shared" si="1"/>
        <v>42086</v>
      </c>
      <c r="F9" s="40">
        <f>_xll.qlInterestRateIndexValueDate(L9,E9,Trigger)</f>
        <v>42088</v>
      </c>
      <c r="G9" s="40">
        <f>_xll.qlInterestRateIndexMaturity(L9,F9,Trigger)</f>
        <v>42095</v>
      </c>
      <c r="H9" s="39">
        <f>_xll.qlIndexFixing(L9,E9,TRUE,InterestRateTrigger)</f>
        <v>-1.2129999999815106E-3</v>
      </c>
      <c r="I9" s="30" t="str">
        <f>Contribution!P9</f>
        <v>SEK1MSWD=</v>
      </c>
      <c r="J9" s="30"/>
      <c r="K9" s="33"/>
      <c r="L9" s="25" t="str">
        <f>_xll.qlIborIndex(,IborIndexFamily,IF(C9="SN","1D",IF(C9="SW","1W",C9)),SettlementDays,Currency,Calendar,BDayConvention,EndOfMonth,DayCounter,YieldCurve,,Trigger)</f>
        <v>obj_0034a#0000</v>
      </c>
      <c r="M9" s="57"/>
      <c r="N9" s="62"/>
      <c r="O9" s="62"/>
      <c r="P9" s="62"/>
      <c r="Q9" s="33"/>
      <c r="R9" s="33"/>
    </row>
    <row r="10" spans="1:18" x14ac:dyDescent="0.2">
      <c r="A10" s="62"/>
      <c r="B10" s="16">
        <f t="shared" si="0"/>
        <v>16</v>
      </c>
      <c r="C10" s="16" t="s">
        <v>17</v>
      </c>
      <c r="D10" s="24" t="s">
        <v>53</v>
      </c>
      <c r="E10" s="40">
        <f t="shared" si="1"/>
        <v>42086</v>
      </c>
      <c r="F10" s="40">
        <f>_xll.qlInterestRateIndexValueDate(L10,E10,Trigger)</f>
        <v>42088</v>
      </c>
      <c r="G10" s="40">
        <f>_xll.qlInterestRateIndexMaturity(L10,F10,Trigger)</f>
        <v>42102</v>
      </c>
      <c r="H10" s="39">
        <f>_xll.qlIndexFixing(L10,E10,TRUE,InterestRateTrigger)</f>
        <v>-1.221000000046768E-3</v>
      </c>
      <c r="I10" s="30" t="str">
        <f>Contribution!P10</f>
        <v>SEK1M2WD=</v>
      </c>
      <c r="J10" s="30"/>
      <c r="K10" s="33"/>
      <c r="L10" s="25" t="str">
        <f>_xll.qlIborIndex(,IborIndexFamily,IF(C10="SN","1D",IF(C10="SW","1W",C10)),SettlementDays,Currency,Calendar,BDayConvention,EndOfMonth,DayCounter,YieldCurve,,Trigger)</f>
        <v>obj_00345#0000</v>
      </c>
      <c r="M10" s="57"/>
      <c r="N10" s="62"/>
      <c r="O10" s="62"/>
      <c r="P10" s="62"/>
      <c r="Q10" s="33"/>
      <c r="R10" s="33"/>
    </row>
    <row r="11" spans="1:18" x14ac:dyDescent="0.2">
      <c r="A11" s="62"/>
      <c r="B11" s="16">
        <f t="shared" si="0"/>
        <v>23</v>
      </c>
      <c r="C11" s="16" t="s">
        <v>18</v>
      </c>
      <c r="D11" s="24" t="s">
        <v>53</v>
      </c>
      <c r="E11" s="40">
        <f t="shared" si="1"/>
        <v>42086</v>
      </c>
      <c r="F11" s="40">
        <f>_xll.qlInterestRateIndexValueDate(L11,E11,Trigger)</f>
        <v>42088</v>
      </c>
      <c r="G11" s="40">
        <f>_xll.qlInterestRateIndexMaturity(L11,F11,Trigger)</f>
        <v>42109</v>
      </c>
      <c r="H11" s="39">
        <f>_xll.qlIndexFixing(L11,E11,TRUE,InterestRateTrigger)</f>
        <v>-1.234000000190757E-3</v>
      </c>
      <c r="I11" s="30" t="str">
        <f>Contribution!P11</f>
        <v>SEK1M3WD=</v>
      </c>
      <c r="J11" s="30"/>
      <c r="K11" s="33"/>
      <c r="L11" s="27" t="str">
        <f>_xll.qlIborIndex(,IborIndexFamily,IF(C11="SN","1D",IF(C11="SW","1W",C11)),SettlementDays,Currency,Calendar,BDayConvention,EndOfMonth,DayCounter,YieldCurve,,Trigger)</f>
        <v>obj_00320#0000</v>
      </c>
      <c r="M11" s="57"/>
      <c r="N11" s="62"/>
      <c r="O11" s="62"/>
      <c r="P11" s="62"/>
      <c r="Q11" s="33"/>
      <c r="R11" s="33"/>
    </row>
    <row r="12" spans="1:18" x14ac:dyDescent="0.2">
      <c r="A12" s="62"/>
      <c r="B12" s="142">
        <f t="shared" si="0"/>
        <v>35</v>
      </c>
      <c r="C12" s="142" t="s">
        <v>19</v>
      </c>
      <c r="D12" s="143" t="s">
        <v>53</v>
      </c>
      <c r="E12" s="144">
        <f t="shared" si="1"/>
        <v>42086</v>
      </c>
      <c r="F12" s="144">
        <f>_xll.qlInterestRateIndexValueDate(IborIndex,E12,Trigger)</f>
        <v>42088</v>
      </c>
      <c r="G12" s="144">
        <f>_xll.qlInterestRateIndexMaturity(IborIndex,F12,Trigger)</f>
        <v>42121</v>
      </c>
      <c r="H12" s="145">
        <f>_xll.qlIndexFixing(IborIndex,E12,TRUE,InterestRateTrigger)</f>
        <v>-1.2679999980850939E-3</v>
      </c>
      <c r="I12" s="146" t="str">
        <f>Contribution!P12</f>
        <v>SEK1M1MD=</v>
      </c>
      <c r="J12" s="146" t="s">
        <v>109</v>
      </c>
      <c r="K12" s="33"/>
      <c r="L12" s="62"/>
      <c r="M12" s="57"/>
      <c r="N12" s="62"/>
      <c r="O12" s="62"/>
      <c r="P12" s="62"/>
      <c r="Q12" s="33"/>
      <c r="R12" s="33"/>
    </row>
    <row r="13" spans="1:18" x14ac:dyDescent="0.2">
      <c r="A13" s="62"/>
      <c r="B13" s="16"/>
      <c r="C13" s="16"/>
      <c r="D13" s="24"/>
      <c r="E13" s="40"/>
      <c r="F13" s="40"/>
      <c r="G13" s="40"/>
      <c r="H13" s="39"/>
      <c r="I13" s="30"/>
      <c r="J13" s="30"/>
      <c r="K13" s="33"/>
      <c r="L13" s="62"/>
      <c r="M13" s="57"/>
      <c r="N13" s="62"/>
      <c r="O13" s="62"/>
      <c r="P13" s="62"/>
      <c r="Q13" s="33"/>
      <c r="R13" s="33"/>
    </row>
    <row r="14" spans="1:18" x14ac:dyDescent="0.2">
      <c r="A14" s="62"/>
      <c r="B14" s="173"/>
      <c r="C14" s="173"/>
      <c r="D14" s="174"/>
      <c r="E14" s="175"/>
      <c r="F14" s="175"/>
      <c r="G14" s="175"/>
      <c r="H14" s="176"/>
      <c r="I14" s="177"/>
      <c r="J14" s="177"/>
      <c r="K14" s="33"/>
      <c r="L14" s="62"/>
      <c r="M14" s="57"/>
      <c r="N14" s="62"/>
      <c r="O14" s="62"/>
      <c r="P14" s="62"/>
      <c r="Q14" s="33"/>
      <c r="R14" s="33"/>
    </row>
    <row r="15" spans="1:18" x14ac:dyDescent="0.2">
      <c r="A15" s="62"/>
      <c r="B15" s="16"/>
      <c r="C15" s="16"/>
      <c r="D15" s="24"/>
      <c r="E15" s="40"/>
      <c r="F15" s="40"/>
      <c r="G15" s="40"/>
      <c r="H15" s="39"/>
      <c r="I15" s="30"/>
      <c r="J15" s="30"/>
      <c r="K15" s="33"/>
      <c r="L15" s="62"/>
      <c r="M15" s="57"/>
      <c r="N15" s="62"/>
      <c r="O15" s="62"/>
      <c r="P15" s="62"/>
      <c r="Q15" s="33"/>
      <c r="R15" s="33"/>
    </row>
    <row r="16" spans="1:18" x14ac:dyDescent="0.2">
      <c r="A16" s="62"/>
      <c r="B16" s="16"/>
      <c r="C16" s="16"/>
      <c r="D16" s="24"/>
      <c r="E16" s="40"/>
      <c r="F16" s="40"/>
      <c r="G16" s="40"/>
      <c r="H16" s="39"/>
      <c r="I16" s="30"/>
      <c r="J16" s="30"/>
      <c r="K16" s="33"/>
      <c r="L16" s="62"/>
      <c r="M16" s="57"/>
      <c r="N16" s="62"/>
      <c r="O16" s="62"/>
      <c r="P16" s="62"/>
      <c r="Q16" s="33"/>
      <c r="R16" s="33"/>
    </row>
    <row r="17" spans="1:18" x14ac:dyDescent="0.2">
      <c r="A17" s="62"/>
      <c r="B17" s="173"/>
      <c r="C17" s="173"/>
      <c r="D17" s="174"/>
      <c r="E17" s="175"/>
      <c r="F17" s="175"/>
      <c r="G17" s="175"/>
      <c r="H17" s="176"/>
      <c r="I17" s="177"/>
      <c r="J17" s="177"/>
      <c r="K17" s="33"/>
      <c r="L17" s="62"/>
      <c r="M17" s="57"/>
      <c r="N17" s="62"/>
      <c r="O17" s="62"/>
      <c r="P17" s="62"/>
      <c r="Q17" s="33"/>
      <c r="R17" s="33"/>
    </row>
    <row r="18" spans="1:18" x14ac:dyDescent="0.2">
      <c r="A18" s="62"/>
      <c r="B18" s="17"/>
      <c r="C18" s="17"/>
      <c r="D18" s="26"/>
      <c r="E18" s="41"/>
      <c r="F18" s="41"/>
      <c r="G18" s="41"/>
      <c r="H18" s="42"/>
      <c r="I18" s="32"/>
      <c r="J18" s="32"/>
      <c r="K18" s="33"/>
      <c r="L18" s="62"/>
      <c r="M18" s="57"/>
      <c r="N18" s="62"/>
      <c r="O18" s="62"/>
      <c r="P18" s="62"/>
      <c r="Q18" s="33"/>
      <c r="R18" s="33"/>
    </row>
    <row r="19" spans="1:18" x14ac:dyDescent="0.2">
      <c r="A19" s="62"/>
      <c r="B19" s="15"/>
      <c r="C19" s="15"/>
      <c r="D19" s="23"/>
      <c r="E19" s="37"/>
      <c r="F19" s="37"/>
      <c r="G19" s="37"/>
      <c r="H19" s="77"/>
      <c r="I19" s="31"/>
      <c r="J19" s="31"/>
      <c r="K19" s="33"/>
      <c r="L19" s="62"/>
      <c r="M19" s="57"/>
      <c r="N19" s="62"/>
      <c r="O19" s="62"/>
      <c r="P19" s="62"/>
      <c r="Q19" s="33"/>
      <c r="R19" s="33"/>
    </row>
    <row r="20" spans="1:18" x14ac:dyDescent="0.2">
      <c r="A20" s="62"/>
      <c r="B20" s="16"/>
      <c r="C20" s="16"/>
      <c r="D20" s="24"/>
      <c r="E20" s="40"/>
      <c r="F20" s="40"/>
      <c r="G20" s="40"/>
      <c r="H20" s="78"/>
      <c r="I20" s="30"/>
      <c r="J20" s="30"/>
      <c r="K20" s="33"/>
      <c r="L20" s="62"/>
      <c r="M20" s="57"/>
      <c r="N20" s="62"/>
      <c r="O20" s="62"/>
      <c r="P20" s="62"/>
      <c r="Q20" s="33"/>
      <c r="R20" s="33"/>
    </row>
    <row r="21" spans="1:18" x14ac:dyDescent="0.2">
      <c r="A21" s="62"/>
      <c r="B21" s="16"/>
      <c r="C21" s="16"/>
      <c r="D21" s="24"/>
      <c r="E21" s="40"/>
      <c r="F21" s="40"/>
      <c r="G21" s="40"/>
      <c r="H21" s="78"/>
      <c r="I21" s="30"/>
      <c r="J21" s="30"/>
      <c r="K21" s="33"/>
      <c r="L21" s="62"/>
      <c r="M21" s="57"/>
      <c r="N21" s="62"/>
      <c r="O21" s="62"/>
      <c r="P21" s="62"/>
      <c r="Q21" s="33"/>
      <c r="R21" s="33"/>
    </row>
    <row r="22" spans="1:18" x14ac:dyDescent="0.2">
      <c r="A22" s="62"/>
      <c r="B22" s="16"/>
      <c r="C22" s="16"/>
      <c r="D22" s="24"/>
      <c r="E22" s="40"/>
      <c r="F22" s="40"/>
      <c r="G22" s="40"/>
      <c r="H22" s="78"/>
      <c r="I22" s="30"/>
      <c r="J22" s="30"/>
      <c r="K22" s="33"/>
      <c r="L22" s="62"/>
      <c r="M22" s="57"/>
      <c r="N22" s="62"/>
      <c r="O22" s="62"/>
      <c r="P22" s="62"/>
      <c r="Q22" s="33"/>
      <c r="R22" s="33"/>
    </row>
    <row r="23" spans="1:18" x14ac:dyDescent="0.2">
      <c r="A23" s="62"/>
      <c r="B23" s="16"/>
      <c r="C23" s="16"/>
      <c r="D23" s="24"/>
      <c r="E23" s="40"/>
      <c r="F23" s="40"/>
      <c r="G23" s="40"/>
      <c r="H23" s="78"/>
      <c r="I23" s="30"/>
      <c r="J23" s="30"/>
      <c r="K23" s="33"/>
      <c r="L23" s="62"/>
      <c r="M23" s="57"/>
      <c r="N23" s="62"/>
      <c r="O23" s="62"/>
      <c r="P23" s="62"/>
      <c r="Q23" s="33"/>
      <c r="R23" s="33"/>
    </row>
    <row r="24" spans="1:18" x14ac:dyDescent="0.2">
      <c r="A24" s="62"/>
      <c r="B24" s="17"/>
      <c r="C24" s="17"/>
      <c r="D24" s="26"/>
      <c r="E24" s="41"/>
      <c r="F24" s="41"/>
      <c r="G24" s="41"/>
      <c r="H24" s="79"/>
      <c r="I24" s="32"/>
      <c r="J24" s="32"/>
      <c r="K24" s="33"/>
      <c r="L24" s="61" t="s">
        <v>45</v>
      </c>
      <c r="M24" s="63"/>
      <c r="N24" s="58" t="s">
        <v>41</v>
      </c>
      <c r="O24" s="58" t="s">
        <v>62</v>
      </c>
      <c r="P24" s="58" t="s">
        <v>42</v>
      </c>
      <c r="Q24" s="33"/>
      <c r="R24" s="33"/>
    </row>
    <row r="25" spans="1:18" x14ac:dyDescent="0.2">
      <c r="A25" s="62"/>
      <c r="B25" s="15"/>
      <c r="C25" s="15" t="s">
        <v>25</v>
      </c>
      <c r="D25" s="23" t="s">
        <v>52</v>
      </c>
      <c r="E25" s="37">
        <f t="shared" si="1"/>
        <v>42086</v>
      </c>
      <c r="F25" s="37">
        <f>_xll.qlInterestRateIndexValueDate(L25,E25,Trigger)</f>
        <v>42088</v>
      </c>
      <c r="G25" s="37">
        <f>_xll.qlInterestRateIndexMaturity(L25,F25,Trigger)</f>
        <v>42458</v>
      </c>
      <c r="H25" s="38">
        <f>_xll.qlIndexFixing(L25,E25,TRUE,InterestRateTrigger)</f>
        <v>-1.9132798649356046E-3</v>
      </c>
      <c r="I25" s="31" t="str">
        <f>Contribution!P25</f>
        <v>SEK1M1Y=</v>
      </c>
      <c r="J25" s="31" t="str">
        <f t="shared" ref="J25:J39" si="2">Currency&amp;"1S3S"&amp;C25&amp;"=ICAP"</f>
        <v>SEK1S3S1Y=ICAP</v>
      </c>
      <c r="K25" s="33"/>
      <c r="L25" s="60" t="str">
        <f>_xll.qlSwapIndex(,IborIndexFamily,C25,SettlementDays,Currency,Calendar,FixedLegTenor,FixedLegBDC,FixedLegDayCounter,IborIndex,DiscountingCurve,,Trigger)</f>
        <v>obj_00337#0000</v>
      </c>
      <c r="M25" s="57"/>
      <c r="N25" s="59" t="s">
        <v>25</v>
      </c>
      <c r="O25" s="59" t="s">
        <v>48</v>
      </c>
      <c r="P25" s="59" t="s">
        <v>105</v>
      </c>
      <c r="Q25" s="33"/>
      <c r="R25" s="33"/>
    </row>
    <row r="26" spans="1:18" x14ac:dyDescent="0.2">
      <c r="A26" s="62"/>
      <c r="B26" s="16"/>
      <c r="C26" s="16" t="s">
        <v>26</v>
      </c>
      <c r="D26" s="24" t="s">
        <v>52</v>
      </c>
      <c r="E26" s="40">
        <f t="shared" si="1"/>
        <v>42086</v>
      </c>
      <c r="F26" s="40">
        <f>_xll.qlInterestRateIndexValueDate(L26,E26,Trigger)</f>
        <v>42088</v>
      </c>
      <c r="G26" s="40">
        <f>_xll.qlInterestRateIndexMaturity(L26,F26,Trigger)</f>
        <v>42821</v>
      </c>
      <c r="H26" s="39">
        <f>_xll.qlIndexFixing(L26,E26,TRUE,InterestRateTrigger)</f>
        <v>-1.5627027289320406E-3</v>
      </c>
      <c r="I26" s="30" t="str">
        <f>Contribution!P26</f>
        <v>SEK1M2Y=</v>
      </c>
      <c r="J26" s="30" t="str">
        <f t="shared" si="2"/>
        <v>SEK1S3S2Y=ICAP</v>
      </c>
      <c r="K26" s="33"/>
      <c r="L26" s="25" t="str">
        <f>_xll.qlSwapIndex(,IborIndexFamily,C26,SettlementDays,Currency,Calendar,FixedLegTenor,FixedLegBDC,FixedLegDayCounter,IborIndex,DiscountingCurve,,Trigger)</f>
        <v>obj_00339#0000</v>
      </c>
      <c r="M26" s="57"/>
      <c r="N26" s="62"/>
      <c r="O26" s="57"/>
      <c r="P26" s="62"/>
      <c r="Q26" s="33"/>
      <c r="R26" s="33"/>
    </row>
    <row r="27" spans="1:18" x14ac:dyDescent="0.2">
      <c r="A27" s="62"/>
      <c r="B27" s="16"/>
      <c r="C27" s="16" t="s">
        <v>27</v>
      </c>
      <c r="D27" s="24" t="s">
        <v>52</v>
      </c>
      <c r="E27" s="40">
        <f t="shared" si="1"/>
        <v>42086</v>
      </c>
      <c r="F27" s="40">
        <f>_xll.qlInterestRateIndexValueDate(L27,E27,Trigger)</f>
        <v>42088</v>
      </c>
      <c r="G27" s="40">
        <f>_xll.qlInterestRateIndexMaturity(L27,F27,Trigger)</f>
        <v>43185</v>
      </c>
      <c r="H27" s="39">
        <f>_xll.qlIndexFixing(L27,E27,TRUE,InterestRateTrigger)</f>
        <v>-3.2037612674177233E-4</v>
      </c>
      <c r="I27" s="30" t="str">
        <f>Contribution!P27</f>
        <v>SEK1M3Y=</v>
      </c>
      <c r="J27" s="30" t="str">
        <f t="shared" si="2"/>
        <v>SEK1S3S3Y=ICAP</v>
      </c>
      <c r="K27" s="33"/>
      <c r="L27" s="25" t="str">
        <f>_xll.qlSwapIndex(,IborIndexFamily,C27,SettlementDays,Currency,Calendar,FixedLegTenor,FixedLegBDC,FixedLegDayCounter,IborIndex,DiscountingCurve,,Trigger)</f>
        <v>obj_00344#0000</v>
      </c>
      <c r="M27" s="57"/>
      <c r="N27" s="62"/>
      <c r="O27" s="57"/>
      <c r="P27" s="62"/>
      <c r="Q27" s="33"/>
      <c r="R27" s="33"/>
    </row>
    <row r="28" spans="1:18" x14ac:dyDescent="0.2">
      <c r="A28" s="62"/>
      <c r="B28" s="16"/>
      <c r="C28" s="16" t="s">
        <v>28</v>
      </c>
      <c r="D28" s="24" t="s">
        <v>52</v>
      </c>
      <c r="E28" s="40">
        <f t="shared" si="1"/>
        <v>42086</v>
      </c>
      <c r="F28" s="40">
        <f>_xll.qlInterestRateIndexValueDate(L28,E28,Trigger)</f>
        <v>42088</v>
      </c>
      <c r="G28" s="40">
        <f>_xll.qlInterestRateIndexMaturity(L28,F28,Trigger)</f>
        <v>43549</v>
      </c>
      <c r="H28" s="39">
        <f>_xll.qlIndexFixing(L28,E28,TRUE,InterestRateTrigger)</f>
        <v>1.1270977705203477E-3</v>
      </c>
      <c r="I28" s="30" t="str">
        <f>Contribution!P28</f>
        <v>SEK1M4Y=</v>
      </c>
      <c r="J28" s="46" t="str">
        <f t="shared" si="2"/>
        <v>SEK1S3S4Y=ICAP</v>
      </c>
      <c r="K28" s="33"/>
      <c r="L28" s="25" t="str">
        <f>_xll.qlSwapIndex(,IborIndexFamily,C28,SettlementDays,Currency,Calendar,FixedLegTenor,FixedLegBDC,FixedLegDayCounter,IborIndex,DiscountingCurve,,Trigger)</f>
        <v>obj_00323#0000</v>
      </c>
      <c r="M28" s="57"/>
      <c r="N28" s="62"/>
      <c r="O28" s="57"/>
      <c r="P28" s="62"/>
      <c r="Q28" s="33"/>
      <c r="R28" s="33"/>
    </row>
    <row r="29" spans="1:18" x14ac:dyDescent="0.2">
      <c r="A29" s="62"/>
      <c r="B29" s="16"/>
      <c r="C29" s="16" t="s">
        <v>29</v>
      </c>
      <c r="D29" s="24" t="s">
        <v>52</v>
      </c>
      <c r="E29" s="40">
        <f t="shared" si="1"/>
        <v>42086</v>
      </c>
      <c r="F29" s="40">
        <f>_xll.qlInterestRateIndexValueDate(L29,E29,Trigger)</f>
        <v>42088</v>
      </c>
      <c r="G29" s="40">
        <f>_xll.qlInterestRateIndexMaturity(L29,F29,Trigger)</f>
        <v>43915</v>
      </c>
      <c r="H29" s="39">
        <f>_xll.qlIndexFixing(L29,E29,TRUE,InterestRateTrigger)</f>
        <v>2.6212571946558198E-3</v>
      </c>
      <c r="I29" s="30" t="str">
        <f>Contribution!P29</f>
        <v>SEK1M5Y=</v>
      </c>
      <c r="J29" s="46" t="str">
        <f t="shared" si="2"/>
        <v>SEK1S3S5Y=ICAP</v>
      </c>
      <c r="K29" s="33"/>
      <c r="L29" s="25" t="str">
        <f>_xll.qlSwapIndex(,IborIndexFamily,C29,SettlementDays,Currency,Calendar,FixedLegTenor,FixedLegBDC,FixedLegDayCounter,IborIndex,DiscountingCurve,,Trigger)</f>
        <v>obj_00325#0000</v>
      </c>
      <c r="M29" s="57"/>
      <c r="N29" s="62"/>
      <c r="O29" s="57"/>
      <c r="P29" s="62"/>
      <c r="Q29" s="33"/>
      <c r="R29" s="33"/>
    </row>
    <row r="30" spans="1:18" x14ac:dyDescent="0.2">
      <c r="A30" s="62"/>
      <c r="B30" s="16"/>
      <c r="C30" s="16" t="s">
        <v>30</v>
      </c>
      <c r="D30" s="24" t="s">
        <v>52</v>
      </c>
      <c r="E30" s="40">
        <f t="shared" si="1"/>
        <v>42086</v>
      </c>
      <c r="F30" s="40">
        <f>_xll.qlInterestRateIndexValueDate(L30,E30,Trigger)</f>
        <v>42088</v>
      </c>
      <c r="G30" s="40">
        <f>_xll.qlInterestRateIndexMaturity(L30,F30,Trigger)</f>
        <v>44280</v>
      </c>
      <c r="H30" s="39">
        <f>_xll.qlIndexFixing(L30,E30,TRUE,InterestRateTrigger)</f>
        <v>4.0180681344880158E-3</v>
      </c>
      <c r="I30" s="30" t="str">
        <f>Contribution!P30</f>
        <v>SEK1M6Y=</v>
      </c>
      <c r="J30" s="46" t="str">
        <f t="shared" si="2"/>
        <v>SEK1S3S6Y=ICAP</v>
      </c>
      <c r="K30" s="33"/>
      <c r="L30" s="25" t="str">
        <f>_xll.qlSwapIndex(,IborIndexFamily,C30,SettlementDays,Currency,Calendar,FixedLegTenor,FixedLegBDC,FixedLegDayCounter,IborIndex,DiscountingCurve,,Trigger)</f>
        <v>obj_00332#0000</v>
      </c>
      <c r="M30" s="57"/>
      <c r="N30" s="62"/>
      <c r="O30" s="57"/>
      <c r="P30" s="62"/>
      <c r="Q30" s="33"/>
      <c r="R30" s="33"/>
    </row>
    <row r="31" spans="1:18" x14ac:dyDescent="0.2">
      <c r="A31" s="62"/>
      <c r="B31" s="16"/>
      <c r="C31" s="16" t="s">
        <v>31</v>
      </c>
      <c r="D31" s="24" t="s">
        <v>52</v>
      </c>
      <c r="E31" s="40">
        <f t="shared" si="1"/>
        <v>42086</v>
      </c>
      <c r="F31" s="40">
        <f>_xll.qlInterestRateIndexValueDate(L31,E31,Trigger)</f>
        <v>42088</v>
      </c>
      <c r="G31" s="40">
        <f>_xll.qlInterestRateIndexMaturity(L31,F31,Trigger)</f>
        <v>44645</v>
      </c>
      <c r="H31" s="39">
        <f>_xll.qlIndexFixing(L31,E31,TRUE,InterestRateTrigger)</f>
        <v>5.2429125738546823E-3</v>
      </c>
      <c r="I31" s="30" t="str">
        <f>Contribution!P31</f>
        <v>SEK1M7Y=</v>
      </c>
      <c r="J31" s="46" t="str">
        <f t="shared" si="2"/>
        <v>SEK1S3S7Y=ICAP</v>
      </c>
      <c r="K31" s="33"/>
      <c r="L31" s="25" t="str">
        <f>_xll.qlSwapIndex(,IborIndexFamily,C31,SettlementDays,Currency,Calendar,FixedLegTenor,FixedLegBDC,FixedLegDayCounter,IborIndex,DiscountingCurve,,Trigger)</f>
        <v>obj_00322#0000</v>
      </c>
      <c r="M31" s="57"/>
      <c r="N31" s="62"/>
      <c r="O31" s="57"/>
      <c r="P31" s="62"/>
      <c r="Q31" s="33"/>
      <c r="R31" s="33"/>
    </row>
    <row r="32" spans="1:18" x14ac:dyDescent="0.2">
      <c r="A32" s="62"/>
      <c r="B32" s="16"/>
      <c r="C32" s="16" t="s">
        <v>32</v>
      </c>
      <c r="D32" s="24" t="s">
        <v>52</v>
      </c>
      <c r="E32" s="40">
        <f t="shared" si="1"/>
        <v>42086</v>
      </c>
      <c r="F32" s="40">
        <f>_xll.qlInterestRateIndexValueDate(L32,E32,Trigger)</f>
        <v>42088</v>
      </c>
      <c r="G32" s="40">
        <f>_xll.qlInterestRateIndexMaturity(L32,F32,Trigger)</f>
        <v>45012</v>
      </c>
      <c r="H32" s="39">
        <f>_xll.qlIndexFixing(L32,E32,TRUE,InterestRateTrigger)</f>
        <v>6.2917539919121303E-3</v>
      </c>
      <c r="I32" s="30" t="str">
        <f>Contribution!P32</f>
        <v>SEK1M8Y=</v>
      </c>
      <c r="J32" s="46" t="str">
        <f t="shared" si="2"/>
        <v>SEK1S3S8Y=ICAP</v>
      </c>
      <c r="K32" s="33"/>
      <c r="L32" s="25" t="str">
        <f>_xll.qlSwapIndex(,IborIndexFamily,C32,SettlementDays,Currency,Calendar,FixedLegTenor,FixedLegBDC,FixedLegDayCounter,IborIndex,DiscountingCurve,,Trigger)</f>
        <v>obj_00326#0000</v>
      </c>
      <c r="M32" s="57"/>
      <c r="N32" s="62"/>
      <c r="O32" s="57"/>
      <c r="P32" s="62"/>
      <c r="Q32" s="33"/>
      <c r="R32" s="33"/>
    </row>
    <row r="33" spans="1:19" x14ac:dyDescent="0.2">
      <c r="A33" s="62"/>
      <c r="B33" s="16"/>
      <c r="C33" s="16" t="s">
        <v>33</v>
      </c>
      <c r="D33" s="24" t="s">
        <v>52</v>
      </c>
      <c r="E33" s="40">
        <f t="shared" si="1"/>
        <v>42086</v>
      </c>
      <c r="F33" s="40">
        <f>_xll.qlInterestRateIndexValueDate(L33,E33,Trigger)</f>
        <v>42088</v>
      </c>
      <c r="G33" s="40">
        <f>_xll.qlInterestRateIndexMaturity(L33,F33,Trigger)</f>
        <v>45376</v>
      </c>
      <c r="H33" s="39">
        <f>_xll.qlIndexFixing(L33,E33,TRUE,InterestRateTrigger)</f>
        <v>7.1673290638369696E-3</v>
      </c>
      <c r="I33" s="30" t="str">
        <f>Contribution!P33</f>
        <v>SEK1M9Y=</v>
      </c>
      <c r="J33" s="30" t="str">
        <f t="shared" si="2"/>
        <v>SEK1S3S9Y=ICAP</v>
      </c>
      <c r="K33" s="33"/>
      <c r="L33" s="25" t="str">
        <f>_xll.qlSwapIndex(,IborIndexFamily,C33,SettlementDays,Currency,Calendar,FixedLegTenor,FixedLegBDC,FixedLegDayCounter,IborIndex,DiscountingCurve,,Trigger)</f>
        <v>obj_0033c#0000</v>
      </c>
      <c r="M33" s="57"/>
      <c r="N33" s="62"/>
      <c r="O33" s="57"/>
      <c r="P33" s="62"/>
      <c r="Q33" s="33"/>
      <c r="R33" s="33"/>
    </row>
    <row r="34" spans="1:19" x14ac:dyDescent="0.2">
      <c r="A34" s="62"/>
      <c r="B34" s="16"/>
      <c r="C34" s="16" t="s">
        <v>34</v>
      </c>
      <c r="D34" s="24" t="s">
        <v>52</v>
      </c>
      <c r="E34" s="40">
        <f t="shared" si="1"/>
        <v>42086</v>
      </c>
      <c r="F34" s="40">
        <f>_xll.qlInterestRateIndexValueDate(L34,E34,Trigger)</f>
        <v>42088</v>
      </c>
      <c r="G34" s="40">
        <f>_xll.qlInterestRateIndexMaturity(L34,F34,Trigger)</f>
        <v>45741</v>
      </c>
      <c r="H34" s="39">
        <f>_xll.qlIndexFixing(L34,E34,TRUE,InterestRateTrigger)</f>
        <v>7.9172464384677024E-3</v>
      </c>
      <c r="I34" s="30" t="str">
        <f>Contribution!P34</f>
        <v>SEK1M10Y=</v>
      </c>
      <c r="J34" s="30" t="str">
        <f t="shared" si="2"/>
        <v>SEK1S3S10Y=ICAP</v>
      </c>
      <c r="K34" s="33"/>
      <c r="L34" s="25" t="str">
        <f>_xll.qlSwapIndex(,IborIndexFamily,C34,SettlementDays,Currency,Calendar,FixedLegTenor,FixedLegBDC,FixedLegDayCounter,IborIndex,DiscountingCurve,,Trigger)</f>
        <v>obj_00334#0000</v>
      </c>
      <c r="M34" s="57"/>
      <c r="N34" s="62"/>
      <c r="O34" s="57"/>
      <c r="P34" s="62"/>
      <c r="Q34" s="33"/>
      <c r="R34" s="33"/>
    </row>
    <row r="35" spans="1:19" x14ac:dyDescent="0.2">
      <c r="A35" s="62"/>
      <c r="B35" s="16"/>
      <c r="C35" s="16" t="s">
        <v>35</v>
      </c>
      <c r="D35" s="24" t="s">
        <v>52</v>
      </c>
      <c r="E35" s="40">
        <f t="shared" si="1"/>
        <v>42086</v>
      </c>
      <c r="F35" s="40">
        <f>_xll.qlInterestRateIndexValueDate(L35,E35,Trigger)</f>
        <v>42088</v>
      </c>
      <c r="G35" s="40">
        <f>_xll.qlInterestRateIndexMaturity(L35,F35,Trigger)</f>
        <v>46471</v>
      </c>
      <c r="H35" s="39">
        <f>_xll.qlIndexFixing(L35,E35,TRUE,InterestRateTrigger)</f>
        <v>9.1431103235379042E-3</v>
      </c>
      <c r="I35" s="30" t="str">
        <f>Contribution!P35</f>
        <v>SEK1M12Y=</v>
      </c>
      <c r="J35" s="30" t="str">
        <f t="shared" si="2"/>
        <v>SEK1S3S12Y=ICAP</v>
      </c>
      <c r="K35" s="33"/>
      <c r="L35" s="25" t="str">
        <f>_xll.qlSwapIndex(,IborIndexFamily,C35,SettlementDays,Currency,Calendar,FixedLegTenor,FixedLegBDC,FixedLegDayCounter,IborIndex,DiscountingCurve,,Trigger)</f>
        <v>obj_0033f#0000</v>
      </c>
      <c r="M35" s="57"/>
      <c r="N35" s="62"/>
      <c r="O35" s="57"/>
      <c r="P35" s="62"/>
      <c r="Q35" s="33"/>
      <c r="R35" s="33"/>
    </row>
    <row r="36" spans="1:19" x14ac:dyDescent="0.2">
      <c r="A36" s="62"/>
      <c r="B36" s="16"/>
      <c r="C36" s="16" t="s">
        <v>36</v>
      </c>
      <c r="D36" s="24" t="s">
        <v>52</v>
      </c>
      <c r="E36" s="40">
        <f t="shared" si="1"/>
        <v>42086</v>
      </c>
      <c r="F36" s="40">
        <f>_xll.qlInterestRateIndexValueDate(L36,E36,Trigger)</f>
        <v>42088</v>
      </c>
      <c r="G36" s="40">
        <f>_xll.qlInterestRateIndexMaturity(L36,F36,Trigger)</f>
        <v>47567</v>
      </c>
      <c r="H36" s="39">
        <f>_xll.qlIndexFixing(L36,E36,TRUE,InterestRateTrigger)</f>
        <v>1.0539096029397897E-2</v>
      </c>
      <c r="I36" s="30" t="str">
        <f>Contribution!P36</f>
        <v>SEK1M15Y=</v>
      </c>
      <c r="J36" s="30" t="str">
        <f t="shared" si="2"/>
        <v>SEK1S3S15Y=ICAP</v>
      </c>
      <c r="K36" s="33"/>
      <c r="L36" s="25" t="str">
        <f>_xll.qlSwapIndex(,IborIndexFamily,C36,SettlementDays,Currency,Calendar,FixedLegTenor,FixedLegBDC,FixedLegDayCounter,IborIndex,DiscountingCurve,,Trigger)</f>
        <v>obj_00328#0000</v>
      </c>
      <c r="M36" s="57"/>
      <c r="N36" s="62"/>
      <c r="O36" s="57"/>
      <c r="P36" s="62"/>
      <c r="Q36" s="33"/>
      <c r="R36" s="33"/>
    </row>
    <row r="37" spans="1:19" x14ac:dyDescent="0.2">
      <c r="A37" s="62"/>
      <c r="B37" s="16"/>
      <c r="C37" s="16" t="s">
        <v>37</v>
      </c>
      <c r="D37" s="24" t="s">
        <v>52</v>
      </c>
      <c r="E37" s="40">
        <f t="shared" si="1"/>
        <v>42086</v>
      </c>
      <c r="F37" s="40">
        <f>_xll.qlInterestRateIndexValueDate(L37,E37,Trigger)</f>
        <v>42088</v>
      </c>
      <c r="G37" s="40">
        <f>_xll.qlInterestRateIndexMaturity(L37,F37,Trigger)</f>
        <v>49395</v>
      </c>
      <c r="H37" s="39">
        <f>_xll.qlIndexFixing(L37,E37,TRUE,InterestRateTrigger)</f>
        <v>1.2141657616593624E-2</v>
      </c>
      <c r="I37" s="30" t="str">
        <f>Contribution!P37</f>
        <v>SEK1M20Y=</v>
      </c>
      <c r="J37" s="30" t="str">
        <f t="shared" si="2"/>
        <v>SEK1S3S20Y=ICAP</v>
      </c>
      <c r="K37" s="33"/>
      <c r="L37" s="25" t="str">
        <f>_xll.qlSwapIndex(,IborIndexFamily,C37,SettlementDays,Currency,Calendar,FixedLegTenor,FixedLegBDC,FixedLegDayCounter,IborIndex,DiscountingCurve,,Trigger)</f>
        <v>obj_00355#0000</v>
      </c>
      <c r="M37" s="57"/>
      <c r="N37" s="62"/>
      <c r="O37" s="62"/>
      <c r="P37" s="57"/>
      <c r="Q37" s="33"/>
      <c r="R37" s="33"/>
    </row>
    <row r="38" spans="1:19" x14ac:dyDescent="0.2">
      <c r="A38" s="62"/>
      <c r="B38" s="16"/>
      <c r="C38" s="16" t="s">
        <v>38</v>
      </c>
      <c r="D38" s="24" t="s">
        <v>52</v>
      </c>
      <c r="E38" s="40">
        <f t="shared" si="1"/>
        <v>42086</v>
      </c>
      <c r="F38" s="40">
        <f>_xll.qlInterestRateIndexValueDate(L38,E38,Trigger)</f>
        <v>42088</v>
      </c>
      <c r="G38" s="40">
        <f>_xll.qlInterestRateIndexMaturity(L38,F38,Trigger)</f>
        <v>51221</v>
      </c>
      <c r="H38" s="39">
        <f>_xll.qlIndexFixing(L38,E38,TRUE,InterestRateTrigger)</f>
        <v>1.2937192639630541E-2</v>
      </c>
      <c r="I38" s="30" t="str">
        <f>Contribution!P38</f>
        <v>SEK1M25Y=</v>
      </c>
      <c r="J38" s="30" t="str">
        <f t="shared" si="2"/>
        <v>SEK1S3S25Y=ICAP</v>
      </c>
      <c r="K38" s="33"/>
      <c r="L38" s="25" t="str">
        <f>_xll.qlSwapIndex(,IborIndexFamily,C38,SettlementDays,Currency,Calendar,FixedLegTenor,FixedLegBDC,FixedLegDayCounter,IborIndex,DiscountingCurve,,Trigger)</f>
        <v>obj_00357#0000</v>
      </c>
      <c r="M38" s="57"/>
      <c r="N38" s="62"/>
      <c r="O38" s="57"/>
      <c r="P38" s="62"/>
      <c r="Q38" s="33"/>
      <c r="R38" s="33"/>
    </row>
    <row r="39" spans="1:19" x14ac:dyDescent="0.2">
      <c r="A39" s="62"/>
      <c r="B39" s="17"/>
      <c r="C39" s="17" t="s">
        <v>39</v>
      </c>
      <c r="D39" s="26" t="s">
        <v>52</v>
      </c>
      <c r="E39" s="41">
        <f t="shared" si="1"/>
        <v>42086</v>
      </c>
      <c r="F39" s="41">
        <f>_xll.qlInterestRateIndexValueDate(L39,E39,Trigger)</f>
        <v>42088</v>
      </c>
      <c r="G39" s="41">
        <f>_xll.qlInterestRateIndexMaturity(L39,F39,Trigger)</f>
        <v>53048</v>
      </c>
      <c r="H39" s="42">
        <f>_xll.qlIndexFixing(L39,E39,TRUE,InterestRateTrigger)</f>
        <v>1.3216662399604418E-2</v>
      </c>
      <c r="I39" s="32" t="str">
        <f>Contribution!P39</f>
        <v>SEK1M30Y=</v>
      </c>
      <c r="J39" s="32" t="str">
        <f t="shared" si="2"/>
        <v>SEK1S3S30Y=ICAP</v>
      </c>
      <c r="K39" s="33"/>
      <c r="L39" s="27" t="str">
        <f>_xll.qlSwapIndex(,IborIndexFamily,C39,SettlementDays,Currency,Calendar,FixedLegTenor,FixedLegBDC,FixedLegDayCounter,IborIndex,DiscountingCurve,,Trigger)</f>
        <v>obj_00338#0000</v>
      </c>
      <c r="M39" s="57"/>
      <c r="N39" s="62"/>
      <c r="O39" s="57"/>
      <c r="P39" s="62"/>
      <c r="Q39" s="62"/>
      <c r="R39" s="62"/>
      <c r="S39" s="62"/>
    </row>
    <row r="40" spans="1:19" x14ac:dyDescent="0.2">
      <c r="A40" s="62"/>
      <c r="B40" s="62"/>
      <c r="K40" s="33"/>
      <c r="M40" s="57"/>
      <c r="N40" s="62"/>
      <c r="O40" s="57"/>
      <c r="P40" s="62"/>
      <c r="Q40" s="33"/>
      <c r="R40" s="33"/>
    </row>
    <row r="41" spans="1:19" x14ac:dyDescent="0.2">
      <c r="A41" s="62"/>
      <c r="B41" s="62"/>
      <c r="K41" s="33"/>
      <c r="M41" s="62"/>
      <c r="N41" s="62"/>
      <c r="O41" s="33"/>
      <c r="P41" s="62"/>
      <c r="Q41" s="33"/>
      <c r="R41" s="33"/>
    </row>
    <row r="42" spans="1:19" x14ac:dyDescent="0.2">
      <c r="A42" s="62"/>
      <c r="B42" s="62"/>
      <c r="K42" s="33"/>
      <c r="M42" s="62"/>
      <c r="N42" s="62"/>
      <c r="O42" s="33"/>
      <c r="P42" s="33"/>
      <c r="Q42" s="33"/>
      <c r="R42" s="33"/>
    </row>
    <row r="43" spans="1:19" x14ac:dyDescent="0.2">
      <c r="A43" s="62"/>
      <c r="B43" s="62"/>
      <c r="K43" s="33"/>
      <c r="Q43" s="62"/>
      <c r="R43" s="33"/>
    </row>
    <row r="44" spans="1:19" x14ac:dyDescent="0.2">
      <c r="A44" s="62"/>
      <c r="B44" s="62"/>
      <c r="K44" s="33"/>
      <c r="R44" s="33"/>
    </row>
    <row r="45" spans="1:19" x14ac:dyDescent="0.2">
      <c r="A45" s="62"/>
      <c r="B45" s="62"/>
      <c r="K45" s="33"/>
    </row>
    <row r="46" spans="1:19" x14ac:dyDescent="0.2">
      <c r="A46" s="62"/>
      <c r="B46" s="62"/>
      <c r="K46" s="62"/>
    </row>
    <row r="47" spans="1:19" x14ac:dyDescent="0.2">
      <c r="K47" s="62"/>
      <c r="L47" s="62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9" style="4" bestFit="1" customWidth="1"/>
    <col min="9" max="9" width="13.140625" style="4" bestFit="1" customWidth="1"/>
    <col min="10" max="10" width="17.28515625" style="4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4" hidden="1" customWidth="1" outlineLevel="1"/>
    <col min="14" max="14" width="14.140625" style="4" hidden="1" customWidth="1" outlineLevel="1"/>
    <col min="15" max="16" width="19.28515625" style="1" hidden="1" customWidth="1" outlineLevel="1"/>
    <col min="17" max="17" width="2.7109375" style="1" customWidth="1" collapsed="1"/>
    <col min="18" max="82" width="27.28515625" style="1" customWidth="1"/>
    <col min="83" max="16384" width="2.85546875" style="1"/>
  </cols>
  <sheetData>
    <row r="1" spans="1:18" x14ac:dyDescent="0.2">
      <c r="D1" s="18" t="s">
        <v>60</v>
      </c>
      <c r="E1" s="59" t="s">
        <v>21</v>
      </c>
    </row>
    <row r="2" spans="1:18" x14ac:dyDescent="0.2">
      <c r="A2" s="62"/>
      <c r="B2" s="62"/>
      <c r="C2" s="57"/>
      <c r="D2" s="18" t="s">
        <v>61</v>
      </c>
      <c r="E2" s="59" t="str">
        <f>Currency&amp;CurveTenor</f>
        <v>SEK3M</v>
      </c>
      <c r="F2" s="62"/>
      <c r="G2" s="62"/>
      <c r="H2" s="62"/>
      <c r="I2" s="62"/>
      <c r="J2" s="62"/>
      <c r="K2" s="62"/>
      <c r="M2" s="62"/>
      <c r="N2" s="62"/>
      <c r="O2" s="62"/>
      <c r="P2" s="62"/>
      <c r="Q2" s="62"/>
      <c r="R2" s="33"/>
    </row>
    <row r="3" spans="1:18" x14ac:dyDescent="0.2">
      <c r="A3" s="62"/>
      <c r="B3" s="62"/>
      <c r="D3" s="18" t="s">
        <v>40</v>
      </c>
      <c r="E3" s="59" t="str">
        <f>IborIndexFamily&amp;CurveTenor</f>
        <v>Sekibor3M</v>
      </c>
      <c r="F3" s="62"/>
      <c r="G3" s="62"/>
      <c r="H3" s="62"/>
      <c r="I3" s="62"/>
      <c r="J3" s="62"/>
      <c r="N3" s="62"/>
      <c r="O3" s="62"/>
      <c r="P3" s="62"/>
      <c r="Q3" s="62"/>
      <c r="R3" s="33"/>
    </row>
    <row r="4" spans="1:18" x14ac:dyDescent="0.2">
      <c r="A4" s="62"/>
      <c r="B4" s="62"/>
      <c r="C4" s="57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33"/>
    </row>
    <row r="5" spans="1:18" x14ac:dyDescent="0.2">
      <c r="A5" s="62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33"/>
      <c r="L5" s="58" t="s">
        <v>75</v>
      </c>
      <c r="M5" s="62"/>
      <c r="N5" s="62"/>
      <c r="O5" s="62"/>
      <c r="P5" s="62"/>
      <c r="Q5" s="33"/>
      <c r="R5" s="33"/>
    </row>
    <row r="6" spans="1:18" x14ac:dyDescent="0.2">
      <c r="A6" s="62"/>
      <c r="B6" s="16">
        <f t="shared" ref="B6:B14" si="0">G6-EvaluationDate</f>
        <v>1</v>
      </c>
      <c r="C6" s="15" t="s">
        <v>15</v>
      </c>
      <c r="D6" s="24" t="s">
        <v>76</v>
      </c>
      <c r="E6" s="37">
        <f t="shared" ref="E6:E14" si="1">EvaluationDate</f>
        <v>42086</v>
      </c>
      <c r="F6" s="37">
        <f>E6</f>
        <v>42086</v>
      </c>
      <c r="G6" s="37">
        <f>_xll.qlCalendarAdvance(Calendar,F6,"1D","f",TRUE,Trigger)</f>
        <v>42087</v>
      </c>
      <c r="H6" s="43">
        <f>_xll.qlInterpolationInterpolate(Interpolation,B6,TRUE)</f>
        <v>-6.4704629470333549E-4</v>
      </c>
      <c r="I6" s="44"/>
      <c r="J6" s="45"/>
      <c r="K6" s="33"/>
      <c r="L6" s="59" t="str">
        <f>_xll.qlInterpolation(,InterpolationType,B8:B14,H8:H14,,Trigger)</f>
        <v>obj_0035e#0000</v>
      </c>
      <c r="M6" s="62"/>
      <c r="N6" s="62"/>
      <c r="O6" s="62"/>
      <c r="P6" s="62"/>
      <c r="Q6" s="33"/>
      <c r="R6" s="33"/>
    </row>
    <row r="7" spans="1:18" x14ac:dyDescent="0.2">
      <c r="A7" s="62"/>
      <c r="B7" s="16">
        <f t="shared" si="0"/>
        <v>2</v>
      </c>
      <c r="C7" s="16" t="s">
        <v>73</v>
      </c>
      <c r="D7" s="24" t="s">
        <v>76</v>
      </c>
      <c r="E7" s="40">
        <f t="shared" si="1"/>
        <v>42086</v>
      </c>
      <c r="F7" s="40">
        <f>G6</f>
        <v>42087</v>
      </c>
      <c r="G7" s="40">
        <f>_xll.qlCalendarAdvance(Calendar,F7,"1D","f",TRUE,Trigger)</f>
        <v>42088</v>
      </c>
      <c r="H7" s="111">
        <f>_xll.qlInterpolationInterpolate(Interpolation,B7,TRUE)</f>
        <v>-6.473663059407491E-4</v>
      </c>
      <c r="I7" s="46"/>
      <c r="J7" s="112"/>
      <c r="K7" s="33"/>
      <c r="L7" s="58" t="s">
        <v>40</v>
      </c>
      <c r="M7" s="57"/>
      <c r="N7" s="58" t="s">
        <v>72</v>
      </c>
      <c r="O7" s="58" t="s">
        <v>69</v>
      </c>
      <c r="P7" s="58" t="s">
        <v>70</v>
      </c>
      <c r="Q7" s="33"/>
      <c r="R7" s="33"/>
    </row>
    <row r="8" spans="1:18" x14ac:dyDescent="0.2">
      <c r="A8" s="62"/>
      <c r="B8" s="15">
        <f t="shared" si="0"/>
        <v>3</v>
      </c>
      <c r="C8" s="15" t="s">
        <v>74</v>
      </c>
      <c r="D8" s="23" t="s">
        <v>53</v>
      </c>
      <c r="E8" s="37">
        <f t="shared" si="1"/>
        <v>42086</v>
      </c>
      <c r="F8" s="37">
        <f>_xll.qlInterestRateIndexValueDate(L8,E8,Trigger)</f>
        <v>42088</v>
      </c>
      <c r="G8" s="37">
        <f>_xll.qlInterestRateIndexMaturity(L8,F8,Trigger)</f>
        <v>42089</v>
      </c>
      <c r="H8" s="43">
        <f>_xll.qlIndexFixing(L8,E8,TRUE,InterestRateTrigger)</f>
        <v>-6.4766386753678518E-4</v>
      </c>
      <c r="I8" s="44" t="str">
        <f>Contribution!S8</f>
        <v>SEK3MSND=</v>
      </c>
      <c r="J8" s="45"/>
      <c r="K8" s="33"/>
      <c r="L8" s="60" t="str">
        <f>_xll.qlIborIndex(,IborIndexFamily,IF(C8="SN","1D",IF(C8="SW","1W",C8)),SettlementDays,Currency,Calendar,BDayConvention,EndOfMonth,DayCounter,YieldCurve,,Trigger)</f>
        <v>obj_0032c#0000</v>
      </c>
      <c r="M8" s="57"/>
      <c r="N8" s="59" t="b">
        <v>1</v>
      </c>
      <c r="O8" s="59" t="s">
        <v>48</v>
      </c>
      <c r="P8" s="59" t="s">
        <v>106</v>
      </c>
      <c r="Q8" s="33"/>
      <c r="R8" s="33"/>
    </row>
    <row r="9" spans="1:18" x14ac:dyDescent="0.2">
      <c r="A9" s="62"/>
      <c r="B9" s="16">
        <f t="shared" si="0"/>
        <v>9</v>
      </c>
      <c r="C9" s="16" t="s">
        <v>16</v>
      </c>
      <c r="D9" s="24" t="s">
        <v>53</v>
      </c>
      <c r="E9" s="40">
        <f t="shared" si="1"/>
        <v>42086</v>
      </c>
      <c r="F9" s="40">
        <f>_xll.qlInterestRateIndexValueDate(L9,E9,Trigger)</f>
        <v>42088</v>
      </c>
      <c r="G9" s="40">
        <f>_xll.qlInterestRateIndexMaturity(L9,F9,Trigger)</f>
        <v>42095</v>
      </c>
      <c r="H9" s="39">
        <f>_xll.qlIndexFixing(L9,E9,TRUE,InterestRateTrigger)</f>
        <v>-6.5023497456121295E-4</v>
      </c>
      <c r="I9" s="30" t="str">
        <f>Contribution!S9</f>
        <v>SEK3MSWD=</v>
      </c>
      <c r="J9" s="30"/>
      <c r="K9" s="33"/>
      <c r="L9" s="25" t="str">
        <f>_xll.qlIborIndex(,IborIndexFamily,IF(C9="SN","1D",IF(C9="SW","1W",C9)),SettlementDays,Currency,Calendar,BDayConvention,EndOfMonth,DayCounter,YieldCurve,,Trigger)</f>
        <v>obj_0033b#0000</v>
      </c>
      <c r="M9" s="57"/>
      <c r="N9" s="62"/>
      <c r="O9" s="62"/>
      <c r="P9" s="62"/>
      <c r="Q9" s="33"/>
      <c r="R9" s="33"/>
    </row>
    <row r="10" spans="1:18" x14ac:dyDescent="0.2">
      <c r="A10" s="62"/>
      <c r="B10" s="16">
        <f t="shared" si="0"/>
        <v>16</v>
      </c>
      <c r="C10" s="16" t="s">
        <v>17</v>
      </c>
      <c r="D10" s="24" t="s">
        <v>53</v>
      </c>
      <c r="E10" s="40">
        <f t="shared" si="1"/>
        <v>42086</v>
      </c>
      <c r="F10" s="40">
        <f>_xll.qlInterestRateIndexValueDate(L10,E10,Trigger)</f>
        <v>42088</v>
      </c>
      <c r="G10" s="40">
        <f>_xll.qlInterestRateIndexMaturity(L10,F10,Trigger)</f>
        <v>42102</v>
      </c>
      <c r="H10" s="39">
        <f>_xll.qlIndexFixing(L10,E10,TRUE,InterestRateTrigger)</f>
        <v>-6.5811548335816179E-4</v>
      </c>
      <c r="I10" s="30" t="str">
        <f>Contribution!S10</f>
        <v>SEK3M2WD=</v>
      </c>
      <c r="J10" s="30"/>
      <c r="K10" s="33"/>
      <c r="L10" s="25" t="str">
        <f>_xll.qlIborIndex(,IborIndexFamily,IF(C10="SN","1D",IF(C10="SW","1W",C10)),SettlementDays,Currency,Calendar,BDayConvention,EndOfMonth,DayCounter,YieldCurve,,Trigger)</f>
        <v>obj_0033a#0000</v>
      </c>
      <c r="M10" s="57"/>
      <c r="N10" s="62"/>
      <c r="O10" s="62"/>
      <c r="P10" s="62"/>
      <c r="Q10" s="33"/>
      <c r="R10" s="33"/>
    </row>
    <row r="11" spans="1:18" x14ac:dyDescent="0.2">
      <c r="A11" s="62"/>
      <c r="B11" s="16">
        <f t="shared" si="0"/>
        <v>23</v>
      </c>
      <c r="C11" s="16" t="s">
        <v>18</v>
      </c>
      <c r="D11" s="24" t="s">
        <v>53</v>
      </c>
      <c r="E11" s="40">
        <f t="shared" si="1"/>
        <v>42086</v>
      </c>
      <c r="F11" s="40">
        <f>_xll.qlInterestRateIndexValueDate(L11,E11,Trigger)</f>
        <v>42088</v>
      </c>
      <c r="G11" s="40">
        <f>_xll.qlInterestRateIndexMaturity(L11,F11,Trigger)</f>
        <v>42109</v>
      </c>
      <c r="H11" s="39">
        <f>_xll.qlIndexFixing(L11,E11,TRUE,InterestRateTrigger)</f>
        <v>-6.7125212964036507E-4</v>
      </c>
      <c r="I11" s="30" t="str">
        <f>Contribution!S11</f>
        <v>SEK3M3WD=</v>
      </c>
      <c r="J11" s="30"/>
      <c r="K11" s="33"/>
      <c r="L11" s="25" t="str">
        <f>_xll.qlIborIndex(,IborIndexFamily,IF(C11="SN","1D",IF(C11="SW","1W",C11)),SettlementDays,Currency,Calendar,BDayConvention,EndOfMonth,DayCounter,YieldCurve,,Trigger)</f>
        <v>obj_0034d#0000</v>
      </c>
      <c r="M11" s="57"/>
      <c r="N11" s="62"/>
      <c r="O11" s="62"/>
      <c r="P11" s="62"/>
      <c r="Q11" s="33"/>
      <c r="R11" s="33"/>
    </row>
    <row r="12" spans="1:18" x14ac:dyDescent="0.2">
      <c r="A12" s="62"/>
      <c r="B12" s="16">
        <f t="shared" si="0"/>
        <v>35</v>
      </c>
      <c r="C12" s="16" t="s">
        <v>19</v>
      </c>
      <c r="D12" s="24" t="s">
        <v>53</v>
      </c>
      <c r="E12" s="40">
        <f t="shared" si="1"/>
        <v>42086</v>
      </c>
      <c r="F12" s="40">
        <f>_xll.qlInterestRateIndexValueDate(L12,E12,Trigger)</f>
        <v>42088</v>
      </c>
      <c r="G12" s="40">
        <f>_xll.qlInterestRateIndexMaturity(L12,F12,Trigger)</f>
        <v>42121</v>
      </c>
      <c r="H12" s="39">
        <f>_xll.qlIndexFixing(L12,E12,TRUE,InterestRateTrigger)</f>
        <v>-7.059999998239939E-4</v>
      </c>
      <c r="I12" s="30" t="str">
        <f>Contribution!S12</f>
        <v>SEK3M1MD=</v>
      </c>
      <c r="J12" s="30"/>
      <c r="K12" s="33"/>
      <c r="L12" s="25" t="str">
        <f>_xll.qlIborIndex(,IborIndexFamily,IF(C12="SN","1D",IF(C12="SW","1W",C12)),SettlementDays,Currency,Calendar,BDayConvention,EndOfMonth,DayCounter,YieldCurve,,Trigger)</f>
        <v>obj_00354#0000</v>
      </c>
      <c r="M12" s="57"/>
      <c r="N12" s="62"/>
      <c r="O12" s="62"/>
      <c r="P12" s="62"/>
      <c r="Q12" s="33"/>
      <c r="R12" s="33"/>
    </row>
    <row r="13" spans="1:18" x14ac:dyDescent="0.2">
      <c r="A13" s="62"/>
      <c r="B13" s="16">
        <f t="shared" si="0"/>
        <v>64</v>
      </c>
      <c r="C13" s="16" t="s">
        <v>20</v>
      </c>
      <c r="D13" s="24" t="s">
        <v>53</v>
      </c>
      <c r="E13" s="40">
        <f t="shared" si="1"/>
        <v>42086</v>
      </c>
      <c r="F13" s="40">
        <f>_xll.qlInterestRateIndexValueDate(L13,E13,Trigger)</f>
        <v>42088</v>
      </c>
      <c r="G13" s="40">
        <f>_xll.qlInterestRateIndexMaturity(L13,F13,Trigger)</f>
        <v>42150</v>
      </c>
      <c r="H13" s="39">
        <f>_xll.qlIndexFixing(L13,E13,TRUE,InterestRateTrigger)</f>
        <v>-8.159999994035304E-4</v>
      </c>
      <c r="I13" s="30" t="str">
        <f>Contribution!S13</f>
        <v>SEK3M2MD=</v>
      </c>
      <c r="J13" s="30"/>
      <c r="K13" s="33"/>
      <c r="L13" s="27" t="str">
        <f>_xll.qlIborIndex(,IborIndexFamily,IF(C13="SN","1D",IF(C13="SW","1W",C13)),SettlementDays,Currency,Calendar,BDayConvention,EndOfMonth,DayCounter,YieldCurve,,Trigger)</f>
        <v>obj_0032d#0000</v>
      </c>
      <c r="M13" s="57"/>
      <c r="N13" s="62"/>
      <c r="O13" s="62"/>
      <c r="P13" s="62"/>
      <c r="Q13" s="33"/>
      <c r="R13" s="33"/>
    </row>
    <row r="14" spans="1:18" x14ac:dyDescent="0.2">
      <c r="A14" s="62"/>
      <c r="B14" s="142">
        <f t="shared" si="0"/>
        <v>94</v>
      </c>
      <c r="C14" s="142" t="s">
        <v>21</v>
      </c>
      <c r="D14" s="143" t="s">
        <v>53</v>
      </c>
      <c r="E14" s="144">
        <f t="shared" si="1"/>
        <v>42086</v>
      </c>
      <c r="F14" s="144">
        <f>_xll.qlInterestRateIndexValueDate(IborIndex,E14,Trigger)</f>
        <v>42088</v>
      </c>
      <c r="G14" s="144">
        <f>_xll.qlInterestRateIndexMaturity(IborIndex,F14,Trigger)</f>
        <v>42180</v>
      </c>
      <c r="H14" s="145">
        <f>_xll.qlIndexFixing(IborIndex,E14,TRUE,InterestRateTrigger)</f>
        <v>-8.9699999814722416E-4</v>
      </c>
      <c r="I14" s="146" t="str">
        <f>Contribution!S14</f>
        <v>SEK3M3MD=</v>
      </c>
      <c r="J14" s="146" t="s">
        <v>108</v>
      </c>
      <c r="K14" s="33"/>
      <c r="L14" s="62"/>
      <c r="M14" s="57"/>
      <c r="N14" s="62"/>
      <c r="O14" s="62"/>
      <c r="P14" s="62"/>
      <c r="Q14" s="33"/>
      <c r="R14" s="33"/>
    </row>
    <row r="15" spans="1:18" x14ac:dyDescent="0.2">
      <c r="A15" s="62"/>
      <c r="B15" s="16"/>
      <c r="C15" s="16"/>
      <c r="D15" s="24"/>
      <c r="E15" s="40"/>
      <c r="F15" s="40"/>
      <c r="G15" s="40"/>
      <c r="H15" s="39"/>
      <c r="I15" s="30"/>
      <c r="J15" s="30"/>
      <c r="K15" s="33"/>
      <c r="L15" s="62"/>
      <c r="M15" s="57"/>
      <c r="N15" s="62"/>
      <c r="O15" s="62"/>
      <c r="P15" s="62"/>
      <c r="Q15" s="33"/>
      <c r="R15" s="33"/>
    </row>
    <row r="16" spans="1:18" x14ac:dyDescent="0.2">
      <c r="A16" s="62"/>
      <c r="B16" s="16"/>
      <c r="C16" s="16"/>
      <c r="D16" s="24"/>
      <c r="E16" s="40"/>
      <c r="F16" s="40"/>
      <c r="G16" s="40"/>
      <c r="H16" s="39"/>
      <c r="I16" s="30"/>
      <c r="J16" s="30"/>
      <c r="K16" s="33"/>
      <c r="L16" s="62"/>
      <c r="M16" s="57"/>
      <c r="N16" s="62"/>
      <c r="O16" s="62"/>
      <c r="P16" s="62"/>
      <c r="Q16" s="33"/>
      <c r="R16" s="33"/>
    </row>
    <row r="17" spans="1:18" x14ac:dyDescent="0.2">
      <c r="A17" s="62"/>
      <c r="B17" s="173"/>
      <c r="C17" s="173"/>
      <c r="D17" s="174"/>
      <c r="E17" s="175"/>
      <c r="F17" s="175"/>
      <c r="G17" s="175"/>
      <c r="H17" s="176"/>
      <c r="I17" s="177"/>
      <c r="J17" s="177"/>
      <c r="K17" s="33"/>
      <c r="L17" s="62"/>
      <c r="M17" s="57"/>
      <c r="N17" s="62"/>
      <c r="O17" s="62"/>
      <c r="P17" s="62"/>
      <c r="Q17" s="33"/>
      <c r="R17" s="33"/>
    </row>
    <row r="18" spans="1:18" x14ac:dyDescent="0.2">
      <c r="A18" s="62"/>
      <c r="B18" s="17"/>
      <c r="C18" s="17"/>
      <c r="D18" s="26"/>
      <c r="E18" s="41"/>
      <c r="F18" s="41"/>
      <c r="G18" s="41"/>
      <c r="H18" s="42"/>
      <c r="I18" s="32"/>
      <c r="J18" s="32"/>
      <c r="K18" s="33"/>
      <c r="L18" s="62"/>
      <c r="M18" s="57"/>
      <c r="N18" s="62"/>
      <c r="O18" s="62"/>
      <c r="P18" s="62"/>
      <c r="Q18" s="33"/>
      <c r="R18" s="33"/>
    </row>
    <row r="19" spans="1:18" x14ac:dyDescent="0.2">
      <c r="A19" s="62"/>
      <c r="B19" s="15">
        <v>1</v>
      </c>
      <c r="C19" s="15" t="str">
        <f>Contribution!C19</f>
        <v>M5</v>
      </c>
      <c r="D19" s="23" t="s">
        <v>66</v>
      </c>
      <c r="E19" s="37">
        <f>_xll.qlInterestRateIndexFixingDate(IborIndex,F19)</f>
        <v>42170</v>
      </c>
      <c r="F19" s="37">
        <f>_xll.qlIMMdate(C19)</f>
        <v>42172</v>
      </c>
      <c r="G19" s="37">
        <f>_xll.qlInterestRateIndexMaturity(IborIndex,F19,Trigger)</f>
        <v>42264</v>
      </c>
      <c r="H19" s="77">
        <f>(1-_xll.qlIndexFixing(IborIndex,E19,TRUE,InterestRateTrigger))*100</f>
        <v>100.11499999985878</v>
      </c>
      <c r="I19" s="31" t="str">
        <f>Contribution!S19</f>
        <v>SEK3MM5</v>
      </c>
      <c r="J19" s="31" t="str">
        <f t="shared" ref="J19:J24" si="2">Currency&amp;"3F"&amp;B19&amp;"=HBCO"</f>
        <v>SEK3F1=HBCO</v>
      </c>
      <c r="K19" s="33"/>
      <c r="L19" s="62"/>
      <c r="M19" s="57"/>
      <c r="N19" s="62"/>
      <c r="O19" s="62"/>
      <c r="P19" s="62"/>
      <c r="Q19" s="33"/>
      <c r="R19" s="33"/>
    </row>
    <row r="20" spans="1:18" x14ac:dyDescent="0.2">
      <c r="A20" s="62"/>
      <c r="B20" s="16">
        <v>2</v>
      </c>
      <c r="C20" s="16" t="str">
        <f>Contribution!C20</f>
        <v>U5</v>
      </c>
      <c r="D20" s="24" t="s">
        <v>66</v>
      </c>
      <c r="E20" s="40">
        <f>_xll.qlInterestRateIndexFixingDate(IborIndex,F20)</f>
        <v>42261</v>
      </c>
      <c r="F20" s="40">
        <f>_xll.qlIMMdate(C20)</f>
        <v>42263</v>
      </c>
      <c r="G20" s="40">
        <f>_xll.qlInterestRateIndexMaturity(IborIndex,F20,Trigger)</f>
        <v>42354</v>
      </c>
      <c r="H20" s="78">
        <f>(1-_xll.qlIndexFixing(IborIndex,E20,TRUE,InterestRateTrigger))*100</f>
        <v>100.12499999994462</v>
      </c>
      <c r="I20" s="30" t="str">
        <f>Contribution!S20</f>
        <v>SEK3MU5</v>
      </c>
      <c r="J20" s="30" t="str">
        <f t="shared" si="2"/>
        <v>SEK3F2=HBCO</v>
      </c>
      <c r="K20" s="33"/>
      <c r="L20" s="62"/>
      <c r="M20" s="57"/>
      <c r="N20" s="62"/>
      <c r="O20" s="62"/>
      <c r="P20" s="62"/>
      <c r="Q20" s="33"/>
      <c r="R20" s="33"/>
    </row>
    <row r="21" spans="1:18" x14ac:dyDescent="0.2">
      <c r="A21" s="62"/>
      <c r="B21" s="16">
        <v>3</v>
      </c>
      <c r="C21" s="16" t="str">
        <f>Contribution!C21</f>
        <v>Z5</v>
      </c>
      <c r="D21" s="24" t="s">
        <v>66</v>
      </c>
      <c r="E21" s="40">
        <f>_xll.qlInterestRateIndexFixingDate(IborIndex,F21)</f>
        <v>42352</v>
      </c>
      <c r="F21" s="40">
        <f>_xll.qlIMMdate(C21)</f>
        <v>42354</v>
      </c>
      <c r="G21" s="40">
        <f>_xll.qlInterestRateIndexMaturity(IborIndex,F21,Trigger)</f>
        <v>42445</v>
      </c>
      <c r="H21" s="78">
        <f>(1-_xll.qlIndexFixing(IborIndex,E21,TRUE,InterestRateTrigger))*100</f>
        <v>100.125</v>
      </c>
      <c r="I21" s="30" t="str">
        <f>Contribution!S21</f>
        <v>SEK3MZ5</v>
      </c>
      <c r="J21" s="30" t="str">
        <f t="shared" si="2"/>
        <v>SEK3F3=HBCO</v>
      </c>
      <c r="K21" s="33"/>
      <c r="L21" s="62"/>
      <c r="M21" s="57"/>
      <c r="N21" s="62"/>
      <c r="O21" s="62"/>
      <c r="P21" s="62"/>
      <c r="Q21" s="33"/>
      <c r="R21" s="33"/>
    </row>
    <row r="22" spans="1:18" x14ac:dyDescent="0.2">
      <c r="A22" s="62"/>
      <c r="B22" s="16">
        <v>4</v>
      </c>
      <c r="C22" s="16" t="str">
        <f>Contribution!C22</f>
        <v>H6</v>
      </c>
      <c r="D22" s="24" t="s">
        <v>66</v>
      </c>
      <c r="E22" s="40">
        <f>_xll.qlInterestRateIndexFixingDate(IborIndex,F22)</f>
        <v>42443</v>
      </c>
      <c r="F22" s="40">
        <f>_xll.qlIMMdate(C22)</f>
        <v>42445</v>
      </c>
      <c r="G22" s="40">
        <f>_xll.qlInterestRateIndexMaturity(IborIndex,F22,Trigger)</f>
        <v>42537</v>
      </c>
      <c r="H22" s="78">
        <f>(1-_xll.qlIndexFixing(IborIndex,E22,TRUE,InterestRateTrigger))*100</f>
        <v>100.09499999999998</v>
      </c>
      <c r="I22" s="30" t="str">
        <f>Contribution!S22</f>
        <v>SEK3MH6</v>
      </c>
      <c r="J22" s="30" t="str">
        <f t="shared" si="2"/>
        <v>SEK3F4=HBCO</v>
      </c>
      <c r="K22" s="33"/>
      <c r="L22" s="62"/>
      <c r="M22" s="57"/>
      <c r="N22" s="62"/>
      <c r="O22" s="62"/>
      <c r="P22" s="62"/>
      <c r="Q22" s="33"/>
      <c r="R22" s="33"/>
    </row>
    <row r="23" spans="1:18" x14ac:dyDescent="0.2">
      <c r="A23" s="62"/>
      <c r="B23" s="16">
        <v>5</v>
      </c>
      <c r="C23" s="16" t="str">
        <f>Contribution!C23</f>
        <v>M6</v>
      </c>
      <c r="D23" s="24" t="s">
        <v>66</v>
      </c>
      <c r="E23" s="40">
        <f>_xll.qlInterestRateIndexFixingDate(IborIndex,F23)</f>
        <v>42534</v>
      </c>
      <c r="F23" s="40">
        <f>_xll.qlIMMdate(C23)</f>
        <v>42536</v>
      </c>
      <c r="G23" s="40">
        <f>_xll.qlInterestRateIndexMaturity(IborIndex,F23,Trigger)</f>
        <v>42628</v>
      </c>
      <c r="H23" s="78">
        <f>(1-_xll.qlIndexFixing(IborIndex,E23,TRUE,InterestRateTrigger))*100</f>
        <v>100.04249999990166</v>
      </c>
      <c r="I23" s="30" t="str">
        <f>Contribution!S23</f>
        <v>SEK3MM6</v>
      </c>
      <c r="J23" s="30" t="str">
        <f t="shared" si="2"/>
        <v>SEK3F5=HBCO</v>
      </c>
      <c r="K23" s="33"/>
      <c r="L23" s="62"/>
      <c r="M23" s="57"/>
      <c r="N23" s="62"/>
      <c r="O23" s="62"/>
      <c r="P23" s="62"/>
      <c r="Q23" s="33"/>
      <c r="R23" s="33"/>
    </row>
    <row r="24" spans="1:18" x14ac:dyDescent="0.2">
      <c r="A24" s="62"/>
      <c r="B24" s="17">
        <v>6</v>
      </c>
      <c r="C24" s="17" t="str">
        <f>Contribution!C24</f>
        <v>U6</v>
      </c>
      <c r="D24" s="26" t="s">
        <v>66</v>
      </c>
      <c r="E24" s="41">
        <f>_xll.qlInterestRateIndexFixingDate(IborIndex,F24)</f>
        <v>42632</v>
      </c>
      <c r="F24" s="41">
        <f>_xll.qlIMMdate(C24)</f>
        <v>42634</v>
      </c>
      <c r="G24" s="41">
        <f>_xll.qlInterestRateIndexMaturity(IborIndex,F24,Trigger)</f>
        <v>42725</v>
      </c>
      <c r="H24" s="79">
        <f>(1-_xll.qlIndexFixing(IborIndex,E24,TRUE,InterestRateTrigger))*100</f>
        <v>99.974999999999994</v>
      </c>
      <c r="I24" s="32" t="str">
        <f>Contribution!S24</f>
        <v>SEK3MU6</v>
      </c>
      <c r="J24" s="32" t="str">
        <f t="shared" si="2"/>
        <v>SEK3F6=HBCO</v>
      </c>
      <c r="K24" s="33"/>
      <c r="L24" s="61" t="s">
        <v>45</v>
      </c>
      <c r="M24" s="63"/>
      <c r="N24" s="58" t="s">
        <v>41</v>
      </c>
      <c r="O24" s="58" t="s">
        <v>62</v>
      </c>
      <c r="P24" s="58" t="s">
        <v>42</v>
      </c>
      <c r="Q24" s="33"/>
      <c r="R24" s="33"/>
    </row>
    <row r="25" spans="1:18" x14ac:dyDescent="0.2">
      <c r="A25" s="62"/>
      <c r="B25" s="15"/>
      <c r="C25" s="15" t="s">
        <v>25</v>
      </c>
      <c r="D25" s="23" t="s">
        <v>52</v>
      </c>
      <c r="E25" s="37">
        <f>EvaluationDate</f>
        <v>42086</v>
      </c>
      <c r="F25" s="37">
        <f>_xll.qlInterestRateIndexValueDate(L25,E25,Trigger)</f>
        <v>42088</v>
      </c>
      <c r="G25" s="37">
        <f>_xll.qlInterestRateIndexMaturity(L25,F25,Trigger)</f>
        <v>42458</v>
      </c>
      <c r="H25" s="38">
        <f>_xll.qlIndexFixing(L25,E25,TRUE,InterestRateTrigger)</f>
        <v>-1.1542212671681977E-3</v>
      </c>
      <c r="I25" s="31" t="str">
        <f>Contribution!S25</f>
        <v>SEK3M1Y=</v>
      </c>
      <c r="J25" s="31" t="str">
        <f t="shared" ref="J25:J39" si="3">Currency&amp;"AB3S"&amp;C25&amp;"=ICAP"</f>
        <v>SEKAB3S1Y=ICAP</v>
      </c>
      <c r="K25" s="33"/>
      <c r="L25" s="60" t="str">
        <f>_xll.qlSwapIndex(,IborIndexFamily,C25,SettlementDays,Currency,Calendar,FixedLegTenor,FixedLegBDC,FixedLegDayCounter,IborIndex,DiscountingCurve,,Trigger)</f>
        <v>obj_00352#0000</v>
      </c>
      <c r="M25" s="57"/>
      <c r="N25" s="59" t="s">
        <v>25</v>
      </c>
      <c r="O25" s="59" t="s">
        <v>48</v>
      </c>
      <c r="P25" s="59" t="s">
        <v>105</v>
      </c>
      <c r="Q25" s="33"/>
      <c r="R25" s="33"/>
    </row>
    <row r="26" spans="1:18" x14ac:dyDescent="0.2">
      <c r="A26" s="62"/>
      <c r="B26" s="16"/>
      <c r="C26" s="16" t="s">
        <v>26</v>
      </c>
      <c r="D26" s="24" t="s">
        <v>52</v>
      </c>
      <c r="E26" s="40">
        <f t="shared" ref="E26:E27" si="4">EvaluationDate</f>
        <v>42086</v>
      </c>
      <c r="F26" s="40">
        <f>_xll.qlInterestRateIndexValueDate(L26,E26,Trigger)</f>
        <v>42088</v>
      </c>
      <c r="G26" s="40">
        <f>_xll.qlInterestRateIndexMaturity(L26,F26,Trigger)</f>
        <v>42821</v>
      </c>
      <c r="H26" s="39">
        <f>_xll.qlIndexFixing(L26,E26,TRUE,InterestRateTrigger)</f>
        <v>-6.2499999995672701E-4</v>
      </c>
      <c r="I26" s="30" t="str">
        <f>Contribution!S26</f>
        <v>SEK3M2Y=</v>
      </c>
      <c r="J26" s="30" t="str">
        <f t="shared" si="3"/>
        <v>SEKAB3S2Y=ICAP</v>
      </c>
      <c r="K26" s="33"/>
      <c r="L26" s="25" t="str">
        <f>_xll.qlSwapIndex(,IborIndexFamily,C26,SettlementDays,Currency,Calendar,FixedLegTenor,FixedLegBDC,FixedLegDayCounter,IborIndex,DiscountingCurve,,Trigger)</f>
        <v>obj_00330#0000</v>
      </c>
      <c r="M26" s="57"/>
      <c r="N26" s="62"/>
      <c r="O26" s="57"/>
      <c r="P26" s="62"/>
      <c r="Q26" s="33"/>
      <c r="R26" s="33"/>
    </row>
    <row r="27" spans="1:18" x14ac:dyDescent="0.2">
      <c r="A27" s="62"/>
      <c r="B27" s="16"/>
      <c r="C27" s="16" t="s">
        <v>27</v>
      </c>
      <c r="D27" s="24" t="s">
        <v>52</v>
      </c>
      <c r="E27" s="40">
        <f t="shared" si="4"/>
        <v>42086</v>
      </c>
      <c r="F27" s="40">
        <f>_xll.qlInterestRateIndexValueDate(L27,E27,Trigger)</f>
        <v>42088</v>
      </c>
      <c r="G27" s="40">
        <f>_xll.qlInterestRateIndexMaturity(L27,F27,Trigger)</f>
        <v>43185</v>
      </c>
      <c r="H27" s="39">
        <f>_xll.qlIndexFixing(L27,E27,TRUE,InterestRateTrigger)</f>
        <v>6.7499999989308784E-4</v>
      </c>
      <c r="I27" s="30" t="str">
        <f>Contribution!S27</f>
        <v>SEK3M3Y=</v>
      </c>
      <c r="J27" s="30" t="str">
        <f t="shared" si="3"/>
        <v>SEKAB3S3Y=ICAP</v>
      </c>
      <c r="K27" s="33"/>
      <c r="L27" s="25" t="str">
        <f>_xll.qlSwapIndex(,IborIndexFamily,C27,SettlementDays,Currency,Calendar,FixedLegTenor,FixedLegBDC,FixedLegDayCounter,IborIndex,DiscountingCurve,,Trigger)</f>
        <v>obj_00359#0000</v>
      </c>
      <c r="M27" s="57"/>
      <c r="N27" s="62"/>
      <c r="O27" s="57"/>
      <c r="P27" s="62"/>
      <c r="Q27" s="33"/>
      <c r="R27" s="33"/>
    </row>
    <row r="28" spans="1:18" x14ac:dyDescent="0.2">
      <c r="A28" s="62"/>
      <c r="B28" s="16"/>
      <c r="C28" s="16" t="s">
        <v>28</v>
      </c>
      <c r="D28" s="24" t="s">
        <v>52</v>
      </c>
      <c r="E28" s="40">
        <f t="shared" ref="E28:E29" si="5">EvaluationDate</f>
        <v>42086</v>
      </c>
      <c r="F28" s="40">
        <f>_xll.qlInterestRateIndexValueDate(L28,E28,Trigger)</f>
        <v>42088</v>
      </c>
      <c r="G28" s="40">
        <f>_xll.qlInterestRateIndexMaturity(L28,F28,Trigger)</f>
        <v>43549</v>
      </c>
      <c r="H28" s="39">
        <f>_xll.qlIndexFixing(L28,E28,TRUE,InterestRateTrigger)</f>
        <v>2.1500000000126917E-3</v>
      </c>
      <c r="I28" s="30" t="str">
        <f>Contribution!S28</f>
        <v>SEK3M4Y=</v>
      </c>
      <c r="J28" s="46" t="str">
        <f t="shared" si="3"/>
        <v>SEKAB3S4Y=ICAP</v>
      </c>
      <c r="K28" s="33"/>
      <c r="L28" s="25" t="str">
        <f>_xll.qlSwapIndex(,IborIndexFamily,C28,SettlementDays,Currency,Calendar,FixedLegTenor,FixedLegBDC,FixedLegDayCounter,IborIndex,DiscountingCurve,,Trigger)</f>
        <v>obj_0031d#0000</v>
      </c>
      <c r="M28" s="57"/>
      <c r="N28" s="62"/>
      <c r="O28" s="57"/>
      <c r="P28" s="62"/>
      <c r="Q28" s="33"/>
      <c r="R28" s="33"/>
    </row>
    <row r="29" spans="1:18" x14ac:dyDescent="0.2">
      <c r="A29" s="62"/>
      <c r="B29" s="16"/>
      <c r="C29" s="16" t="s">
        <v>29</v>
      </c>
      <c r="D29" s="24" t="s">
        <v>52</v>
      </c>
      <c r="E29" s="40">
        <f t="shared" si="5"/>
        <v>42086</v>
      </c>
      <c r="F29" s="40">
        <f>_xll.qlInterestRateIndexValueDate(L29,E29,Trigger)</f>
        <v>42088</v>
      </c>
      <c r="G29" s="40">
        <f>_xll.qlInterestRateIndexMaturity(L29,F29,Trigger)</f>
        <v>43915</v>
      </c>
      <c r="H29" s="39">
        <f>_xll.qlIndexFixing(L29,E29,TRUE,InterestRateTrigger)</f>
        <v>3.650000000012428E-3</v>
      </c>
      <c r="I29" s="30" t="str">
        <f>Contribution!S29</f>
        <v>SEK3M5Y=</v>
      </c>
      <c r="J29" s="46" t="str">
        <f t="shared" si="3"/>
        <v>SEKAB3S5Y=ICAP</v>
      </c>
      <c r="K29" s="33"/>
      <c r="L29" s="25" t="str">
        <f>_xll.qlSwapIndex(,IborIndexFamily,C29,SettlementDays,Currency,Calendar,FixedLegTenor,FixedLegBDC,FixedLegDayCounter,IborIndex,DiscountingCurve,,Trigger)</f>
        <v>obj_0034c#0000</v>
      </c>
      <c r="M29" s="57"/>
      <c r="N29" s="62"/>
      <c r="O29" s="57"/>
      <c r="P29" s="62"/>
      <c r="Q29" s="33"/>
      <c r="R29" s="33"/>
    </row>
    <row r="30" spans="1:18" x14ac:dyDescent="0.2">
      <c r="A30" s="62"/>
      <c r="B30" s="16"/>
      <c r="C30" s="16" t="s">
        <v>30</v>
      </c>
      <c r="D30" s="24" t="s">
        <v>52</v>
      </c>
      <c r="E30" s="40">
        <f t="shared" ref="E30:E39" si="6">EvaluationDate</f>
        <v>42086</v>
      </c>
      <c r="F30" s="40">
        <f>_xll.qlInterestRateIndexValueDate(L30,E30,Trigger)</f>
        <v>42088</v>
      </c>
      <c r="G30" s="40">
        <f>_xll.qlInterestRateIndexMaturity(L30,F30,Trigger)</f>
        <v>44280</v>
      </c>
      <c r="H30" s="39">
        <f>_xll.qlIndexFixing(L30,E30,TRUE,InterestRateTrigger)</f>
        <v>5.0500000000097672E-3</v>
      </c>
      <c r="I30" s="30" t="str">
        <f>Contribution!S30</f>
        <v>SEK3M6Y=</v>
      </c>
      <c r="J30" s="46" t="str">
        <f t="shared" si="3"/>
        <v>SEKAB3S6Y=ICAP</v>
      </c>
      <c r="K30" s="33"/>
      <c r="L30" s="25" t="str">
        <f>_xll.qlSwapIndex(,IborIndexFamily,C30,SettlementDays,Currency,Calendar,FixedLegTenor,FixedLegBDC,FixedLegDayCounter,IborIndex,DiscountingCurve,,Trigger)</f>
        <v>obj_0032b#0000</v>
      </c>
      <c r="M30" s="57"/>
      <c r="N30" s="62"/>
      <c r="O30" s="57"/>
      <c r="P30" s="62"/>
      <c r="Q30" s="33"/>
      <c r="R30" s="33"/>
    </row>
    <row r="31" spans="1:18" x14ac:dyDescent="0.2">
      <c r="A31" s="62"/>
      <c r="B31" s="16"/>
      <c r="C31" s="16" t="s">
        <v>31</v>
      </c>
      <c r="D31" s="24" t="s">
        <v>52</v>
      </c>
      <c r="E31" s="40">
        <f t="shared" si="6"/>
        <v>42086</v>
      </c>
      <c r="F31" s="40">
        <f>_xll.qlInterestRateIndexValueDate(L31,E31,Trigger)</f>
        <v>42088</v>
      </c>
      <c r="G31" s="40">
        <f>_xll.qlInterestRateIndexMaturity(L31,F31,Trigger)</f>
        <v>44645</v>
      </c>
      <c r="H31" s="39">
        <f>_xll.qlIndexFixing(L31,E31,TRUE,InterestRateTrigger)</f>
        <v>6.2750000000087762E-3</v>
      </c>
      <c r="I31" s="30" t="str">
        <f>Contribution!S31</f>
        <v>SEK3M7Y=</v>
      </c>
      <c r="J31" s="46" t="str">
        <f t="shared" si="3"/>
        <v>SEKAB3S7Y=ICAP</v>
      </c>
      <c r="K31" s="33"/>
      <c r="L31" s="25" t="str">
        <f>_xll.qlSwapIndex(,IborIndexFamily,C31,SettlementDays,Currency,Calendar,FixedLegTenor,FixedLegBDC,FixedLegDayCounter,IborIndex,DiscountingCurve,,Trigger)</f>
        <v>obj_00346#0000</v>
      </c>
      <c r="M31" s="57"/>
      <c r="N31" s="62"/>
      <c r="O31" s="57"/>
      <c r="P31" s="62"/>
      <c r="Q31" s="33"/>
      <c r="R31" s="33"/>
    </row>
    <row r="32" spans="1:18" x14ac:dyDescent="0.2">
      <c r="A32" s="62"/>
      <c r="B32" s="16"/>
      <c r="C32" s="16" t="s">
        <v>32</v>
      </c>
      <c r="D32" s="24" t="s">
        <v>52</v>
      </c>
      <c r="E32" s="40">
        <f t="shared" si="6"/>
        <v>42086</v>
      </c>
      <c r="F32" s="40">
        <f>_xll.qlInterestRateIndexValueDate(L32,E32,Trigger)</f>
        <v>42088</v>
      </c>
      <c r="G32" s="40">
        <f>_xll.qlInterestRateIndexMaturity(L32,F32,Trigger)</f>
        <v>45012</v>
      </c>
      <c r="H32" s="39">
        <f>_xll.qlIndexFixing(L32,E32,TRUE,InterestRateTrigger)</f>
        <v>7.3250000000075815E-3</v>
      </c>
      <c r="I32" s="30" t="str">
        <f>Contribution!S32</f>
        <v>SEK3M8Y=</v>
      </c>
      <c r="J32" s="46" t="str">
        <f t="shared" si="3"/>
        <v>SEKAB3S8Y=ICAP</v>
      </c>
      <c r="K32" s="33"/>
      <c r="L32" s="25" t="str">
        <f>_xll.qlSwapIndex(,IborIndexFamily,C32,SettlementDays,Currency,Calendar,FixedLegTenor,FixedLegBDC,FixedLegDayCounter,IborIndex,DiscountingCurve,,Trigger)</f>
        <v>obj_00324#0000</v>
      </c>
      <c r="M32" s="57"/>
      <c r="N32" s="62"/>
      <c r="O32" s="57"/>
      <c r="P32" s="62"/>
      <c r="Q32" s="33"/>
      <c r="R32" s="33"/>
    </row>
    <row r="33" spans="1:19" x14ac:dyDescent="0.2">
      <c r="A33" s="62"/>
      <c r="B33" s="16"/>
      <c r="C33" s="16" t="s">
        <v>33</v>
      </c>
      <c r="D33" s="24" t="s">
        <v>52</v>
      </c>
      <c r="E33" s="40">
        <f t="shared" si="6"/>
        <v>42086</v>
      </c>
      <c r="F33" s="40">
        <f>_xll.qlInterestRateIndexValueDate(L33,E33,Trigger)</f>
        <v>42088</v>
      </c>
      <c r="G33" s="40">
        <f>_xll.qlInterestRateIndexMaturity(L33,F33,Trigger)</f>
        <v>45376</v>
      </c>
      <c r="H33" s="39">
        <f>_xll.qlIndexFixing(L33,E33,TRUE,InterestRateTrigger)</f>
        <v>8.2000000000067384E-3</v>
      </c>
      <c r="I33" s="30" t="str">
        <f>Contribution!S33</f>
        <v>SEK3M9Y=</v>
      </c>
      <c r="J33" s="30" t="str">
        <f t="shared" si="3"/>
        <v>SEKAB3S9Y=ICAP</v>
      </c>
      <c r="K33" s="33"/>
      <c r="L33" s="25" t="str">
        <f>_xll.qlSwapIndex(,IborIndexFamily,C33,SettlementDays,Currency,Calendar,FixedLegTenor,FixedLegBDC,FixedLegDayCounter,IborIndex,DiscountingCurve,,Trigger)</f>
        <v>obj_00329#0000</v>
      </c>
      <c r="M33" s="57"/>
      <c r="N33" s="62"/>
      <c r="O33" s="57"/>
      <c r="P33" s="62"/>
      <c r="Q33" s="33"/>
      <c r="R33" s="33"/>
    </row>
    <row r="34" spans="1:19" x14ac:dyDescent="0.2">
      <c r="A34" s="62"/>
      <c r="B34" s="16"/>
      <c r="C34" s="16" t="s">
        <v>34</v>
      </c>
      <c r="D34" s="24" t="s">
        <v>52</v>
      </c>
      <c r="E34" s="40">
        <f t="shared" si="6"/>
        <v>42086</v>
      </c>
      <c r="F34" s="40">
        <f>_xll.qlInterestRateIndexValueDate(L34,E34,Trigger)</f>
        <v>42088</v>
      </c>
      <c r="G34" s="40">
        <f>_xll.qlInterestRateIndexMaturity(L34,F34,Trigger)</f>
        <v>45741</v>
      </c>
      <c r="H34" s="39">
        <f>_xll.qlIndexFixing(L34,E34,TRUE,InterestRateTrigger)</f>
        <v>8.9500000000058526E-3</v>
      </c>
      <c r="I34" s="30" t="str">
        <f>Contribution!S34</f>
        <v>SEK3M10Y=</v>
      </c>
      <c r="J34" s="30" t="str">
        <f t="shared" si="3"/>
        <v>SEKAB3S10Y=ICAP</v>
      </c>
      <c r="K34" s="33"/>
      <c r="L34" s="25" t="str">
        <f>_xll.qlSwapIndex(,IborIndexFamily,C34,SettlementDays,Currency,Calendar,FixedLegTenor,FixedLegBDC,FixedLegDayCounter,IborIndex,DiscountingCurve,,Trigger)</f>
        <v>obj_00341#0000</v>
      </c>
      <c r="M34" s="57"/>
      <c r="N34" s="62"/>
      <c r="O34" s="57"/>
      <c r="P34" s="62"/>
      <c r="Q34" s="33"/>
      <c r="R34" s="33"/>
    </row>
    <row r="35" spans="1:19" x14ac:dyDescent="0.2">
      <c r="A35" s="62"/>
      <c r="B35" s="16"/>
      <c r="C35" s="16" t="s">
        <v>35</v>
      </c>
      <c r="D35" s="24" t="s">
        <v>52</v>
      </c>
      <c r="E35" s="40">
        <f t="shared" si="6"/>
        <v>42086</v>
      </c>
      <c r="F35" s="40">
        <f>_xll.qlInterestRateIndexValueDate(L35,E35,Trigger)</f>
        <v>42088</v>
      </c>
      <c r="G35" s="40">
        <f>_xll.qlInterestRateIndexMaturity(L35,F35,Trigger)</f>
        <v>46471</v>
      </c>
      <c r="H35" s="39">
        <f>_xll.qlIndexFixing(L35,E35,TRUE,InterestRateTrigger)</f>
        <v>1.0175000000005168E-2</v>
      </c>
      <c r="I35" s="30" t="str">
        <f>Contribution!S35</f>
        <v>SEK3M12Y=</v>
      </c>
      <c r="J35" s="30" t="str">
        <f t="shared" si="3"/>
        <v>SEKAB3S12Y=ICAP</v>
      </c>
      <c r="K35" s="33"/>
      <c r="L35" s="25" t="str">
        <f>_xll.qlSwapIndex(,IborIndexFamily,C35,SettlementDays,Currency,Calendar,FixedLegTenor,FixedLegBDC,FixedLegDayCounter,IborIndex,DiscountingCurve,,Trigger)</f>
        <v>obj_0031e#0000</v>
      </c>
      <c r="M35" s="57"/>
      <c r="N35" s="62"/>
      <c r="O35" s="57"/>
      <c r="P35" s="62"/>
      <c r="Q35" s="33"/>
      <c r="R35" s="33"/>
    </row>
    <row r="36" spans="1:19" x14ac:dyDescent="0.2">
      <c r="A36" s="62"/>
      <c r="B36" s="16"/>
      <c r="C36" s="16" t="s">
        <v>36</v>
      </c>
      <c r="D36" s="24" t="s">
        <v>52</v>
      </c>
      <c r="E36" s="40">
        <f t="shared" si="6"/>
        <v>42086</v>
      </c>
      <c r="F36" s="40">
        <f>_xll.qlInterestRateIndexValueDate(L36,E36,Trigger)</f>
        <v>42088</v>
      </c>
      <c r="G36" s="40">
        <f>_xll.qlInterestRateIndexMaturity(L36,F36,Trigger)</f>
        <v>47567</v>
      </c>
      <c r="H36" s="39">
        <f>_xll.qlIndexFixing(L36,E36,TRUE,InterestRateTrigger)</f>
        <v>1.1549999999989692E-2</v>
      </c>
      <c r="I36" s="30" t="str">
        <f>Contribution!S36</f>
        <v>SEK3M15Y=</v>
      </c>
      <c r="J36" s="30" t="str">
        <f t="shared" si="3"/>
        <v>SEKAB3S15Y=ICAP</v>
      </c>
      <c r="K36" s="33"/>
      <c r="L36" s="25" t="str">
        <f>_xll.qlSwapIndex(,IborIndexFamily,C36,SettlementDays,Currency,Calendar,FixedLegTenor,FixedLegBDC,FixedLegDayCounter,IborIndex,DiscountingCurve,,Trigger)</f>
        <v>obj_00343#0000</v>
      </c>
      <c r="M36" s="57"/>
      <c r="N36" s="62"/>
      <c r="O36" s="57"/>
      <c r="P36" s="62"/>
      <c r="Q36" s="33"/>
      <c r="R36" s="33"/>
    </row>
    <row r="37" spans="1:19" x14ac:dyDescent="0.2">
      <c r="A37" s="62"/>
      <c r="B37" s="16"/>
      <c r="C37" s="16" t="s">
        <v>37</v>
      </c>
      <c r="D37" s="24" t="s">
        <v>52</v>
      </c>
      <c r="E37" s="40">
        <f t="shared" si="6"/>
        <v>42086</v>
      </c>
      <c r="F37" s="40">
        <f>_xll.qlInterestRateIndexValueDate(L37,E37,Trigger)</f>
        <v>42088</v>
      </c>
      <c r="G37" s="40">
        <f>_xll.qlInterestRateIndexMaturity(L37,F37,Trigger)</f>
        <v>49395</v>
      </c>
      <c r="H37" s="39">
        <f>_xll.qlIndexFixing(L37,E37,TRUE,InterestRateTrigger)</f>
        <v>1.3100000000004362E-2</v>
      </c>
      <c r="I37" s="30" t="str">
        <f>Contribution!S37</f>
        <v>SEK3M20Y=</v>
      </c>
      <c r="J37" s="30" t="str">
        <f t="shared" si="3"/>
        <v>SEKAB3S20Y=ICAP</v>
      </c>
      <c r="K37" s="33"/>
      <c r="L37" s="25" t="str">
        <f>_xll.qlSwapIndex(,IborIndexFamily,C37,SettlementDays,Currency,Calendar,FixedLegTenor,FixedLegBDC,FixedLegDayCounter,IborIndex,DiscountingCurve,,Trigger)</f>
        <v>obj_00347#0000</v>
      </c>
      <c r="M37" s="57"/>
      <c r="N37" s="62"/>
      <c r="O37" s="62"/>
      <c r="P37" s="57"/>
      <c r="Q37" s="33"/>
      <c r="R37" s="33"/>
    </row>
    <row r="38" spans="1:19" x14ac:dyDescent="0.2">
      <c r="A38" s="62"/>
      <c r="B38" s="16"/>
      <c r="C38" s="16" t="s">
        <v>38</v>
      </c>
      <c r="D38" s="24" t="s">
        <v>52</v>
      </c>
      <c r="E38" s="40">
        <f t="shared" si="6"/>
        <v>42086</v>
      </c>
      <c r="F38" s="40">
        <f>_xll.qlInterestRateIndexValueDate(L38,E38,Trigger)</f>
        <v>42088</v>
      </c>
      <c r="G38" s="40">
        <f>_xll.qlInterestRateIndexMaturity(L38,F38,Trigger)</f>
        <v>51221</v>
      </c>
      <c r="H38" s="39">
        <f>_xll.qlIndexFixing(L38,E38,TRUE,InterestRateTrigger)</f>
        <v>1.3850000000002959E-2</v>
      </c>
      <c r="I38" s="30" t="str">
        <f>Contribution!S38</f>
        <v>SEK3M25Y=</v>
      </c>
      <c r="J38" s="30" t="str">
        <f t="shared" si="3"/>
        <v>SEKAB3S25Y=ICAP</v>
      </c>
      <c r="K38" s="33"/>
      <c r="L38" s="25" t="str">
        <f>_xll.qlSwapIndex(,IborIndexFamily,C38,SettlementDays,Currency,Calendar,FixedLegTenor,FixedLegBDC,FixedLegDayCounter,IborIndex,DiscountingCurve,,Trigger)</f>
        <v>obj_00333#0000</v>
      </c>
      <c r="M38" s="57"/>
      <c r="N38" s="62"/>
      <c r="O38" s="57"/>
      <c r="P38" s="62"/>
      <c r="Q38" s="33"/>
      <c r="R38" s="33"/>
    </row>
    <row r="39" spans="1:19" x14ac:dyDescent="0.2">
      <c r="A39" s="62"/>
      <c r="B39" s="17"/>
      <c r="C39" s="17" t="s">
        <v>39</v>
      </c>
      <c r="D39" s="26" t="s">
        <v>52</v>
      </c>
      <c r="E39" s="41">
        <f t="shared" si="6"/>
        <v>42086</v>
      </c>
      <c r="F39" s="41">
        <f>_xll.qlInterestRateIndexValueDate(L39,E39,Trigger)</f>
        <v>42088</v>
      </c>
      <c r="G39" s="41">
        <f>_xll.qlInterestRateIndexMaturity(L39,F39,Trigger)</f>
        <v>53048</v>
      </c>
      <c r="H39" s="42">
        <f>_xll.qlIndexFixing(L39,E39,TRUE,InterestRateTrigger)</f>
        <v>1.4100000000002074E-2</v>
      </c>
      <c r="I39" s="32" t="str">
        <f>Contribution!S39</f>
        <v>SEK3M30Y=</v>
      </c>
      <c r="J39" s="32" t="str">
        <f t="shared" si="3"/>
        <v>SEKAB3S30Y=ICAP</v>
      </c>
      <c r="K39" s="33"/>
      <c r="L39" s="27" t="str">
        <f>_xll.qlSwapIndex(,IborIndexFamily,C39,SettlementDays,Currency,Calendar,FixedLegTenor,FixedLegBDC,FixedLegDayCounter,IborIndex,DiscountingCurve,,Trigger)</f>
        <v>obj_00342#0000</v>
      </c>
      <c r="M39" s="57"/>
      <c r="N39" s="62"/>
      <c r="O39" s="57"/>
      <c r="P39" s="62"/>
      <c r="Q39" s="62"/>
      <c r="R39" s="62"/>
      <c r="S39" s="62"/>
    </row>
    <row r="40" spans="1:19" x14ac:dyDescent="0.2">
      <c r="A40" s="62"/>
      <c r="B40" s="62"/>
      <c r="K40" s="33"/>
      <c r="M40" s="57"/>
      <c r="N40" s="62"/>
      <c r="O40" s="57"/>
      <c r="P40" s="62"/>
      <c r="Q40" s="33"/>
      <c r="R40" s="33"/>
    </row>
    <row r="41" spans="1:19" x14ac:dyDescent="0.2">
      <c r="A41" s="62"/>
      <c r="B41" s="62"/>
      <c r="K41" s="33"/>
      <c r="M41" s="62"/>
      <c r="N41" s="62"/>
      <c r="O41" s="33"/>
      <c r="P41" s="62"/>
      <c r="Q41" s="33"/>
      <c r="R41" s="33"/>
    </row>
    <row r="42" spans="1:19" x14ac:dyDescent="0.2">
      <c r="A42" s="62"/>
      <c r="B42" s="62"/>
      <c r="K42" s="33"/>
      <c r="M42" s="62"/>
      <c r="N42" s="62"/>
      <c r="O42" s="33"/>
      <c r="P42" s="33"/>
      <c r="Q42" s="33"/>
      <c r="R42" s="33"/>
    </row>
    <row r="43" spans="1:19" x14ac:dyDescent="0.2">
      <c r="A43" s="62"/>
      <c r="B43" s="62"/>
      <c r="K43" s="33"/>
      <c r="Q43" s="62"/>
      <c r="R43" s="33"/>
    </row>
    <row r="44" spans="1:19" x14ac:dyDescent="0.2">
      <c r="A44" s="62"/>
      <c r="B44" s="62"/>
      <c r="K44" s="33"/>
      <c r="R44" s="33"/>
    </row>
    <row r="45" spans="1:19" x14ac:dyDescent="0.2">
      <c r="A45" s="62"/>
      <c r="B45" s="62"/>
      <c r="K45" s="33"/>
    </row>
    <row r="46" spans="1:19" x14ac:dyDescent="0.2">
      <c r="A46" s="62"/>
      <c r="B46" s="62"/>
      <c r="K46" s="62"/>
    </row>
    <row r="47" spans="1:19" x14ac:dyDescent="0.2">
      <c r="K47" s="62"/>
      <c r="L47" s="62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8" style="4" bestFit="1" customWidth="1"/>
    <col min="9" max="9" width="13.140625" style="4" bestFit="1" customWidth="1"/>
    <col min="10" max="10" width="17.28515625" style="4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4" hidden="1" customWidth="1" outlineLevel="1"/>
    <col min="14" max="14" width="14.140625" style="4" hidden="1" customWidth="1" outlineLevel="1"/>
    <col min="15" max="16" width="19.28515625" style="1" hidden="1" customWidth="1" outlineLevel="1"/>
    <col min="17" max="17" width="2.7109375" style="1" customWidth="1" collapsed="1"/>
    <col min="18" max="82" width="27.28515625" style="1" customWidth="1"/>
    <col min="83" max="16384" width="2.85546875" style="1"/>
  </cols>
  <sheetData>
    <row r="1" spans="1:18" x14ac:dyDescent="0.2">
      <c r="D1" s="18" t="s">
        <v>60</v>
      </c>
      <c r="E1" s="59" t="s">
        <v>14</v>
      </c>
    </row>
    <row r="2" spans="1:18" x14ac:dyDescent="0.2">
      <c r="A2" s="62"/>
      <c r="B2" s="62"/>
      <c r="C2" s="57"/>
      <c r="D2" s="18" t="s">
        <v>61</v>
      </c>
      <c r="E2" s="59" t="str">
        <f>Currency&amp;CurveTenor</f>
        <v>SEK6M</v>
      </c>
      <c r="F2" s="62"/>
      <c r="G2" s="62"/>
      <c r="H2" s="62"/>
      <c r="I2" s="62"/>
      <c r="J2" s="62"/>
      <c r="K2" s="47"/>
      <c r="M2" s="47"/>
      <c r="N2" s="47"/>
      <c r="O2" s="47"/>
      <c r="P2" s="47"/>
      <c r="Q2" s="62"/>
      <c r="R2" s="33"/>
    </row>
    <row r="3" spans="1:18" x14ac:dyDescent="0.2">
      <c r="A3" s="62"/>
      <c r="B3" s="62"/>
      <c r="D3" s="18" t="s">
        <v>40</v>
      </c>
      <c r="E3" s="59" t="str">
        <f>IborIndexFamily&amp;CurveTenor</f>
        <v>Sekibor6M</v>
      </c>
      <c r="F3" s="62"/>
      <c r="G3" s="62"/>
      <c r="H3" s="62"/>
      <c r="I3" s="62"/>
      <c r="J3" s="62"/>
      <c r="N3" s="47"/>
      <c r="O3" s="47"/>
      <c r="P3" s="47"/>
      <c r="Q3" s="62"/>
      <c r="R3" s="33"/>
    </row>
    <row r="4" spans="1:18" x14ac:dyDescent="0.2">
      <c r="A4" s="62"/>
      <c r="B4" s="62"/>
      <c r="C4" s="57"/>
      <c r="D4" s="62"/>
      <c r="E4" s="62"/>
      <c r="F4" s="62"/>
      <c r="G4" s="62"/>
      <c r="H4" s="62"/>
      <c r="I4" s="62"/>
      <c r="J4" s="62"/>
      <c r="K4" s="47"/>
      <c r="L4" s="47"/>
      <c r="M4" s="47"/>
      <c r="N4" s="47"/>
      <c r="O4" s="47"/>
      <c r="P4" s="47"/>
      <c r="Q4" s="62"/>
      <c r="R4" s="33"/>
    </row>
    <row r="5" spans="1:18" x14ac:dyDescent="0.2">
      <c r="A5" s="62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33"/>
      <c r="L5" s="58" t="s">
        <v>75</v>
      </c>
      <c r="M5" s="62"/>
      <c r="N5" s="62"/>
      <c r="O5" s="62"/>
      <c r="P5" s="62"/>
      <c r="Q5" s="33"/>
      <c r="R5" s="33"/>
    </row>
    <row r="6" spans="1:18" x14ac:dyDescent="0.2">
      <c r="A6" s="62"/>
      <c r="B6" s="16">
        <f t="shared" ref="B6:B17" si="0">G6-EvaluationDate</f>
        <v>1</v>
      </c>
      <c r="C6" s="15" t="s">
        <v>15</v>
      </c>
      <c r="D6" s="24" t="s">
        <v>76</v>
      </c>
      <c r="E6" s="37">
        <f t="shared" ref="E6:E17" si="1">EvaluationDate</f>
        <v>42086</v>
      </c>
      <c r="F6" s="37">
        <f>E6</f>
        <v>42086</v>
      </c>
      <c r="G6" s="37">
        <f>_xll.qlCalendarAdvance(Calendar,F6,"1D","f",TRUE,Trigger)</f>
        <v>42087</v>
      </c>
      <c r="H6" s="43">
        <f>_xll.qlInterpolationInterpolate(Interpolation,B6,TRUE)</f>
        <v>-4.0768964136895478E-4</v>
      </c>
      <c r="I6" s="44"/>
      <c r="J6" s="45"/>
      <c r="K6" s="33"/>
      <c r="L6" s="59" t="str">
        <f>_xll.qlInterpolation(,InterpolationType,B8:B17,H8:H17,,Trigger)</f>
        <v>obj_0035d#0000</v>
      </c>
      <c r="M6" s="62"/>
      <c r="N6" s="62"/>
      <c r="O6" s="62"/>
      <c r="P6" s="62"/>
      <c r="Q6" s="33"/>
      <c r="R6" s="33"/>
    </row>
    <row r="7" spans="1:18" x14ac:dyDescent="0.2">
      <c r="A7" s="62"/>
      <c r="B7" s="16">
        <f t="shared" si="0"/>
        <v>2</v>
      </c>
      <c r="C7" s="16" t="s">
        <v>73</v>
      </c>
      <c r="D7" s="24" t="s">
        <v>76</v>
      </c>
      <c r="E7" s="40">
        <f t="shared" si="1"/>
        <v>42086</v>
      </c>
      <c r="F7" s="40">
        <f>G6</f>
        <v>42087</v>
      </c>
      <c r="G7" s="40">
        <f>_xll.qlCalendarAdvance(Calendar,F7,"1D","f",TRUE,Trigger)</f>
        <v>42088</v>
      </c>
      <c r="H7" s="111">
        <f>_xll.qlInterpolationInterpolate(Interpolation,B7,TRUE)</f>
        <v>-4.0785416222941E-4</v>
      </c>
      <c r="I7" s="46"/>
      <c r="J7" s="112"/>
      <c r="K7" s="33"/>
      <c r="L7" s="5" t="s">
        <v>40</v>
      </c>
      <c r="M7" s="57"/>
      <c r="N7" s="58" t="s">
        <v>72</v>
      </c>
      <c r="O7" s="58" t="s">
        <v>69</v>
      </c>
      <c r="P7" s="58" t="s">
        <v>70</v>
      </c>
      <c r="Q7" s="33"/>
      <c r="R7" s="33"/>
    </row>
    <row r="8" spans="1:18" x14ac:dyDescent="0.2">
      <c r="A8" s="62"/>
      <c r="B8" s="15">
        <f t="shared" si="0"/>
        <v>3</v>
      </c>
      <c r="C8" s="15" t="s">
        <v>74</v>
      </c>
      <c r="D8" s="23" t="s">
        <v>53</v>
      </c>
      <c r="E8" s="37">
        <f t="shared" si="1"/>
        <v>42086</v>
      </c>
      <c r="F8" s="37">
        <f>_xll.qlInterestRateIndexValueDate(L8,E8,Trigger)</f>
        <v>42088</v>
      </c>
      <c r="G8" s="37">
        <f>_xll.qlInterestRateIndexMaturity(L8,F8,Trigger)</f>
        <v>42089</v>
      </c>
      <c r="H8" s="43">
        <f>_xll.qlIndexFixing(L8,E8,TRUE,InterestRateTrigger)</f>
        <v>-4.0800712896249536E-4</v>
      </c>
      <c r="I8" s="44" t="str">
        <f>Contribution!V8</f>
        <v>SEK6MSND=</v>
      </c>
      <c r="J8" s="45"/>
      <c r="K8" s="33"/>
      <c r="L8" s="60" t="str">
        <f>_xll.qlIborIndex(,IborIndexFamily,IF(C8="SN","1D",IF(C8="SW","1W",C8)),SettlementDays,Currency,Calendar,BDayConvention,EndOfMonth,DayCounter,YieldCurve,,Trigger)</f>
        <v>obj_00351#0000</v>
      </c>
      <c r="M8" s="57"/>
      <c r="N8" s="59" t="b">
        <v>1</v>
      </c>
      <c r="O8" s="59" t="s">
        <v>48</v>
      </c>
      <c r="P8" s="59" t="s">
        <v>106</v>
      </c>
      <c r="Q8" s="33"/>
      <c r="R8" s="33"/>
    </row>
    <row r="9" spans="1:18" x14ac:dyDescent="0.2">
      <c r="A9" s="62"/>
      <c r="B9" s="16">
        <f t="shared" si="0"/>
        <v>9</v>
      </c>
      <c r="C9" s="16" t="s">
        <v>16</v>
      </c>
      <c r="D9" s="24" t="s">
        <v>53</v>
      </c>
      <c r="E9" s="40">
        <f t="shared" si="1"/>
        <v>42086</v>
      </c>
      <c r="F9" s="40">
        <f>_xll.qlInterestRateIndexValueDate(L9,E9,Trigger)</f>
        <v>42088</v>
      </c>
      <c r="G9" s="40">
        <f>_xll.qlInterestRateIndexMaturity(L9,F9,Trigger)</f>
        <v>42095</v>
      </c>
      <c r="H9" s="39">
        <f>_xll.qlIndexFixing(L9,E9,TRUE,InterestRateTrigger)</f>
        <v>-4.0932932381895374E-4</v>
      </c>
      <c r="I9" s="30" t="str">
        <f>Contribution!V9</f>
        <v>SEK6MSWD=</v>
      </c>
      <c r="J9" s="30"/>
      <c r="K9" s="33"/>
      <c r="L9" s="25" t="str">
        <f>_xll.qlIborIndex(,IborIndexFamily,IF(C9="SN","1D",IF(C9="SW","1W",C9)),SettlementDays,Currency,Calendar,BDayConvention,EndOfMonth,DayCounter,YieldCurve,,Trigger)</f>
        <v>obj_0034f#0000</v>
      </c>
      <c r="M9" s="3"/>
      <c r="N9" s="62"/>
      <c r="O9" s="62"/>
      <c r="P9" s="62"/>
      <c r="Q9" s="33"/>
      <c r="R9" s="33"/>
    </row>
    <row r="10" spans="1:18" x14ac:dyDescent="0.2">
      <c r="A10" s="62"/>
      <c r="B10" s="16">
        <f t="shared" si="0"/>
        <v>16</v>
      </c>
      <c r="C10" s="16" t="s">
        <v>17</v>
      </c>
      <c r="D10" s="24" t="s">
        <v>53</v>
      </c>
      <c r="E10" s="40">
        <f t="shared" si="1"/>
        <v>42086</v>
      </c>
      <c r="F10" s="40">
        <f>_xll.qlInterestRateIndexValueDate(L10,E10,Trigger)</f>
        <v>42088</v>
      </c>
      <c r="G10" s="40">
        <f>_xll.qlInterestRateIndexMaturity(L10,F10,Trigger)</f>
        <v>42102</v>
      </c>
      <c r="H10" s="39">
        <f>_xll.qlIndexFixing(L10,E10,TRUE,InterestRateTrigger)</f>
        <v>-4.1338113243614771E-4</v>
      </c>
      <c r="I10" s="30" t="str">
        <f>Contribution!V10</f>
        <v>SEK6M2WD=</v>
      </c>
      <c r="J10" s="30"/>
      <c r="K10" s="33"/>
      <c r="L10" s="25" t="str">
        <f>_xll.qlIborIndex(,IborIndexFamily,IF(C10="SN","1D",IF(C10="SW","1W",C10)),SettlementDays,Currency,Calendar,BDayConvention,EndOfMonth,DayCounter,YieldCurve,,Trigger)</f>
        <v>obj_0033e#0000</v>
      </c>
      <c r="M10" s="3"/>
      <c r="N10" s="62"/>
      <c r="O10" s="62"/>
      <c r="P10" s="62"/>
      <c r="Q10" s="33"/>
      <c r="R10" s="33"/>
    </row>
    <row r="11" spans="1:18" x14ac:dyDescent="0.2">
      <c r="A11" s="62"/>
      <c r="B11" s="16">
        <f t="shared" si="0"/>
        <v>23</v>
      </c>
      <c r="C11" s="16" t="s">
        <v>18</v>
      </c>
      <c r="D11" s="24" t="s">
        <v>53</v>
      </c>
      <c r="E11" s="40">
        <f t="shared" si="1"/>
        <v>42086</v>
      </c>
      <c r="F11" s="40">
        <f>_xll.qlInterestRateIndexValueDate(L11,E11,Trigger)</f>
        <v>42088</v>
      </c>
      <c r="G11" s="40">
        <f>_xll.qlInterestRateIndexMaturity(L11,F11,Trigger)</f>
        <v>42109</v>
      </c>
      <c r="H11" s="39">
        <f>_xll.qlIndexFixing(L11,E11,TRUE,InterestRateTrigger)</f>
        <v>-4.2013514419839533E-4</v>
      </c>
      <c r="I11" s="30" t="str">
        <f>Contribution!V11</f>
        <v>SEK6M3WD=</v>
      </c>
      <c r="J11" s="30"/>
      <c r="K11" s="33"/>
      <c r="L11" s="25" t="str">
        <f>_xll.qlIborIndex(,IborIndexFamily,IF(C11="SN","1D",IF(C11="SW","1W",C11)),SettlementDays,Currency,Calendar,BDayConvention,EndOfMonth,DayCounter,YieldCurve,,Trigger)</f>
        <v>obj_00321#0000</v>
      </c>
      <c r="M11" s="3"/>
      <c r="N11" s="62"/>
      <c r="O11" s="62"/>
      <c r="P11" s="62"/>
      <c r="Q11" s="33"/>
      <c r="R11" s="33"/>
    </row>
    <row r="12" spans="1:18" x14ac:dyDescent="0.2">
      <c r="A12" s="62"/>
      <c r="B12" s="16">
        <f t="shared" si="0"/>
        <v>35</v>
      </c>
      <c r="C12" s="16" t="s">
        <v>19</v>
      </c>
      <c r="D12" s="24" t="s">
        <v>53</v>
      </c>
      <c r="E12" s="40">
        <f t="shared" si="1"/>
        <v>42086</v>
      </c>
      <c r="F12" s="40">
        <f>_xll.qlInterestRateIndexValueDate(L12,E12,Trigger)</f>
        <v>42088</v>
      </c>
      <c r="G12" s="40">
        <f>_xll.qlInterestRateIndexMaturity(L12,F12,Trigger)</f>
        <v>42121</v>
      </c>
      <c r="H12" s="39">
        <f>_xll.qlIndexFixing(L12,E12,TRUE,InterestRateTrigger)</f>
        <v>-4.3799999999896954E-4</v>
      </c>
      <c r="I12" s="30" t="str">
        <f>Contribution!V12</f>
        <v>SEK6M1MD=</v>
      </c>
      <c r="J12" s="30"/>
      <c r="K12" s="33"/>
      <c r="L12" s="25" t="str">
        <f>_xll.qlIborIndex(,IborIndexFamily,IF(C12="SN","1D",IF(C12="SW","1W",C12)),SettlementDays,Currency,Calendar,BDayConvention,EndOfMonth,DayCounter,YieldCurve,,Trigger)</f>
        <v>obj_0031c#0000</v>
      </c>
      <c r="M12" s="3"/>
      <c r="N12" s="62"/>
      <c r="O12" s="62"/>
      <c r="P12" s="62"/>
      <c r="Q12" s="33"/>
      <c r="R12" s="33"/>
    </row>
    <row r="13" spans="1:18" x14ac:dyDescent="0.2">
      <c r="A13" s="62"/>
      <c r="B13" s="16">
        <f t="shared" si="0"/>
        <v>64</v>
      </c>
      <c r="C13" s="16" t="s">
        <v>20</v>
      </c>
      <c r="D13" s="24" t="s">
        <v>53</v>
      </c>
      <c r="E13" s="40">
        <f t="shared" si="1"/>
        <v>42086</v>
      </c>
      <c r="F13" s="40">
        <f>_xll.qlInterestRateIndexValueDate(L13,E13,Trigger)</f>
        <v>42088</v>
      </c>
      <c r="G13" s="40">
        <f>_xll.qlInterestRateIndexMaturity(L13,F13,Trigger)</f>
        <v>42150</v>
      </c>
      <c r="H13" s="39">
        <f>_xll.qlIndexFixing(L13,E13,TRUE,InterestRateTrigger)</f>
        <v>-4.9100000000059936E-4</v>
      </c>
      <c r="I13" s="30" t="str">
        <f>Contribution!V13</f>
        <v>SEK6M2MD=</v>
      </c>
      <c r="J13" s="30"/>
      <c r="K13" s="33"/>
      <c r="L13" s="25" t="str">
        <f>_xll.qlIborIndex(,IborIndexFamily,IF(C13="SN","1D",IF(C13="SW","1W",C13)),SettlementDays,Currency,Calendar,BDayConvention,EndOfMonth,DayCounter,YieldCurve,,Trigger)</f>
        <v>obj_0033d#0000</v>
      </c>
      <c r="M13" s="3"/>
      <c r="N13" s="47"/>
      <c r="O13" s="47"/>
      <c r="P13" s="47"/>
      <c r="Q13" s="33"/>
      <c r="R13" s="33"/>
    </row>
    <row r="14" spans="1:18" x14ac:dyDescent="0.2">
      <c r="A14" s="62"/>
      <c r="B14" s="16">
        <f t="shared" si="0"/>
        <v>94</v>
      </c>
      <c r="C14" s="16" t="s">
        <v>21</v>
      </c>
      <c r="D14" s="24" t="s">
        <v>53</v>
      </c>
      <c r="E14" s="40">
        <f t="shared" si="1"/>
        <v>42086</v>
      </c>
      <c r="F14" s="40">
        <f>_xll.qlInterestRateIndexValueDate(L14,E14,Trigger)</f>
        <v>42088</v>
      </c>
      <c r="G14" s="40">
        <f>_xll.qlInterestRateIndexMaturity(L14,F14,Trigger)</f>
        <v>42180</v>
      </c>
      <c r="H14" s="39">
        <f>_xll.qlIndexFixing(L14,E14,TRUE,InterestRateTrigger)</f>
        <v>-5.1200000000000041E-4</v>
      </c>
      <c r="I14" s="30" t="str">
        <f>Contribution!V14</f>
        <v>SEK6M3MD=</v>
      </c>
      <c r="J14" s="30"/>
      <c r="K14" s="33"/>
      <c r="L14" s="25" t="str">
        <f>_xll.qlIborIndex(,IborIndexFamily,IF(C14="SN","1D",IF(C14="SW","1W",C14)),SettlementDays,Currency,Calendar,BDayConvention,EndOfMonth,DayCounter,YieldCurve,,Trigger)</f>
        <v>obj_00336#0000</v>
      </c>
      <c r="M14" s="3"/>
      <c r="N14" s="47"/>
      <c r="O14" s="47"/>
      <c r="P14" s="47"/>
      <c r="Q14" s="33"/>
      <c r="R14" s="33"/>
    </row>
    <row r="15" spans="1:18" x14ac:dyDescent="0.2">
      <c r="A15" s="62"/>
      <c r="B15" s="16">
        <f t="shared" si="0"/>
        <v>126</v>
      </c>
      <c r="C15" s="16" t="s">
        <v>22</v>
      </c>
      <c r="D15" s="24" t="s">
        <v>53</v>
      </c>
      <c r="E15" s="40">
        <f t="shared" si="1"/>
        <v>42086</v>
      </c>
      <c r="F15" s="40">
        <f>_xll.qlInterestRateIndexValueDate(L15,E15,Trigger)</f>
        <v>42088</v>
      </c>
      <c r="G15" s="40">
        <f>_xll.qlInterestRateIndexMaturity(L15,F15,Trigger)</f>
        <v>42212</v>
      </c>
      <c r="H15" s="39">
        <f>_xll.qlIndexFixing(L15,E15,TRUE,InterestRateTrigger)</f>
        <v>-4.9799999952417474E-4</v>
      </c>
      <c r="I15" s="30" t="str">
        <f>Contribution!V15</f>
        <v>SEK6M4MD=</v>
      </c>
      <c r="J15" s="30"/>
      <c r="K15" s="33"/>
      <c r="L15" s="25" t="str">
        <f>_xll.qlIborIndex(,IborIndexFamily,IF(C15="SN","1D",IF(C15="SW","1W",C15)),SettlementDays,Currency,Calendar,BDayConvention,EndOfMonth,DayCounter,YieldCurve,,Trigger)</f>
        <v>obj_0035b#0000</v>
      </c>
      <c r="M15" s="3"/>
      <c r="N15" s="47"/>
      <c r="O15" s="47"/>
      <c r="P15" s="47"/>
      <c r="Q15" s="33"/>
      <c r="R15" s="33"/>
    </row>
    <row r="16" spans="1:18" x14ac:dyDescent="0.2">
      <c r="A16" s="62"/>
      <c r="B16" s="16">
        <f t="shared" si="0"/>
        <v>155</v>
      </c>
      <c r="C16" s="16" t="s">
        <v>23</v>
      </c>
      <c r="D16" s="24" t="s">
        <v>53</v>
      </c>
      <c r="E16" s="40">
        <f t="shared" si="1"/>
        <v>42086</v>
      </c>
      <c r="F16" s="40">
        <f>_xll.qlInterestRateIndexValueDate(L16,E16,Trigger)</f>
        <v>42088</v>
      </c>
      <c r="G16" s="40">
        <f>_xll.qlInterestRateIndexMaturity(L16,F16,Trigger)</f>
        <v>42241</v>
      </c>
      <c r="H16" s="39">
        <f>_xll.qlIndexFixing(L16,E16,TRUE,InterestRateTrigger)</f>
        <v>-4.8100000046095748E-4</v>
      </c>
      <c r="I16" s="30" t="str">
        <f>Contribution!V16</f>
        <v>SEK6M5MD=</v>
      </c>
      <c r="J16" s="30"/>
      <c r="K16" s="33"/>
      <c r="L16" s="27" t="str">
        <f>_xll.qlIborIndex(,IborIndexFamily,IF(C16="SN","1D",IF(C16="SW","1W",C16)),SettlementDays,Currency,Calendar,BDayConvention,EndOfMonth,DayCounter,YieldCurve,,Trigger)</f>
        <v>obj_0034e#0000</v>
      </c>
      <c r="M16" s="3"/>
      <c r="N16" s="47"/>
      <c r="O16" s="47"/>
      <c r="P16" s="47"/>
      <c r="Q16" s="33"/>
      <c r="R16" s="33"/>
    </row>
    <row r="17" spans="1:18" x14ac:dyDescent="0.2">
      <c r="A17" s="62"/>
      <c r="B17" s="142">
        <f t="shared" si="0"/>
        <v>186</v>
      </c>
      <c r="C17" s="142" t="s">
        <v>14</v>
      </c>
      <c r="D17" s="143" t="s">
        <v>53</v>
      </c>
      <c r="E17" s="144">
        <f t="shared" si="1"/>
        <v>42086</v>
      </c>
      <c r="F17" s="144">
        <f>_xll.qlInterestRateIndexValueDate(IborIndex,E17,Trigger)</f>
        <v>42088</v>
      </c>
      <c r="G17" s="144">
        <f>_xll.qlInterestRateIndexMaturity(IborIndex,F17,Trigger)</f>
        <v>42272</v>
      </c>
      <c r="H17" s="145">
        <f>_xll.qlIndexFixing(IborIndex,E17,TRUE,InterestRateTrigger)</f>
        <v>-4.4999999999990702E-4</v>
      </c>
      <c r="I17" s="146" t="str">
        <f>Contribution!V17</f>
        <v>SEK6M6MD=</v>
      </c>
      <c r="J17" s="146" t="s">
        <v>107</v>
      </c>
      <c r="K17" s="33"/>
      <c r="L17" s="62"/>
      <c r="M17" s="3"/>
      <c r="N17" s="47"/>
      <c r="O17" s="47"/>
      <c r="P17" s="47"/>
      <c r="Q17" s="33"/>
      <c r="R17" s="33"/>
    </row>
    <row r="18" spans="1:18" x14ac:dyDescent="0.2">
      <c r="A18" s="62"/>
      <c r="B18" s="17"/>
      <c r="C18" s="17"/>
      <c r="D18" s="26"/>
      <c r="E18" s="41"/>
      <c r="F18" s="41"/>
      <c r="G18" s="41"/>
      <c r="H18" s="42"/>
      <c r="I18" s="32"/>
      <c r="J18" s="32"/>
      <c r="K18" s="33"/>
      <c r="L18" s="62"/>
      <c r="M18" s="3"/>
      <c r="N18" s="47"/>
      <c r="O18" s="47"/>
      <c r="P18" s="47"/>
      <c r="Q18" s="33"/>
      <c r="R18" s="33"/>
    </row>
    <row r="19" spans="1:18" x14ac:dyDescent="0.2">
      <c r="A19" s="62"/>
      <c r="B19" s="15"/>
      <c r="C19" s="15"/>
      <c r="D19" s="23"/>
      <c r="E19" s="37"/>
      <c r="F19" s="37"/>
      <c r="G19" s="37"/>
      <c r="H19" s="77"/>
      <c r="I19" s="31"/>
      <c r="J19" s="31"/>
      <c r="K19" s="33"/>
      <c r="L19" s="62"/>
      <c r="M19" s="3"/>
      <c r="N19" s="47"/>
      <c r="O19" s="47"/>
      <c r="P19" s="47"/>
      <c r="Q19" s="33"/>
      <c r="R19" s="33"/>
    </row>
    <row r="20" spans="1:18" x14ac:dyDescent="0.2">
      <c r="A20" s="62"/>
      <c r="B20" s="16"/>
      <c r="C20" s="16"/>
      <c r="D20" s="24"/>
      <c r="E20" s="40"/>
      <c r="F20" s="40"/>
      <c r="G20" s="40"/>
      <c r="H20" s="78"/>
      <c r="I20" s="30"/>
      <c r="J20" s="30"/>
      <c r="K20" s="33"/>
      <c r="L20" s="62"/>
      <c r="M20" s="57"/>
      <c r="N20" s="62"/>
      <c r="O20" s="62"/>
      <c r="P20" s="62"/>
      <c r="Q20" s="33"/>
      <c r="R20" s="33"/>
    </row>
    <row r="21" spans="1:18" x14ac:dyDescent="0.2">
      <c r="A21" s="62"/>
      <c r="B21" s="16"/>
      <c r="C21" s="16"/>
      <c r="D21" s="24"/>
      <c r="E21" s="40"/>
      <c r="F21" s="40"/>
      <c r="G21" s="40"/>
      <c r="H21" s="78"/>
      <c r="I21" s="30"/>
      <c r="J21" s="30"/>
      <c r="K21" s="33"/>
      <c r="L21" s="62"/>
      <c r="M21" s="57"/>
      <c r="N21" s="62"/>
      <c r="O21" s="62"/>
      <c r="P21" s="62"/>
      <c r="Q21" s="33"/>
      <c r="R21" s="33"/>
    </row>
    <row r="22" spans="1:18" x14ac:dyDescent="0.2">
      <c r="A22" s="62"/>
      <c r="B22" s="16"/>
      <c r="C22" s="16"/>
      <c r="D22" s="24"/>
      <c r="E22" s="40"/>
      <c r="F22" s="40"/>
      <c r="G22" s="40"/>
      <c r="H22" s="78"/>
      <c r="I22" s="30"/>
      <c r="J22" s="30"/>
      <c r="K22" s="33"/>
      <c r="L22" s="62"/>
      <c r="M22" s="57"/>
      <c r="N22" s="62"/>
      <c r="O22" s="62"/>
      <c r="P22" s="62"/>
      <c r="Q22" s="33"/>
      <c r="R22" s="33"/>
    </row>
    <row r="23" spans="1:18" x14ac:dyDescent="0.2">
      <c r="A23" s="62"/>
      <c r="B23" s="16"/>
      <c r="C23" s="16"/>
      <c r="D23" s="24"/>
      <c r="E23" s="40"/>
      <c r="F23" s="40"/>
      <c r="G23" s="40"/>
      <c r="H23" s="78"/>
      <c r="I23" s="30"/>
      <c r="J23" s="30"/>
      <c r="K23" s="33"/>
      <c r="L23" s="62"/>
      <c r="M23" s="57"/>
      <c r="N23" s="62"/>
      <c r="O23" s="62"/>
      <c r="P23" s="62"/>
      <c r="Q23" s="33"/>
      <c r="R23" s="33"/>
    </row>
    <row r="24" spans="1:18" x14ac:dyDescent="0.2">
      <c r="A24" s="62"/>
      <c r="B24" s="17"/>
      <c r="C24" s="17"/>
      <c r="D24" s="26"/>
      <c r="E24" s="41"/>
      <c r="F24" s="41"/>
      <c r="G24" s="41"/>
      <c r="H24" s="79"/>
      <c r="I24" s="32"/>
      <c r="J24" s="32"/>
      <c r="K24" s="33"/>
      <c r="L24" s="61" t="s">
        <v>45</v>
      </c>
      <c r="M24" s="63"/>
      <c r="N24" s="58" t="s">
        <v>41</v>
      </c>
      <c r="O24" s="58" t="s">
        <v>62</v>
      </c>
      <c r="P24" s="58" t="s">
        <v>42</v>
      </c>
      <c r="Q24" s="33"/>
      <c r="R24" s="33"/>
    </row>
    <row r="25" spans="1:18" x14ac:dyDescent="0.2">
      <c r="A25" s="62"/>
      <c r="B25" s="15"/>
      <c r="C25" s="15" t="s">
        <v>25</v>
      </c>
      <c r="D25" s="23" t="s">
        <v>52</v>
      </c>
      <c r="E25" s="37">
        <f t="shared" ref="E25:E27" si="2">EvaluationDate</f>
        <v>42086</v>
      </c>
      <c r="F25" s="37">
        <f>_xll.qlInterestRateIndexValueDate(L25,E25,Trigger)</f>
        <v>42088</v>
      </c>
      <c r="G25" s="37">
        <f>_xll.qlInterestRateIndexMaturity(L25,F25,Trigger)</f>
        <v>42458</v>
      </c>
      <c r="H25" s="38">
        <f>_xll.qlIndexFixing(L25,E25,TRUE,InterestRateTrigger)</f>
        <v>-4.3623538733729601E-4</v>
      </c>
      <c r="I25" s="31" t="str">
        <f>Contribution!V25</f>
        <v>SEK6M1Y=</v>
      </c>
      <c r="J25" s="31" t="str">
        <f t="shared" ref="J25:J39" si="3">Currency&amp;"3S6S"&amp;C25&amp;"=ICAP"</f>
        <v>SEK3S6S1Y=ICAP</v>
      </c>
      <c r="K25" s="33"/>
      <c r="L25" s="60" t="str">
        <f>_xll.qlSwapIndex(,IborIndexFamily,C25,SettlementDays,Currency,Calendar,FixedLegTenor,FixedLegBDC,FixedLegDayCounter,IborIndex,DiscountingCurve,,Trigger)</f>
        <v>obj_0032f#0000</v>
      </c>
      <c r="M25" s="3"/>
      <c r="N25" s="59" t="s">
        <v>25</v>
      </c>
      <c r="O25" s="59" t="s">
        <v>48</v>
      </c>
      <c r="P25" s="59" t="s">
        <v>105</v>
      </c>
      <c r="Q25" s="33"/>
      <c r="R25" s="33"/>
    </row>
    <row r="26" spans="1:18" x14ac:dyDescent="0.2">
      <c r="A26" s="62"/>
      <c r="B26" s="16"/>
      <c r="C26" s="16" t="s">
        <v>26</v>
      </c>
      <c r="D26" s="24" t="s">
        <v>52</v>
      </c>
      <c r="E26" s="40">
        <f t="shared" si="2"/>
        <v>42086</v>
      </c>
      <c r="F26" s="40">
        <f>_xll.qlInterestRateIndexValueDate(L26,E26,Trigger)</f>
        <v>42088</v>
      </c>
      <c r="G26" s="40">
        <f>_xll.qlInterestRateIndexMaturity(L26,F26,Trigger)</f>
        <v>42821</v>
      </c>
      <c r="H26" s="39">
        <f>_xll.qlIndexFixing(L26,E26,TRUE,InterestRateTrigger)</f>
        <v>2.3970658132554441E-4</v>
      </c>
      <c r="I26" s="30" t="str">
        <f>Contribution!V26</f>
        <v>SEK6M2Y=</v>
      </c>
      <c r="J26" s="30" t="str">
        <f t="shared" si="3"/>
        <v>SEK3S6S2Y=ICAP</v>
      </c>
      <c r="K26" s="33"/>
      <c r="L26" s="25" t="str">
        <f>_xll.qlSwapIndex(,IborIndexFamily,C26,SettlementDays,Currency,Calendar,FixedLegTenor,FixedLegBDC,FixedLegDayCounter,IborIndex,DiscountingCurve,,Trigger)</f>
        <v>obj_00358#0000</v>
      </c>
      <c r="M26" s="57"/>
      <c r="N26" s="62"/>
      <c r="O26" s="57"/>
      <c r="P26" s="62"/>
      <c r="Q26" s="33"/>
      <c r="R26" s="33"/>
    </row>
    <row r="27" spans="1:18" x14ac:dyDescent="0.2">
      <c r="A27" s="62"/>
      <c r="B27" s="16"/>
      <c r="C27" s="16" t="s">
        <v>27</v>
      </c>
      <c r="D27" s="24" t="s">
        <v>52</v>
      </c>
      <c r="E27" s="40">
        <f t="shared" si="2"/>
        <v>42086</v>
      </c>
      <c r="F27" s="40">
        <f>_xll.qlInterestRateIndexValueDate(L27,E27,Trigger)</f>
        <v>42088</v>
      </c>
      <c r="G27" s="40">
        <f>_xll.qlInterestRateIndexMaturity(L27,F27,Trigger)</f>
        <v>43185</v>
      </c>
      <c r="H27" s="39">
        <f>_xll.qlIndexFixing(L27,E27,TRUE,InterestRateTrigger)</f>
        <v>1.5882204778771207E-3</v>
      </c>
      <c r="I27" s="30" t="str">
        <f>Contribution!V27</f>
        <v>SEK6M3Y=</v>
      </c>
      <c r="J27" s="30" t="str">
        <f t="shared" si="3"/>
        <v>SEK3S6S3Y=ICAP</v>
      </c>
      <c r="K27" s="33"/>
      <c r="L27" s="25" t="str">
        <f>_xll.qlSwapIndex(,IborIndexFamily,C27,SettlementDays,Currency,Calendar,FixedLegTenor,FixedLegBDC,FixedLegDayCounter,IborIndex,DiscountingCurve,,Trigger)</f>
        <v>obj_0034b#0000</v>
      </c>
      <c r="M27" s="57"/>
      <c r="N27" s="62"/>
      <c r="O27" s="57"/>
      <c r="P27" s="62"/>
      <c r="Q27" s="33"/>
      <c r="R27" s="33"/>
    </row>
    <row r="28" spans="1:18" x14ac:dyDescent="0.2">
      <c r="A28" s="62"/>
      <c r="B28" s="16"/>
      <c r="C28" s="16" t="s">
        <v>28</v>
      </c>
      <c r="D28" s="24" t="s">
        <v>52</v>
      </c>
      <c r="E28" s="40">
        <f t="shared" ref="E28:E29" si="4">EvaluationDate</f>
        <v>42086</v>
      </c>
      <c r="F28" s="40">
        <f>_xll.qlInterestRateIndexValueDate(L28,E28,Trigger)</f>
        <v>42088</v>
      </c>
      <c r="G28" s="40">
        <f>_xll.qlInterestRateIndexMaturity(L28,F28,Trigger)</f>
        <v>43549</v>
      </c>
      <c r="H28" s="39">
        <f>_xll.qlIndexFixing(L28,E28,TRUE,InterestRateTrigger)</f>
        <v>3.0856076319858532E-3</v>
      </c>
      <c r="I28" s="30" t="str">
        <f>Contribution!V28</f>
        <v>SEK6M4Y=</v>
      </c>
      <c r="J28" s="46" t="str">
        <f t="shared" si="3"/>
        <v>SEK3S6S4Y=ICAP</v>
      </c>
      <c r="K28" s="33"/>
      <c r="L28" s="25" t="str">
        <f>_xll.qlSwapIndex(,IborIndexFamily,C28,SettlementDays,Currency,Calendar,FixedLegTenor,FixedLegBDC,FixedLegDayCounter,IborIndex,DiscountingCurve,,Trigger)</f>
        <v>obj_00353#0000</v>
      </c>
      <c r="M28" s="57"/>
      <c r="N28" s="47"/>
      <c r="O28" s="3"/>
      <c r="P28" s="47"/>
      <c r="Q28" s="33"/>
      <c r="R28" s="33"/>
    </row>
    <row r="29" spans="1:18" x14ac:dyDescent="0.2">
      <c r="A29" s="62"/>
      <c r="B29" s="16"/>
      <c r="C29" s="16" t="s">
        <v>29</v>
      </c>
      <c r="D29" s="24" t="s">
        <v>52</v>
      </c>
      <c r="E29" s="40">
        <f t="shared" si="4"/>
        <v>42086</v>
      </c>
      <c r="F29" s="40">
        <f>_xll.qlInterestRateIndexValueDate(L29,E29,Trigger)</f>
        <v>42088</v>
      </c>
      <c r="G29" s="40">
        <f>_xll.qlInterestRateIndexMaturity(L29,F29,Trigger)</f>
        <v>43915</v>
      </c>
      <c r="H29" s="39">
        <f>_xll.qlIndexFixing(L29,E29,TRUE,InterestRateTrigger)</f>
        <v>4.5994495849480625E-3</v>
      </c>
      <c r="I29" s="30" t="str">
        <f>Contribution!V29</f>
        <v>SEK6M5Y=</v>
      </c>
      <c r="J29" s="46" t="str">
        <f t="shared" si="3"/>
        <v>SEK3S6S5Y=ICAP</v>
      </c>
      <c r="K29" s="33"/>
      <c r="L29" s="25" t="str">
        <f>_xll.qlSwapIndex(,IborIndexFamily,C29,SettlementDays,Currency,Calendar,FixedLegTenor,FixedLegBDC,FixedLegDayCounter,IborIndex,DiscountingCurve,,Trigger)</f>
        <v>obj_0032e#0000</v>
      </c>
      <c r="M29" s="57"/>
      <c r="N29" s="47"/>
      <c r="O29" s="3"/>
      <c r="P29" s="47"/>
      <c r="Q29" s="33"/>
      <c r="R29" s="33"/>
    </row>
    <row r="30" spans="1:18" x14ac:dyDescent="0.2">
      <c r="A30" s="62"/>
      <c r="B30" s="16"/>
      <c r="C30" s="16" t="s">
        <v>30</v>
      </c>
      <c r="D30" s="24" t="s">
        <v>52</v>
      </c>
      <c r="E30" s="40">
        <f t="shared" ref="E30:E39" si="5">EvaluationDate</f>
        <v>42086</v>
      </c>
      <c r="F30" s="40">
        <f>_xll.qlInterestRateIndexValueDate(L30,E30,Trigger)</f>
        <v>42088</v>
      </c>
      <c r="G30" s="40">
        <f>_xll.qlInterestRateIndexMaturity(L30,F30,Trigger)</f>
        <v>44280</v>
      </c>
      <c r="H30" s="39">
        <f>_xll.qlIndexFixing(L30,E30,TRUE,InterestRateTrigger)</f>
        <v>6.0066344015783125E-3</v>
      </c>
      <c r="I30" s="30" t="str">
        <f>Contribution!V30</f>
        <v>SEK6M6Y=</v>
      </c>
      <c r="J30" s="46" t="str">
        <f t="shared" si="3"/>
        <v>SEK3S6S6Y=ICAP</v>
      </c>
      <c r="K30" s="33"/>
      <c r="L30" s="25" t="str">
        <f>_xll.qlSwapIndex(,IborIndexFamily,C30,SettlementDays,Currency,Calendar,FixedLegTenor,FixedLegBDC,FixedLegDayCounter,IborIndex,DiscountingCurve,,Trigger)</f>
        <v>obj_00335#0000</v>
      </c>
      <c r="M30" s="57"/>
      <c r="N30" s="47"/>
      <c r="O30" s="3"/>
      <c r="P30" s="47"/>
      <c r="Q30" s="33"/>
      <c r="R30" s="33"/>
    </row>
    <row r="31" spans="1:18" x14ac:dyDescent="0.2">
      <c r="A31" s="62"/>
      <c r="B31" s="16"/>
      <c r="C31" s="16" t="s">
        <v>31</v>
      </c>
      <c r="D31" s="24" t="s">
        <v>52</v>
      </c>
      <c r="E31" s="40">
        <f t="shared" si="5"/>
        <v>42086</v>
      </c>
      <c r="F31" s="40">
        <f>_xll.qlInterestRateIndexValueDate(L31,E31,Trigger)</f>
        <v>42088</v>
      </c>
      <c r="G31" s="40">
        <f>_xll.qlInterestRateIndexMaturity(L31,F31,Trigger)</f>
        <v>44645</v>
      </c>
      <c r="H31" s="39">
        <f>_xll.qlIndexFixing(L31,E31,TRUE,InterestRateTrigger)</f>
        <v>7.2357920977970634E-3</v>
      </c>
      <c r="I31" s="30" t="str">
        <f>Contribution!V31</f>
        <v>SEK6M7Y=</v>
      </c>
      <c r="J31" s="46" t="str">
        <f t="shared" si="3"/>
        <v>SEK3S6S7Y=ICAP</v>
      </c>
      <c r="K31" s="33"/>
      <c r="L31" s="25" t="str">
        <f>_xll.qlSwapIndex(,IborIndexFamily,C31,SettlementDays,Currency,Calendar,FixedLegTenor,FixedLegBDC,FixedLegDayCounter,IborIndex,DiscountingCurve,,Trigger)</f>
        <v>obj_00340#0000</v>
      </c>
      <c r="M31" s="57"/>
      <c r="N31" s="47"/>
      <c r="O31" s="3"/>
      <c r="P31" s="47"/>
      <c r="Q31" s="33"/>
      <c r="R31" s="33"/>
    </row>
    <row r="32" spans="1:18" x14ac:dyDescent="0.2">
      <c r="A32" s="62"/>
      <c r="B32" s="16"/>
      <c r="C32" s="16" t="s">
        <v>32</v>
      </c>
      <c r="D32" s="24" t="s">
        <v>52</v>
      </c>
      <c r="E32" s="40">
        <f t="shared" si="5"/>
        <v>42086</v>
      </c>
      <c r="F32" s="40">
        <f>_xll.qlInterestRateIndexValueDate(L32,E32,Trigger)</f>
        <v>42088</v>
      </c>
      <c r="G32" s="40">
        <f>_xll.qlInterestRateIndexMaturity(L32,F32,Trigger)</f>
        <v>45012</v>
      </c>
      <c r="H32" s="39">
        <f>_xll.qlIndexFixing(L32,E32,TRUE,InterestRateTrigger)</f>
        <v>8.2889285872554831E-3</v>
      </c>
      <c r="I32" s="30" t="str">
        <f>Contribution!V32</f>
        <v>SEK6M8Y=</v>
      </c>
      <c r="J32" s="46" t="str">
        <f t="shared" si="3"/>
        <v>SEK3S6S8Y=ICAP</v>
      </c>
      <c r="K32" s="33"/>
      <c r="L32" s="25" t="str">
        <f>_xll.qlSwapIndex(,IborIndexFamily,C32,SettlementDays,Currency,Calendar,FixedLegTenor,FixedLegBDC,FixedLegDayCounter,IborIndex,DiscountingCurve,,Trigger)</f>
        <v>obj_00331#0000</v>
      </c>
      <c r="M32" s="57"/>
      <c r="N32" s="47"/>
      <c r="O32" s="3"/>
      <c r="P32" s="47"/>
      <c r="Q32" s="33"/>
      <c r="R32" s="33"/>
    </row>
    <row r="33" spans="1:19" x14ac:dyDescent="0.2">
      <c r="A33" s="62"/>
      <c r="B33" s="16"/>
      <c r="C33" s="16" t="s">
        <v>33</v>
      </c>
      <c r="D33" s="24" t="s">
        <v>52</v>
      </c>
      <c r="E33" s="40">
        <f t="shared" si="5"/>
        <v>42086</v>
      </c>
      <c r="F33" s="40">
        <f>_xll.qlInterestRateIndexValueDate(L33,E33,Trigger)</f>
        <v>42088</v>
      </c>
      <c r="G33" s="40">
        <f>_xll.qlInterestRateIndexMaturity(L33,F33,Trigger)</f>
        <v>45376</v>
      </c>
      <c r="H33" s="39">
        <f>_xll.qlIndexFixing(L33,E33,TRUE,InterestRateTrigger)</f>
        <v>9.1663376432828594E-3</v>
      </c>
      <c r="I33" s="30" t="str">
        <f>Contribution!V33</f>
        <v>SEK6M9Y=</v>
      </c>
      <c r="J33" s="30" t="str">
        <f t="shared" si="3"/>
        <v>SEK3S6S9Y=ICAP</v>
      </c>
      <c r="K33" s="33"/>
      <c r="L33" s="25" t="str">
        <f>_xll.qlSwapIndex(,IborIndexFamily,C33,SettlementDays,Currency,Calendar,FixedLegTenor,FixedLegBDC,FixedLegDayCounter,IborIndex,DiscountingCurve,,Trigger)</f>
        <v>obj_0032a#0000</v>
      </c>
      <c r="M33" s="57"/>
      <c r="N33" s="47"/>
      <c r="O33" s="3"/>
      <c r="P33" s="47"/>
      <c r="Q33" s="33"/>
      <c r="R33" s="33"/>
    </row>
    <row r="34" spans="1:19" x14ac:dyDescent="0.2">
      <c r="A34" s="62"/>
      <c r="B34" s="16"/>
      <c r="C34" s="16" t="s">
        <v>34</v>
      </c>
      <c r="D34" s="24" t="s">
        <v>52</v>
      </c>
      <c r="E34" s="40">
        <f t="shared" si="5"/>
        <v>42086</v>
      </c>
      <c r="F34" s="40">
        <f>_xll.qlInterestRateIndexValueDate(L34,E34,Trigger)</f>
        <v>42088</v>
      </c>
      <c r="G34" s="40">
        <f>_xll.qlInterestRateIndexMaturity(L34,F34,Trigger)</f>
        <v>45741</v>
      </c>
      <c r="H34" s="39">
        <f>_xll.qlIndexFixing(L34,E34,TRUE,InterestRateTrigger)</f>
        <v>9.9123199980293356E-3</v>
      </c>
      <c r="I34" s="30" t="str">
        <f>Contribution!V34</f>
        <v>SEK6M10Y=</v>
      </c>
      <c r="J34" s="30" t="str">
        <f t="shared" si="3"/>
        <v>SEK3S6S10Y=ICAP</v>
      </c>
      <c r="K34" s="33"/>
      <c r="L34" s="25" t="str">
        <f>_xll.qlSwapIndex(,IborIndexFamily,C34,SettlementDays,Currency,Calendar,FixedLegTenor,FixedLegBDC,FixedLegDayCounter,IborIndex,DiscountingCurve,,Trigger)</f>
        <v>obj_00356#0000</v>
      </c>
      <c r="M34" s="57"/>
      <c r="N34" s="47"/>
      <c r="O34" s="3"/>
      <c r="P34" s="47"/>
      <c r="Q34" s="33"/>
      <c r="R34" s="33"/>
    </row>
    <row r="35" spans="1:19" x14ac:dyDescent="0.2">
      <c r="A35" s="62"/>
      <c r="B35" s="16"/>
      <c r="C35" s="16" t="s">
        <v>35</v>
      </c>
      <c r="D35" s="24" t="s">
        <v>52</v>
      </c>
      <c r="E35" s="40">
        <f t="shared" si="5"/>
        <v>42086</v>
      </c>
      <c r="F35" s="40">
        <f>_xll.qlInterestRateIndexValueDate(L35,E35,Trigger)</f>
        <v>42088</v>
      </c>
      <c r="G35" s="40">
        <f>_xll.qlInterestRateIndexMaturity(L35,F35,Trigger)</f>
        <v>46471</v>
      </c>
      <c r="H35" s="39">
        <f>_xll.qlIndexFixing(L35,E35,TRUE,InterestRateTrigger)</f>
        <v>1.1114037811975773E-2</v>
      </c>
      <c r="I35" s="30" t="str">
        <f>Contribution!V35</f>
        <v>SEK6M12Y=</v>
      </c>
      <c r="J35" s="30" t="str">
        <f t="shared" si="3"/>
        <v>SEK3S6S12Y=ICAP</v>
      </c>
      <c r="K35" s="33"/>
      <c r="L35" s="25" t="str">
        <f>_xll.qlSwapIndex(,IborIndexFamily,C35,SettlementDays,Currency,Calendar,FixedLegTenor,FixedLegBDC,FixedLegDayCounter,IborIndex,DiscountingCurve,,Trigger)</f>
        <v>obj_00327#0000</v>
      </c>
      <c r="M35" s="57"/>
      <c r="N35" s="47"/>
      <c r="O35" s="3"/>
      <c r="P35" s="47"/>
      <c r="Q35" s="33"/>
      <c r="R35" s="33"/>
    </row>
    <row r="36" spans="1:19" x14ac:dyDescent="0.2">
      <c r="A36" s="62"/>
      <c r="B36" s="16"/>
      <c r="C36" s="16" t="s">
        <v>36</v>
      </c>
      <c r="D36" s="24" t="s">
        <v>52</v>
      </c>
      <c r="E36" s="40">
        <f t="shared" si="5"/>
        <v>42086</v>
      </c>
      <c r="F36" s="40">
        <f>_xll.qlInterestRateIndexValueDate(L36,E36,Trigger)</f>
        <v>42088</v>
      </c>
      <c r="G36" s="40">
        <f>_xll.qlInterestRateIndexMaturity(L36,F36,Trigger)</f>
        <v>47567</v>
      </c>
      <c r="H36" s="39">
        <f>_xll.qlIndexFixing(L36,E36,TRUE,InterestRateTrigger)</f>
        <v>1.2422226574754835E-2</v>
      </c>
      <c r="I36" s="30" t="str">
        <f>Contribution!V36</f>
        <v>SEK6M15Y=</v>
      </c>
      <c r="J36" s="30" t="str">
        <f t="shared" si="3"/>
        <v>SEK3S6S15Y=ICAP</v>
      </c>
      <c r="K36" s="33"/>
      <c r="L36" s="25" t="str">
        <f>_xll.qlSwapIndex(,IborIndexFamily,C36,SettlementDays,Currency,Calendar,FixedLegTenor,FixedLegBDC,FixedLegDayCounter,IborIndex,DiscountingCurve,,Trigger)</f>
        <v>obj_0035a#0000</v>
      </c>
      <c r="M36" s="57"/>
      <c r="N36" s="47"/>
      <c r="O36" s="3"/>
      <c r="P36" s="47"/>
      <c r="Q36" s="33"/>
      <c r="R36" s="33"/>
    </row>
    <row r="37" spans="1:19" x14ac:dyDescent="0.2">
      <c r="A37" s="62"/>
      <c r="B37" s="16"/>
      <c r="C37" s="16" t="s">
        <v>37</v>
      </c>
      <c r="D37" s="24" t="s">
        <v>52</v>
      </c>
      <c r="E37" s="40">
        <f t="shared" si="5"/>
        <v>42086</v>
      </c>
      <c r="F37" s="40">
        <f>_xll.qlInterestRateIndexValueDate(L37,E37,Trigger)</f>
        <v>42088</v>
      </c>
      <c r="G37" s="40">
        <f>_xll.qlInterestRateIndexMaturity(L37,F37,Trigger)</f>
        <v>49395</v>
      </c>
      <c r="H37" s="39">
        <f>_xll.qlIndexFixing(L37,E37,TRUE,InterestRateTrigger)</f>
        <v>1.3870773285585209E-2</v>
      </c>
      <c r="I37" s="30" t="str">
        <f>Contribution!V37</f>
        <v>SEK6M20Y=</v>
      </c>
      <c r="J37" s="30" t="str">
        <f t="shared" si="3"/>
        <v>SEK3S6S20Y=ICAP</v>
      </c>
      <c r="K37" s="33"/>
      <c r="L37" s="25" t="str">
        <f>_xll.qlSwapIndex(,IborIndexFamily,C37,SettlementDays,Currency,Calendar,FixedLegTenor,FixedLegBDC,FixedLegDayCounter,IborIndex,DiscountingCurve,,Trigger)</f>
        <v>obj_0031f#0000</v>
      </c>
      <c r="M37" s="57"/>
      <c r="N37" s="47"/>
      <c r="O37" s="56"/>
      <c r="P37" s="55"/>
      <c r="Q37" s="33"/>
      <c r="R37" s="33"/>
    </row>
    <row r="38" spans="1:19" x14ac:dyDescent="0.2">
      <c r="A38" s="62"/>
      <c r="B38" s="16"/>
      <c r="C38" s="16" t="s">
        <v>38</v>
      </c>
      <c r="D38" s="24" t="s">
        <v>52</v>
      </c>
      <c r="E38" s="40">
        <f t="shared" si="5"/>
        <v>42086</v>
      </c>
      <c r="F38" s="40">
        <f>_xll.qlInterestRateIndexValueDate(L38,E38,Trigger)</f>
        <v>42088</v>
      </c>
      <c r="G38" s="40">
        <f>_xll.qlInterestRateIndexMaturity(L38,F38,Trigger)</f>
        <v>51221</v>
      </c>
      <c r="H38" s="39">
        <f>_xll.qlIndexFixing(L38,E38,TRUE,InterestRateTrigger)</f>
        <v>1.4545688348535903E-2</v>
      </c>
      <c r="I38" s="30" t="str">
        <f>Contribution!V38</f>
        <v>SEK6M25Y=</v>
      </c>
      <c r="J38" s="30" t="str">
        <f t="shared" si="3"/>
        <v>SEK3S6S25Y=ICAP</v>
      </c>
      <c r="K38" s="33"/>
      <c r="L38" s="25" t="str">
        <f>_xll.qlSwapIndex(,IborIndexFamily,C38,SettlementDays,Currency,Calendar,FixedLegTenor,FixedLegBDC,FixedLegDayCounter,IborIndex,DiscountingCurve,,Trigger)</f>
        <v>obj_00349#0000</v>
      </c>
      <c r="M38" s="57"/>
      <c r="N38" s="47"/>
      <c r="O38" s="3"/>
      <c r="P38" s="47"/>
      <c r="Q38" s="33"/>
      <c r="R38" s="33"/>
    </row>
    <row r="39" spans="1:19" x14ac:dyDescent="0.2">
      <c r="A39" s="62"/>
      <c r="B39" s="17"/>
      <c r="C39" s="17" t="s">
        <v>39</v>
      </c>
      <c r="D39" s="26" t="s">
        <v>52</v>
      </c>
      <c r="E39" s="41">
        <f t="shared" si="5"/>
        <v>42086</v>
      </c>
      <c r="F39" s="41">
        <f>_xll.qlInterestRateIndexValueDate(L39,E39,Trigger)</f>
        <v>42088</v>
      </c>
      <c r="G39" s="41">
        <f>_xll.qlInterestRateIndexMaturity(L39,F39,Trigger)</f>
        <v>53048</v>
      </c>
      <c r="H39" s="42">
        <f>_xll.qlIndexFixing(L39,E39,TRUE,InterestRateTrigger)</f>
        <v>1.4733665776958308E-2</v>
      </c>
      <c r="I39" s="32" t="str">
        <f>Contribution!V39</f>
        <v>SEK6M30Y=</v>
      </c>
      <c r="J39" s="32" t="str">
        <f t="shared" si="3"/>
        <v>SEK3S6S30Y=ICAP</v>
      </c>
      <c r="K39" s="33"/>
      <c r="L39" s="27" t="str">
        <f>_xll.qlSwapIndex(,IborIndexFamily,C39,SettlementDays,Currency,Calendar,FixedLegTenor,FixedLegBDC,FixedLegDayCounter,IborIndex,DiscountingCurve,,Trigger)</f>
        <v>obj_00348#0000</v>
      </c>
      <c r="M39" s="57"/>
      <c r="N39" s="47"/>
      <c r="O39" s="3"/>
      <c r="P39" s="47"/>
      <c r="Q39" s="62"/>
      <c r="R39" s="62"/>
      <c r="S39" s="62"/>
    </row>
    <row r="40" spans="1:19" x14ac:dyDescent="0.2">
      <c r="A40" s="62"/>
      <c r="B40" s="62"/>
      <c r="K40" s="33"/>
      <c r="M40" s="57"/>
      <c r="N40" s="62"/>
      <c r="O40" s="57"/>
      <c r="P40" s="62"/>
      <c r="Q40" s="33"/>
      <c r="R40" s="33"/>
    </row>
    <row r="41" spans="1:19" x14ac:dyDescent="0.2">
      <c r="A41" s="62"/>
      <c r="B41" s="62"/>
      <c r="K41" s="33"/>
      <c r="M41" s="62"/>
      <c r="N41" s="62"/>
      <c r="O41" s="33"/>
      <c r="P41" s="62"/>
      <c r="Q41" s="33"/>
      <c r="R41" s="33"/>
    </row>
    <row r="42" spans="1:19" x14ac:dyDescent="0.2">
      <c r="A42" s="62"/>
      <c r="B42" s="62"/>
      <c r="K42" s="33"/>
      <c r="M42" s="62"/>
      <c r="N42" s="62"/>
      <c r="O42" s="33"/>
      <c r="P42" s="33"/>
      <c r="Q42" s="33"/>
      <c r="R42" s="33"/>
    </row>
    <row r="43" spans="1:19" x14ac:dyDescent="0.2">
      <c r="A43" s="62"/>
      <c r="B43" s="62"/>
      <c r="K43" s="33"/>
      <c r="Q43" s="62"/>
      <c r="R43" s="33"/>
    </row>
    <row r="44" spans="1:19" x14ac:dyDescent="0.2">
      <c r="A44" s="62"/>
      <c r="B44" s="62"/>
      <c r="K44" s="33"/>
      <c r="R44" s="33"/>
    </row>
    <row r="45" spans="1:19" x14ac:dyDescent="0.2">
      <c r="A45" s="62"/>
      <c r="B45" s="62"/>
      <c r="K45" s="33"/>
    </row>
    <row r="46" spans="1:19" x14ac:dyDescent="0.2">
      <c r="A46" s="62"/>
      <c r="B46" s="62"/>
      <c r="K46" s="62"/>
    </row>
    <row r="47" spans="1:19" x14ac:dyDescent="0.2">
      <c r="K47" s="62"/>
      <c r="L47" s="62"/>
    </row>
  </sheetData>
  <dataValidations count="2">
    <dataValidation type="list" allowBlank="1" showInputMessage="1" showErrorMessage="1" sqref="O25 O8">
      <formula1>"Following,Modified Following,Preceding,Modified Preceding,Unadjusted,Half-Month Modified Following"</formula1>
    </dataValidation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52</vt:i4>
      </vt:variant>
    </vt:vector>
  </HeadingPairs>
  <TitlesOfParts>
    <vt:vector size="58" baseType="lpstr">
      <vt:lpstr>General Settings</vt:lpstr>
      <vt:lpstr>Contribution</vt:lpstr>
      <vt:lpstr>ON Pricing</vt:lpstr>
      <vt:lpstr>1M Pricing</vt:lpstr>
      <vt:lpstr>3M Pricing</vt:lpstr>
      <vt:lpstr>6M Pricing</vt:lpstr>
      <vt:lpstr>ASK</vt:lpstr>
      <vt:lpstr>'1M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'3M Pricing'!CurveTenor</vt:lpstr>
      <vt:lpstr>'6M Pricing'!CurveTenor</vt:lpstr>
      <vt:lpstr>'ON Pricing'!CurveTenor</vt:lpstr>
      <vt:lpstr>'1M Pricing'!DayCounter</vt:lpstr>
      <vt:lpstr>'3M Pricing'!DayCounter</vt:lpstr>
      <vt:lpstr>'6M Pricing'!DayCounter</vt:lpstr>
      <vt:lpstr>DiscountingCurve</vt:lpstr>
      <vt:lpstr>'1M Pricing'!EndOfMonth</vt:lpstr>
      <vt:lpstr>'3M Pricing'!EndOfMonth</vt:lpstr>
      <vt:lpstr>'6M Pricing'!EndOfMonth</vt:lpstr>
      <vt:lpstr>EvaluationDate</vt:lpstr>
      <vt:lpstr>Fields</vt:lpstr>
      <vt:lpstr>'1M Pricing'!FixedLegBDC</vt:lpstr>
      <vt:lpstr>'6M Pricing'!FixedLegBDC</vt:lpstr>
      <vt:lpstr>FixedLegBDC</vt:lpstr>
      <vt:lpstr>'1M Pricing'!FixedLegDayCounter</vt:lpstr>
      <vt:lpstr>'3M Pricing'!FixedLegDayCounter</vt:lpstr>
      <vt:lpstr>'6M Pricing'!FixedLegDayCounter</vt:lpstr>
      <vt:lpstr>'1M Pricing'!FixedLegTenor</vt:lpstr>
      <vt:lpstr>'3M Pricing'!FixedLegTenor</vt:lpstr>
      <vt:lpstr>'6M Pricing'!FixedLegTenor</vt:lpstr>
      <vt:lpstr>'1M Pricing'!IborIndex</vt:lpstr>
      <vt:lpstr>'3M Pricing'!IborIndex</vt:lpstr>
      <vt:lpstr>'6M Pricing'!IborIndex</vt:lpstr>
      <vt:lpstr>IborIndexFamily</vt:lpstr>
      <vt:lpstr>InterestRateTrigger</vt:lpstr>
      <vt:lpstr>'1M Pricing'!Interpolation</vt:lpstr>
      <vt:lpstr>'3M Pricing'!Interpolation</vt:lpstr>
      <vt:lpstr>'6M Pricing'!Interpolation</vt:lpstr>
      <vt:lpstr>'ON Pricing'!Interpolation</vt:lpstr>
      <vt:lpstr>InterpolationType</vt:lpstr>
      <vt:lpstr>LiborCalendar</vt:lpstr>
      <vt:lpstr>LocalCalendar</vt:lpstr>
      <vt:lpstr>MainTenor</vt:lpstr>
      <vt:lpstr>'ON Pricing'!OvernightIndex</vt:lpstr>
      <vt:lpstr>SettlementDate</vt:lpstr>
      <vt:lpstr>SettlementDays</vt:lpstr>
      <vt:lpstr>SourceAlias</vt:lpstr>
      <vt:lpstr>Trigger</vt:lpstr>
      <vt:lpstr>'1M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2015-03-23T09:32:26Z</dcterms:modified>
</cp:coreProperties>
</file>