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45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FRA!$N$5:$N$31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FRA!$Y$5:$Y$31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FRA!$T$5:$T$31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FRA!$W$5:$W$31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Q4" i="65" l="1" a="1"/>
  <c r="Q4" i="64" a="1"/>
  <c r="AA5" i="13" a="1"/>
  <c r="AA5" i="12" a="1"/>
  <c r="AA5" i="11" a="1"/>
  <c r="Y5" i="25" a="1"/>
  <c r="Y5" i="23" a="1"/>
  <c r="AC5" i="18" a="1"/>
  <c r="Y5" i="22" a="1"/>
  <c r="Y5" i="16" a="1"/>
  <c r="Q5" i="15" a="1"/>
  <c r="Q5" i="15"/>
  <c r="Q6" i="15" l="1"/>
  <c r="Q7" i="15"/>
  <c r="Y17" i="16"/>
  <c r="D21" i="56"/>
  <c r="M5" i="65"/>
  <c r="Q5" i="65" s="1"/>
  <c r="M6" i="65"/>
  <c r="Q6" i="65" s="1"/>
  <c r="M7" i="65"/>
  <c r="Q7" i="65" s="1"/>
  <c r="M8" i="65"/>
  <c r="Q8" i="65" s="1"/>
  <c r="M9" i="65"/>
  <c r="Q9" i="65" s="1"/>
  <c r="M10" i="65"/>
  <c r="Q10" i="65" s="1"/>
  <c r="M11" i="65"/>
  <c r="Q11" i="65" s="1"/>
  <c r="M12" i="65"/>
  <c r="Q12" i="65" s="1"/>
  <c r="M13" i="65"/>
  <c r="Q13" i="65" s="1"/>
  <c r="M14" i="65"/>
  <c r="Q14" i="65" s="1"/>
  <c r="M15" i="65"/>
  <c r="Q15" i="65" s="1"/>
  <c r="M16" i="65"/>
  <c r="Q16" i="65" s="1"/>
  <c r="M17" i="65"/>
  <c r="Q17" i="65" s="1"/>
  <c r="M18" i="65"/>
  <c r="Q18" i="65" s="1"/>
  <c r="M19" i="65"/>
  <c r="Q19" i="65" s="1"/>
  <c r="M20" i="65"/>
  <c r="Q20" i="65" s="1"/>
  <c r="M21" i="65"/>
  <c r="Q21" i="65" s="1"/>
  <c r="M22" i="65"/>
  <c r="Q22" i="65" s="1"/>
  <c r="M23" i="65"/>
  <c r="Q23" i="65" s="1"/>
  <c r="M24" i="65"/>
  <c r="Q24" i="65" s="1"/>
  <c r="M25" i="65"/>
  <c r="Q25" i="65" s="1"/>
  <c r="M26" i="65"/>
  <c r="Q26" i="65" s="1"/>
  <c r="M27" i="65"/>
  <c r="Q27" i="65" s="1"/>
  <c r="M28" i="65"/>
  <c r="Q28" i="65" s="1"/>
  <c r="M29" i="65"/>
  <c r="Q29" i="65" s="1"/>
  <c r="M30" i="65"/>
  <c r="Q30" i="65" s="1"/>
  <c r="M31" i="65"/>
  <c r="Q31" i="65" s="1"/>
  <c r="M32" i="65"/>
  <c r="Q32" i="65" s="1"/>
  <c r="M33" i="65"/>
  <c r="Q33" i="65" s="1"/>
  <c r="M34" i="65"/>
  <c r="Q34" i="65" s="1"/>
  <c r="M35" i="65"/>
  <c r="Q35" i="65" s="1"/>
  <c r="M36" i="65"/>
  <c r="Q36" i="65" s="1"/>
  <c r="M37" i="65"/>
  <c r="Q37" i="65" s="1"/>
  <c r="M38" i="65"/>
  <c r="Q38" i="65" s="1"/>
  <c r="M39" i="65"/>
  <c r="Q39" i="65" s="1"/>
  <c r="M40" i="65"/>
  <c r="Q40" i="65" s="1"/>
  <c r="M4" i="65"/>
  <c r="Q4" i="65" s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8" i="22"/>
  <c r="F35" i="22"/>
  <c r="F12" i="22"/>
  <c r="F36" i="22"/>
  <c r="F6" i="22"/>
  <c r="F41" i="22"/>
  <c r="F18" i="22"/>
  <c r="F38" i="22"/>
  <c r="F7" i="22"/>
  <c r="F47" i="22"/>
  <c r="F23" i="22"/>
  <c r="F40" i="22"/>
  <c r="F32" i="22"/>
  <c r="F9" i="22"/>
  <c r="F5" i="22"/>
  <c r="F54" i="22"/>
  <c r="F24" i="22"/>
  <c r="F20" i="22"/>
  <c r="F50" i="22"/>
  <c r="F21" i="22"/>
  <c r="F45" i="22"/>
  <c r="F52" i="22"/>
  <c r="F37" i="22"/>
  <c r="F48" i="22"/>
  <c r="F33" i="22"/>
  <c r="F29" i="22"/>
  <c r="F30" i="22"/>
  <c r="F10" i="22"/>
  <c r="F49" i="22"/>
  <c r="F14" i="22"/>
  <c r="F22" i="22"/>
  <c r="F27" i="22"/>
  <c r="F44" i="22"/>
  <c r="F13" i="22"/>
  <c r="F51" i="22"/>
  <c r="F39" i="22"/>
  <c r="F26" i="22"/>
  <c r="F25" i="22"/>
  <c r="F56" i="22"/>
  <c r="F34" i="22"/>
  <c r="F15" i="22"/>
  <c r="F19" i="22"/>
  <c r="F11" i="22"/>
  <c r="F17" i="22"/>
  <c r="F57" i="22"/>
  <c r="F55" i="22"/>
  <c r="F58" i="22"/>
  <c r="F8" i="22"/>
  <c r="F43" i="22"/>
  <c r="F53" i="22"/>
  <c r="F46" i="22"/>
  <c r="F16" i="22"/>
  <c r="F31" i="22"/>
  <c r="F4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0" i="24"/>
  <c r="F6" i="24"/>
  <c r="F5" i="24"/>
  <c r="F11" i="24"/>
  <c r="F8" i="24"/>
  <c r="F9" i="24"/>
  <c r="F19" i="6"/>
  <c r="F7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7" i="23"/>
  <c r="F18" i="23"/>
  <c r="F16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Q19" i="64" s="1"/>
  <c r="M20" i="64"/>
  <c r="Q20" i="64" s="1"/>
  <c r="M21" i="64"/>
  <c r="Q21" i="64" s="1"/>
  <c r="M22" i="64"/>
  <c r="Q22" i="64" s="1"/>
  <c r="G17" i="23"/>
  <c r="G16" i="23"/>
  <c r="G18" i="23"/>
  <c r="D22" i="64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32" i="65"/>
  <c r="D17" i="65"/>
  <c r="D12" i="65"/>
  <c r="D15" i="65"/>
  <c r="D11" i="65"/>
  <c r="D33" i="65"/>
  <c r="D7" i="65"/>
  <c r="D5" i="65"/>
  <c r="D24" i="65"/>
  <c r="D31" i="65"/>
  <c r="D35" i="65"/>
  <c r="D38" i="65"/>
  <c r="D28" i="65"/>
  <c r="D16" i="65"/>
  <c r="D30" i="65"/>
  <c r="D40" i="65"/>
  <c r="D39" i="65"/>
  <c r="D10" i="65"/>
  <c r="D18" i="65"/>
  <c r="D37" i="65"/>
  <c r="D13" i="65"/>
  <c r="D29" i="65"/>
  <c r="D23" i="65"/>
  <c r="D25" i="65"/>
  <c r="D26" i="65"/>
  <c r="D34" i="65"/>
  <c r="D6" i="65"/>
  <c r="D27" i="65"/>
  <c r="D36" i="65"/>
  <c r="E22" i="64"/>
  <c r="D9" i="65"/>
  <c r="D21" i="65"/>
  <c r="D4" i="65"/>
  <c r="D22" i="65"/>
  <c r="D14" i="65"/>
  <c r="D20" i="65"/>
  <c r="D8" i="65"/>
  <c r="D19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34" i="65"/>
  <c r="E11" i="65"/>
  <c r="E25" i="65"/>
  <c r="E38" i="65"/>
  <c r="E23" i="65"/>
  <c r="E17" i="65"/>
  <c r="E9" i="65"/>
  <c r="E19" i="65"/>
  <c r="E5" i="65"/>
  <c r="E4" i="65"/>
  <c r="E7" i="65"/>
  <c r="E18" i="65"/>
  <c r="E35" i="65"/>
  <c r="E6" i="65"/>
  <c r="E15" i="65"/>
  <c r="E32" i="65"/>
  <c r="E37" i="65"/>
  <c r="E12" i="65"/>
  <c r="E10" i="65"/>
  <c r="E39" i="65"/>
  <c r="E28" i="65"/>
  <c r="E33" i="65"/>
  <c r="E22" i="65"/>
  <c r="E24" i="65"/>
  <c r="E29" i="65"/>
  <c r="E26" i="65"/>
  <c r="E30" i="65"/>
  <c r="E13" i="65"/>
  <c r="E21" i="65"/>
  <c r="E14" i="65"/>
  <c r="E20" i="65"/>
  <c r="E40" i="65"/>
  <c r="E27" i="65"/>
  <c r="E8" i="65"/>
  <c r="E16" i="65"/>
  <c r="E36" i="65"/>
  <c r="E31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14" i="65"/>
  <c r="R26" i="65"/>
  <c r="R8" i="65"/>
  <c r="R13" i="65"/>
  <c r="R33" i="65"/>
  <c r="R7" i="65"/>
  <c r="R16" i="65"/>
  <c r="R35" i="65"/>
  <c r="R40" i="65"/>
  <c r="R32" i="65"/>
  <c r="R5" i="65"/>
  <c r="R9" i="65"/>
  <c r="R37" i="65"/>
  <c r="R18" i="65"/>
  <c r="R4" i="65"/>
  <c r="R21" i="65"/>
  <c r="R19" i="65"/>
  <c r="R25" i="65"/>
  <c r="R38" i="65"/>
  <c r="R29" i="65"/>
  <c r="R24" i="65"/>
  <c r="R36" i="65"/>
  <c r="R12" i="65"/>
  <c r="R31" i="65"/>
  <c r="R10" i="65"/>
  <c r="R30" i="65"/>
  <c r="R20" i="65"/>
  <c r="R11" i="65"/>
  <c r="R22" i="65"/>
  <c r="R15" i="65"/>
  <c r="R17" i="65"/>
  <c r="R28" i="65"/>
  <c r="R23" i="65"/>
  <c r="R34" i="65"/>
  <c r="R6" i="65"/>
  <c r="R39" i="65"/>
  <c r="R27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20" i="64"/>
  <c r="D12" i="64"/>
  <c r="D11" i="64"/>
  <c r="D6" i="64"/>
  <c r="D19" i="64"/>
  <c r="D13" i="64"/>
  <c r="D17" i="64"/>
  <c r="D18" i="64"/>
  <c r="D14" i="64"/>
  <c r="D16" i="64"/>
  <c r="D8" i="64"/>
  <c r="D21" i="64"/>
  <c r="D10" i="64"/>
  <c r="D7" i="64"/>
  <c r="D4" i="64"/>
  <c r="D5" i="64"/>
  <c r="D15" i="64"/>
  <c r="D9" i="64"/>
  <c r="R10" i="64"/>
  <c r="R19" i="64"/>
  <c r="R15" i="64"/>
  <c r="R9" i="64"/>
  <c r="R16" i="64"/>
  <c r="R5" i="64"/>
  <c r="R11" i="64"/>
  <c r="R8" i="64"/>
  <c r="R7" i="64"/>
  <c r="R17" i="64"/>
  <c r="R18" i="64"/>
  <c r="R13" i="64"/>
  <c r="R4" i="64"/>
  <c r="R14" i="64"/>
  <c r="R21" i="64"/>
  <c r="R20" i="64"/>
  <c r="R6" i="64"/>
  <c r="R12" i="64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24" i="18"/>
  <c r="X46" i="18"/>
  <c r="E15" i="64"/>
  <c r="E4" i="64"/>
  <c r="E14" i="64"/>
  <c r="X43" i="18"/>
  <c r="X16" i="18"/>
  <c r="E17" i="64"/>
  <c r="X32" i="18"/>
  <c r="F22" i="16"/>
  <c r="X44" i="18"/>
  <c r="X31" i="18"/>
  <c r="X9" i="18"/>
  <c r="F21" i="16"/>
  <c r="F23" i="16"/>
  <c r="X40" i="18"/>
  <c r="X11" i="18"/>
  <c r="X7" i="18"/>
  <c r="X36" i="18"/>
  <c r="X27" i="18"/>
  <c r="X39" i="18"/>
  <c r="X13" i="18"/>
  <c r="E13" i="64"/>
  <c r="F26" i="16"/>
  <c r="F29" i="16"/>
  <c r="E6" i="64"/>
  <c r="X6" i="18"/>
  <c r="X33" i="18"/>
  <c r="X19" i="18"/>
  <c r="E9" i="64"/>
  <c r="X18" i="18"/>
  <c r="X17" i="18"/>
  <c r="X8" i="18"/>
  <c r="E21" i="64"/>
  <c r="F25" i="16"/>
  <c r="E16" i="64"/>
  <c r="X29" i="18"/>
  <c r="F24" i="16"/>
  <c r="X22" i="18"/>
  <c r="X12" i="18"/>
  <c r="X5" i="18"/>
  <c r="E8" i="64"/>
  <c r="X14" i="18"/>
  <c r="E20" i="64"/>
  <c r="X21" i="18"/>
  <c r="X37" i="18"/>
  <c r="X41" i="18"/>
  <c r="E10" i="64"/>
  <c r="E18" i="64"/>
  <c r="X35" i="18"/>
  <c r="X45" i="18"/>
  <c r="F30" i="16"/>
  <c r="X34" i="18"/>
  <c r="E11" i="64"/>
  <c r="X42" i="18"/>
  <c r="X20" i="18"/>
  <c r="X28" i="18"/>
  <c r="E5" i="64"/>
  <c r="F27" i="16"/>
  <c r="E7" i="64"/>
  <c r="X38" i="18"/>
  <c r="E19" i="64"/>
  <c r="X23" i="18"/>
  <c r="E12" i="64"/>
  <c r="X30" i="18"/>
  <c r="X26" i="18"/>
  <c r="F28" i="16"/>
  <c r="X15" i="18"/>
  <c r="X25" i="18"/>
  <c r="X10" i="18"/>
  <c r="F20" i="16"/>
  <c r="AC10" i="18" l="1"/>
  <c r="AC25" i="18"/>
  <c r="AC15" i="18"/>
  <c r="AC26" i="18"/>
  <c r="AC30" i="18"/>
  <c r="AC23" i="18"/>
  <c r="AC38" i="18"/>
  <c r="AC28" i="18"/>
  <c r="AC20" i="18"/>
  <c r="AC42" i="18"/>
  <c r="AC34" i="18"/>
  <c r="AC45" i="18"/>
  <c r="AC35" i="18"/>
  <c r="AC41" i="18"/>
  <c r="AC37" i="18"/>
  <c r="AC21" i="18"/>
  <c r="AC14" i="18"/>
  <c r="AC5" i="18"/>
  <c r="AC12" i="18"/>
  <c r="AC22" i="18"/>
  <c r="AC29" i="18"/>
  <c r="AC8" i="18"/>
  <c r="AC17" i="18"/>
  <c r="AC18" i="18"/>
  <c r="AC19" i="18"/>
  <c r="AC33" i="18"/>
  <c r="AC6" i="18"/>
  <c r="AC13" i="18"/>
  <c r="AC39" i="18"/>
  <c r="AC27" i="18"/>
  <c r="AC36" i="18"/>
  <c r="AC7" i="18"/>
  <c r="AC11" i="18"/>
  <c r="AC40" i="18"/>
  <c r="AC9" i="18"/>
  <c r="AC31" i="18"/>
  <c r="AC44" i="18"/>
  <c r="AC32" i="18"/>
  <c r="AC16" i="18"/>
  <c r="AC43" i="18"/>
  <c r="AC46" i="18"/>
  <c r="AC24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5" i="16"/>
  <c r="G20" i="16"/>
  <c r="G24" i="16"/>
  <c r="G28" i="16"/>
  <c r="G21" i="16"/>
  <c r="F17" i="16"/>
  <c r="G26" i="16"/>
  <c r="G27" i="16"/>
  <c r="G22" i="16"/>
  <c r="G23" i="16"/>
  <c r="G30" i="16"/>
  <c r="G29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3" i="6"/>
  <c r="D8" i="6"/>
  <c r="D11" i="6"/>
  <c r="D6" i="6"/>
  <c r="E7" i="6"/>
  <c r="D12" i="6"/>
  <c r="E9" i="6"/>
  <c r="D10" i="6"/>
  <c r="N22" i="6"/>
  <c r="K22" i="6"/>
  <c r="K17" i="6"/>
  <c r="N17" i="6"/>
  <c r="D14" i="56" l="1"/>
  <c r="G8" i="6"/>
  <c r="E10" i="6"/>
  <c r="F31" i="63"/>
  <c r="F26" i="63"/>
  <c r="F35" i="63"/>
  <c r="F30" i="63"/>
  <c r="F67" i="63"/>
  <c r="F43" i="63"/>
  <c r="F44" i="63"/>
  <c r="F50" i="63"/>
  <c r="G10" i="6"/>
  <c r="E11" i="6"/>
  <c r="F41" i="63"/>
  <c r="F68" i="63"/>
  <c r="F15" i="63"/>
  <c r="F55" i="63"/>
  <c r="F37" i="63"/>
  <c r="E12" i="6"/>
  <c r="O22" i="6" s="1"/>
  <c r="F29" i="63"/>
  <c r="F11" i="6"/>
  <c r="F38" i="63"/>
  <c r="E8" i="6"/>
  <c r="F8" i="6"/>
  <c r="F17" i="63"/>
  <c r="F40" i="63"/>
  <c r="F64" i="63"/>
  <c r="F61" i="63"/>
  <c r="F18" i="63"/>
  <c r="F51" i="63"/>
  <c r="F10" i="63"/>
  <c r="F11" i="63"/>
  <c r="H11" i="6"/>
  <c r="D5" i="18" a="1"/>
  <c r="F7" i="6"/>
  <c r="F13" i="63"/>
  <c r="F42" i="63"/>
  <c r="E6" i="6"/>
  <c r="G6" i="6"/>
  <c r="F63" i="63"/>
  <c r="F28" i="63"/>
  <c r="F65" i="63"/>
  <c r="H12" i="6"/>
  <c r="H7" i="6"/>
  <c r="F39" i="63"/>
  <c r="F53" i="63"/>
  <c r="F46" i="63"/>
  <c r="F33" i="63"/>
  <c r="F66" i="63"/>
  <c r="F62" i="63"/>
  <c r="H9" i="6"/>
  <c r="F25" i="63"/>
  <c r="F49" i="63"/>
  <c r="F59" i="63"/>
  <c r="F21" i="63"/>
  <c r="F32" i="63"/>
  <c r="F9" i="6"/>
  <c r="G13" i="6"/>
  <c r="F23" i="63"/>
  <c r="F19" i="63"/>
  <c r="F58" i="63"/>
  <c r="F48" i="63"/>
  <c r="F47" i="63"/>
  <c r="F12" i="63"/>
  <c r="F56" i="63"/>
  <c r="F14" i="63"/>
  <c r="H8" i="6"/>
  <c r="G12" i="6"/>
  <c r="F57" i="63"/>
  <c r="O17" i="6"/>
  <c r="F54" i="63"/>
  <c r="F16" i="63"/>
  <c r="F34" i="63"/>
  <c r="F45" i="63"/>
  <c r="F22" i="63"/>
  <c r="F36" i="63"/>
  <c r="F60" i="63"/>
  <c r="F20" i="63"/>
  <c r="F24" i="63"/>
  <c r="G11" i="6"/>
  <c r="F27" i="63"/>
  <c r="F52" i="63"/>
  <c r="F9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39" i="63"/>
  <c r="G54" i="63"/>
  <c r="G25" i="63"/>
  <c r="G34" i="63"/>
  <c r="G47" i="63"/>
  <c r="G61" i="63"/>
  <c r="G9" i="63"/>
  <c r="G35" i="63"/>
  <c r="G37" i="63"/>
  <c r="G42" i="63"/>
  <c r="G58" i="63"/>
  <c r="G16" i="63"/>
  <c r="G48" i="63"/>
  <c r="G27" i="63"/>
  <c r="G32" i="63"/>
  <c r="G23" i="63"/>
  <c r="G19" i="63"/>
  <c r="G13" i="63"/>
  <c r="G40" i="63"/>
  <c r="H6" i="6"/>
  <c r="G64" i="63"/>
  <c r="G31" i="63"/>
  <c r="G66" i="63"/>
  <c r="G14" i="63"/>
  <c r="F6" i="6"/>
  <c r="G59" i="63"/>
  <c r="G17" i="63"/>
  <c r="G21" i="63"/>
  <c r="G41" i="63"/>
  <c r="G11" i="63"/>
  <c r="G15" i="63"/>
  <c r="G51" i="63"/>
  <c r="G50" i="63"/>
  <c r="G33" i="63"/>
  <c r="G10" i="63"/>
  <c r="G26" i="63"/>
  <c r="G60" i="63"/>
  <c r="G36" i="63"/>
  <c r="G18" i="63"/>
  <c r="G52" i="63"/>
  <c r="G63" i="63"/>
  <c r="G57" i="63"/>
  <c r="G12" i="63"/>
  <c r="G55" i="63"/>
  <c r="F12" i="6"/>
  <c r="G44" i="63"/>
  <c r="G65" i="63"/>
  <c r="L17" i="6"/>
  <c r="G43" i="63"/>
  <c r="G49" i="63"/>
  <c r="G24" i="63"/>
  <c r="G28" i="63"/>
  <c r="G46" i="63"/>
  <c r="G67" i="63"/>
  <c r="G53" i="63"/>
  <c r="G22" i="63"/>
  <c r="G56" i="63"/>
  <c r="G29" i="63"/>
  <c r="G38" i="63"/>
  <c r="G30" i="63"/>
  <c r="G20" i="63"/>
  <c r="G45" i="63"/>
  <c r="G62" i="63"/>
  <c r="G68" i="63"/>
  <c r="L22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O5" i="23" l="1" a="1"/>
  <c r="Z21" i="16"/>
  <c r="Z25" i="16"/>
  <c r="Z28" i="16"/>
  <c r="Z23" i="16"/>
  <c r="Z30" i="16"/>
  <c r="Z24" i="16"/>
  <c r="Z22" i="16"/>
  <c r="Z17" i="16"/>
  <c r="Z27" i="16"/>
  <c r="Z29" i="16"/>
  <c r="Z26" i="16"/>
  <c r="Z20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O7" i="6"/>
  <c r="Q12" i="6"/>
  <c r="Q8" i="6"/>
  <c r="Q11" i="6"/>
  <c r="R6" i="6"/>
  <c r="Q9" i="6"/>
  <c r="K5" i="6"/>
  <c r="S6" i="6" l="1"/>
  <c r="U6" i="6" s="1"/>
  <c r="O11" i="6"/>
  <c r="O12" i="6"/>
  <c r="T6" i="6"/>
  <c r="O9" i="6"/>
  <c r="D5" i="56"/>
  <c r="R7" i="6"/>
  <c r="O8" i="6"/>
  <c r="S7" i="6" l="1"/>
  <c r="R12" i="6"/>
  <c r="R8" i="6"/>
  <c r="T7" i="6"/>
  <c r="R9" i="6"/>
  <c r="R11" i="6"/>
  <c r="S8" i="6" l="1"/>
  <c r="S12" i="6"/>
  <c r="S11" i="6"/>
  <c r="S9" i="6"/>
  <c r="T9" i="6"/>
  <c r="T8" i="6"/>
  <c r="T12" i="6"/>
  <c r="B1" i="56"/>
  <c r="T11" i="6"/>
  <c r="E5" i="23" l="1"/>
  <c r="E6" i="23"/>
  <c r="E7" i="23"/>
  <c r="E8" i="23"/>
  <c r="E9" i="23"/>
  <c r="E10" i="23"/>
  <c r="E11" i="23"/>
  <c r="E12" i="23"/>
  <c r="E13" i="23"/>
  <c r="E14" i="23"/>
  <c r="E15" i="23"/>
  <c r="F9" i="23"/>
  <c r="F6" i="23"/>
  <c r="F7" i="23"/>
  <c r="F10" i="23"/>
  <c r="F15" i="23"/>
  <c r="F5" i="23"/>
  <c r="F8" i="23"/>
  <c r="F12" i="23"/>
  <c r="F11" i="23"/>
  <c r="F14" i="23"/>
  <c r="F13" i="23"/>
  <c r="Z5" i="22"/>
  <c r="Z7" i="22"/>
  <c r="Z8" i="22"/>
  <c r="Z6" i="22"/>
  <c r="E12" i="25" l="1"/>
  <c r="G33" i="22"/>
  <c r="G26" i="22"/>
  <c r="G39" i="22"/>
  <c r="F24" i="25"/>
  <c r="G12" i="23"/>
  <c r="G50" i="22"/>
  <c r="G36" i="22"/>
  <c r="F13" i="25"/>
  <c r="Z10" i="24"/>
  <c r="G54" i="22"/>
  <c r="G11" i="23"/>
  <c r="G9" i="24"/>
  <c r="G5" i="23"/>
  <c r="G47" i="22"/>
  <c r="G12" i="22"/>
  <c r="G44" i="22"/>
  <c r="G9" i="22"/>
  <c r="G22" i="22"/>
  <c r="Z7" i="24"/>
  <c r="G58" i="22"/>
  <c r="G10" i="24"/>
  <c r="G43" i="22"/>
  <c r="G10" i="22"/>
  <c r="G56" i="22"/>
  <c r="G8" i="22"/>
  <c r="G8" i="23"/>
  <c r="G45" i="22"/>
  <c r="G48" i="22"/>
  <c r="G20" i="22"/>
  <c r="G35" i="22"/>
  <c r="G7" i="24"/>
  <c r="G23" i="22"/>
  <c r="G53" i="22"/>
  <c r="G28" i="22"/>
  <c r="F8" i="25"/>
  <c r="G30" i="22"/>
  <c r="F21" i="25"/>
  <c r="G32" i="22"/>
  <c r="G17" i="22"/>
  <c r="G41" i="22"/>
  <c r="G34" i="22"/>
  <c r="G10" i="23"/>
  <c r="G7" i="23"/>
  <c r="G11" i="24"/>
  <c r="G15" i="23"/>
  <c r="G46" i="22"/>
  <c r="G11" i="22"/>
  <c r="G27" i="22"/>
  <c r="G42" i="22"/>
  <c r="G9" i="23"/>
  <c r="G6" i="24"/>
  <c r="G40" i="22"/>
  <c r="G5" i="24"/>
  <c r="G7" i="22"/>
  <c r="Z5" i="24"/>
  <c r="G6" i="22"/>
  <c r="F29" i="25"/>
  <c r="G13" i="22"/>
  <c r="G37" i="22"/>
  <c r="G51" i="22"/>
  <c r="G13" i="23"/>
  <c r="G31" i="22"/>
  <c r="G14" i="23"/>
  <c r="G18" i="22"/>
  <c r="F16" i="25"/>
  <c r="Z11" i="24"/>
  <c r="G57" i="22"/>
  <c r="G52" i="22"/>
  <c r="F11" i="25"/>
  <c r="Z8" i="24"/>
  <c r="G29" i="22"/>
  <c r="Z6" i="24"/>
  <c r="G14" i="22"/>
  <c r="G15" i="22"/>
  <c r="G21" i="22"/>
  <c r="G55" i="22"/>
  <c r="G49" i="22"/>
  <c r="F37" i="25"/>
  <c r="G8" i="24"/>
  <c r="G24" i="22"/>
  <c r="G5" i="22"/>
  <c r="Z9" i="24"/>
  <c r="G38" i="22"/>
  <c r="G6" i="23"/>
  <c r="F12" i="25"/>
  <c r="G19" i="22"/>
  <c r="G25" i="22"/>
  <c r="F19" i="25"/>
  <c r="G16" i="22"/>
  <c r="Z57" i="22"/>
  <c r="Z52" i="22"/>
  <c r="Z15" i="23"/>
  <c r="Z17" i="22"/>
  <c r="Z49" i="22"/>
  <c r="Z44" i="22"/>
  <c r="Z55" i="22"/>
  <c r="Z5" i="23"/>
  <c r="Z27" i="22"/>
  <c r="Z9" i="23"/>
  <c r="Z10" i="23"/>
  <c r="Z13" i="23"/>
  <c r="Z41" i="22"/>
  <c r="Z47" i="22"/>
  <c r="Z19" i="22"/>
  <c r="Z12" i="22"/>
  <c r="Z37" i="22"/>
  <c r="Z31" i="22"/>
  <c r="Z24" i="22"/>
  <c r="Z20" i="22"/>
  <c r="Z34" i="22"/>
  <c r="Z32" i="22"/>
  <c r="Z54" i="22"/>
  <c r="Z11" i="22"/>
  <c r="Z38" i="22"/>
  <c r="Z16" i="22"/>
  <c r="Z40" i="22"/>
  <c r="Z28" i="22"/>
  <c r="Z29" i="22"/>
  <c r="Z51" i="22"/>
  <c r="Z10" i="22"/>
  <c r="Z15" i="22"/>
  <c r="Z11" i="23"/>
  <c r="Z22" i="22"/>
  <c r="Z33" i="22"/>
  <c r="Z45" i="22"/>
  <c r="Z56" i="22"/>
  <c r="Z43" i="22"/>
  <c r="Z12" i="23"/>
  <c r="Z42" i="22"/>
  <c r="Z46" i="22"/>
  <c r="Z6" i="23"/>
  <c r="Z9" i="22"/>
  <c r="Z30" i="22"/>
  <c r="Z13" i="22"/>
  <c r="Z8" i="23"/>
  <c r="Z25" i="22"/>
  <c r="Z35" i="22"/>
  <c r="Z50" i="22"/>
  <c r="Z14" i="23"/>
  <c r="Z14" i="22"/>
  <c r="Z36" i="22"/>
  <c r="Z21" i="22"/>
  <c r="Z53" i="22"/>
  <c r="Z23" i="22"/>
  <c r="Z58" i="22"/>
  <c r="Z26" i="22"/>
  <c r="Z39" i="22"/>
  <c r="Z18" i="22"/>
  <c r="Z7" i="23"/>
  <c r="Z48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0" i="25"/>
  <c r="F38" i="25"/>
  <c r="F41" i="25"/>
  <c r="G8" i="25"/>
  <c r="F18" i="25"/>
  <c r="F39" i="25"/>
  <c r="F35" i="25"/>
  <c r="F33" i="25"/>
  <c r="F34" i="25"/>
  <c r="F25" i="25"/>
  <c r="G11" i="25"/>
  <c r="F10" i="25"/>
  <c r="G10" i="25" s="1"/>
  <c r="F7" i="25"/>
  <c r="F42" i="25"/>
  <c r="G42" i="25" s="1"/>
  <c r="G19" i="25"/>
  <c r="F31" i="25"/>
  <c r="F28" i="25"/>
  <c r="F6" i="25"/>
  <c r="F26" i="25"/>
  <c r="F17" i="25"/>
  <c r="F22" i="25"/>
  <c r="F15" i="25"/>
  <c r="G21" i="25"/>
  <c r="G37" i="25"/>
  <c r="F9" i="25"/>
  <c r="F23" i="25"/>
  <c r="G13" i="25"/>
  <c r="G16" i="25"/>
  <c r="F32" i="25"/>
  <c r="G12" i="25"/>
  <c r="G29" i="25"/>
  <c r="F14" i="25"/>
  <c r="F20" i="25"/>
  <c r="F30" i="25"/>
  <c r="F27" i="25"/>
  <c r="G25" i="25"/>
  <c r="F36" i="25"/>
  <c r="G24" i="25"/>
  <c r="G14" i="25"/>
  <c r="Z16" i="25"/>
  <c r="Z38" i="25"/>
  <c r="Z9" i="25"/>
  <c r="Z22" i="25"/>
  <c r="Z20" i="25"/>
  <c r="Z31" i="25"/>
  <c r="Z24" i="25"/>
  <c r="Z23" i="25"/>
  <c r="Z29" i="25"/>
  <c r="Z15" i="25"/>
  <c r="Z25" i="25"/>
  <c r="Z39" i="25"/>
  <c r="Z32" i="25"/>
  <c r="Z12" i="25"/>
  <c r="Z36" i="25"/>
  <c r="Z27" i="25"/>
  <c r="Z33" i="25"/>
  <c r="Z30" i="25"/>
  <c r="Z42" i="25"/>
  <c r="Z28" i="25"/>
  <c r="Z35" i="25"/>
  <c r="Z34" i="25"/>
  <c r="Z18" i="25"/>
  <c r="Z11" i="25"/>
  <c r="Z19" i="25"/>
  <c r="Z41" i="25"/>
  <c r="Z7" i="25"/>
  <c r="Z8" i="25"/>
  <c r="Z10" i="25"/>
  <c r="Z13" i="25"/>
  <c r="Z14" i="25"/>
  <c r="Z6" i="25"/>
  <c r="Z21" i="25"/>
  <c r="Z26" i="25"/>
  <c r="Z17" i="25"/>
  <c r="Z37" i="25"/>
  <c r="Z40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E5" i="15"/>
  <c r="E6" i="15"/>
  <c r="E7" i="15"/>
  <c r="E8" i="15"/>
  <c r="E9" i="15"/>
  <c r="E10" i="15"/>
  <c r="E11" i="15"/>
  <c r="E12" i="15"/>
  <c r="E13" i="15"/>
  <c r="G27" i="25"/>
  <c r="F18" i="16"/>
  <c r="G40" i="25"/>
  <c r="F6" i="16"/>
  <c r="F13" i="15"/>
  <c r="G35" i="25"/>
  <c r="G18" i="25"/>
  <c r="G20" i="25"/>
  <c r="G33" i="25"/>
  <c r="F7" i="16"/>
  <c r="F12" i="16"/>
  <c r="F8" i="16"/>
  <c r="G17" i="25"/>
  <c r="G9" i="25"/>
  <c r="G38" i="25"/>
  <c r="F13" i="16"/>
  <c r="F12" i="15"/>
  <c r="G7" i="25"/>
  <c r="F11" i="16"/>
  <c r="G15" i="25"/>
  <c r="G26" i="25"/>
  <c r="G30" i="25"/>
  <c r="G22" i="25"/>
  <c r="F14" i="16"/>
  <c r="F19" i="16"/>
  <c r="G6" i="25"/>
  <c r="G23" i="25"/>
  <c r="F7" i="15"/>
  <c r="F15" i="16"/>
  <c r="C5" i="20"/>
  <c r="F9" i="15"/>
  <c r="G41" i="25"/>
  <c r="F5" i="15"/>
  <c r="G31" i="25"/>
  <c r="G34" i="25"/>
  <c r="G32" i="25"/>
  <c r="G28" i="25"/>
  <c r="F9" i="16"/>
  <c r="F11" i="15"/>
  <c r="G36" i="25"/>
  <c r="F10" i="15"/>
  <c r="G39" i="25"/>
  <c r="F16" i="16"/>
  <c r="F8" i="15"/>
  <c r="C6" i="20"/>
  <c r="F6" i="15"/>
  <c r="F10" i="16"/>
  <c r="F31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6" i="16"/>
  <c r="F37" i="18"/>
  <c r="F24" i="18"/>
  <c r="G12" i="16"/>
  <c r="G19" i="16"/>
  <c r="G24" i="18"/>
  <c r="G9" i="16"/>
  <c r="F20" i="18"/>
  <c r="G15" i="16"/>
  <c r="G14" i="16"/>
  <c r="F15" i="18"/>
  <c r="G6" i="15"/>
  <c r="F16" i="18"/>
  <c r="F12" i="18"/>
  <c r="G6" i="16"/>
  <c r="F19" i="18"/>
  <c r="G18" i="16"/>
  <c r="G5" i="15"/>
  <c r="F6" i="18"/>
  <c r="F11" i="18"/>
  <c r="F33" i="18"/>
  <c r="F8" i="18"/>
  <c r="D6" i="20"/>
  <c r="F25" i="18"/>
  <c r="G25" i="18" s="1"/>
  <c r="F28" i="18"/>
  <c r="F32" i="18"/>
  <c r="F5" i="18"/>
  <c r="F7" i="18"/>
  <c r="F21" i="18"/>
  <c r="F27" i="18"/>
  <c r="F34" i="18"/>
  <c r="F10" i="18"/>
  <c r="G10" i="18" s="1"/>
  <c r="G8" i="15"/>
  <c r="F29" i="18"/>
  <c r="G9" i="15"/>
  <c r="G8" i="16"/>
  <c r="G11" i="15"/>
  <c r="G13" i="15"/>
  <c r="F30" i="18"/>
  <c r="G30" i="18" s="1"/>
  <c r="G10" i="16"/>
  <c r="F31" i="18"/>
  <c r="F42" i="18"/>
  <c r="F9" i="18"/>
  <c r="G13" i="16"/>
  <c r="G7" i="15"/>
  <c r="F45" i="18"/>
  <c r="F41" i="18"/>
  <c r="F26" i="18"/>
  <c r="F44" i="18"/>
  <c r="G11" i="16"/>
  <c r="G31" i="16"/>
  <c r="G10" i="15"/>
  <c r="F46" i="18"/>
  <c r="F35" i="18"/>
  <c r="G35" i="18" s="1"/>
  <c r="G21" i="18"/>
  <c r="F17" i="18"/>
  <c r="F36" i="18"/>
  <c r="D5" i="20"/>
  <c r="F39" i="18"/>
  <c r="F13" i="18"/>
  <c r="G13" i="18" s="1"/>
  <c r="F43" i="18"/>
  <c r="G12" i="15"/>
  <c r="G7" i="16"/>
  <c r="F18" i="18"/>
  <c r="F14" i="18"/>
  <c r="F23" i="18"/>
  <c r="G23" i="18" s="1"/>
  <c r="F40" i="18"/>
  <c r="F38" i="18"/>
  <c r="F22" i="18"/>
  <c r="AD6" i="18"/>
  <c r="AD5" i="18"/>
  <c r="R5" i="15"/>
  <c r="AD15" i="18"/>
  <c r="AD32" i="18"/>
  <c r="R8" i="15"/>
  <c r="AD40" i="18"/>
  <c r="AD41" i="18"/>
  <c r="AD24" i="18"/>
  <c r="AD42" i="18"/>
  <c r="Z9" i="16"/>
  <c r="AD33" i="18"/>
  <c r="Z18" i="16"/>
  <c r="Z15" i="16"/>
  <c r="AD7" i="18"/>
  <c r="R12" i="15"/>
  <c r="Z12" i="16"/>
  <c r="AD23" i="18"/>
  <c r="Z19" i="16"/>
  <c r="Z8" i="16"/>
  <c r="Z10" i="16"/>
  <c r="U6" i="20"/>
  <c r="AD34" i="18"/>
  <c r="AD8" i="18"/>
  <c r="AD11" i="18"/>
  <c r="R11" i="15"/>
  <c r="Z13" i="16"/>
  <c r="AD28" i="18"/>
  <c r="U5" i="20"/>
  <c r="AD37" i="18"/>
  <c r="R13" i="15"/>
  <c r="R6" i="15"/>
  <c r="AD22" i="18"/>
  <c r="AD12" i="18"/>
  <c r="AD45" i="18"/>
  <c r="R10" i="15"/>
  <c r="AD35" i="18"/>
  <c r="AD19" i="18"/>
  <c r="AD46" i="18"/>
  <c r="R7" i="15"/>
  <c r="AD20" i="18"/>
  <c r="R9" i="15"/>
  <c r="AD36" i="18"/>
  <c r="AD21" i="18"/>
  <c r="AD18" i="18"/>
  <c r="Z6" i="16"/>
  <c r="AD43" i="18"/>
  <c r="Z14" i="16"/>
  <c r="AD16" i="18"/>
  <c r="AD9" i="18"/>
  <c r="AD27" i="18"/>
  <c r="AD44" i="18"/>
  <c r="Z11" i="16"/>
  <c r="AD30" i="18"/>
  <c r="AD26" i="18"/>
  <c r="AD17" i="18"/>
  <c r="AD31" i="18"/>
  <c r="AD39" i="18"/>
  <c r="AD25" i="18"/>
  <c r="AD29" i="18"/>
  <c r="AD38" i="18"/>
  <c r="AD10" i="18"/>
  <c r="AD13" i="18"/>
  <c r="Z31" i="16"/>
  <c r="AD14" i="18"/>
  <c r="Z7" i="16"/>
  <c r="E5" i="13" l="1"/>
  <c r="E5" i="11"/>
  <c r="E5" i="12"/>
  <c r="G18" i="18"/>
  <c r="G46" i="18"/>
  <c r="G6" i="18"/>
  <c r="G43" i="18"/>
  <c r="G44" i="18"/>
  <c r="G17" i="18"/>
  <c r="A4" i="18"/>
  <c r="G42" i="18"/>
  <c r="G45" i="18"/>
  <c r="G39" i="18"/>
  <c r="G11" i="18"/>
  <c r="G20" i="18"/>
  <c r="G27" i="18"/>
  <c r="G9" i="18"/>
  <c r="G19" i="18"/>
  <c r="G33" i="18"/>
  <c r="G34" i="18"/>
  <c r="G7" i="18"/>
  <c r="G31" i="18"/>
  <c r="G14" i="18"/>
  <c r="F5" i="12"/>
  <c r="G36" i="18"/>
  <c r="G28" i="18"/>
  <c r="G29" i="18"/>
  <c r="G22" i="18"/>
  <c r="G40" i="18"/>
  <c r="G12" i="18"/>
  <c r="G15" i="18"/>
  <c r="G16" i="18"/>
  <c r="F5" i="13"/>
  <c r="G41" i="18"/>
  <c r="G32" i="18"/>
  <c r="G26" i="18"/>
  <c r="G38" i="18"/>
  <c r="G37" i="18"/>
  <c r="F5" i="11"/>
  <c r="G8" i="18"/>
  <c r="U2" i="20"/>
  <c r="E6" i="13" l="1"/>
  <c r="E6" i="12"/>
  <c r="E6" i="11"/>
  <c r="F6" i="13"/>
  <c r="F6" i="11"/>
  <c r="G5" i="13"/>
  <c r="G5" i="11"/>
  <c r="F6" i="12"/>
  <c r="G5" i="12"/>
  <c r="E7" i="13" l="1"/>
  <c r="E7" i="12"/>
  <c r="E7" i="11"/>
  <c r="G6" i="11"/>
  <c r="F7" i="11"/>
  <c r="G6" i="13"/>
  <c r="F7" i="12"/>
  <c r="G6" i="12"/>
  <c r="F7" i="13"/>
  <c r="E8" i="13" l="1"/>
  <c r="E8" i="12"/>
  <c r="E8" i="11"/>
  <c r="F8" i="13"/>
  <c r="G7" i="11"/>
  <c r="F8" i="12"/>
  <c r="G7" i="12"/>
  <c r="F8" i="11"/>
  <c r="G7" i="13"/>
  <c r="E9" i="13" l="1"/>
  <c r="E9" i="12"/>
  <c r="E9" i="11"/>
  <c r="G8" i="11"/>
  <c r="F9" i="13"/>
  <c r="G8" i="12"/>
  <c r="G8" i="13"/>
  <c r="F9" i="11"/>
  <c r="F9" i="12"/>
  <c r="E10" i="13" l="1"/>
  <c r="E10" i="12"/>
  <c r="E10" i="11"/>
  <c r="F10" i="11"/>
  <c r="G9" i="13"/>
  <c r="F10" i="13"/>
  <c r="G9" i="11"/>
  <c r="F10" i="12"/>
  <c r="G9" i="12"/>
  <c r="E11" i="13" l="1"/>
  <c r="E11" i="12"/>
  <c r="E11" i="11"/>
  <c r="F11" i="12"/>
  <c r="G10" i="11"/>
  <c r="F11" i="13"/>
  <c r="G10" i="12"/>
  <c r="F11" i="11"/>
  <c r="G10" i="13"/>
  <c r="E12" i="13" l="1"/>
  <c r="E12" i="12"/>
  <c r="E12" i="11"/>
  <c r="F12" i="13"/>
  <c r="G11" i="11"/>
  <c r="G11" i="13"/>
  <c r="G11" i="12"/>
  <c r="F12" i="12"/>
  <c r="F12" i="11"/>
  <c r="E13" i="13" l="1"/>
  <c r="E13" i="12"/>
  <c r="E13" i="11"/>
  <c r="G12" i="13"/>
  <c r="F13" i="11"/>
  <c r="G12" i="11"/>
  <c r="G12" i="12"/>
  <c r="F13" i="12"/>
  <c r="F13" i="13"/>
  <c r="E14" i="13" l="1"/>
  <c r="E14" i="12"/>
  <c r="E14" i="11"/>
  <c r="F14" i="13"/>
  <c r="G13" i="13"/>
  <c r="G13" i="12"/>
  <c r="F14" i="11"/>
  <c r="G13" i="11"/>
  <c r="F14" i="12"/>
  <c r="E15" i="13" l="1"/>
  <c r="E15" i="12"/>
  <c r="E15" i="11"/>
  <c r="G14" i="12"/>
  <c r="F15" i="11"/>
  <c r="F15" i="13"/>
  <c r="G14" i="13"/>
  <c r="G14" i="11"/>
  <c r="F15" i="12"/>
  <c r="E16" i="13" l="1"/>
  <c r="E16" i="12"/>
  <c r="E16" i="11"/>
  <c r="G15" i="13"/>
  <c r="F16" i="13"/>
  <c r="G15" i="12"/>
  <c r="F16" i="11"/>
  <c r="F16" i="12"/>
  <c r="G15" i="11"/>
  <c r="E17" i="13" l="1"/>
  <c r="E17" i="12"/>
  <c r="E17" i="11"/>
  <c r="G16" i="13"/>
  <c r="F17" i="12"/>
  <c r="F17" i="11"/>
  <c r="F17" i="13"/>
  <c r="G16" i="12"/>
  <c r="G16" i="11"/>
  <c r="E18" i="13" l="1"/>
  <c r="E18" i="12"/>
  <c r="E18" i="11"/>
  <c r="F18" i="11"/>
  <c r="F18" i="12"/>
  <c r="G17" i="11"/>
  <c r="G17" i="13"/>
  <c r="F18" i="13"/>
  <c r="G17" i="12"/>
  <c r="E19" i="13" l="1"/>
  <c r="E19" i="12"/>
  <c r="E19" i="11"/>
  <c r="F19" i="12"/>
  <c r="F19" i="11"/>
  <c r="F19" i="13"/>
  <c r="G18" i="11"/>
  <c r="G18" i="12"/>
  <c r="G18" i="13"/>
  <c r="E20" i="13" l="1"/>
  <c r="E20" i="12"/>
  <c r="E20" i="11"/>
  <c r="F20" i="13"/>
  <c r="G19" i="13"/>
  <c r="F20" i="11"/>
  <c r="G19" i="12"/>
  <c r="G19" i="11"/>
  <c r="F20" i="12"/>
  <c r="E21" i="13" l="1"/>
  <c r="E21" i="12"/>
  <c r="E21" i="11"/>
  <c r="G20" i="11"/>
  <c r="F21" i="11"/>
  <c r="G20" i="12"/>
  <c r="G20" i="13"/>
  <c r="F21" i="12"/>
  <c r="F21" i="13"/>
  <c r="E22" i="13" l="1"/>
  <c r="E22" i="12"/>
  <c r="E22" i="11"/>
  <c r="G21" i="12"/>
  <c r="G21" i="11"/>
  <c r="F22" i="12"/>
  <c r="F22" i="13"/>
  <c r="F22" i="11"/>
  <c r="G21" i="13"/>
  <c r="E23" i="13" l="1"/>
  <c r="E23" i="12"/>
  <c r="E23" i="11"/>
  <c r="F23" i="13"/>
  <c r="F23" i="11"/>
  <c r="G22" i="11"/>
  <c r="G22" i="12"/>
  <c r="G22" i="13"/>
  <c r="F23" i="12"/>
  <c r="E24" i="13" l="1"/>
  <c r="E24" i="12"/>
  <c r="E24" i="11"/>
  <c r="G23" i="12"/>
  <c r="F24" i="11"/>
  <c r="F24" i="12"/>
  <c r="F24" i="13"/>
  <c r="G23" i="11"/>
  <c r="G23" i="13"/>
  <c r="E25" i="13" l="1"/>
  <c r="E25" i="12"/>
  <c r="E25" i="11"/>
  <c r="F25" i="12"/>
  <c r="F25" i="13"/>
  <c r="F25" i="11"/>
  <c r="G24" i="11"/>
  <c r="G24" i="12"/>
  <c r="G24" i="13"/>
  <c r="E26" i="13" l="1"/>
  <c r="E26" i="12"/>
  <c r="E26" i="11"/>
  <c r="G25" i="11"/>
  <c r="G25" i="13"/>
  <c r="F26" i="12"/>
  <c r="F26" i="11"/>
  <c r="G25" i="12"/>
  <c r="F26" i="13"/>
  <c r="E27" i="13" l="1"/>
  <c r="E27" i="12"/>
  <c r="E27" i="11"/>
  <c r="G26" i="11"/>
  <c r="G26" i="13"/>
  <c r="F27" i="13"/>
  <c r="G26" i="12"/>
  <c r="F27" i="12"/>
  <c r="F27" i="11"/>
  <c r="E28" i="13" l="1"/>
  <c r="E28" i="12"/>
  <c r="E28" i="11"/>
  <c r="F28" i="13"/>
  <c r="G27" i="11"/>
  <c r="F28" i="11"/>
  <c r="F28" i="12"/>
  <c r="G27" i="12"/>
  <c r="G27" i="13"/>
  <c r="E29" i="13" l="1"/>
  <c r="E29" i="12"/>
  <c r="E29" i="11"/>
  <c r="G28" i="11"/>
  <c r="F29" i="11"/>
  <c r="G28" i="13"/>
  <c r="G28" i="12"/>
  <c r="F29" i="13"/>
  <c r="F29" i="12"/>
  <c r="E30" i="13" l="1"/>
  <c r="E30" i="12"/>
  <c r="E30" i="11"/>
  <c r="G29" i="13"/>
  <c r="F30" i="12"/>
  <c r="F30" i="11"/>
  <c r="G29" i="12"/>
  <c r="G29" i="11"/>
  <c r="F30" i="13"/>
  <c r="E31" i="13" l="1"/>
  <c r="E31" i="12"/>
  <c r="E31" i="11"/>
  <c r="G30" i="11"/>
  <c r="F31" i="13"/>
  <c r="G30" i="13"/>
  <c r="F31" i="11"/>
  <c r="G30" i="12"/>
  <c r="F31" i="12"/>
  <c r="E32" i="13" l="1"/>
  <c r="E32" i="12"/>
  <c r="E32" i="11"/>
  <c r="F32" i="12"/>
  <c r="G31" i="11"/>
  <c r="F32" i="11"/>
  <c r="G31" i="13"/>
  <c r="G31" i="12"/>
  <c r="F32" i="13"/>
  <c r="E33" i="13" l="1"/>
  <c r="E33" i="12"/>
  <c r="E33" i="11"/>
  <c r="F33" i="11"/>
  <c r="F33" i="13"/>
  <c r="F33" i="12"/>
  <c r="G32" i="13"/>
  <c r="G32" i="12"/>
  <c r="G32" i="11"/>
  <c r="E34" i="13" l="1"/>
  <c r="E34" i="12"/>
  <c r="E34" i="11"/>
  <c r="F34" i="13"/>
  <c r="F34" i="12"/>
  <c r="G33" i="12"/>
  <c r="G33" i="11"/>
  <c r="G33" i="13"/>
  <c r="F34" i="11"/>
  <c r="E35" i="13" l="1"/>
  <c r="E35" i="12"/>
  <c r="E35" i="11"/>
  <c r="F35" i="13"/>
  <c r="G34" i="13"/>
  <c r="G34" i="11"/>
  <c r="F35" i="12"/>
  <c r="G34" i="12"/>
  <c r="F35" i="11"/>
  <c r="E36" i="13" l="1"/>
  <c r="E36" i="12"/>
  <c r="E36" i="11"/>
  <c r="F36" i="12"/>
  <c r="F36" i="11"/>
  <c r="G35" i="12"/>
  <c r="G35" i="11"/>
  <c r="F36" i="13"/>
  <c r="G35" i="13"/>
  <c r="E37" i="13" l="1"/>
  <c r="E37" i="12"/>
  <c r="E37" i="11"/>
  <c r="F37" i="11"/>
  <c r="F37" i="13"/>
  <c r="G36" i="12"/>
  <c r="G36" i="13"/>
  <c r="F37" i="12"/>
  <c r="G36" i="11"/>
  <c r="E38" i="13" l="1"/>
  <c r="E38" i="12"/>
  <c r="E38" i="11"/>
  <c r="G37" i="12"/>
  <c r="G37" i="13"/>
  <c r="F38" i="12"/>
  <c r="G37" i="11"/>
  <c r="F38" i="13"/>
  <c r="F38" i="11"/>
  <c r="E39" i="13" l="1"/>
  <c r="E39" i="12"/>
  <c r="E39" i="11"/>
  <c r="F39" i="13"/>
  <c r="F39" i="12"/>
  <c r="G38" i="12"/>
  <c r="G38" i="13"/>
  <c r="F39" i="11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U3" i="13"/>
  <c r="U3" i="12"/>
  <c r="I11" i="6"/>
  <c r="I6" i="6"/>
  <c r="F42" i="11"/>
  <c r="I7" i="6"/>
  <c r="G40" i="11"/>
  <c r="F41" i="13"/>
  <c r="I9" i="6"/>
  <c r="G42" i="11"/>
  <c r="I8" i="6"/>
  <c r="F41" i="12"/>
  <c r="F41" i="11"/>
  <c r="G40" i="12"/>
  <c r="F42" i="12"/>
  <c r="I12" i="6"/>
  <c r="F42" i="13"/>
  <c r="G40" i="13"/>
  <c r="U8" i="6" l="1"/>
  <c r="U7" i="6"/>
  <c r="U9" i="6"/>
  <c r="U11" i="6"/>
  <c r="U12" i="6"/>
  <c r="W5" i="12" a="1"/>
  <c r="W5" i="13" a="1"/>
  <c r="G42" i="13"/>
  <c r="G41" i="11"/>
  <c r="G41" i="13"/>
  <c r="G42" i="12"/>
  <c r="G41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37" i="13"/>
  <c r="AB36" i="13"/>
  <c r="AB10" i="13"/>
  <c r="AB15" i="13"/>
  <c r="AB21" i="13"/>
  <c r="AB31" i="13"/>
  <c r="AB30" i="13"/>
  <c r="AB33" i="13"/>
  <c r="AB5" i="13"/>
  <c r="AB18" i="13"/>
  <c r="AB16" i="13"/>
  <c r="AB9" i="13"/>
  <c r="AB12" i="13"/>
  <c r="AB35" i="13"/>
  <c r="AB26" i="13"/>
  <c r="AB28" i="13"/>
  <c r="AB41" i="13"/>
  <c r="AB11" i="13"/>
  <c r="AB7" i="13"/>
  <c r="AB22" i="13"/>
  <c r="AB20" i="13"/>
  <c r="AB23" i="13"/>
  <c r="AB40" i="13"/>
  <c r="AB8" i="13"/>
  <c r="AB27" i="13"/>
  <c r="AB34" i="13"/>
  <c r="AB29" i="13"/>
  <c r="AB42" i="13"/>
  <c r="AB14" i="13"/>
  <c r="AB13" i="13"/>
  <c r="AB32" i="13"/>
  <c r="AB24" i="13"/>
  <c r="AB38" i="13"/>
  <c r="AB19" i="13"/>
  <c r="AB39" i="13"/>
  <c r="AB17" i="13"/>
  <c r="AB25" i="13"/>
  <c r="AB6" i="13"/>
  <c r="W40" i="11" l="1"/>
  <c r="AA40" i="11" s="1"/>
  <c r="AB31" i="12"/>
  <c r="AB42" i="12"/>
  <c r="AB26" i="12"/>
  <c r="AB24" i="12"/>
  <c r="AB33" i="12"/>
  <c r="AB12" i="12"/>
  <c r="AB23" i="12"/>
  <c r="AB8" i="12"/>
  <c r="AB19" i="12"/>
  <c r="AB38" i="12"/>
  <c r="AB36" i="12"/>
  <c r="AB10" i="12"/>
  <c r="AB21" i="12"/>
  <c r="AB35" i="12"/>
  <c r="AB14" i="12"/>
  <c r="AB6" i="12"/>
  <c r="AB9" i="12"/>
  <c r="AB7" i="12"/>
  <c r="AB13" i="12"/>
  <c r="AB18" i="12"/>
  <c r="AB32" i="12"/>
  <c r="AB29" i="12"/>
  <c r="AB17" i="12"/>
  <c r="AB22" i="12"/>
  <c r="AB40" i="12"/>
  <c r="AB11" i="12"/>
  <c r="AB37" i="12"/>
  <c r="AB16" i="12"/>
  <c r="AB39" i="12"/>
  <c r="AB5" i="12"/>
  <c r="AB41" i="12"/>
  <c r="AB20" i="12"/>
  <c r="AB30" i="12"/>
  <c r="AB28" i="12"/>
  <c r="AB27" i="12"/>
  <c r="AB25" i="12"/>
  <c r="AB15" i="12"/>
  <c r="AB34" i="12"/>
  <c r="W41" i="11" l="1"/>
  <c r="AA41" i="11" s="1"/>
  <c r="W42" i="11" l="1"/>
  <c r="AA42" i="11" s="1"/>
  <c r="P5" i="18" a="1"/>
  <c r="P6" i="18" l="1"/>
  <c r="P5" i="18"/>
  <c r="P7" i="18"/>
  <c r="P8" i="18"/>
  <c r="AB16" i="11"/>
  <c r="AB15" i="11"/>
  <c r="AB21" i="11"/>
  <c r="AB31" i="11"/>
  <c r="AB24" i="11"/>
  <c r="AB13" i="11"/>
  <c r="AB39" i="11"/>
  <c r="AB18" i="11"/>
  <c r="AB38" i="11"/>
  <c r="AB14" i="11"/>
  <c r="AB42" i="11"/>
  <c r="AB33" i="11"/>
  <c r="AB11" i="11"/>
  <c r="AB25" i="11"/>
  <c r="AB35" i="11"/>
  <c r="AB20" i="11"/>
  <c r="AB6" i="11"/>
  <c r="AB12" i="11"/>
  <c r="AB26" i="11"/>
  <c r="AB9" i="11"/>
  <c r="AB29" i="11"/>
  <c r="AB36" i="11"/>
  <c r="AB7" i="11"/>
  <c r="AB40" i="11"/>
  <c r="AB37" i="11"/>
  <c r="AB27" i="11"/>
  <c r="AB34" i="11"/>
  <c r="AB17" i="11"/>
  <c r="AB10" i="11"/>
  <c r="AB41" i="11"/>
  <c r="AB23" i="11"/>
  <c r="AB19" i="11"/>
  <c r="AB30" i="11"/>
  <c r="AB32" i="11"/>
  <c r="AB22" i="11"/>
  <c r="AB28" i="11"/>
  <c r="AB8" i="11"/>
  <c r="AB5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AD2" i="18"/>
  <c r="Z2" i="25"/>
  <c r="AB2" i="12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8" i="18"/>
  <c r="I46" i="18"/>
  <c r="I18" i="18"/>
  <c r="I9" i="18"/>
  <c r="I32" i="18"/>
  <c r="I40" i="18"/>
  <c r="I30" i="18"/>
  <c r="I27" i="18"/>
  <c r="I44" i="18"/>
  <c r="I43" i="18"/>
  <c r="I14" i="18"/>
  <c r="I19" i="18"/>
  <c r="I7" i="18"/>
  <c r="I42" i="18"/>
  <c r="I36" i="18"/>
  <c r="I16" i="18"/>
  <c r="I21" i="18"/>
  <c r="I25" i="18"/>
  <c r="I13" i="18"/>
  <c r="I23" i="18"/>
  <c r="I45" i="18"/>
  <c r="I24" i="18"/>
  <c r="R2" i="15"/>
  <c r="I31" i="18"/>
  <c r="I17" i="18"/>
  <c r="I34" i="18"/>
  <c r="I35" i="18"/>
  <c r="I22" i="18"/>
  <c r="I20" i="18"/>
  <c r="I10" i="18"/>
  <c r="J10" i="18" s="1"/>
  <c r="I6" i="18"/>
  <c r="J6" i="18" s="1"/>
  <c r="R1" i="65"/>
  <c r="I12" i="18"/>
  <c r="I29" i="18"/>
  <c r="J46" i="18"/>
  <c r="I15" i="18"/>
  <c r="I41" i="18"/>
  <c r="I26" i="18"/>
  <c r="I39" i="18"/>
  <c r="J36" i="18"/>
  <c r="I38" i="18"/>
  <c r="I37" i="18"/>
  <c r="J27" i="18"/>
  <c r="I28" i="18"/>
  <c r="I11" i="18"/>
  <c r="I5" i="18"/>
  <c r="I33" i="18"/>
  <c r="L6" i="15" l="1"/>
  <c r="L7" i="15"/>
  <c r="L5" i="15"/>
  <c r="O10" i="6"/>
  <c r="I10" i="6"/>
  <c r="D8" i="56"/>
  <c r="J41" i="18"/>
  <c r="J18" i="18"/>
  <c r="J38" i="18"/>
  <c r="J8" i="18"/>
  <c r="J13" i="18"/>
  <c r="J22" i="18"/>
  <c r="J29" i="18"/>
  <c r="J19" i="18"/>
  <c r="J26" i="18"/>
  <c r="J39" i="18"/>
  <c r="J37" i="18"/>
  <c r="J20" i="18"/>
  <c r="J28" i="18"/>
  <c r="J43" i="18"/>
  <c r="J12" i="18"/>
  <c r="J11" i="18"/>
  <c r="J45" i="18"/>
  <c r="J17" i="18"/>
  <c r="J40" i="18"/>
  <c r="J21" i="18"/>
  <c r="J23" i="18"/>
  <c r="J34" i="18"/>
  <c r="J5" i="18"/>
  <c r="J30" i="18"/>
  <c r="J7" i="18"/>
  <c r="J25" i="18"/>
  <c r="J15" i="18"/>
  <c r="J33" i="18"/>
  <c r="J14" i="18"/>
  <c r="J16" i="18"/>
  <c r="J35" i="18"/>
  <c r="J42" i="18"/>
  <c r="J32" i="18"/>
  <c r="J31" i="18"/>
  <c r="J44" i="18"/>
  <c r="J9" i="18"/>
  <c r="J24" i="18"/>
  <c r="L4" i="15"/>
  <c r="E5" i="16" l="1"/>
  <c r="R10" i="6"/>
  <c r="F5" i="16"/>
  <c r="T10" i="6"/>
  <c r="Z2" i="22"/>
  <c r="Z2" i="23"/>
  <c r="Z5" i="16"/>
  <c r="AB2" i="11"/>
  <c r="O4" i="11"/>
  <c r="O4" i="12"/>
  <c r="O4" i="25"/>
  <c r="S10" i="6" l="1"/>
  <c r="U10" i="6" s="1"/>
  <c r="L5" i="16"/>
  <c r="K5" i="16" s="1"/>
  <c r="N5" i="16" s="1"/>
  <c r="G5" i="16"/>
  <c r="Z2" i="16"/>
  <c r="O5" i="16" l="1" a="1"/>
  <c r="D7" i="56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R1" i="64"/>
  <c r="O4" i="13"/>
  <c r="R4" i="18"/>
  <c r="O4" i="16"/>
</calcChain>
</file>

<file path=xl/sharedStrings.xml><?xml version="1.0" encoding="utf-8"?>
<sst xmlns="http://schemas.openxmlformats.org/spreadsheetml/2006/main" count="1717" uniqueCount="295">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</sst>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11:14:16</v>
        <stp/>
        <stp>{AB778DA7-3D34-4437-B3FA-139D89E04780}_x0000_</stp>
        <tr r="K22" s="6"/>
      </tp>
    </main>
    <main first="pldatasource.rdatartdserver">
      <tp t="s">
        <v>Paused at 11:14:16</v>
        <stp/>
        <stp>{BA4A6544-E265-45F4-91CF-560BF33A1CA9}</stp>
        <tr r="L4" s="20"/>
      </tp>
      <tp t="s">
        <v>Paused at 11:14:16</v>
        <stp/>
        <stp>{C420FA01-D979-41A2-872A-BC88ADA56749}</stp>
        <tr r="O4" s="13"/>
      </tp>
      <tp t="s">
        <v>Paused at 11:14:16</v>
        <stp/>
        <stp>{C2BC3D77-F445-45C5-9DCA-25EE3832ABBA}</stp>
        <tr r="J3" s="64"/>
      </tp>
      <tp t="s">
        <v>Paused at 11:15:03</v>
        <stp/>
        <stp>{A4E68F88-219D-40B7-B651-2B359FD35A95}</stp>
        <tr r="O4" s="16"/>
      </tp>
      <tp t="s">
        <v>Paused at 11:14:16</v>
        <stp/>
        <stp>{99A4D3C0-CEA8-496F-A675-00BFF9759481}</stp>
        <tr r="L4" s="15"/>
      </tp>
      <tp t="s">
        <v>Paused at 11:14:16</v>
        <stp/>
        <stp>{290E7A94-0018-42EF-875B-E4DFDB31360F}</stp>
        <tr r="K5" s="6"/>
      </tp>
      <tp t="s">
        <v>Paused at 11:15:03</v>
        <stp/>
        <stp>{B6FE1003-8CA5-4CCD-AF8A-393ACDE87080}</stp>
        <tr r="O4" s="22"/>
      </tp>
      <tp t="s">
        <v>Paused at 11:15:03</v>
        <stp/>
        <stp>{F63C7C7F-3AC7-4113-962A-23C1C22F1F70}</stp>
        <tr r="O4" s="25"/>
      </tp>
      <tp t="s">
        <v>Paused at 11:15:03</v>
        <stp/>
        <stp>{58C21682-5575-422E-9CD7-E1611B88E357}</stp>
        <tr r="O4" s="11"/>
      </tp>
      <tp t="s">
        <v>Paused at 11:14:16</v>
        <stp/>
        <stp>{EB8D1418-2F9A-4BC4-8648-F7307941A22E}</stp>
        <tr r="J3" s="65"/>
      </tp>
      <tp t="s">
        <v>Paused at 11:15:03</v>
        <stp/>
        <stp>{6AA54437-A01A-4BEE-9F0F-AB58A87A16E2}</stp>
        <tr r="O4" s="12"/>
      </tp>
      <tp t="s">
        <v>Paused at 11:14:16</v>
        <stp/>
        <stp>{09B40DAC-2EC9-4F4F-90DF-E84237F82410}</stp>
        <tr r="O4" s="24"/>
      </tp>
      <tp t="s">
        <v>Paused at 11:14:16</v>
        <stp/>
        <stp>{790B3A8A-75E9-4218-9C97-B2D1408C0F62}</stp>
        <tr r="R4" s="18"/>
      </tp>
      <tp t="s">
        <v>Paused at 11:15:03</v>
        <stp/>
        <stp>{64E97B86-1593-4F31-9D4E-1ED142FD59E8}</stp>
        <tr r="O4" s="23"/>
      </tp>
    </main>
    <main first="pldatasource.rhistoryrtdserver">
      <tp t="s">
        <v>Paused at 11:14:16</v>
        <stp/>
        <stp>{B23741A2-3102-4321-AB4B-959629854D13}_x0000_</stp>
        <tr r="N17" s="6"/>
      </tp>
      <tp t="s">
        <v>Paused at 11:14:16</v>
        <stp/>
        <stp>{293BD8C3-BC42-4F96-8DDA-0087E959263F}_x0000_</stp>
        <tr r="N22" s="6"/>
      </tp>
      <tp t="s">
        <v>Paused at 11:14:16</v>
        <stp/>
        <stp>{0BFCC0E3-4499-462D-B868-B621FBEE3B31}_x0000_</stp>
        <tr r="K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99" customWidth="1"/>
    <col min="3" max="3" width="22.42578125" style="199" bestFit="1" customWidth="1"/>
    <col min="4" max="4" width="27.5703125" style="199" bestFit="1" customWidth="1"/>
    <col min="5" max="7" width="2.7109375" style="199" customWidth="1"/>
    <col min="8" max="8" width="23.42578125" style="199" bestFit="1" customWidth="1"/>
    <col min="9" max="9" width="28.5703125" style="199" bestFit="1" customWidth="1"/>
    <col min="10" max="11" width="2.7109375" style="199" customWidth="1"/>
    <col min="12" max="12" width="15.140625" style="199" hidden="1" customWidth="1" outlineLevel="1"/>
    <col min="13" max="15" width="20.7109375" style="199" hidden="1" customWidth="1" outlineLevel="1"/>
    <col min="16" max="16" width="9.140625" style="199" collapsed="1"/>
    <col min="17" max="16384" width="9.140625" style="199"/>
  </cols>
  <sheetData>
    <row r="1" spans="2:15" ht="12" thickBot="1" x14ac:dyDescent="0.25">
      <c r="B1" s="199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7" t="s">
        <v>259</v>
      </c>
      <c r="C2" s="68"/>
      <c r="D2" s="68"/>
      <c r="E2" s="69"/>
      <c r="G2" s="67" t="s">
        <v>279</v>
      </c>
      <c r="H2" s="68"/>
      <c r="I2" s="68"/>
      <c r="J2" s="69"/>
      <c r="L2" s="130" t="s">
        <v>277</v>
      </c>
      <c r="M2" s="131" t="s">
        <v>265</v>
      </c>
      <c r="N2" s="130" t="s">
        <v>266</v>
      </c>
      <c r="O2" s="132" t="s">
        <v>268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26" t="s">
        <v>270</v>
      </c>
      <c r="M3" s="429" t="s">
        <v>159</v>
      </c>
      <c r="N3" s="429" t="s">
        <v>159</v>
      </c>
      <c r="O3" s="429" t="s">
        <v>159</v>
      </c>
    </row>
    <row r="4" spans="2:15" x14ac:dyDescent="0.2">
      <c r="B4" s="6"/>
      <c r="C4" s="57" t="s">
        <v>6</v>
      </c>
      <c r="D4" s="70">
        <v>42069.464861111112</v>
      </c>
      <c r="E4" s="62"/>
      <c r="G4" s="104"/>
      <c r="H4" s="58" t="s">
        <v>264</v>
      </c>
      <c r="I4" s="128" t="s">
        <v>267</v>
      </c>
      <c r="J4" s="40"/>
      <c r="L4" s="427" t="s">
        <v>269</v>
      </c>
      <c r="M4" s="274" t="s">
        <v>189</v>
      </c>
      <c r="N4" s="274" t="s">
        <v>221</v>
      </c>
      <c r="O4" s="274" t="s">
        <v>189</v>
      </c>
    </row>
    <row r="5" spans="2:15" x14ac:dyDescent="0.2">
      <c r="B5" s="65"/>
      <c r="C5" s="60" t="s">
        <v>203</v>
      </c>
      <c r="D5" s="71">
        <f>_xll.qlSettingsEvaluationDate(Trigger)</f>
        <v>42069</v>
      </c>
      <c r="E5" s="66"/>
      <c r="G5" s="104"/>
      <c r="H5" s="436" t="s">
        <v>278</v>
      </c>
      <c r="I5" s="105">
        <f>INDEX(MATCH(Area,L2:O2,0),0)</f>
        <v>2</v>
      </c>
      <c r="J5" s="40"/>
      <c r="L5" s="427" t="s">
        <v>131</v>
      </c>
      <c r="M5" s="274" t="s">
        <v>237</v>
      </c>
      <c r="N5" s="274" t="s">
        <v>256</v>
      </c>
      <c r="O5" s="274" t="s">
        <v>237</v>
      </c>
    </row>
    <row r="6" spans="2:15" x14ac:dyDescent="0.2">
      <c r="B6" s="431"/>
      <c r="C6" s="193"/>
      <c r="D6" s="432"/>
      <c r="E6" s="433"/>
      <c r="G6" s="104"/>
      <c r="H6" s="434"/>
      <c r="I6" s="435"/>
      <c r="J6" s="40"/>
      <c r="L6" s="427" t="s">
        <v>271</v>
      </c>
      <c r="M6" s="274" t="s">
        <v>256</v>
      </c>
      <c r="N6" s="274" t="s">
        <v>235</v>
      </c>
      <c r="O6" s="274" t="s">
        <v>256</v>
      </c>
    </row>
    <row r="7" spans="2:15" x14ac:dyDescent="0.2">
      <c r="B7" s="6"/>
      <c r="C7" s="57" t="s">
        <v>193</v>
      </c>
      <c r="D7" s="50">
        <f>_xll.ohTrigger(Deposits!R2,FRA!Z2,Futures3M!AD2,FuturesHWConvAdj!U2,Swap1M!Z2,Swap3M!Z2,SwapIMM!Z2,BasisSwap1MxM!AB2,BasisSwap3M6M!AB2,BasisSwapxM12M!AB2,OIS!Z2)</f>
        <v>204</v>
      </c>
      <c r="E7" s="51"/>
      <c r="G7" s="95"/>
      <c r="H7" s="57" t="s">
        <v>186</v>
      </c>
      <c r="I7" s="430" t="b">
        <v>1</v>
      </c>
      <c r="J7" s="99"/>
      <c r="L7" s="427" t="s">
        <v>272</v>
      </c>
      <c r="M7" s="274" t="s">
        <v>256</v>
      </c>
      <c r="N7" s="274" t="s">
        <v>221</v>
      </c>
      <c r="O7" s="274" t="s">
        <v>189</v>
      </c>
    </row>
    <row r="8" spans="2:15" x14ac:dyDescent="0.2">
      <c r="B8" s="6"/>
      <c r="C8" s="60" t="s">
        <v>206</v>
      </c>
      <c r="D8" s="53">
        <f>_xll.ohTrigger(Libor!O6:O12)</f>
        <v>1</v>
      </c>
      <c r="E8" s="51"/>
      <c r="G8" s="95"/>
      <c r="H8" s="60" t="s">
        <v>187</v>
      </c>
      <c r="I8" s="129">
        <v>41922.497581018521</v>
      </c>
      <c r="J8" s="99"/>
      <c r="L8" s="427" t="s">
        <v>273</v>
      </c>
      <c r="M8" s="274" t="s">
        <v>256</v>
      </c>
      <c r="N8" s="274" t="s">
        <v>256</v>
      </c>
      <c r="O8" s="274" t="s">
        <v>256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27" t="s">
        <v>274</v>
      </c>
      <c r="M9" s="274" t="s">
        <v>256</v>
      </c>
      <c r="N9" s="274" t="s">
        <v>257</v>
      </c>
      <c r="O9" s="274" t="s">
        <v>256</v>
      </c>
    </row>
    <row r="10" spans="2:15" ht="12" thickBot="1" x14ac:dyDescent="0.25">
      <c r="L10" s="427" t="s">
        <v>275</v>
      </c>
      <c r="M10" s="274" t="s">
        <v>256</v>
      </c>
      <c r="N10" s="274" t="s">
        <v>257</v>
      </c>
      <c r="O10" s="274" t="s">
        <v>189</v>
      </c>
    </row>
    <row r="11" spans="2:15" ht="17.25" thickBot="1" x14ac:dyDescent="0.25">
      <c r="B11" s="67" t="s">
        <v>261</v>
      </c>
      <c r="C11" s="68"/>
      <c r="D11" s="68"/>
      <c r="E11" s="69"/>
      <c r="G11" s="67" t="s">
        <v>7</v>
      </c>
      <c r="H11" s="68"/>
      <c r="I11" s="68"/>
      <c r="J11" s="69"/>
      <c r="L11" s="428" t="s">
        <v>276</v>
      </c>
      <c r="M11" s="275" t="s">
        <v>257</v>
      </c>
      <c r="N11" s="275" t="s">
        <v>257</v>
      </c>
      <c r="O11" s="275" t="s">
        <v>257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0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213</v>
      </c>
      <c r="D16" s="52" t="s">
        <v>214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291</v>
      </c>
      <c r="D18" s="52" t="s">
        <v>218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292</v>
      </c>
      <c r="D19" s="52" t="s">
        <v>208</v>
      </c>
      <c r="E19" s="62"/>
      <c r="G19" s="6"/>
      <c r="H19" s="59" t="s">
        <v>192</v>
      </c>
      <c r="I19" s="52" t="s">
        <v>191</v>
      </c>
      <c r="J19" s="51"/>
    </row>
    <row r="20" spans="2:10" x14ac:dyDescent="0.2">
      <c r="B20" s="6"/>
      <c r="C20" s="59" t="s">
        <v>209</v>
      </c>
      <c r="D20" s="52" t="s">
        <v>207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260</v>
      </c>
      <c r="D21" s="336" t="str">
        <f>D20&amp;"("&amp;OverNightIndexCalendar&amp;","&amp;LiborCalendar&amp;")"</f>
        <v>JoinHolidays(UnitedStates::Settlement,UnitedKingdom::Exchange)</v>
      </c>
      <c r="E21" s="62" t="s">
        <v>234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216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195</v>
      </c>
      <c r="I22" s="55" t="s">
        <v>194</v>
      </c>
      <c r="J22" s="99"/>
    </row>
    <row r="23" spans="2:10" x14ac:dyDescent="0.2">
      <c r="B23" s="6"/>
      <c r="C23" s="60" t="s">
        <v>217</v>
      </c>
      <c r="D23" s="53" t="str">
        <f>IF(HolidayCheck,JoinCalendar,LiborCalendar)</f>
        <v>UnitedKingdom::Exchange</v>
      </c>
      <c r="E23" s="62"/>
      <c r="G23" s="95"/>
      <c r="H23" s="193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293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166</v>
      </c>
      <c r="D28" s="50" t="str">
        <f>""</f>
        <v/>
      </c>
      <c r="E28" s="51"/>
    </row>
    <row r="29" spans="2:10" x14ac:dyDescent="0.2">
      <c r="B29" s="6"/>
      <c r="C29" s="57" t="s">
        <v>240</v>
      </c>
      <c r="D29" s="50" t="s">
        <v>241</v>
      </c>
      <c r="E29" s="51"/>
    </row>
    <row r="30" spans="2:10" x14ac:dyDescent="0.2">
      <c r="B30" s="6"/>
      <c r="C30" s="58" t="s">
        <v>159</v>
      </c>
      <c r="D30" s="55" t="s">
        <v>165</v>
      </c>
      <c r="E30" s="51"/>
    </row>
    <row r="31" spans="2:10" x14ac:dyDescent="0.2">
      <c r="B31" s="6"/>
      <c r="C31" s="57" t="s">
        <v>256</v>
      </c>
      <c r="D31" s="50" t="s">
        <v>164</v>
      </c>
      <c r="E31" s="51"/>
    </row>
    <row r="32" spans="2:10" x14ac:dyDescent="0.2">
      <c r="B32" s="6"/>
      <c r="C32" s="59" t="s">
        <v>251</v>
      </c>
      <c r="D32" s="52" t="s">
        <v>244</v>
      </c>
      <c r="E32" s="51"/>
    </row>
    <row r="33" spans="2:5" x14ac:dyDescent="0.2">
      <c r="B33" s="6"/>
      <c r="C33" s="59" t="s">
        <v>242</v>
      </c>
      <c r="D33" s="52" t="s">
        <v>243</v>
      </c>
      <c r="E33" s="51"/>
    </row>
    <row r="34" spans="2:5" x14ac:dyDescent="0.2">
      <c r="B34" s="6"/>
      <c r="C34" s="59" t="s">
        <v>221</v>
      </c>
      <c r="D34" s="52" t="s">
        <v>222</v>
      </c>
      <c r="E34" s="51"/>
    </row>
    <row r="35" spans="2:5" x14ac:dyDescent="0.2">
      <c r="B35" s="6"/>
      <c r="C35" s="59" t="s">
        <v>189</v>
      </c>
      <c r="D35" s="52" t="s">
        <v>188</v>
      </c>
      <c r="E35" s="51"/>
    </row>
    <row r="36" spans="2:5" x14ac:dyDescent="0.2">
      <c r="B36" s="6"/>
      <c r="C36" s="59" t="s">
        <v>235</v>
      </c>
      <c r="D36" s="52" t="s">
        <v>236</v>
      </c>
      <c r="E36" s="51"/>
    </row>
    <row r="37" spans="2:5" x14ac:dyDescent="0.2">
      <c r="B37" s="6"/>
      <c r="C37" s="60" t="s">
        <v>245</v>
      </c>
      <c r="D37" s="53" t="s">
        <v>246</v>
      </c>
      <c r="E37" s="51"/>
    </row>
    <row r="38" spans="2:5" x14ac:dyDescent="0.2">
      <c r="B38" s="6"/>
      <c r="C38" s="57" t="s">
        <v>237</v>
      </c>
      <c r="D38" s="50" t="s">
        <v>162</v>
      </c>
      <c r="E38" s="51"/>
    </row>
    <row r="39" spans="2:5" x14ac:dyDescent="0.2">
      <c r="B39" s="6"/>
      <c r="C39" s="59" t="s">
        <v>258</v>
      </c>
      <c r="D39" s="52" t="s">
        <v>215</v>
      </c>
      <c r="E39" s="51"/>
    </row>
    <row r="40" spans="2:5" x14ac:dyDescent="0.2">
      <c r="B40" s="6"/>
      <c r="C40" s="59" t="s">
        <v>257</v>
      </c>
      <c r="D40" s="52" t="s">
        <v>190</v>
      </c>
      <c r="E40" s="51"/>
    </row>
    <row r="41" spans="2:5" x14ac:dyDescent="0.2">
      <c r="B41" s="6"/>
      <c r="C41" s="59" t="s">
        <v>252</v>
      </c>
      <c r="D41" s="52" t="s">
        <v>247</v>
      </c>
      <c r="E41" s="51"/>
    </row>
    <row r="42" spans="2:5" x14ac:dyDescent="0.2">
      <c r="B42" s="6"/>
      <c r="C42" s="60" t="s">
        <v>255</v>
      </c>
      <c r="D42" s="53" t="s">
        <v>248</v>
      </c>
      <c r="E42" s="51"/>
    </row>
    <row r="43" spans="2:5" x14ac:dyDescent="0.2">
      <c r="B43" s="6"/>
      <c r="C43" s="59" t="s">
        <v>161</v>
      </c>
      <c r="D43" s="52" t="s">
        <v>160</v>
      </c>
      <c r="E43" s="51"/>
    </row>
    <row r="44" spans="2:5" x14ac:dyDescent="0.2">
      <c r="B44" s="6"/>
      <c r="C44" s="59" t="s">
        <v>238</v>
      </c>
      <c r="D44" s="52" t="s">
        <v>239</v>
      </c>
      <c r="E44" s="51"/>
    </row>
    <row r="45" spans="2:5" x14ac:dyDescent="0.2">
      <c r="B45" s="6"/>
      <c r="C45" s="59" t="s">
        <v>253</v>
      </c>
      <c r="D45" s="52" t="s">
        <v>254</v>
      </c>
      <c r="E45" s="51"/>
    </row>
    <row r="46" spans="2:5" x14ac:dyDescent="0.2">
      <c r="B46" s="6"/>
      <c r="C46" s="60" t="s">
        <v>249</v>
      </c>
      <c r="D46" s="53" t="s">
        <v>250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/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7" t="s">
        <v>25</v>
      </c>
      <c r="E3" s="398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9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169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1" t="s">
        <v>23</v>
      </c>
      <c r="D5" s="391" t="s">
        <v>211</v>
      </c>
      <c r="E5" s="391" t="s">
        <v>210</v>
      </c>
      <c r="F5" s="391" t="s">
        <v>212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406" t="str">
        <f>_xll.RData(K6:K12,L5:M5,"RTFEED:IDN",,,L6)</f>
        <v>Paused at 11:14:16</v>
      </c>
      <c r="L5" s="407" t="s">
        <v>202</v>
      </c>
      <c r="M5" s="407" t="s">
        <v>168</v>
      </c>
      <c r="N5" s="407" t="s">
        <v>201</v>
      </c>
      <c r="O5" s="407" t="s">
        <v>200</v>
      </c>
      <c r="P5" s="21"/>
      <c r="Q5" s="407" t="s">
        <v>199</v>
      </c>
      <c r="R5" s="407" t="s">
        <v>198</v>
      </c>
      <c r="S5" s="407" t="s">
        <v>197</v>
      </c>
      <c r="T5" s="407" t="s">
        <v>196</v>
      </c>
      <c r="U5" s="390"/>
      <c r="V5" s="9"/>
    </row>
    <row r="6" spans="2:26" s="1" customFormat="1" x14ac:dyDescent="0.2">
      <c r="B6" s="6"/>
      <c r="C6" s="416" t="s">
        <v>154</v>
      </c>
      <c r="D6" s="400" t="str">
        <f>_xll.qlRelinkableHandleYieldTermStructure(UPPER(Currency)&amp;C6,,Permanent,Trigger,ObjectOverwrite)</f>
        <v>USDON#0000</v>
      </c>
      <c r="E6" s="401" t="str">
        <f>_xll.qlOvernightIndex(PROPER(Currency)&amp;"FedFunds","FedFunds",0,"USD",OverNightIndexCalendar,"act/360",D6,Permanent,Trigger,ObjectOverwrite)</f>
        <v>UsdFedFunds#0000</v>
      </c>
      <c r="F6" s="401" t="str">
        <f>_xll.qlLastFixingQuote(PROPER(Currency)&amp;"FedFunds"&amp;$F$5,E6,Permanent,Trigger,ObjectOverwrite)</f>
        <v>UsdFedFundsLastFixing_Quote#0000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08" t="str">
        <f t="shared" ref="K6:K12" si="1">Currency&amp;C6&amp;$K$4&amp;"="</f>
        <v>USDONFSR=</v>
      </c>
      <c r="L6" s="409">
        <v>42068</v>
      </c>
      <c r="M6" s="410">
        <v>0.12150000000000001</v>
      </c>
      <c r="N6" s="410" t="b">
        <f t="shared" ref="N6:N12" si="2">IF(AND(ISNUMBER($M6),$M6&lt;&gt;0%),TRUE,FALSE)</f>
        <v>1</v>
      </c>
      <c r="O6" s="411" t="b">
        <f>IF($N6,_xll.qlIndexAddFixings($E6,$L6,$M6/100,TRUE,ISERROR($Q6)),NA())</f>
        <v>1</v>
      </c>
      <c r="P6" s="21"/>
      <c r="Q6" s="408" t="e">
        <f>_xll.qlIndexFixing($E6,$L6,TRUE,$N6)</f>
        <v>#NUM!</v>
      </c>
      <c r="R6" s="408">
        <f>IF($O6,_xll.qlIndexFixing($E6,$L6,FALSE,$N6),"-")</f>
        <v>1.2150000000000002E-3</v>
      </c>
      <c r="S6" s="408" t="e">
        <f t="shared" ref="S6" si="3">Q6-R6</f>
        <v>#NUM!</v>
      </c>
      <c r="T6" s="408">
        <f>_xll.qlIndexFixing($E6,$L6,TRUE,$R6)</f>
        <v>1.2150000000000002E-3</v>
      </c>
      <c r="U6" s="11">
        <f>IF(ISERROR(S6),0,ABS(S6))</f>
        <v>0</v>
      </c>
      <c r="V6" s="9"/>
    </row>
    <row r="7" spans="2:26" s="1" customFormat="1" x14ac:dyDescent="0.2">
      <c r="B7" s="6"/>
      <c r="C7" s="417" t="s">
        <v>22</v>
      </c>
      <c r="D7" s="402"/>
      <c r="E7" s="403" t="str">
        <f>_xll.qlLibor(PROPER(Currency)&amp;FamilyName&amp;C7,Currency,C7,D7,Permanent,Trigger,ObjectOverwrite)</f>
        <v>UsdLiborSW#0000</v>
      </c>
      <c r="F7" s="403" t="str">
        <f>_xll.qlLastFixingQuote(PROPER(Currency)&amp;FamilyName&amp;C7&amp;$F$5,E7,Permanent,Trigger,ObjectOverwrite)</f>
        <v>UsdLiborSWLastFixing_Quote#0000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408" t="str">
        <f t="shared" si="1"/>
        <v>USDSWFSR=</v>
      </c>
      <c r="L7" s="409">
        <v>42068</v>
      </c>
      <c r="M7" s="410">
        <v>0.13900000000000001</v>
      </c>
      <c r="N7" s="410" t="b">
        <f t="shared" si="2"/>
        <v>1</v>
      </c>
      <c r="O7" s="411" t="b">
        <f>IF($N7,_xll.qlIndexAddFixings($E7,$L7,$M7/100,TRUE,ISERROR($Q7)),NA())</f>
        <v>1</v>
      </c>
      <c r="P7" s="21"/>
      <c r="Q7" s="408" t="e">
        <f>_xll.qlIndexFixing($E7,$L7,TRUE,$N7)</f>
        <v>#NUM!</v>
      </c>
      <c r="R7" s="408">
        <f>IF($O7,_xll.qlIndexFixing($E7,$L7,FALSE,$N7),"-")</f>
        <v>1.3900000000000002E-3</v>
      </c>
      <c r="S7" s="408" t="e">
        <f t="shared" ref="S7:S12" si="4">Q7-R7</f>
        <v>#NUM!</v>
      </c>
      <c r="T7" s="408">
        <f>_xll.qlIndexFixing($E7,$L7,TRUE,$R7)</f>
        <v>1.3900000000000002E-3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17" t="s">
        <v>19</v>
      </c>
      <c r="D8" s="402" t="str">
        <f>_xll.qlRelinkableHandleYieldTermStructure(UPPER(Currency)&amp;C8,,Permanent,Trigger,ObjectOverwrite)</f>
        <v>USD1M#0000</v>
      </c>
      <c r="E8" s="403" t="str">
        <f>_xll.qlLibor(PROPER(Currency)&amp;FamilyName&amp;C8,Currency,C8,D8,Permanent,Trigger,ObjectOverwrite)</f>
        <v>UsdLibor1M#0000</v>
      </c>
      <c r="F8" s="403" t="str">
        <f>_xll.qlLastFixingQuote(PROPER(Currency)&amp;FamilyName&amp;C8&amp;$F$5,E8,Permanent,Trigger,ObjectOverwrite)</f>
        <v>UsdLibor1MLastFixing_Quote#0000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8" t="str">
        <f t="shared" si="1"/>
        <v>USD1MFSR=</v>
      </c>
      <c r="L8" s="409">
        <v>42068</v>
      </c>
      <c r="M8" s="410">
        <v>0.17499999999999999</v>
      </c>
      <c r="N8" s="410" t="b">
        <f t="shared" si="2"/>
        <v>1</v>
      </c>
      <c r="O8" s="411" t="b">
        <f>IF($N8,_xll.qlIndexAddFixings($E8,$L8,$M8/100,TRUE,ISERROR($Q8)),NA())</f>
        <v>1</v>
      </c>
      <c r="P8" s="21"/>
      <c r="Q8" s="408" t="e">
        <f>_xll.qlIndexFixing($E8,$L8,TRUE,$N8)</f>
        <v>#NUM!</v>
      </c>
      <c r="R8" s="408">
        <f>IF($O8,_xll.qlIndexFixing($E8,$L8,FALSE,$N8),"-")</f>
        <v>1.7499999999999998E-3</v>
      </c>
      <c r="S8" s="408" t="e">
        <f t="shared" si="4"/>
        <v>#NUM!</v>
      </c>
      <c r="T8" s="408">
        <f>_xll.qlIndexFixing($E8,$L8,TRUE,$R8)</f>
        <v>1.7499999999999998E-3</v>
      </c>
      <c r="U8" s="12">
        <f t="shared" si="5"/>
        <v>0</v>
      </c>
      <c r="V8" s="9"/>
    </row>
    <row r="9" spans="2:26" s="1" customFormat="1" x14ac:dyDescent="0.2">
      <c r="B9" s="6"/>
      <c r="C9" s="417" t="s">
        <v>18</v>
      </c>
      <c r="D9" s="402"/>
      <c r="E9" s="403" t="str">
        <f>_xll.qlLibor(PROPER(Currency)&amp;FamilyName&amp;C9,Currency,C9,D9,Permanent,Trigger,ObjectOverwrite)</f>
        <v>UsdLibor2M#0000</v>
      </c>
      <c r="F9" s="403" t="str">
        <f>_xll.qlLastFixingQuote(PROPER(Currency)&amp;FamilyName&amp;C9&amp;$F$5,E9,Permanent,Trigger,ObjectOverwrite)</f>
        <v>UsdLibor2MLastFixing_Quote#0000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8" t="str">
        <f t="shared" si="1"/>
        <v>USD2MFSR=</v>
      </c>
      <c r="L9" s="409">
        <v>42068</v>
      </c>
      <c r="M9" s="410">
        <v>0.215</v>
      </c>
      <c r="N9" s="410" t="b">
        <f t="shared" si="2"/>
        <v>1</v>
      </c>
      <c r="O9" s="411" t="b">
        <f>IF($N9,_xll.qlIndexAddFixings($E9,$L9,$M9/100,TRUE,ISERROR($Q9)),NA())</f>
        <v>1</v>
      </c>
      <c r="P9" s="21"/>
      <c r="Q9" s="408" t="e">
        <f>_xll.qlIndexFixing($E9,$L9,TRUE,$N9)</f>
        <v>#NUM!</v>
      </c>
      <c r="R9" s="408">
        <f>IF($O9,_xll.qlIndexFixing($E9,$L9,FALSE,$N9),"-")</f>
        <v>2.15E-3</v>
      </c>
      <c r="S9" s="408" t="e">
        <f t="shared" si="4"/>
        <v>#NUM!</v>
      </c>
      <c r="T9" s="408">
        <f>_xll.qlIndexFixing($E9,$L9,TRUE,$R9)</f>
        <v>2.15E-3</v>
      </c>
      <c r="U9" s="12">
        <f t="shared" si="5"/>
        <v>0</v>
      </c>
      <c r="V9" s="9"/>
    </row>
    <row r="10" spans="2:26" s="1" customFormat="1" x14ac:dyDescent="0.2">
      <c r="B10" s="6"/>
      <c r="C10" s="417" t="s">
        <v>17</v>
      </c>
      <c r="D10" s="402" t="str">
        <f>_xll.qlRelinkableHandleYieldTermStructure(UPPER(Currency)&amp;C10,,Permanent,Trigger,ObjectOverwrite)</f>
        <v>USD3M#0000</v>
      </c>
      <c r="E10" s="403" t="str">
        <f>_xll.qlLibor(PROPER(Currency)&amp;FamilyName&amp;C10,Currency,C10,D10,Permanent,Trigger,ObjectOverwrite)</f>
        <v>UsdLibor3M#0000</v>
      </c>
      <c r="F10" s="403" t="str">
        <f>_xll.qlLastFixingQuote(PROPER(Currency)&amp;FamilyName&amp;C10&amp;$F$5,E10,Permanent,Trigger,ObjectOverwrite)</f>
        <v>UsdLibor3MLastFixing_Quote#0000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8" t="str">
        <f t="shared" si="1"/>
        <v>USD3MFSR=</v>
      </c>
      <c r="L10" s="409">
        <v>42068</v>
      </c>
      <c r="M10" s="410">
        <v>0.2636</v>
      </c>
      <c r="N10" s="410" t="b">
        <f t="shared" si="2"/>
        <v>1</v>
      </c>
      <c r="O10" s="411" t="b">
        <f>IF($N10,_xll.qlIndexAddFixings($E10,$L10,$M10/100,TRUE,ISERROR($Q10)),NA())</f>
        <v>1</v>
      </c>
      <c r="P10" s="21"/>
      <c r="Q10" s="408" t="e">
        <f>_xll.qlIndexFixing($E10,$L10,TRUE,$N10)</f>
        <v>#NUM!</v>
      </c>
      <c r="R10" s="408">
        <f>IF($O10,_xll.qlIndexFixing($E10,$L10,FALSE,$N10),"-")</f>
        <v>2.6359999999999999E-3</v>
      </c>
      <c r="S10" s="408" t="e">
        <f t="shared" si="4"/>
        <v>#NUM!</v>
      </c>
      <c r="T10" s="408">
        <f>_xll.qlIndexFixing($E10,$L10,TRUE,$R10)</f>
        <v>2.6359999999999999E-3</v>
      </c>
      <c r="U10" s="12">
        <f t="shared" si="5"/>
        <v>0</v>
      </c>
      <c r="V10" s="9"/>
    </row>
    <row r="11" spans="2:26" s="1" customFormat="1" x14ac:dyDescent="0.2">
      <c r="B11" s="6"/>
      <c r="C11" s="417" t="s">
        <v>14</v>
      </c>
      <c r="D11" s="402" t="str">
        <f>_xll.qlRelinkableHandleYieldTermStructure(UPPER(Currency)&amp;C11,,Permanent,Trigger,ObjectOverwrite)</f>
        <v>USD6M#0000</v>
      </c>
      <c r="E11" s="403" t="str">
        <f>_xll.qlLibor(PROPER(Currency)&amp;FamilyName&amp;C11,Currency,C11,D11,Permanent,Trigger,ObjectOverwrite)</f>
        <v>UsdLibor6M#0000</v>
      </c>
      <c r="F11" s="403" t="str">
        <f>_xll.qlLastFixingQuote(PROPER(Currency)&amp;FamilyName&amp;C11&amp;$F$5,E11,Permanent,Trigger,ObjectOverwrite)</f>
        <v>UsdLibor6MLastFixing_Quote#0000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8" t="str">
        <f t="shared" si="1"/>
        <v>USD6MFSR=</v>
      </c>
      <c r="L11" s="409">
        <v>42068</v>
      </c>
      <c r="M11" s="410">
        <v>0.39710000000000001</v>
      </c>
      <c r="N11" s="410" t="b">
        <f t="shared" si="2"/>
        <v>1</v>
      </c>
      <c r="O11" s="411" t="b">
        <f>IF($N11,_xll.qlIndexAddFixings($E11,$L11,$M11/100,TRUE,ISERROR($Q11)),NA())</f>
        <v>1</v>
      </c>
      <c r="P11" s="21"/>
      <c r="Q11" s="408" t="e">
        <f>_xll.qlIndexFixing($E11,$L11,TRUE,$N11)</f>
        <v>#NUM!</v>
      </c>
      <c r="R11" s="408">
        <f>IF($O11,_xll.qlIndexFixing($E11,$L11,FALSE,$N11),"-")</f>
        <v>3.9709999999999997E-3</v>
      </c>
      <c r="S11" s="408" t="e">
        <f t="shared" si="4"/>
        <v>#NUM!</v>
      </c>
      <c r="T11" s="408">
        <f>_xll.qlIndexFixing($E11,$L11,TRUE,$R11)</f>
        <v>3.9709999999999997E-3</v>
      </c>
      <c r="U11" s="12">
        <f t="shared" si="5"/>
        <v>0</v>
      </c>
      <c r="V11" s="9"/>
    </row>
    <row r="12" spans="2:26" s="1" customFormat="1" x14ac:dyDescent="0.2">
      <c r="B12" s="6"/>
      <c r="C12" s="417" t="s">
        <v>8</v>
      </c>
      <c r="D12" s="402" t="str">
        <f>_xll.qlRelinkableHandleYieldTermStructure(UPPER(Currency)&amp;C12,,Permanent,Trigger,ObjectOverwrite)</f>
        <v>USD1Y#0000</v>
      </c>
      <c r="E12" s="403" t="str">
        <f>_xll.qlLibor(PROPER(Currency)&amp;FamilyName&amp;C12,Currency,C12,D12,Permanent,Trigger,ObjectOverwrite)</f>
        <v>UsdLibor1Y#0000</v>
      </c>
      <c r="F12" s="403" t="str">
        <f>_xll.qlLastFixingQuote(PROPER(Currency)&amp;FamilyName&amp;C12&amp;$F$5,E12,Permanent,Trigger,ObjectOverwrite)</f>
        <v>UsdLibor1YLastFixing_Quote#0000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12" t="str">
        <f t="shared" si="1"/>
        <v>USD1YFSR=</v>
      </c>
      <c r="L12" s="413">
        <v>42068</v>
      </c>
      <c r="M12" s="414">
        <v>0.68884999999999996</v>
      </c>
      <c r="N12" s="414" t="b">
        <f t="shared" si="2"/>
        <v>1</v>
      </c>
      <c r="O12" s="415" t="b">
        <f>IF($N12,_xll.qlIndexAddFixings($E12,$L12,$M12/100,TRUE,ISERROR($Q12)),NA())</f>
        <v>1</v>
      </c>
      <c r="P12" s="22"/>
      <c r="Q12" s="412" t="e">
        <f>_xll.qlIndexFixing($E12,$L12,TRUE,$N12)</f>
        <v>#NUM!</v>
      </c>
      <c r="R12" s="412">
        <f>IF($O12,_xll.qlIndexFixing($E12,$L12,FALSE,$N12),"-")</f>
        <v>6.8884999999999997E-3</v>
      </c>
      <c r="S12" s="412" t="e">
        <f t="shared" si="4"/>
        <v>#NUM!</v>
      </c>
      <c r="T12" s="412">
        <f>_xll.qlIndexFixing($E12,$L12,TRUE,$R12)</f>
        <v>6.8884999999999997E-3</v>
      </c>
      <c r="U12" s="12">
        <f t="shared" si="5"/>
        <v>0</v>
      </c>
      <c r="V12" s="9"/>
    </row>
    <row r="13" spans="2:26" s="1" customFormat="1" x14ac:dyDescent="0.2">
      <c r="B13" s="6"/>
      <c r="C13" s="418" t="s">
        <v>205</v>
      </c>
      <c r="D13" s="404" t="str">
        <f>_xll.qlRelinkableHandleYieldTermStructure(UPPER(Currency)&amp;C13,,Permanent,Trigger,ObjectOverwrite)</f>
        <v>USDSTD#0000</v>
      </c>
      <c r="E13" s="393"/>
      <c r="F13" s="405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Paused at 11:14:16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Paused at 11:14:16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233</v>
      </c>
      <c r="L18" s="42" t="s">
        <v>233</v>
      </c>
      <c r="M18" s="39"/>
      <c r="N18" s="41" t="s">
        <v>230</v>
      </c>
      <c r="O18" s="42" t="s">
        <v>230</v>
      </c>
      <c r="P18" s="40"/>
    </row>
    <row r="19" spans="4:16" ht="22.5" x14ac:dyDescent="0.2">
      <c r="D19" s="43"/>
      <c r="E19" s="392" t="s">
        <v>223</v>
      </c>
      <c r="F19" s="394" t="str">
        <f>"START:"&amp;_xll.qlSettingsEvaluationDate(Trigger)&amp; " END:"&amp;_xll.qlSettingsEvaluationDate(Trigger)&amp;" INTERVAL:1D"</f>
        <v>START:42069 END:42069 INTERVAL:1D</v>
      </c>
      <c r="G19" s="36"/>
      <c r="H19" s="36"/>
      <c r="I19" s="36"/>
      <c r="J19" s="36"/>
      <c r="K19" s="395" t="s">
        <v>294</v>
      </c>
      <c r="L19" s="396" t="s">
        <v>224</v>
      </c>
      <c r="M19" s="39"/>
      <c r="N19" s="395" t="s">
        <v>294</v>
      </c>
      <c r="O19" s="396" t="s">
        <v>224</v>
      </c>
      <c r="P19" s="40"/>
    </row>
    <row r="20" spans="4:16" ht="12" thickBot="1" x14ac:dyDescent="0.25">
      <c r="D20" s="43"/>
      <c r="E20" s="392" t="s">
        <v>225</v>
      </c>
      <c r="F20" s="393" t="s">
        <v>226</v>
      </c>
      <c r="G20" s="36"/>
      <c r="H20" s="36"/>
      <c r="I20" s="36"/>
      <c r="J20" s="36"/>
      <c r="K20" s="44" t="e">
        <v>#N/A</v>
      </c>
      <c r="L20" s="45">
        <v>0.17150000000000001</v>
      </c>
      <c r="M20" s="39"/>
      <c r="N20" s="44" t="e">
        <v>#N/A</v>
      </c>
      <c r="O20" s="45">
        <v>0.38514999999999999</v>
      </c>
      <c r="P20" s="40"/>
    </row>
    <row r="21" spans="4:16" ht="12" thickBot="1" x14ac:dyDescent="0.25">
      <c r="D21" s="43"/>
      <c r="E21" s="392" t="s">
        <v>227</v>
      </c>
      <c r="F21" s="393" t="s">
        <v>228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92"/>
      <c r="F22" s="393" t="s">
        <v>229</v>
      </c>
      <c r="G22" s="36"/>
      <c r="H22" s="36"/>
      <c r="I22" s="36"/>
      <c r="J22" s="36"/>
      <c r="K22" s="37" t="str">
        <f>_xll.RHistory(K10,F21:F22,F19,,"CH:In;Fd TSREPEAT:N SORT:"&amp;F20,K23)</f>
        <v>Paused at 11:14:16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Paused at 11:14:16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232</v>
      </c>
      <c r="L23" s="42" t="s">
        <v>232</v>
      </c>
      <c r="M23" s="39"/>
      <c r="N23" s="41" t="s">
        <v>231</v>
      </c>
      <c r="O23" s="42" t="s">
        <v>231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95" t="s">
        <v>294</v>
      </c>
      <c r="L24" s="396" t="s">
        <v>224</v>
      </c>
      <c r="M24" s="39"/>
      <c r="N24" s="395" t="s">
        <v>294</v>
      </c>
      <c r="O24" s="396" t="s">
        <v>224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 t="e">
        <v>#N/A</v>
      </c>
      <c r="L25" s="45">
        <v>0.2611</v>
      </c>
      <c r="M25" s="39"/>
      <c r="N25" s="44" t="e">
        <v>#N/A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99" hidden="1" customWidth="1" outlineLevel="1"/>
    <col min="3" max="3" width="3" style="199" hidden="1" customWidth="1" outlineLevel="1"/>
    <col min="4" max="4" width="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9.140625" style="199"/>
    <col min="12" max="12" width="11.85546875" style="199" customWidth="1"/>
    <col min="13" max="13" width="10.7109375" style="199" customWidth="1"/>
    <col min="14" max="14" width="2.7109375" style="199" customWidth="1"/>
    <col min="15" max="15" width="10.7109375" style="199" customWidth="1"/>
    <col min="16" max="16" width="2.7109375" style="199" customWidth="1"/>
    <col min="17" max="18" width="10.7109375" style="199" customWidth="1"/>
    <col min="19" max="20" width="2.7109375" style="199" customWidth="1"/>
    <col min="21" max="22" width="9.140625" style="199"/>
    <col min="23" max="23" width="9.85546875" style="199" customWidth="1"/>
    <col min="24" max="24" width="8.85546875" style="199" customWidth="1"/>
    <col min="25" max="16384" width="9.140625" style="199"/>
  </cols>
  <sheetData>
    <row r="1" spans="1:19" x14ac:dyDescent="0.2">
      <c r="A1" s="74"/>
      <c r="B1" s="74"/>
      <c r="C1" s="74"/>
      <c r="D1" s="134"/>
      <c r="E1" s="134"/>
      <c r="F1" s="134"/>
      <c r="G1" s="134"/>
      <c r="H1" s="135"/>
      <c r="J1" s="133" t="s">
        <v>270</v>
      </c>
      <c r="K1" s="144"/>
      <c r="L1" s="144"/>
      <c r="M1" s="144"/>
      <c r="N1" s="144"/>
      <c r="O1" s="144"/>
      <c r="P1" s="134"/>
      <c r="Q1" s="134"/>
      <c r="R1" s="134"/>
      <c r="S1" s="135"/>
    </row>
    <row r="2" spans="1:19" x14ac:dyDescent="0.2">
      <c r="A2" s="136"/>
      <c r="B2" s="137"/>
      <c r="C2" s="137"/>
      <c r="D2" s="137"/>
      <c r="E2" s="137"/>
      <c r="F2" s="137"/>
      <c r="G2" s="137"/>
      <c r="H2" s="138"/>
      <c r="J2" s="136"/>
      <c r="K2" s="137"/>
      <c r="L2" s="243" t="str">
        <f>VLOOKUP($J$1,AreaTable,AreaIndex,0)</f>
        <v>KLIEM</v>
      </c>
      <c r="M2" s="145"/>
      <c r="N2" s="145"/>
      <c r="O2" s="145"/>
      <c r="P2" s="137"/>
      <c r="Q2" s="137"/>
      <c r="R2" s="109">
        <f>_xll.ohTrigger(R5:R13)</f>
        <v>2</v>
      </c>
      <c r="S2" s="138"/>
    </row>
    <row r="3" spans="1:19" x14ac:dyDescent="0.2">
      <c r="A3" s="139"/>
      <c r="B3" s="160"/>
      <c r="C3" s="160"/>
      <c r="D3" s="137"/>
      <c r="E3" s="137"/>
      <c r="F3" s="137"/>
      <c r="G3" s="137"/>
      <c r="H3" s="138"/>
      <c r="J3" s="136"/>
      <c r="K3" s="137"/>
      <c r="L3" s="75"/>
      <c r="M3" s="137"/>
      <c r="N3" s="56"/>
      <c r="O3" s="56"/>
      <c r="P3" s="56"/>
      <c r="Q3" s="7"/>
      <c r="R3" s="137"/>
      <c r="S3" s="138"/>
    </row>
    <row r="4" spans="1:19" ht="22.5" x14ac:dyDescent="0.2">
      <c r="A4" s="76"/>
      <c r="B4" s="93"/>
      <c r="C4" s="101"/>
      <c r="D4" s="94"/>
      <c r="E4" s="101" t="s">
        <v>262</v>
      </c>
      <c r="F4" s="102" t="s">
        <v>263</v>
      </c>
      <c r="G4" s="102" t="s">
        <v>280</v>
      </c>
      <c r="H4" s="138"/>
      <c r="J4" s="52"/>
      <c r="K4" s="100"/>
      <c r="L4" s="106" t="str">
        <f>_xll.RData(L5:L7,M4,"RTFEED:IDN",ReutersRtMode,,M5)</f>
        <v>Paused at 11:14:16</v>
      </c>
      <c r="M4" s="147" t="s">
        <v>157</v>
      </c>
      <c r="N4" s="56" t="s">
        <v>234</v>
      </c>
      <c r="O4" s="87" t="s">
        <v>173</v>
      </c>
      <c r="P4" s="56"/>
      <c r="Q4" s="88" t="s">
        <v>172</v>
      </c>
      <c r="R4" s="89" t="s">
        <v>171</v>
      </c>
      <c r="S4" s="138"/>
    </row>
    <row r="5" spans="1:19" x14ac:dyDescent="0.2">
      <c r="A5" s="76"/>
      <c r="B5" s="161"/>
      <c r="C5" s="207"/>
      <c r="D5" s="162" t="s">
        <v>120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USDOND_Quote#0000</v>
      </c>
      <c r="G5" s="210" t="str">
        <f>_xll.ohRangeRetrieveError(F5)</f>
        <v/>
      </c>
      <c r="H5" s="138"/>
      <c r="J5" s="52"/>
      <c r="K5" s="78" t="s">
        <v>154</v>
      </c>
      <c r="L5" s="81" t="str">
        <f>Currency&amp;K5&amp;"D="&amp;VLOOKUP($L$2,[0]!ContributorTable,2,0)</f>
        <v>USDOND=CKCC</v>
      </c>
      <c r="M5" s="84">
        <v>0.27999999999999997</v>
      </c>
      <c r="N5" s="108" t="s">
        <v>234</v>
      </c>
      <c r="O5" s="84">
        <v>0.23</v>
      </c>
      <c r="P5" s="198"/>
      <c r="Q5" s="84">
        <f t="array" ref="Q5:Q13">QuoteLive</f>
        <v>0.27999999999999997</v>
      </c>
      <c r="R5" s="204">
        <f>_xll.qlSimpleQuoteSetValue(F5,Q5/100,Trigger)</f>
        <v>9.9999999999999395E-5</v>
      </c>
      <c r="S5" s="138"/>
    </row>
    <row r="6" spans="1:19" x14ac:dyDescent="0.2">
      <c r="A6" s="76"/>
      <c r="B6" s="163"/>
      <c r="C6" s="208"/>
      <c r="D6" s="164" t="s">
        <v>119</v>
      </c>
      <c r="E6" s="91" t="str">
        <f t="shared" si="0"/>
        <v>USDTND_Quote</v>
      </c>
      <c r="F6" s="91" t="str">
        <f>_xll.qlSimpleQuote(E6,,RateTickValue,Permanent,Trigger,ObjectOverwrite)</f>
        <v>USDTND_Quote#0000</v>
      </c>
      <c r="G6" s="211" t="str">
        <f>_xll.ohRangeRetrieveError(F6)</f>
        <v/>
      </c>
      <c r="H6" s="138"/>
      <c r="J6" s="52"/>
      <c r="K6" s="79" t="s">
        <v>170</v>
      </c>
      <c r="L6" s="82" t="str">
        <f>Currency&amp;K6&amp;"D="&amp;VLOOKUP($L$2,[0]!ContributorTable,2,0)</f>
        <v>USDTND=CKCC</v>
      </c>
      <c r="M6" s="85">
        <v>0.27999999999999997</v>
      </c>
      <c r="N6" s="108" t="s">
        <v>234</v>
      </c>
      <c r="O6" s="85">
        <v>0.23</v>
      </c>
      <c r="P6" s="198"/>
      <c r="Q6" s="85">
        <v>0.27999999999999997</v>
      </c>
      <c r="R6" s="205">
        <f>_xll.qlSimpleQuoteSetValue(F6,Q6/100,Trigger)</f>
        <v>9.9999999999999395E-5</v>
      </c>
      <c r="S6" s="138"/>
    </row>
    <row r="7" spans="1:19" x14ac:dyDescent="0.2">
      <c r="A7" s="76"/>
      <c r="B7" s="163"/>
      <c r="C7" s="208"/>
      <c r="D7" s="164" t="s">
        <v>118</v>
      </c>
      <c r="E7" s="91" t="str">
        <f t="shared" si="0"/>
        <v>USDSND_Quote</v>
      </c>
      <c r="F7" s="91" t="str">
        <f>_xll.qlSimpleQuote(E7,,RateTickValue,Permanent,Trigger,ObjectOverwrite)</f>
        <v>USDSND_Quote#0000</v>
      </c>
      <c r="G7" s="211" t="str">
        <f>_xll.ohRangeRetrieveError(F7)</f>
        <v/>
      </c>
      <c r="H7" s="138"/>
      <c r="J7" s="52"/>
      <c r="K7" s="80" t="s">
        <v>167</v>
      </c>
      <c r="L7" s="83" t="str">
        <f>Currency&amp;K7&amp;"D="&amp;VLOOKUP($L$2,[0]!ContributorTable,2,0)</f>
        <v>USDSND=CKCC</v>
      </c>
      <c r="M7" s="86">
        <v>0.27999999999999997</v>
      </c>
      <c r="N7" s="108" t="s">
        <v>234</v>
      </c>
      <c r="O7" s="86">
        <v>0.23</v>
      </c>
      <c r="P7" s="198"/>
      <c r="Q7" s="86">
        <v>0.27999999999999997</v>
      </c>
      <c r="R7" s="206">
        <f>_xll.qlSimpleQuoteSetValue(F7,Q7/100,Trigger)</f>
        <v>9.9999999999999395E-5</v>
      </c>
      <c r="S7" s="138"/>
    </row>
    <row r="8" spans="1:19" x14ac:dyDescent="0.2">
      <c r="A8" s="76"/>
      <c r="B8" s="161"/>
      <c r="C8" s="207"/>
      <c r="D8" s="162" t="s">
        <v>117</v>
      </c>
      <c r="E8" s="90" t="str">
        <f t="shared" si="0"/>
        <v>USDSWD_Quote</v>
      </c>
      <c r="F8" s="90" t="str">
        <f>_xll.qlSimpleQuote(E8,,RateTickValue,Permanent,Trigger,ObjectOverwrite)</f>
        <v>USDSWD_Quote#0000</v>
      </c>
      <c r="G8" s="210" t="str">
        <f>_xll.ohRangeRetrieveError(F8)</f>
        <v/>
      </c>
      <c r="H8" s="138"/>
      <c r="J8" s="52"/>
      <c r="K8" s="79" t="s">
        <v>22</v>
      </c>
      <c r="L8" s="81" t="str">
        <f>Libor!K7</f>
        <v>USDSWFSR=</v>
      </c>
      <c r="M8" s="84">
        <f>Libor!M7</f>
        <v>0.13900000000000001</v>
      </c>
      <c r="N8" s="108" t="s">
        <v>234</v>
      </c>
      <c r="O8" s="85">
        <v>0.12</v>
      </c>
      <c r="P8" s="198"/>
      <c r="Q8" s="85">
        <v>0.13900000000000001</v>
      </c>
      <c r="R8" s="205">
        <f>_xll.qlSimpleQuoteSetValue(F8,Q8/100,Trigger)</f>
        <v>2.5000000000003318E-6</v>
      </c>
      <c r="S8" s="138"/>
    </row>
    <row r="9" spans="1:19" x14ac:dyDescent="0.2">
      <c r="A9" s="76"/>
      <c r="B9" s="163"/>
      <c r="C9" s="208"/>
      <c r="D9" s="164" t="s">
        <v>114</v>
      </c>
      <c r="E9" s="91" t="str">
        <f t="shared" si="0"/>
        <v>USD1MD_Quote</v>
      </c>
      <c r="F9" s="91" t="str">
        <f>_xll.qlSimpleQuote(E9,,RateTickValue,Permanent,Trigger,ObjectOverwrite)</f>
        <v>USD1MD_Quote#0000</v>
      </c>
      <c r="G9" s="211" t="str">
        <f>_xll.ohRangeRetrieveError(F9)</f>
        <v/>
      </c>
      <c r="H9" s="138"/>
      <c r="J9" s="52"/>
      <c r="K9" s="79" t="s">
        <v>19</v>
      </c>
      <c r="L9" s="82" t="str">
        <f>Libor!K8</f>
        <v>USD1MFSR=</v>
      </c>
      <c r="M9" s="85">
        <f>Libor!M8</f>
        <v>0.17499999999999999</v>
      </c>
      <c r="N9" s="108" t="s">
        <v>234</v>
      </c>
      <c r="O9" s="85">
        <v>0.1527</v>
      </c>
      <c r="P9" s="198"/>
      <c r="Q9" s="85">
        <v>0.17499999999999999</v>
      </c>
      <c r="R9" s="205">
        <f>_xll.qlSimpleQuoteSetValue(F9,Q9/100,Trigger)</f>
        <v>3.4999999999999658E-5</v>
      </c>
      <c r="S9" s="138"/>
    </row>
    <row r="10" spans="1:19" x14ac:dyDescent="0.2">
      <c r="A10" s="76"/>
      <c r="B10" s="163"/>
      <c r="C10" s="208"/>
      <c r="D10" s="164" t="s">
        <v>113</v>
      </c>
      <c r="E10" s="91" t="str">
        <f t="shared" si="0"/>
        <v>USD2MD_Quote</v>
      </c>
      <c r="F10" s="91" t="str">
        <f>_xll.qlSimpleQuote(E10,,RateTickValue,Permanent,Trigger,ObjectOverwrite)</f>
        <v>USD2MD_Quote#0000</v>
      </c>
      <c r="G10" s="211" t="str">
        <f>_xll.ohRangeRetrieveError(F10)</f>
        <v/>
      </c>
      <c r="H10" s="138"/>
      <c r="J10" s="52"/>
      <c r="K10" s="79" t="s">
        <v>18</v>
      </c>
      <c r="L10" s="82" t="str">
        <f>Libor!K9</f>
        <v>USD2MFSR=</v>
      </c>
      <c r="M10" s="85">
        <f>Libor!M9</f>
        <v>0.215</v>
      </c>
      <c r="N10" s="108" t="s">
        <v>234</v>
      </c>
      <c r="O10" s="85">
        <v>0.19539999999999999</v>
      </c>
      <c r="P10" s="198"/>
      <c r="Q10" s="85">
        <v>0.215</v>
      </c>
      <c r="R10" s="205">
        <f>_xll.qlSimpleQuoteSetValue(F10,Q10/100,Trigger)</f>
        <v>9.9999999999995925E-6</v>
      </c>
      <c r="S10" s="138"/>
    </row>
    <row r="11" spans="1:19" x14ac:dyDescent="0.2">
      <c r="A11" s="76"/>
      <c r="B11" s="163"/>
      <c r="C11" s="208"/>
      <c r="D11" s="164" t="s">
        <v>112</v>
      </c>
      <c r="E11" s="91" t="str">
        <f t="shared" si="0"/>
        <v>USD3MD_Quote</v>
      </c>
      <c r="F11" s="91" t="str">
        <f>_xll.qlSimpleQuote(E11,,RateTickValue,Permanent,Trigger,ObjectOverwrite)</f>
        <v>USD3MD_Quote#0000</v>
      </c>
      <c r="G11" s="211" t="str">
        <f>_xll.ohRangeRetrieveError(F11)</f>
        <v/>
      </c>
      <c r="H11" s="138"/>
      <c r="J11" s="52"/>
      <c r="K11" s="79" t="s">
        <v>17</v>
      </c>
      <c r="L11" s="82" t="str">
        <f>Libor!K10</f>
        <v>USD3MFSR=</v>
      </c>
      <c r="M11" s="85">
        <f>Libor!M10</f>
        <v>0.2636</v>
      </c>
      <c r="N11" s="108" t="s">
        <v>234</v>
      </c>
      <c r="O11" s="85">
        <v>0.2291</v>
      </c>
      <c r="P11" s="198"/>
      <c r="Q11" s="85">
        <v>0.2636</v>
      </c>
      <c r="R11" s="205">
        <f>_xll.qlSimpleQuoteSetValue(F11,Q11/100,Trigger)</f>
        <v>2.4999999999999849E-5</v>
      </c>
      <c r="S11" s="138"/>
    </row>
    <row r="12" spans="1:19" x14ac:dyDescent="0.2">
      <c r="A12" s="76"/>
      <c r="B12" s="163"/>
      <c r="C12" s="208"/>
      <c r="D12" s="164" t="s">
        <v>109</v>
      </c>
      <c r="E12" s="91" t="str">
        <f t="shared" si="0"/>
        <v>USD6MD_Quote</v>
      </c>
      <c r="F12" s="91" t="str">
        <f>_xll.qlSimpleQuote(E12,,RateTickValue,Permanent,Trigger,ObjectOverwrite)</f>
        <v>USD6MD_Quote#0000</v>
      </c>
      <c r="G12" s="211" t="str">
        <f>_xll.ohRangeRetrieveError(F12)</f>
        <v/>
      </c>
      <c r="H12" s="138"/>
      <c r="J12" s="52"/>
      <c r="K12" s="79" t="s">
        <v>14</v>
      </c>
      <c r="L12" s="82" t="str">
        <f>Libor!K11</f>
        <v>USD6MFSR=</v>
      </c>
      <c r="M12" s="85">
        <f>Libor!M11</f>
        <v>0.39710000000000001</v>
      </c>
      <c r="N12" s="108" t="s">
        <v>234</v>
      </c>
      <c r="O12" s="85">
        <v>0.31940000000000002</v>
      </c>
      <c r="P12" s="198"/>
      <c r="Q12" s="85">
        <v>0.39710000000000001</v>
      </c>
      <c r="R12" s="205">
        <f>_xll.qlSimpleQuoteSetValue(F12,Q12/100,Trigger)</f>
        <v>1.1949999999999981E-4</v>
      </c>
      <c r="S12" s="138"/>
    </row>
    <row r="13" spans="1:19" x14ac:dyDescent="0.2">
      <c r="A13" s="76"/>
      <c r="B13" s="165"/>
      <c r="C13" s="209"/>
      <c r="D13" s="166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USD1YD_Quote#0000</v>
      </c>
      <c r="G13" s="212" t="str">
        <f>_xll.ohRangeRetrieveError(F13)</f>
        <v/>
      </c>
      <c r="H13" s="138"/>
      <c r="J13" s="52"/>
      <c r="K13" s="80" t="s">
        <v>8</v>
      </c>
      <c r="L13" s="83" t="str">
        <f>Libor!K12</f>
        <v>USD1YFSR=</v>
      </c>
      <c r="M13" s="86">
        <f>Libor!M12</f>
        <v>0.68884999999999996</v>
      </c>
      <c r="N13" s="108" t="s">
        <v>234</v>
      </c>
      <c r="O13" s="86">
        <v>0.55054999999999998</v>
      </c>
      <c r="P13" s="198"/>
      <c r="Q13" s="86">
        <v>0.68884999999999996</v>
      </c>
      <c r="R13" s="206">
        <f>_xll.qlSimpleQuoteSetValue(F13,Q13/100,Trigger)</f>
        <v>1.1499999999999965E-4</v>
      </c>
      <c r="S13" s="138"/>
    </row>
    <row r="14" spans="1:19" x14ac:dyDescent="0.2">
      <c r="A14" s="140"/>
      <c r="B14" s="141"/>
      <c r="C14" s="141"/>
      <c r="D14" s="141"/>
      <c r="E14" s="141"/>
      <c r="F14" s="141"/>
      <c r="G14" s="141"/>
      <c r="H14" s="142"/>
      <c r="J14" s="140"/>
      <c r="K14" s="146"/>
      <c r="L14" s="146"/>
      <c r="M14" s="146"/>
      <c r="N14" s="146"/>
      <c r="O14" s="146"/>
      <c r="P14" s="146"/>
      <c r="Q14" s="146"/>
      <c r="R14" s="146"/>
      <c r="S14" s="142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9" hidden="1" customWidth="1" outlineLevel="1"/>
    <col min="3" max="3" width="3" style="199" hidden="1" customWidth="1" outlineLevel="1"/>
    <col min="4" max="4" width="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200" hidden="1" customWidth="1" outlineLevel="1"/>
    <col min="8" max="8" width="2.7109375" style="200" hidden="1" customWidth="1" outlineLevel="1"/>
    <col min="9" max="9" width="2.7109375" style="200" customWidth="1" collapsed="1"/>
    <col min="10" max="11" width="2.7109375" style="199" customWidth="1"/>
    <col min="12" max="13" width="4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28" width="14.140625" style="199" bestFit="1" customWidth="1"/>
    <col min="29" max="29" width="12" style="199" bestFit="1" customWidth="1"/>
    <col min="30" max="16384" width="9.140625" style="199"/>
  </cols>
  <sheetData>
    <row r="1" spans="1:29" x14ac:dyDescent="0.2">
      <c r="A1" s="74"/>
      <c r="B1" s="74"/>
      <c r="C1" s="134"/>
      <c r="D1" s="134"/>
      <c r="E1" s="134"/>
      <c r="F1" s="134"/>
      <c r="G1" s="148"/>
      <c r="H1" s="149"/>
      <c r="J1" s="159" t="s">
        <v>269</v>
      </c>
      <c r="K1" s="75"/>
      <c r="L1" s="75"/>
      <c r="M1" s="75"/>
      <c r="N1" s="75"/>
      <c r="O1" s="144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5"/>
    </row>
    <row r="2" spans="1:29" x14ac:dyDescent="0.2">
      <c r="A2" s="76"/>
      <c r="B2" s="56"/>
      <c r="C2" s="137"/>
      <c r="D2" s="137"/>
      <c r="E2" s="137"/>
      <c r="F2" s="137"/>
      <c r="G2" s="150"/>
      <c r="H2" s="151"/>
      <c r="J2" s="136"/>
      <c r="K2" s="137"/>
      <c r="L2" s="137"/>
      <c r="M2" s="7"/>
      <c r="N2" s="7"/>
      <c r="O2" s="243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_xll.ohTrigger(Z5:Z31)</f>
        <v>30</v>
      </c>
      <c r="AA2" s="155"/>
      <c r="AB2" s="203"/>
      <c r="AC2" s="203"/>
    </row>
    <row r="3" spans="1:29" x14ac:dyDescent="0.2">
      <c r="A3" s="76"/>
      <c r="B3" s="56"/>
      <c r="C3" s="137"/>
      <c r="D3" s="137"/>
      <c r="E3" s="137"/>
      <c r="F3" s="137"/>
      <c r="G3" s="150"/>
      <c r="H3" s="151"/>
      <c r="J3" s="13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7"/>
      <c r="AA3" s="156"/>
      <c r="AB3" s="203"/>
      <c r="AC3" s="203"/>
    </row>
    <row r="4" spans="1:29" ht="22.5" x14ac:dyDescent="0.2">
      <c r="A4" s="76"/>
      <c r="B4" s="93"/>
      <c r="C4" s="93"/>
      <c r="D4" s="94"/>
      <c r="E4" s="101" t="s">
        <v>262</v>
      </c>
      <c r="F4" s="102" t="s">
        <v>263</v>
      </c>
      <c r="G4" s="102" t="s">
        <v>280</v>
      </c>
      <c r="H4" s="151"/>
      <c r="J4" s="136"/>
      <c r="K4" s="243"/>
      <c r="L4" s="103"/>
      <c r="M4" s="103"/>
      <c r="N4" s="103" t="s">
        <v>282</v>
      </c>
      <c r="O4" s="106" t="str">
        <f>_xll.RData(O5:O31,P4:S4,"RTFEED:IDN",ReutersRtMode,,P5)</f>
        <v>Paused at 11:15:03</v>
      </c>
      <c r="P4" s="87" t="s">
        <v>158</v>
      </c>
      <c r="Q4" s="87" t="s">
        <v>157</v>
      </c>
      <c r="R4" s="87" t="s">
        <v>168</v>
      </c>
      <c r="S4" s="87" t="s">
        <v>176</v>
      </c>
      <c r="T4" s="89" t="s">
        <v>183</v>
      </c>
      <c r="U4" s="88" t="s">
        <v>281</v>
      </c>
      <c r="V4" s="56"/>
      <c r="W4" s="87" t="s">
        <v>173</v>
      </c>
      <c r="X4" s="56"/>
      <c r="Y4" s="103" t="s">
        <v>172</v>
      </c>
      <c r="Z4" s="107" t="s">
        <v>171</v>
      </c>
      <c r="AA4" s="156"/>
      <c r="AB4" s="203"/>
      <c r="AC4" s="203"/>
    </row>
    <row r="5" spans="1:29" x14ac:dyDescent="0.2">
      <c r="A5" s="76"/>
      <c r="B5" s="110"/>
      <c r="C5" s="110">
        <v>1</v>
      </c>
      <c r="D5" s="111" t="s">
        <v>126</v>
      </c>
      <c r="E5" s="110" t="str">
        <f t="shared" ref="E5:E31" si="0">Currency&amp;$C5&amp;$D5&amp;QuoteSuffix</f>
        <v>USD1x4F_Quote</v>
      </c>
      <c r="F5" s="90" t="str">
        <f>_xll.qlSimpleQuote(E5,,RateTickValue,Permanent,Trigger,ObjectOverwrite)</f>
        <v>USD1x4F_Quote#0000</v>
      </c>
      <c r="G5" s="213" t="str">
        <f>_xll.ohRangeRetrieveError(F5)</f>
        <v/>
      </c>
      <c r="H5" s="151"/>
      <c r="J5" s="136"/>
      <c r="K5" s="266">
        <f>L5+3</f>
        <v>4</v>
      </c>
      <c r="L5" s="266">
        <f t="shared" ref="L5:L31" si="1">C5</f>
        <v>1</v>
      </c>
      <c r="M5" s="266" t="s">
        <v>174</v>
      </c>
      <c r="N5" s="262" t="str">
        <f t="shared" ref="N5:N31" si="2">Currency&amp;$L5&amp;$M5&amp;$K5&amp;"F"</f>
        <v>USD1X4F</v>
      </c>
      <c r="O5" s="119" t="str">
        <f t="array" ref="O5:O31">Instruments&amp;"="&amp;VLOOKUP(Contributor,ContributorTable,2,FALSE)</f>
        <v>USD1X4F=GCMN</v>
      </c>
      <c r="P5" s="190">
        <v>0.26</v>
      </c>
      <c r="Q5" s="190">
        <v>0.3</v>
      </c>
      <c r="R5" s="190">
        <v>0.26</v>
      </c>
      <c r="S5" s="190">
        <v>0.26</v>
      </c>
      <c r="T5" s="120">
        <f>IF(ISERROR(AVERAGE(P5,Q5)),#NUM!,AVERAGE(P5,Q5))</f>
        <v>0.28000000000000003</v>
      </c>
      <c r="U5" s="191">
        <f>Q5-P5</f>
        <v>3.999999999999998E-2</v>
      </c>
      <c r="V5" s="193"/>
      <c r="W5" s="191">
        <v>0.22699999999999998</v>
      </c>
      <c r="X5" s="193"/>
      <c r="Y5" s="191">
        <f t="array" ref="Y5:Y31">QuoteLive</f>
        <v>0.28000000000000003</v>
      </c>
      <c r="Z5" s="121">
        <f>_xll.qlSimpleQuoteSetValue(F5,Y5/100,Trigger)</f>
        <v>0</v>
      </c>
      <c r="AA5" s="157"/>
      <c r="AB5" s="203"/>
      <c r="AC5" s="203"/>
    </row>
    <row r="6" spans="1:29" x14ac:dyDescent="0.2">
      <c r="A6" s="76"/>
      <c r="B6" s="112"/>
      <c r="C6" s="112">
        <v>2</v>
      </c>
      <c r="D6" s="113" t="s">
        <v>125</v>
      </c>
      <c r="E6" s="112" t="str">
        <f t="shared" si="0"/>
        <v>USD2x5F_Quote</v>
      </c>
      <c r="F6" s="91" t="str">
        <f>_xll.qlSimpleQuote(E6,,RateTickValue,Permanent,Trigger,ObjectOverwrite)</f>
        <v>USD2x5F_Quote#0000</v>
      </c>
      <c r="G6" s="214" t="str">
        <f>_xll.ohRangeRetrieveError(F6)</f>
        <v/>
      </c>
      <c r="H6" s="151"/>
      <c r="J6" s="136"/>
      <c r="K6" s="266">
        <f t="shared" ref="K6:K10" si="3">L6+3</f>
        <v>5</v>
      </c>
      <c r="L6" s="266">
        <f t="shared" si="1"/>
        <v>2</v>
      </c>
      <c r="M6" s="266" t="s">
        <v>174</v>
      </c>
      <c r="N6" s="119" t="str">
        <f t="shared" si="2"/>
        <v>USD2X5F</v>
      </c>
      <c r="O6" s="119" t="str">
        <v>USD2X5F=GCMN</v>
      </c>
      <c r="P6" s="190">
        <v>0.29599999999999999</v>
      </c>
      <c r="Q6" s="190">
        <v>0.33599999999999997</v>
      </c>
      <c r="R6" s="190">
        <v>0.29599999999999999</v>
      </c>
      <c r="S6" s="190">
        <v>0.29599999999999999</v>
      </c>
      <c r="T6" s="120">
        <f t="shared" ref="T6:T31" si="4">IF(ISERROR(AVERAGE(P6,Q6)),#NUM!,AVERAGE(P6,Q6))</f>
        <v>0.31599999999999995</v>
      </c>
      <c r="U6" s="190">
        <f t="shared" ref="U6:U31" si="5">Q6-P6</f>
        <v>3.999999999999998E-2</v>
      </c>
      <c r="V6" s="193"/>
      <c r="W6" s="190">
        <v>0.23199999999999998</v>
      </c>
      <c r="X6" s="193"/>
      <c r="Y6" s="190">
        <v>0.31599999999999995</v>
      </c>
      <c r="Z6" s="122">
        <f>_xll.qlSimpleQuoteSetValue(F6,Y6/100,Trigger)</f>
        <v>0</v>
      </c>
      <c r="AA6" s="157"/>
      <c r="AB6" s="203"/>
      <c r="AC6" s="203"/>
    </row>
    <row r="7" spans="1:29" x14ac:dyDescent="0.2">
      <c r="A7" s="76"/>
      <c r="B7" s="112"/>
      <c r="C7" s="112">
        <v>3</v>
      </c>
      <c r="D7" s="113" t="s">
        <v>124</v>
      </c>
      <c r="E7" s="112" t="str">
        <f t="shared" si="0"/>
        <v>USD3x6F_Quote</v>
      </c>
      <c r="F7" s="91" t="str">
        <f>_xll.qlSimpleQuote(E7,,RateTickValue,Permanent,Trigger,ObjectOverwrite)</f>
        <v>USD3x6F_Quote#0000</v>
      </c>
      <c r="G7" s="214" t="str">
        <f>_xll.ohRangeRetrieveError(F7)</f>
        <v/>
      </c>
      <c r="H7" s="151"/>
      <c r="J7" s="136"/>
      <c r="K7" s="266">
        <f t="shared" si="3"/>
        <v>6</v>
      </c>
      <c r="L7" s="266">
        <f t="shared" si="1"/>
        <v>3</v>
      </c>
      <c r="M7" s="266" t="s">
        <v>174</v>
      </c>
      <c r="N7" s="119" t="str">
        <f t="shared" si="2"/>
        <v>USD3X6F</v>
      </c>
      <c r="O7" s="119" t="str">
        <v>USD3X6F=GCMN</v>
      </c>
      <c r="P7" s="190">
        <v>0.34500000000000003</v>
      </c>
      <c r="Q7" s="190">
        <v>0.38500000000000001</v>
      </c>
      <c r="R7" s="190">
        <v>0.34500000000000003</v>
      </c>
      <c r="S7" s="190">
        <v>0.34199999999999997</v>
      </c>
      <c r="T7" s="120">
        <f t="shared" si="4"/>
        <v>0.36499999999999999</v>
      </c>
      <c r="U7" s="190">
        <f t="shared" si="5"/>
        <v>3.999999999999998E-2</v>
      </c>
      <c r="V7" s="193"/>
      <c r="W7" s="190">
        <v>0.24199999999999999</v>
      </c>
      <c r="X7" s="193"/>
      <c r="Y7" s="190">
        <v>0.36499999999999999</v>
      </c>
      <c r="Z7" s="122">
        <f>_xll.qlSimpleQuoteSetValue(F7,Y7/100,Trigger)</f>
        <v>0</v>
      </c>
      <c r="AA7" s="157"/>
      <c r="AB7" s="203"/>
      <c r="AC7" s="203"/>
    </row>
    <row r="8" spans="1:29" x14ac:dyDescent="0.2">
      <c r="A8" s="76"/>
      <c r="B8" s="112"/>
      <c r="C8" s="112">
        <v>4</v>
      </c>
      <c r="D8" s="113" t="s">
        <v>123</v>
      </c>
      <c r="E8" s="112" t="str">
        <f t="shared" si="0"/>
        <v>USD4x7F_Quote</v>
      </c>
      <c r="F8" s="91" t="str">
        <f>_xll.qlSimpleQuote(E8,,RateTickValue,Permanent,Trigger,ObjectOverwrite)</f>
        <v>USD4x7F_Quote#0000</v>
      </c>
      <c r="G8" s="214" t="str">
        <f>_xll.ohRangeRetrieveError(F8)</f>
        <v/>
      </c>
      <c r="H8" s="151"/>
      <c r="J8" s="136"/>
      <c r="K8" s="266">
        <f t="shared" si="3"/>
        <v>7</v>
      </c>
      <c r="L8" s="266">
        <f t="shared" si="1"/>
        <v>4</v>
      </c>
      <c r="M8" s="266" t="s">
        <v>174</v>
      </c>
      <c r="N8" s="119" t="str">
        <f t="shared" si="2"/>
        <v>USD4X7F</v>
      </c>
      <c r="O8" s="119" t="str">
        <v>USD4X7F=GCMN</v>
      </c>
      <c r="P8" s="190">
        <v>0.4</v>
      </c>
      <c r="Q8" s="190">
        <v>0.44000000000000006</v>
      </c>
      <c r="R8" s="190">
        <v>0.4</v>
      </c>
      <c r="S8" s="190">
        <v>0.39699999999999996</v>
      </c>
      <c r="T8" s="120">
        <f t="shared" si="4"/>
        <v>0.42000000000000004</v>
      </c>
      <c r="U8" s="190">
        <f t="shared" si="5"/>
        <v>4.0000000000000036E-2</v>
      </c>
      <c r="V8" s="193"/>
      <c r="W8" s="190">
        <v>0.255</v>
      </c>
      <c r="X8" s="193"/>
      <c r="Y8" s="190">
        <v>0.42000000000000004</v>
      </c>
      <c r="Z8" s="122">
        <f>_xll.qlSimpleQuoteSetValue(F8,Y8/100,Trigger)</f>
        <v>0</v>
      </c>
      <c r="AA8" s="157"/>
      <c r="AB8" s="203"/>
      <c r="AC8" s="203"/>
    </row>
    <row r="9" spans="1:29" x14ac:dyDescent="0.2">
      <c r="A9" s="76"/>
      <c r="B9" s="112"/>
      <c r="C9" s="112">
        <v>5</v>
      </c>
      <c r="D9" s="113" t="s">
        <v>122</v>
      </c>
      <c r="E9" s="112" t="str">
        <f t="shared" si="0"/>
        <v>USD5x8F_Quote</v>
      </c>
      <c r="F9" s="91" t="str">
        <f>_xll.qlSimpleQuote(E9,,RateTickValue,Permanent,Trigger,ObjectOverwrite)</f>
        <v>USD5x8F_Quote#0000</v>
      </c>
      <c r="G9" s="214" t="str">
        <f>_xll.ohRangeRetrieveError(F9)</f>
        <v/>
      </c>
      <c r="H9" s="151"/>
      <c r="J9" s="136"/>
      <c r="K9" s="266">
        <f t="shared" si="3"/>
        <v>8</v>
      </c>
      <c r="L9" s="266">
        <f t="shared" si="1"/>
        <v>5</v>
      </c>
      <c r="M9" s="266" t="s">
        <v>174</v>
      </c>
      <c r="N9" s="119" t="str">
        <f t="shared" si="2"/>
        <v>USD5X8F</v>
      </c>
      <c r="O9" s="119" t="str">
        <v>USD5X8F=GCMN</v>
      </c>
      <c r="P9" s="190">
        <v>0.46100000000000002</v>
      </c>
      <c r="Q9" s="190">
        <v>0.501</v>
      </c>
      <c r="R9" s="190">
        <v>0.46100000000000002</v>
      </c>
      <c r="S9" s="190">
        <v>0.45999999999999996</v>
      </c>
      <c r="T9" s="120">
        <f t="shared" si="4"/>
        <v>0.48099999999999998</v>
      </c>
      <c r="U9" s="190">
        <f t="shared" si="5"/>
        <v>3.999999999999998E-2</v>
      </c>
      <c r="V9" s="193"/>
      <c r="W9" s="190">
        <v>0.27500000000000002</v>
      </c>
      <c r="X9" s="193"/>
      <c r="Y9" s="190">
        <v>0.48099999999999998</v>
      </c>
      <c r="Z9" s="122">
        <f>_xll.qlSimpleQuoteSetValue(F9,Y9/100,Trigger)</f>
        <v>0</v>
      </c>
      <c r="AA9" s="157"/>
      <c r="AB9" s="203"/>
      <c r="AC9" s="203"/>
    </row>
    <row r="10" spans="1:29" x14ac:dyDescent="0.2">
      <c r="A10" s="76"/>
      <c r="B10" s="114"/>
      <c r="C10" s="114">
        <v>6</v>
      </c>
      <c r="D10" s="115" t="s">
        <v>121</v>
      </c>
      <c r="E10" s="114" t="str">
        <f t="shared" si="0"/>
        <v>USD6x9F_Quote</v>
      </c>
      <c r="F10" s="92" t="str">
        <f>_xll.qlSimpleQuote(E10,,RateTickValue,Permanent,Trigger,ObjectOverwrite)</f>
        <v>USD6x9F_Quote#0000</v>
      </c>
      <c r="G10" s="215" t="str">
        <f>_xll.ohRangeRetrieveError(F10)</f>
        <v/>
      </c>
      <c r="H10" s="151"/>
      <c r="J10" s="136"/>
      <c r="K10" s="270">
        <f t="shared" si="3"/>
        <v>9</v>
      </c>
      <c r="L10" s="270">
        <f t="shared" si="1"/>
        <v>6</v>
      </c>
      <c r="M10" s="270" t="s">
        <v>174</v>
      </c>
      <c r="N10" s="123" t="str">
        <f t="shared" si="2"/>
        <v>USD6X9F</v>
      </c>
      <c r="O10" s="123" t="str">
        <v>USD6X9F=GCMN</v>
      </c>
      <c r="P10" s="190">
        <v>0.52600000000000002</v>
      </c>
      <c r="Q10" s="190">
        <v>0.56600000000000006</v>
      </c>
      <c r="R10" s="190">
        <v>0.52600000000000002</v>
      </c>
      <c r="S10" s="190">
        <v>0.52200000000000002</v>
      </c>
      <c r="T10" s="127">
        <f t="shared" si="4"/>
        <v>0.54600000000000004</v>
      </c>
      <c r="U10" s="192">
        <f t="shared" si="5"/>
        <v>4.0000000000000036E-2</v>
      </c>
      <c r="V10" s="193"/>
      <c r="W10" s="192">
        <v>0.309</v>
      </c>
      <c r="X10" s="193"/>
      <c r="Y10" s="192">
        <v>0.54600000000000004</v>
      </c>
      <c r="Z10" s="124">
        <f>_xll.qlSimpleQuoteSetValue(F10,Y10/100,Trigger)</f>
        <v>0</v>
      </c>
      <c r="AA10" s="157"/>
      <c r="AB10" s="203"/>
      <c r="AC10" s="203"/>
    </row>
    <row r="11" spans="1:29" x14ac:dyDescent="0.2">
      <c r="A11" s="76"/>
      <c r="B11" s="110"/>
      <c r="C11" s="110">
        <v>1</v>
      </c>
      <c r="D11" s="111" t="str">
        <f t="shared" ref="D11:D19" si="6">"x"&amp;C11+6&amp;"F"</f>
        <v>x7F</v>
      </c>
      <c r="E11" s="110" t="str">
        <f t="shared" si="0"/>
        <v>USD1x7F_Quote</v>
      </c>
      <c r="F11" s="90" t="str">
        <f>_xll.qlSimpleQuote(E11,,RateTickValue,Permanent,Trigger,ObjectOverwrite)</f>
        <v>USD1x7F_Quote#0000</v>
      </c>
      <c r="G11" s="213" t="str">
        <f>_xll.ohRangeRetrieveError(F11)</f>
        <v/>
      </c>
      <c r="H11" s="151"/>
      <c r="J11" s="136"/>
      <c r="K11" s="276">
        <f>L11+6</f>
        <v>7</v>
      </c>
      <c r="L11" s="276">
        <f t="shared" si="1"/>
        <v>1</v>
      </c>
      <c r="M11" s="276" t="s">
        <v>174</v>
      </c>
      <c r="N11" s="125" t="str">
        <f t="shared" si="2"/>
        <v>USD1X7F</v>
      </c>
      <c r="O11" s="125" t="str">
        <v>USD1X7F=GCMN</v>
      </c>
      <c r="P11" s="191">
        <v>0.39699999999999996</v>
      </c>
      <c r="Q11" s="191">
        <v>0.437</v>
      </c>
      <c r="R11" s="191">
        <v>0.39699999999999996</v>
      </c>
      <c r="S11" s="191">
        <v>0.39400000000000002</v>
      </c>
      <c r="T11" s="126">
        <f t="shared" si="4"/>
        <v>0.41699999999999998</v>
      </c>
      <c r="U11" s="191">
        <f t="shared" si="5"/>
        <v>4.0000000000000036E-2</v>
      </c>
      <c r="V11" s="193"/>
      <c r="W11" s="191">
        <v>0.32599999999999996</v>
      </c>
      <c r="X11" s="193"/>
      <c r="Y11" s="191">
        <v>0.41699999999999998</v>
      </c>
      <c r="Z11" s="121">
        <f>_xll.qlSimpleQuoteSetValue(F11,Y11/100,Trigger)</f>
        <v>0</v>
      </c>
      <c r="AA11" s="157"/>
      <c r="AB11" s="203"/>
      <c r="AC11" s="203"/>
    </row>
    <row r="12" spans="1:29" x14ac:dyDescent="0.2">
      <c r="A12" s="76"/>
      <c r="B12" s="112"/>
      <c r="C12" s="112">
        <v>2</v>
      </c>
      <c r="D12" s="113" t="str">
        <f t="shared" si="6"/>
        <v>x8F</v>
      </c>
      <c r="E12" s="112" t="str">
        <f t="shared" si="0"/>
        <v>USD2x8F_Quote</v>
      </c>
      <c r="F12" s="91" t="str">
        <f>_xll.qlSimpleQuote(E12,,RateTickValue,Permanent,Trigger,ObjectOverwrite)</f>
        <v>USD2x8F_Quote#0000</v>
      </c>
      <c r="G12" s="214" t="str">
        <f>_xll.ohRangeRetrieveError(F12)</f>
        <v/>
      </c>
      <c r="H12" s="151"/>
      <c r="J12" s="136"/>
      <c r="K12" s="266">
        <f t="shared" ref="K12:K19" si="7">L12+6</f>
        <v>8</v>
      </c>
      <c r="L12" s="266">
        <f t="shared" si="1"/>
        <v>2</v>
      </c>
      <c r="M12" s="266" t="s">
        <v>174</v>
      </c>
      <c r="N12" s="119" t="str">
        <f t="shared" si="2"/>
        <v>USD2X8F</v>
      </c>
      <c r="O12" s="119" t="str">
        <v>USD2X8F=GCMN</v>
      </c>
      <c r="P12" s="190">
        <v>0.44400000000000006</v>
      </c>
      <c r="Q12" s="190">
        <v>0.48399999999999999</v>
      </c>
      <c r="R12" s="190">
        <v>0.44400000000000006</v>
      </c>
      <c r="S12" s="190">
        <v>0.44299999999999995</v>
      </c>
      <c r="T12" s="120">
        <f t="shared" si="4"/>
        <v>0.46400000000000002</v>
      </c>
      <c r="U12" s="190">
        <f t="shared" si="5"/>
        <v>3.9999999999999925E-2</v>
      </c>
      <c r="V12" s="193"/>
      <c r="W12" s="190">
        <v>0.33999999999999997</v>
      </c>
      <c r="X12" s="193"/>
      <c r="Y12" s="190">
        <v>0.46400000000000002</v>
      </c>
      <c r="Z12" s="122">
        <f>_xll.qlSimpleQuoteSetValue(F12,Y12/100,Trigger)</f>
        <v>0</v>
      </c>
      <c r="AA12" s="157"/>
      <c r="AB12" s="203"/>
      <c r="AC12" s="203"/>
    </row>
    <row r="13" spans="1:29" x14ac:dyDescent="0.2">
      <c r="A13" s="76"/>
      <c r="B13" s="112"/>
      <c r="C13" s="112">
        <v>3</v>
      </c>
      <c r="D13" s="113" t="str">
        <f t="shared" si="6"/>
        <v>x9F</v>
      </c>
      <c r="E13" s="112" t="str">
        <f t="shared" si="0"/>
        <v>USD3x9F_Quote</v>
      </c>
      <c r="F13" s="91" t="str">
        <f>_xll.qlSimpleQuote(E13,,RateTickValue,Permanent,Trigger,ObjectOverwrite)</f>
        <v>USD3x9F_Quote#0000</v>
      </c>
      <c r="G13" s="214" t="str">
        <f>_xll.ohRangeRetrieveError(F13)</f>
        <v/>
      </c>
      <c r="H13" s="151"/>
      <c r="J13" s="136"/>
      <c r="K13" s="266">
        <f t="shared" si="7"/>
        <v>9</v>
      </c>
      <c r="L13" s="266">
        <f t="shared" si="1"/>
        <v>3</v>
      </c>
      <c r="M13" s="266" t="s">
        <v>174</v>
      </c>
      <c r="N13" s="119" t="str">
        <f t="shared" si="2"/>
        <v>USD3X9F</v>
      </c>
      <c r="O13" s="119" t="str">
        <v>USD3X9F=GCMN</v>
      </c>
      <c r="P13" s="190">
        <v>0.501</v>
      </c>
      <c r="Q13" s="190">
        <v>0.54100000000000004</v>
      </c>
      <c r="R13" s="190">
        <v>0.501</v>
      </c>
      <c r="S13" s="190">
        <v>0.49800000000000005</v>
      </c>
      <c r="T13" s="120">
        <f t="shared" si="4"/>
        <v>0.52100000000000002</v>
      </c>
      <c r="U13" s="190">
        <f t="shared" si="5"/>
        <v>4.0000000000000036E-2</v>
      </c>
      <c r="V13" s="193"/>
      <c r="W13" s="190">
        <v>0.36099999999999999</v>
      </c>
      <c r="X13" s="193"/>
      <c r="Y13" s="190">
        <v>0.52100000000000002</v>
      </c>
      <c r="Z13" s="122">
        <f>_xll.qlSimpleQuoteSetValue(F13,Y13/100,Trigger)</f>
        <v>0</v>
      </c>
      <c r="AA13" s="157"/>
      <c r="AB13" s="203"/>
      <c r="AC13" s="203"/>
    </row>
    <row r="14" spans="1:29" x14ac:dyDescent="0.2">
      <c r="A14" s="76"/>
      <c r="B14" s="112"/>
      <c r="C14" s="112">
        <v>4</v>
      </c>
      <c r="D14" s="113" t="str">
        <f t="shared" si="6"/>
        <v>x10F</v>
      </c>
      <c r="E14" s="112" t="str">
        <f t="shared" si="0"/>
        <v>USD4x10F_Quote</v>
      </c>
      <c r="F14" s="91" t="str">
        <f>_xll.qlSimpleQuote(E14,,RateTickValue,Permanent,Trigger,ObjectOverwrite)</f>
        <v>USD4x10F_Quote#0000</v>
      </c>
      <c r="G14" s="214" t="str">
        <f>_xll.ohRangeRetrieveError(F14)</f>
        <v/>
      </c>
      <c r="H14" s="151"/>
      <c r="J14" s="136"/>
      <c r="K14" s="266">
        <f t="shared" si="7"/>
        <v>10</v>
      </c>
      <c r="L14" s="266">
        <f t="shared" si="1"/>
        <v>4</v>
      </c>
      <c r="M14" s="266" t="s">
        <v>174</v>
      </c>
      <c r="N14" s="119" t="str">
        <f t="shared" si="2"/>
        <v>USD4X10F</v>
      </c>
      <c r="O14" s="119" t="str">
        <v>USD4X10F=GCMN</v>
      </c>
      <c r="P14" s="190">
        <v>0.56500000000000006</v>
      </c>
      <c r="Q14" s="190">
        <v>0.60499999999999998</v>
      </c>
      <c r="R14" s="190">
        <v>0.56500000000000006</v>
      </c>
      <c r="S14" s="190">
        <v>0.56200000000000006</v>
      </c>
      <c r="T14" s="120">
        <f t="shared" si="4"/>
        <v>0.58499999999999996</v>
      </c>
      <c r="U14" s="190">
        <f t="shared" si="5"/>
        <v>3.9999999999999925E-2</v>
      </c>
      <c r="V14" s="193"/>
      <c r="W14" s="190">
        <v>0.39300000000000002</v>
      </c>
      <c r="X14" s="193"/>
      <c r="Y14" s="190">
        <v>0.58499999999999996</v>
      </c>
      <c r="Z14" s="122">
        <f>_xll.qlSimpleQuoteSetValue(F14,Y14/100,Trigger)</f>
        <v>0</v>
      </c>
      <c r="AA14" s="157"/>
      <c r="AB14" s="203"/>
      <c r="AC14" s="203"/>
    </row>
    <row r="15" spans="1:29" x14ac:dyDescent="0.2">
      <c r="A15" s="76"/>
      <c r="B15" s="112"/>
      <c r="C15" s="112">
        <v>5</v>
      </c>
      <c r="D15" s="113" t="str">
        <f t="shared" si="6"/>
        <v>x11F</v>
      </c>
      <c r="E15" s="112" t="str">
        <f t="shared" si="0"/>
        <v>USD5x11F_Quote</v>
      </c>
      <c r="F15" s="91" t="str">
        <f>_xll.qlSimpleQuote(E15,,RateTickValue,Permanent,Trigger,ObjectOverwrite)</f>
        <v>USD5x11F_Quote#0000</v>
      </c>
      <c r="G15" s="214" t="str">
        <f>_xll.ohRangeRetrieveError(F15)</f>
        <v/>
      </c>
      <c r="H15" s="151"/>
      <c r="J15" s="136"/>
      <c r="K15" s="266">
        <f t="shared" si="7"/>
        <v>11</v>
      </c>
      <c r="L15" s="266">
        <f t="shared" si="1"/>
        <v>5</v>
      </c>
      <c r="M15" s="266" t="s">
        <v>174</v>
      </c>
      <c r="N15" s="119" t="str">
        <f t="shared" si="2"/>
        <v>USD5X11F</v>
      </c>
      <c r="O15" s="119" t="str">
        <v>USD5X11F=GCMN</v>
      </c>
      <c r="P15" s="190">
        <v>0.63100000000000001</v>
      </c>
      <c r="Q15" s="190">
        <v>0.67100000000000004</v>
      </c>
      <c r="R15" s="190">
        <v>0.63100000000000001</v>
      </c>
      <c r="S15" s="190">
        <v>0.629</v>
      </c>
      <c r="T15" s="120">
        <f t="shared" si="4"/>
        <v>0.65100000000000002</v>
      </c>
      <c r="U15" s="190">
        <f t="shared" si="5"/>
        <v>4.0000000000000036E-2</v>
      </c>
      <c r="V15" s="193"/>
      <c r="W15" s="190">
        <v>0.432</v>
      </c>
      <c r="X15" s="193"/>
      <c r="Y15" s="190">
        <v>0.65100000000000002</v>
      </c>
      <c r="Z15" s="122">
        <f>_xll.qlSimpleQuoteSetValue(F15,Y15/100,Trigger)</f>
        <v>0</v>
      </c>
      <c r="AA15" s="157"/>
      <c r="AB15" s="203"/>
      <c r="AC15" s="203"/>
    </row>
    <row r="16" spans="1:29" x14ac:dyDescent="0.2">
      <c r="A16" s="76"/>
      <c r="B16" s="112"/>
      <c r="C16" s="112">
        <v>6</v>
      </c>
      <c r="D16" s="113" t="str">
        <f t="shared" si="6"/>
        <v>x12F</v>
      </c>
      <c r="E16" s="112" t="str">
        <f t="shared" si="0"/>
        <v>USD6x12F_Quote</v>
      </c>
      <c r="F16" s="91" t="str">
        <f>_xll.qlSimpleQuote(E16,,RateTickValue,Permanent,Trigger,ObjectOverwrite)</f>
        <v>USD6x12F_Quote#0000</v>
      </c>
      <c r="G16" s="214" t="str">
        <f>_xll.ohRangeRetrieveError(F16)</f>
        <v/>
      </c>
      <c r="H16" s="151"/>
      <c r="J16" s="136"/>
      <c r="K16" s="266">
        <f t="shared" si="7"/>
        <v>12</v>
      </c>
      <c r="L16" s="266">
        <f t="shared" si="1"/>
        <v>6</v>
      </c>
      <c r="M16" s="266" t="s">
        <v>174</v>
      </c>
      <c r="N16" s="119" t="str">
        <f t="shared" si="2"/>
        <v>USD6X12F</v>
      </c>
      <c r="O16" s="119" t="str">
        <v>USD6X12F=GCMN</v>
      </c>
      <c r="P16" s="190">
        <v>0.7</v>
      </c>
      <c r="Q16" s="190">
        <v>0.74</v>
      </c>
      <c r="R16" s="190">
        <v>0.7</v>
      </c>
      <c r="S16" s="190">
        <v>0.69500000000000006</v>
      </c>
      <c r="T16" s="120">
        <f t="shared" si="4"/>
        <v>0.72</v>
      </c>
      <c r="U16" s="190">
        <f t="shared" si="5"/>
        <v>4.0000000000000036E-2</v>
      </c>
      <c r="V16" s="193"/>
      <c r="W16" s="190">
        <v>0.48099999999999998</v>
      </c>
      <c r="X16" s="193"/>
      <c r="Y16" s="190">
        <v>0.72</v>
      </c>
      <c r="Z16" s="122">
        <f>_xll.qlSimpleQuoteSetValue(F16,Y16/100,Trigger)</f>
        <v>0</v>
      </c>
      <c r="AA16" s="157"/>
      <c r="AB16" s="203"/>
      <c r="AC16" s="203"/>
    </row>
    <row r="17" spans="1:29" x14ac:dyDescent="0.2">
      <c r="A17" s="76"/>
      <c r="B17" s="112"/>
      <c r="C17" s="112">
        <v>9</v>
      </c>
      <c r="D17" s="113" t="str">
        <f t="shared" si="6"/>
        <v>x15F</v>
      </c>
      <c r="E17" s="112" t="str">
        <f t="shared" si="0"/>
        <v>USD9x15F_Quote</v>
      </c>
      <c r="F17" s="91" t="str">
        <f>_xll.qlSimpleQuote(E17,,RateTickValue,Permanent,Trigger,ObjectOverwrite)</f>
        <v>USD9x15F_Quote#0000</v>
      </c>
      <c r="G17" s="214" t="str">
        <f>_xll.ohRangeRetrieveError(F17)</f>
        <v/>
      </c>
      <c r="H17" s="151"/>
      <c r="J17" s="136"/>
      <c r="K17" s="266">
        <f t="shared" si="7"/>
        <v>15</v>
      </c>
      <c r="L17" s="266">
        <f t="shared" si="1"/>
        <v>9</v>
      </c>
      <c r="M17" s="266" t="s">
        <v>174</v>
      </c>
      <c r="N17" s="119" t="str">
        <f t="shared" si="2"/>
        <v>USD9X15F</v>
      </c>
      <c r="O17" s="119" t="str">
        <v>USD9X15F=GCMN</v>
      </c>
      <c r="P17" s="190">
        <v>0.91899999999999993</v>
      </c>
      <c r="Q17" s="190">
        <v>0.95899999999999996</v>
      </c>
      <c r="R17" s="190">
        <v>0.91899999999999993</v>
      </c>
      <c r="S17" s="190">
        <v>0.91199999999999992</v>
      </c>
      <c r="T17" s="120">
        <f t="shared" si="4"/>
        <v>0.93899999999999995</v>
      </c>
      <c r="U17" s="190">
        <f t="shared" si="5"/>
        <v>4.0000000000000036E-2</v>
      </c>
      <c r="V17" s="193"/>
      <c r="W17" s="190">
        <v>0.68300000000000005</v>
      </c>
      <c r="X17" s="193"/>
      <c r="Y17" s="190">
        <v>0.93899999999999995</v>
      </c>
      <c r="Z17" s="122">
        <f>_xll.qlSimpleQuoteSetValue(F17,Y17/100,Trigger)</f>
        <v>0</v>
      </c>
      <c r="AA17" s="157"/>
      <c r="AB17" s="203"/>
      <c r="AC17" s="203"/>
    </row>
    <row r="18" spans="1:29" x14ac:dyDescent="0.2">
      <c r="A18" s="76"/>
      <c r="B18" s="112"/>
      <c r="C18" s="112">
        <v>12</v>
      </c>
      <c r="D18" s="113" t="str">
        <f t="shared" si="6"/>
        <v>x18F</v>
      </c>
      <c r="E18" s="112" t="str">
        <f t="shared" si="0"/>
        <v>USD12x18F_Quote</v>
      </c>
      <c r="F18" s="91" t="str">
        <f>_xll.qlSimpleQuote(E18,,RateTickValue,Permanent,Trigger,ObjectOverwrite)</f>
        <v>USD12x18F_Quote#0000</v>
      </c>
      <c r="G18" s="214" t="str">
        <f>_xll.ohRangeRetrieveError(F18)</f>
        <v/>
      </c>
      <c r="H18" s="151"/>
      <c r="J18" s="136"/>
      <c r="K18" s="266">
        <f t="shared" si="7"/>
        <v>18</v>
      </c>
      <c r="L18" s="266">
        <f t="shared" si="1"/>
        <v>12</v>
      </c>
      <c r="M18" s="266" t="s">
        <v>174</v>
      </c>
      <c r="N18" s="119" t="str">
        <f t="shared" si="2"/>
        <v>USD12X18F</v>
      </c>
      <c r="O18" s="119" t="str">
        <v>USD12X18F=GCMN</v>
      </c>
      <c r="P18" s="190">
        <v>1.145</v>
      </c>
      <c r="Q18" s="190">
        <v>1.1850000000000001</v>
      </c>
      <c r="R18" s="190">
        <v>1.145</v>
      </c>
      <c r="S18" s="190">
        <v>1.1339999999999999</v>
      </c>
      <c r="T18" s="120">
        <f t="shared" si="4"/>
        <v>1.165</v>
      </c>
      <c r="U18" s="190">
        <f t="shared" si="5"/>
        <v>4.0000000000000036E-2</v>
      </c>
      <c r="V18" s="193"/>
      <c r="W18" s="190">
        <v>0.92599999999999993</v>
      </c>
      <c r="X18" s="193"/>
      <c r="Y18" s="190">
        <v>1.165</v>
      </c>
      <c r="Z18" s="122">
        <f>_xll.qlSimpleQuoteSetValue(F18,Y18/100,Trigger)</f>
        <v>0</v>
      </c>
      <c r="AA18" s="157"/>
      <c r="AB18" s="203"/>
      <c r="AC18" s="203"/>
    </row>
    <row r="19" spans="1:29" x14ac:dyDescent="0.2">
      <c r="A19" s="76"/>
      <c r="B19" s="114"/>
      <c r="C19" s="114">
        <v>18</v>
      </c>
      <c r="D19" s="115" t="str">
        <f t="shared" si="6"/>
        <v>x24F</v>
      </c>
      <c r="E19" s="114" t="str">
        <f t="shared" si="0"/>
        <v>USD18x24F_Quote</v>
      </c>
      <c r="F19" s="92" t="str">
        <f>_xll.qlSimpleQuote(E19,,RateTickValue,Permanent,Trigger,ObjectOverwrite)</f>
        <v>USD18x24F_Quote#0000</v>
      </c>
      <c r="G19" s="215" t="str">
        <f>_xll.ohRangeRetrieveError(F19)</f>
        <v/>
      </c>
      <c r="H19" s="151"/>
      <c r="J19" s="136"/>
      <c r="K19" s="270">
        <f t="shared" si="7"/>
        <v>24</v>
      </c>
      <c r="L19" s="270">
        <f t="shared" si="1"/>
        <v>18</v>
      </c>
      <c r="M19" s="270" t="s">
        <v>174</v>
      </c>
      <c r="N19" s="123" t="str">
        <f t="shared" si="2"/>
        <v>USD18X24F</v>
      </c>
      <c r="O19" s="123" t="str">
        <v>USD18X24F=GCMN</v>
      </c>
      <c r="P19" s="192">
        <v>1.5609999999999999</v>
      </c>
      <c r="Q19" s="192">
        <v>1.601</v>
      </c>
      <c r="R19" s="192">
        <v>1.5609999999999999</v>
      </c>
      <c r="S19" s="192">
        <v>1.5489999999999999</v>
      </c>
      <c r="T19" s="127">
        <f t="shared" si="4"/>
        <v>1.581</v>
      </c>
      <c r="U19" s="192">
        <f t="shared" si="5"/>
        <v>4.0000000000000036E-2</v>
      </c>
      <c r="V19" s="193"/>
      <c r="W19" s="192">
        <v>1.425</v>
      </c>
      <c r="X19" s="193"/>
      <c r="Y19" s="192">
        <v>1.581</v>
      </c>
      <c r="Z19" s="124">
        <f>_xll.qlSimpleQuoteSetValue(F19,Y19/100,Trigger)</f>
        <v>-9.9999999999961231E-6</v>
      </c>
      <c r="AA19" s="157"/>
      <c r="AB19" s="203"/>
      <c r="AC19" s="203"/>
    </row>
    <row r="20" spans="1:29" x14ac:dyDescent="0.2">
      <c r="A20" s="76"/>
      <c r="B20" s="110"/>
      <c r="C20" s="110">
        <v>1</v>
      </c>
      <c r="D20" s="116" t="str">
        <f>"x"&amp;C20+12&amp;"F"</f>
        <v>x13F</v>
      </c>
      <c r="E20" s="110" t="str">
        <f t="shared" si="0"/>
        <v>USD1x13F_Quote</v>
      </c>
      <c r="F20" s="90" t="str">
        <f>_xll.qlSimpleQuote(E20,,RateTickValue,Permanent,Trigger,ObjectOverwrite)</f>
        <v>USD1x13F_Quote#0000</v>
      </c>
      <c r="G20" s="213" t="str">
        <f>_xll.ohRangeRetrieveError(F20)</f>
        <v/>
      </c>
      <c r="H20" s="151"/>
      <c r="J20" s="136"/>
      <c r="K20" s="276">
        <f>L20+12</f>
        <v>13</v>
      </c>
      <c r="L20" s="276">
        <f t="shared" si="1"/>
        <v>1</v>
      </c>
      <c r="M20" s="276" t="s">
        <v>174</v>
      </c>
      <c r="N20" s="125" t="str">
        <f t="shared" si="2"/>
        <v>USD1X13F</v>
      </c>
      <c r="O20" s="125" t="str">
        <v>USD1X13F=GCMN</v>
      </c>
      <c r="P20" s="190">
        <v>0.73899999999999999</v>
      </c>
      <c r="Q20" s="190">
        <v>0.77900000000000003</v>
      </c>
      <c r="R20" s="190">
        <v>0.73899999999999999</v>
      </c>
      <c r="S20" s="190">
        <v>0.73599999999999999</v>
      </c>
      <c r="T20" s="126">
        <f t="shared" si="4"/>
        <v>0.75900000000000001</v>
      </c>
      <c r="U20" s="190">
        <f t="shared" si="5"/>
        <v>4.0000000000000036E-2</v>
      </c>
      <c r="V20" s="193"/>
      <c r="W20" s="191">
        <v>0.6</v>
      </c>
      <c r="X20" s="193"/>
      <c r="Y20" s="191">
        <v>0.75900000000000001</v>
      </c>
      <c r="Z20" s="121">
        <f>_xll.qlSimpleQuoteSetValue(F20,Y20/100,Trigger)</f>
        <v>0</v>
      </c>
      <c r="AA20" s="158"/>
    </row>
    <row r="21" spans="1:29" x14ac:dyDescent="0.2">
      <c r="A21" s="76"/>
      <c r="B21" s="112"/>
      <c r="C21" s="112">
        <v>2</v>
      </c>
      <c r="D21" s="117" t="str">
        <f t="shared" ref="D21:D31" si="8">"x"&amp;C21+12&amp;"F"</f>
        <v>x14F</v>
      </c>
      <c r="E21" s="112" t="str">
        <f t="shared" si="0"/>
        <v>USD2x14F_Quote</v>
      </c>
      <c r="F21" s="91" t="str">
        <f>_xll.qlSimpleQuote(E21,,RateTickValue,Permanent,Trigger,ObjectOverwrite)</f>
        <v>USD2x14F_Quote#0000</v>
      </c>
      <c r="G21" s="214" t="str">
        <f>_xll.ohRangeRetrieveError(F21)</f>
        <v/>
      </c>
      <c r="H21" s="151"/>
      <c r="J21" s="136"/>
      <c r="K21" s="266">
        <f t="shared" ref="K21:K31" si="9">L21+12</f>
        <v>14</v>
      </c>
      <c r="L21" s="266">
        <f t="shared" si="1"/>
        <v>2</v>
      </c>
      <c r="M21" s="266" t="s">
        <v>174</v>
      </c>
      <c r="N21" s="119" t="str">
        <f t="shared" si="2"/>
        <v>USD2X14F</v>
      </c>
      <c r="O21" s="119" t="str">
        <v>USD2X14F=GCMN</v>
      </c>
      <c r="P21" s="190">
        <v>0.81899999999999995</v>
      </c>
      <c r="Q21" s="190">
        <v>0.85899999999999999</v>
      </c>
      <c r="R21" s="190">
        <v>0.81899999999999995</v>
      </c>
      <c r="S21" s="190">
        <v>0.81699999999999995</v>
      </c>
      <c r="T21" s="120">
        <f t="shared" si="4"/>
        <v>0.83899999999999997</v>
      </c>
      <c r="U21" s="190">
        <f t="shared" si="5"/>
        <v>4.0000000000000036E-2</v>
      </c>
      <c r="V21" s="193"/>
      <c r="W21" s="190">
        <v>0.64500000000000002</v>
      </c>
      <c r="X21" s="193"/>
      <c r="Y21" s="190">
        <v>0.83899999999999997</v>
      </c>
      <c r="Z21" s="122">
        <f>_xll.qlSimpleQuoteSetValue(F21,Y21/100,Trigger)</f>
        <v>0</v>
      </c>
      <c r="AA21" s="158"/>
    </row>
    <row r="22" spans="1:29" x14ac:dyDescent="0.2">
      <c r="A22" s="76"/>
      <c r="B22" s="112"/>
      <c r="C22" s="112">
        <v>3</v>
      </c>
      <c r="D22" s="117" t="str">
        <f t="shared" si="8"/>
        <v>x15F</v>
      </c>
      <c r="E22" s="112" t="str">
        <f t="shared" si="0"/>
        <v>USD3x15F_Quote</v>
      </c>
      <c r="F22" s="91" t="str">
        <f>_xll.qlSimpleQuote(E22,,RateTickValue,Permanent,Trigger,ObjectOverwrite)</f>
        <v>USD3x15F_Quote#0000</v>
      </c>
      <c r="G22" s="214" t="str">
        <f>_xll.ohRangeRetrieveError(F22)</f>
        <v/>
      </c>
      <c r="H22" s="151"/>
      <c r="J22" s="136"/>
      <c r="K22" s="266">
        <f t="shared" si="9"/>
        <v>15</v>
      </c>
      <c r="L22" s="266">
        <f t="shared" si="1"/>
        <v>3</v>
      </c>
      <c r="M22" s="266" t="s">
        <v>174</v>
      </c>
      <c r="N22" s="119" t="str">
        <f t="shared" si="2"/>
        <v>USD3X15F</v>
      </c>
      <c r="O22" s="119" t="str">
        <v>USD3X15F=GCMN</v>
      </c>
      <c r="P22" s="190">
        <v>0.90399999999999991</v>
      </c>
      <c r="Q22" s="190">
        <v>0.94399999999999995</v>
      </c>
      <c r="R22" s="190">
        <v>0.90399999999999991</v>
      </c>
      <c r="S22" s="190">
        <v>0.89900000000000002</v>
      </c>
      <c r="T22" s="120">
        <f t="shared" si="4"/>
        <v>0.92399999999999993</v>
      </c>
      <c r="U22" s="190">
        <f t="shared" si="5"/>
        <v>4.0000000000000036E-2</v>
      </c>
      <c r="V22" s="193"/>
      <c r="W22" s="190">
        <v>0.69700000000000006</v>
      </c>
      <c r="X22" s="193"/>
      <c r="Y22" s="190">
        <v>0.92399999999999993</v>
      </c>
      <c r="Z22" s="122">
        <f>_xll.qlSimpleQuoteSetValue(F22,Y22/100,Trigger)</f>
        <v>0</v>
      </c>
      <c r="AA22" s="158"/>
    </row>
    <row r="23" spans="1:29" x14ac:dyDescent="0.2">
      <c r="A23" s="76"/>
      <c r="B23" s="112"/>
      <c r="C23" s="112">
        <v>4</v>
      </c>
      <c r="D23" s="117" t="str">
        <f t="shared" si="8"/>
        <v>x16F</v>
      </c>
      <c r="E23" s="112" t="str">
        <f t="shared" si="0"/>
        <v>USD4x16F_Quote</v>
      </c>
      <c r="F23" s="91" t="str">
        <f>_xll.qlSimpleQuote(E23,,RateTickValue,Permanent,Trigger,ObjectOverwrite)</f>
        <v>USD4x16F_Quote#0000</v>
      </c>
      <c r="G23" s="214" t="str">
        <f>_xll.ohRangeRetrieveError(F23)</f>
        <v/>
      </c>
      <c r="H23" s="151"/>
      <c r="J23" s="136"/>
      <c r="K23" s="266">
        <f t="shared" si="9"/>
        <v>16</v>
      </c>
      <c r="L23" s="266">
        <f t="shared" si="1"/>
        <v>4</v>
      </c>
      <c r="M23" s="266" t="s">
        <v>174</v>
      </c>
      <c r="N23" s="119" t="str">
        <f t="shared" si="2"/>
        <v>USD4X16F</v>
      </c>
      <c r="O23" s="119" t="str">
        <v>USD4X16F=GCMN</v>
      </c>
      <c r="P23" s="190">
        <v>0.97200000000000009</v>
      </c>
      <c r="Q23" s="190">
        <v>1.012</v>
      </c>
      <c r="R23" s="190">
        <v>0.97200000000000009</v>
      </c>
      <c r="S23" s="190">
        <v>0.96699999999999997</v>
      </c>
      <c r="T23" s="120">
        <f t="shared" si="4"/>
        <v>0.99199999999999999</v>
      </c>
      <c r="U23" s="190">
        <f t="shared" si="5"/>
        <v>3.9999999999999925E-2</v>
      </c>
      <c r="V23" s="193"/>
      <c r="W23" s="190">
        <v>0.755</v>
      </c>
      <c r="X23" s="193"/>
      <c r="Y23" s="190">
        <v>0.99199999999999999</v>
      </c>
      <c r="Z23" s="122">
        <f>_xll.qlSimpleQuoteSetValue(F23,Y23/100,Trigger)</f>
        <v>0</v>
      </c>
      <c r="AA23" s="158"/>
    </row>
    <row r="24" spans="1:29" x14ac:dyDescent="0.2">
      <c r="A24" s="76"/>
      <c r="B24" s="112"/>
      <c r="C24" s="112">
        <v>5</v>
      </c>
      <c r="D24" s="117" t="str">
        <f t="shared" si="8"/>
        <v>x17F</v>
      </c>
      <c r="E24" s="112" t="str">
        <f t="shared" si="0"/>
        <v>USD5x17F_Quote</v>
      </c>
      <c r="F24" s="91" t="str">
        <f>_xll.qlSimpleQuote(E24,,RateTickValue,Permanent,Trigger,ObjectOverwrite)</f>
        <v>USD5x17F_Quote#0000</v>
      </c>
      <c r="G24" s="214" t="str">
        <f>_xll.ohRangeRetrieveError(F24)</f>
        <v/>
      </c>
      <c r="H24" s="151"/>
      <c r="J24" s="136"/>
      <c r="K24" s="266">
        <f t="shared" si="9"/>
        <v>17</v>
      </c>
      <c r="L24" s="266">
        <f t="shared" si="1"/>
        <v>5</v>
      </c>
      <c r="M24" s="266" t="s">
        <v>174</v>
      </c>
      <c r="N24" s="119" t="str">
        <f t="shared" si="2"/>
        <v>USD5X17F</v>
      </c>
      <c r="O24" s="119" t="str">
        <v>USD5X17F=GCMN</v>
      </c>
      <c r="P24" s="190">
        <v>1.0409999999999999</v>
      </c>
      <c r="Q24" s="190">
        <v>1.081</v>
      </c>
      <c r="R24" s="190">
        <v>1.0409999999999999</v>
      </c>
      <c r="S24" s="190">
        <v>1.036</v>
      </c>
      <c r="T24" s="120">
        <f t="shared" si="4"/>
        <v>1.0609999999999999</v>
      </c>
      <c r="U24" s="190">
        <f t="shared" si="5"/>
        <v>4.0000000000000036E-2</v>
      </c>
      <c r="V24" s="193"/>
      <c r="W24" s="190">
        <v>0.80899999999999994</v>
      </c>
      <c r="X24" s="193"/>
      <c r="Y24" s="190">
        <v>1.0609999999999999</v>
      </c>
      <c r="Z24" s="122">
        <f>_xll.qlSimpleQuoteSetValue(F24,Y24/100,Trigger)</f>
        <v>0</v>
      </c>
      <c r="AA24" s="158"/>
    </row>
    <row r="25" spans="1:29" x14ac:dyDescent="0.2">
      <c r="A25" s="76"/>
      <c r="B25" s="112"/>
      <c r="C25" s="112">
        <v>6</v>
      </c>
      <c r="D25" s="117" t="str">
        <f t="shared" si="8"/>
        <v>x18F</v>
      </c>
      <c r="E25" s="112" t="str">
        <f t="shared" si="0"/>
        <v>USD6x18F_Quote</v>
      </c>
      <c r="F25" s="91" t="str">
        <f>_xll.qlSimpleQuote(E25,,RateTickValue,Permanent,Trigger,ObjectOverwrite)</f>
        <v>USD6x18F_Quote#0000</v>
      </c>
      <c r="G25" s="214" t="str">
        <f>_xll.ohRangeRetrieveError(F25)</f>
        <v/>
      </c>
      <c r="H25" s="151"/>
      <c r="J25" s="136"/>
      <c r="K25" s="266">
        <f t="shared" si="9"/>
        <v>18</v>
      </c>
      <c r="L25" s="266">
        <f t="shared" si="1"/>
        <v>6</v>
      </c>
      <c r="M25" s="266" t="s">
        <v>174</v>
      </c>
      <c r="N25" s="119" t="str">
        <f t="shared" si="2"/>
        <v>USD6X18F</v>
      </c>
      <c r="O25" s="119" t="str">
        <v>USD6X18F=GCMN</v>
      </c>
      <c r="P25" s="190">
        <v>1.115</v>
      </c>
      <c r="Q25" s="190">
        <v>1.155</v>
      </c>
      <c r="R25" s="190">
        <v>1.115</v>
      </c>
      <c r="S25" s="190">
        <v>1.1060000000000001</v>
      </c>
      <c r="T25" s="120">
        <f t="shared" si="4"/>
        <v>1.135</v>
      </c>
      <c r="U25" s="190">
        <f t="shared" si="5"/>
        <v>4.0000000000000036E-2</v>
      </c>
      <c r="V25" s="193"/>
      <c r="W25" s="190">
        <v>0.874</v>
      </c>
      <c r="X25" s="193"/>
      <c r="Y25" s="190">
        <v>1.135</v>
      </c>
      <c r="Z25" s="122">
        <f>_xll.qlSimpleQuoteSetValue(F25,Y25/100,Trigger)</f>
        <v>0</v>
      </c>
      <c r="AA25" s="158"/>
    </row>
    <row r="26" spans="1:29" x14ac:dyDescent="0.2">
      <c r="A26" s="76"/>
      <c r="B26" s="112"/>
      <c r="C26" s="112">
        <v>7</v>
      </c>
      <c r="D26" s="117" t="str">
        <f t="shared" si="8"/>
        <v>x19F</v>
      </c>
      <c r="E26" s="112" t="str">
        <f t="shared" si="0"/>
        <v>USD7x19F_Quote</v>
      </c>
      <c r="F26" s="91" t="str">
        <f>_xll.qlSimpleQuote(E26,,RateTickValue,Permanent,Trigger,ObjectOverwrite)</f>
        <v>USD7x19F_Quote#0000</v>
      </c>
      <c r="G26" s="214" t="str">
        <f>_xll.ohRangeRetrieveError(F26)</f>
        <v/>
      </c>
      <c r="H26" s="151"/>
      <c r="J26" s="136"/>
      <c r="K26" s="266">
        <f t="shared" si="9"/>
        <v>19</v>
      </c>
      <c r="L26" s="266">
        <f t="shared" si="1"/>
        <v>7</v>
      </c>
      <c r="M26" s="266" t="s">
        <v>174</v>
      </c>
      <c r="N26" s="119" t="str">
        <f t="shared" si="2"/>
        <v>USD7X19F</v>
      </c>
      <c r="O26" s="119" t="str">
        <v>USD7X19F=GCMN</v>
      </c>
      <c r="P26" s="190" t="s">
        <v>163</v>
      </c>
      <c r="Q26" s="190" t="s">
        <v>163</v>
      </c>
      <c r="R26" s="190" t="s">
        <v>163</v>
      </c>
      <c r="S26" s="190" t="s">
        <v>163</v>
      </c>
      <c r="T26" s="120" t="e">
        <f t="shared" si="4"/>
        <v>#NUM!</v>
      </c>
      <c r="U26" s="190" t="e">
        <f t="shared" si="5"/>
        <v>#VALUE!</v>
      </c>
      <c r="V26" s="193"/>
      <c r="W26" s="190" t="e">
        <v>#NUM!</v>
      </c>
      <c r="X26" s="193"/>
      <c r="Y26" s="190" t="e">
        <v>#NUM!</v>
      </c>
      <c r="Z26" s="122">
        <f>_xll.qlSimpleQuoteSetValue(F26,Y26/100,Trigger)</f>
        <v>0</v>
      </c>
      <c r="AA26" s="158"/>
    </row>
    <row r="27" spans="1:29" x14ac:dyDescent="0.2">
      <c r="A27" s="76"/>
      <c r="B27" s="112"/>
      <c r="C27" s="112">
        <v>8</v>
      </c>
      <c r="D27" s="117" t="str">
        <f t="shared" si="8"/>
        <v>x20F</v>
      </c>
      <c r="E27" s="112" t="str">
        <f t="shared" si="0"/>
        <v>USD8x20F_Quote</v>
      </c>
      <c r="F27" s="91" t="str">
        <f>_xll.qlSimpleQuote(E27,,RateTickValue,Permanent,Trigger,ObjectOverwrite)</f>
        <v>USD8x20F_Quote#0000</v>
      </c>
      <c r="G27" s="214" t="str">
        <f>_xll.ohRangeRetrieveError(F27)</f>
        <v/>
      </c>
      <c r="H27" s="151"/>
      <c r="J27" s="136"/>
      <c r="K27" s="266">
        <f t="shared" si="9"/>
        <v>20</v>
      </c>
      <c r="L27" s="266">
        <f t="shared" si="1"/>
        <v>8</v>
      </c>
      <c r="M27" s="266" t="s">
        <v>174</v>
      </c>
      <c r="N27" s="119" t="str">
        <f t="shared" si="2"/>
        <v>USD8X20F</v>
      </c>
      <c r="O27" s="119" t="str">
        <v>USD8X20F=GCMN</v>
      </c>
      <c r="P27" s="190" t="s">
        <v>163</v>
      </c>
      <c r="Q27" s="190" t="s">
        <v>163</v>
      </c>
      <c r="R27" s="190" t="s">
        <v>163</v>
      </c>
      <c r="S27" s="190" t="s">
        <v>163</v>
      </c>
      <c r="T27" s="120" t="e">
        <f t="shared" si="4"/>
        <v>#NUM!</v>
      </c>
      <c r="U27" s="190" t="e">
        <f t="shared" si="5"/>
        <v>#VALUE!</v>
      </c>
      <c r="V27" s="193"/>
      <c r="W27" s="190" t="e">
        <v>#NUM!</v>
      </c>
      <c r="X27" s="193"/>
      <c r="Y27" s="190" t="e">
        <v>#NUM!</v>
      </c>
      <c r="Z27" s="122">
        <f>_xll.qlSimpleQuoteSetValue(F27,Y27/100,Trigger)</f>
        <v>0</v>
      </c>
      <c r="AA27" s="158"/>
    </row>
    <row r="28" spans="1:29" x14ac:dyDescent="0.2">
      <c r="A28" s="76"/>
      <c r="B28" s="112"/>
      <c r="C28" s="112">
        <v>9</v>
      </c>
      <c r="D28" s="117" t="str">
        <f t="shared" si="8"/>
        <v>x21F</v>
      </c>
      <c r="E28" s="112" t="str">
        <f t="shared" si="0"/>
        <v>USD9x21F_Quote</v>
      </c>
      <c r="F28" s="91" t="str">
        <f>_xll.qlSimpleQuote(E28,,RateTickValue,Permanent,Trigger,ObjectOverwrite)</f>
        <v>USD9x21F_Quote#0000</v>
      </c>
      <c r="G28" s="214" t="str">
        <f>_xll.ohRangeRetrieveError(F28)</f>
        <v/>
      </c>
      <c r="H28" s="151"/>
      <c r="J28" s="136"/>
      <c r="K28" s="266">
        <f t="shared" si="9"/>
        <v>21</v>
      </c>
      <c r="L28" s="266">
        <f t="shared" si="1"/>
        <v>9</v>
      </c>
      <c r="M28" s="266" t="s">
        <v>174</v>
      </c>
      <c r="N28" s="119" t="str">
        <f t="shared" si="2"/>
        <v>USD9X21F</v>
      </c>
      <c r="O28" s="119" t="str">
        <v>USD9X21F=GCMN</v>
      </c>
      <c r="P28" s="190">
        <v>1.3260000000000001</v>
      </c>
      <c r="Q28" s="190">
        <v>1.3660000000000001</v>
      </c>
      <c r="R28" s="190">
        <v>1.3260000000000001</v>
      </c>
      <c r="S28" s="190">
        <v>1.3160000000000001</v>
      </c>
      <c r="T28" s="120">
        <f t="shared" si="4"/>
        <v>1.3460000000000001</v>
      </c>
      <c r="U28" s="190">
        <f t="shared" si="5"/>
        <v>4.0000000000000036E-2</v>
      </c>
      <c r="V28" s="193"/>
      <c r="W28" s="190">
        <v>1.0960000000000001</v>
      </c>
      <c r="X28" s="193"/>
      <c r="Y28" s="190">
        <v>1.3460000000000001</v>
      </c>
      <c r="Z28" s="122">
        <f>_xll.qlSimpleQuoteSetValue(F28,Y28/100,Trigger)</f>
        <v>0</v>
      </c>
      <c r="AA28" s="158"/>
    </row>
    <row r="29" spans="1:29" x14ac:dyDescent="0.2">
      <c r="A29" s="76"/>
      <c r="B29" s="112"/>
      <c r="C29" s="112">
        <v>10</v>
      </c>
      <c r="D29" s="117" t="str">
        <f t="shared" si="8"/>
        <v>x22F</v>
      </c>
      <c r="E29" s="112" t="str">
        <f t="shared" si="0"/>
        <v>USD10x22F_Quote</v>
      </c>
      <c r="F29" s="91" t="str">
        <f>_xll.qlSimpleQuote(E29,,RateTickValue,Permanent,Trigger,ObjectOverwrite)</f>
        <v>USD10x22F_Quote#0000</v>
      </c>
      <c r="G29" s="214" t="str">
        <f>_xll.ohRangeRetrieveError(F29)</f>
        <v/>
      </c>
      <c r="H29" s="151"/>
      <c r="J29" s="136"/>
      <c r="K29" s="266">
        <f t="shared" si="9"/>
        <v>22</v>
      </c>
      <c r="L29" s="266">
        <f t="shared" si="1"/>
        <v>10</v>
      </c>
      <c r="M29" s="266" t="s">
        <v>174</v>
      </c>
      <c r="N29" s="119" t="str">
        <f t="shared" si="2"/>
        <v>USD10X22F</v>
      </c>
      <c r="O29" s="119" t="str">
        <v>USD10X22F=GCMN</v>
      </c>
      <c r="P29" s="190" t="s">
        <v>163</v>
      </c>
      <c r="Q29" s="190" t="s">
        <v>163</v>
      </c>
      <c r="R29" s="190" t="s">
        <v>163</v>
      </c>
      <c r="S29" s="190" t="s">
        <v>163</v>
      </c>
      <c r="T29" s="120" t="e">
        <f t="shared" si="4"/>
        <v>#NUM!</v>
      </c>
      <c r="U29" s="190" t="e">
        <f t="shared" si="5"/>
        <v>#VALUE!</v>
      </c>
      <c r="V29" s="193"/>
      <c r="W29" s="190" t="e">
        <v>#NUM!</v>
      </c>
      <c r="X29" s="193"/>
      <c r="Y29" s="190" t="e">
        <v>#NUM!</v>
      </c>
      <c r="Z29" s="122">
        <f>_xll.qlSimpleQuoteSetValue(F29,Y29/100,Trigger)</f>
        <v>0</v>
      </c>
      <c r="AA29" s="158"/>
    </row>
    <row r="30" spans="1:29" x14ac:dyDescent="0.2">
      <c r="A30" s="76"/>
      <c r="B30" s="112"/>
      <c r="C30" s="112">
        <v>11</v>
      </c>
      <c r="D30" s="117" t="str">
        <f t="shared" si="8"/>
        <v>x23F</v>
      </c>
      <c r="E30" s="112" t="str">
        <f t="shared" si="0"/>
        <v>USD11x23F_Quote</v>
      </c>
      <c r="F30" s="91" t="str">
        <f>_xll.qlSimpleQuote(E30,,RateTickValue,Permanent,Trigger,ObjectOverwrite)</f>
        <v>USD11x23F_Quote#0000</v>
      </c>
      <c r="G30" s="214" t="str">
        <f>_xll.ohRangeRetrieveError(F30)</f>
        <v/>
      </c>
      <c r="H30" s="151"/>
      <c r="J30" s="136"/>
      <c r="K30" s="266">
        <f t="shared" si="9"/>
        <v>23</v>
      </c>
      <c r="L30" s="266">
        <f t="shared" si="1"/>
        <v>11</v>
      </c>
      <c r="M30" s="266" t="s">
        <v>174</v>
      </c>
      <c r="N30" s="119" t="str">
        <f t="shared" si="2"/>
        <v>USD11X23F</v>
      </c>
      <c r="O30" s="119" t="str">
        <v>USD11X23F=GCMN</v>
      </c>
      <c r="P30" s="190" t="s">
        <v>163</v>
      </c>
      <c r="Q30" s="190" t="s">
        <v>163</v>
      </c>
      <c r="R30" s="190" t="s">
        <v>163</v>
      </c>
      <c r="S30" s="190" t="s">
        <v>163</v>
      </c>
      <c r="T30" s="120" t="e">
        <f t="shared" si="4"/>
        <v>#NUM!</v>
      </c>
      <c r="U30" s="190" t="e">
        <f t="shared" si="5"/>
        <v>#VALUE!</v>
      </c>
      <c r="V30" s="193"/>
      <c r="W30" s="190" t="e">
        <v>#NUM!</v>
      </c>
      <c r="X30" s="193"/>
      <c r="Y30" s="190" t="e">
        <v>#NUM!</v>
      </c>
      <c r="Z30" s="122">
        <f>_xll.qlSimpleQuoteSetValue(F30,Y30/100,Trigger)</f>
        <v>0</v>
      </c>
      <c r="AA30" s="158"/>
    </row>
    <row r="31" spans="1:29" x14ac:dyDescent="0.2">
      <c r="A31" s="76"/>
      <c r="B31" s="114"/>
      <c r="C31" s="114">
        <v>12</v>
      </c>
      <c r="D31" s="118" t="str">
        <f t="shared" si="8"/>
        <v>x24F</v>
      </c>
      <c r="E31" s="114" t="str">
        <f t="shared" si="0"/>
        <v>USD12x24F_Quote</v>
      </c>
      <c r="F31" s="92" t="str">
        <f>_xll.qlSimpleQuote(E31,,RateTickValue,Permanent,Trigger,ObjectOverwrite)</f>
        <v>USD12x24F_Quote#0000</v>
      </c>
      <c r="G31" s="215" t="str">
        <f>_xll.ohRangeRetrieveError(F31)</f>
        <v/>
      </c>
      <c r="H31" s="152"/>
      <c r="I31" s="202"/>
      <c r="J31" s="136"/>
      <c r="K31" s="270">
        <f t="shared" si="9"/>
        <v>24</v>
      </c>
      <c r="L31" s="270">
        <f t="shared" si="1"/>
        <v>12</v>
      </c>
      <c r="M31" s="270" t="s">
        <v>174</v>
      </c>
      <c r="N31" s="123" t="str">
        <f t="shared" si="2"/>
        <v>USD12X24F</v>
      </c>
      <c r="O31" s="123" t="str">
        <v>USD12X24F=GCMN</v>
      </c>
      <c r="P31" s="192">
        <v>1.5309999999999999</v>
      </c>
      <c r="Q31" s="192">
        <v>1.571</v>
      </c>
      <c r="R31" s="192">
        <v>1.5309999999999999</v>
      </c>
      <c r="S31" s="192">
        <v>1.5209999999999999</v>
      </c>
      <c r="T31" s="127">
        <f t="shared" si="4"/>
        <v>1.5509999999999999</v>
      </c>
      <c r="U31" s="192">
        <f t="shared" si="5"/>
        <v>4.0000000000000036E-2</v>
      </c>
      <c r="V31" s="193"/>
      <c r="W31" s="192">
        <v>1.337</v>
      </c>
      <c r="X31" s="193"/>
      <c r="Y31" s="192">
        <v>1.5509999999999999</v>
      </c>
      <c r="Z31" s="124">
        <f>_xll.qlSimpleQuoteSetValue(F31,Y31/100,Trigger)</f>
        <v>0</v>
      </c>
      <c r="AA31" s="158"/>
    </row>
    <row r="32" spans="1:29" x14ac:dyDescent="0.2">
      <c r="A32" s="140"/>
      <c r="B32" s="141"/>
      <c r="C32" s="141"/>
      <c r="D32" s="141"/>
      <c r="E32" s="141"/>
      <c r="F32" s="141"/>
      <c r="G32" s="153"/>
      <c r="H32" s="154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2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9" hidden="1" customWidth="1" outlineLevel="1"/>
    <col min="3" max="4" width="4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9" customWidth="1"/>
    <col min="12" max="13" width="4" style="199" bestFit="1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7" x14ac:dyDescent="0.2">
      <c r="A1" s="143"/>
      <c r="B1" s="134"/>
      <c r="C1" s="134"/>
      <c r="D1" s="134"/>
      <c r="E1" s="134"/>
      <c r="F1" s="148"/>
      <c r="G1" s="134"/>
      <c r="H1" s="135"/>
      <c r="J1" s="168" t="s">
        <v>131</v>
      </c>
      <c r="K1" s="249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27" x14ac:dyDescent="0.2">
      <c r="A2" s="136"/>
      <c r="B2" s="137"/>
      <c r="C2" s="137"/>
      <c r="D2" s="137"/>
      <c r="E2" s="137"/>
      <c r="F2" s="150"/>
      <c r="G2" s="137"/>
      <c r="H2" s="138"/>
      <c r="J2" s="170"/>
      <c r="K2" s="7"/>
      <c r="L2" s="7"/>
      <c r="M2" s="7"/>
      <c r="N2" s="7"/>
      <c r="O2" s="243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89</v>
      </c>
      <c r="AA2" s="171"/>
    </row>
    <row r="3" spans="1:27" x14ac:dyDescent="0.2">
      <c r="A3" s="139"/>
      <c r="B3" s="160"/>
      <c r="C3" s="7"/>
      <c r="D3" s="7"/>
      <c r="E3" s="137"/>
      <c r="F3" s="150"/>
      <c r="G3" s="137"/>
      <c r="H3" s="171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76"/>
      <c r="K4" s="250"/>
      <c r="L4" s="251"/>
      <c r="M4" s="177"/>
      <c r="N4" s="177" t="s">
        <v>282</v>
      </c>
      <c r="O4" s="178" t="str">
        <f>_xll.RData(O5:O58,P4:S4,"RTFEED:IDN",ReutersRtMode,,P5)</f>
        <v>Paused at 11:15:03</v>
      </c>
      <c r="P4" s="179" t="s">
        <v>158</v>
      </c>
      <c r="Q4" s="179" t="s">
        <v>157</v>
      </c>
      <c r="R4" s="179" t="s">
        <v>168</v>
      </c>
      <c r="S4" s="179" t="s">
        <v>176</v>
      </c>
      <c r="T4" s="180" t="s">
        <v>183</v>
      </c>
      <c r="U4" s="88" t="s">
        <v>281</v>
      </c>
      <c r="V4" s="56"/>
      <c r="W4" s="87" t="s">
        <v>173</v>
      </c>
      <c r="X4" s="56"/>
      <c r="Y4" s="103" t="s">
        <v>172</v>
      </c>
      <c r="Z4" s="103" t="s">
        <v>171</v>
      </c>
      <c r="AA4" s="77"/>
    </row>
    <row r="5" spans="1:27" x14ac:dyDescent="0.2">
      <c r="A5" s="76"/>
      <c r="B5" s="90"/>
      <c r="C5" s="90" t="s">
        <v>131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USDOISSW_Quote#0000</v>
      </c>
      <c r="G5" s="214" t="str">
        <f>_xll.ohRangeRetrieveError(F5)</f>
        <v/>
      </c>
      <c r="H5" s="171"/>
      <c r="J5" s="76"/>
      <c r="K5" s="78"/>
      <c r="L5" s="252" t="s">
        <v>22</v>
      </c>
      <c r="M5" s="181" t="s">
        <v>131</v>
      </c>
      <c r="N5" s="182" t="str">
        <f t="shared" ref="N5:N36" si="1">Currency&amp;$L5&amp;$M5</f>
        <v>USDSWOIS</v>
      </c>
      <c r="O5" s="182" t="str">
        <f t="array" ref="O5:O58">Instruments&amp;"="&amp;VLOOKUP(Contributor,ContributorTable,2,FALSE)</f>
        <v>USDSWOIS=TTKL</v>
      </c>
      <c r="P5" s="84">
        <v>0.11399999999999999</v>
      </c>
      <c r="Q5" s="84">
        <v>0.14399999999999999</v>
      </c>
      <c r="R5" s="84">
        <v>0</v>
      </c>
      <c r="S5" s="84">
        <v>0</v>
      </c>
      <c r="T5" s="84">
        <f>IF(ISERROR(AVERAGE(P5,Q5)),#NUM!,AVERAGE(P5,Q5))</f>
        <v>0.129</v>
      </c>
      <c r="U5" s="85">
        <f>Q5-P5</f>
        <v>0.03</v>
      </c>
      <c r="V5" s="195"/>
      <c r="W5" s="196">
        <v>8.5999999999999993E-2</v>
      </c>
      <c r="X5" s="195"/>
      <c r="Y5" s="84">
        <f t="array" ref="Y5:Y58">QuoteLive</f>
        <v>0.129</v>
      </c>
      <c r="Z5" s="187">
        <f>_xll.qlSimpleQuoteSetValue(F5,Y5/100,Trigger)</f>
        <v>0</v>
      </c>
      <c r="AA5" s="77"/>
    </row>
    <row r="6" spans="1:27" x14ac:dyDescent="0.2">
      <c r="A6" s="76"/>
      <c r="B6" s="91"/>
      <c r="C6" s="91" t="s">
        <v>131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USDOIS2W_Quote#0000</v>
      </c>
      <c r="G6" s="214" t="str">
        <f>_xll.ohRangeRetrieveError(F6)</f>
        <v/>
      </c>
      <c r="H6" s="171"/>
      <c r="J6" s="76"/>
      <c r="K6" s="79"/>
      <c r="L6" s="253" t="s">
        <v>21</v>
      </c>
      <c r="M6" s="183" t="s">
        <v>131</v>
      </c>
      <c r="N6" s="184" t="str">
        <f t="shared" si="1"/>
        <v>USD2WOIS</v>
      </c>
      <c r="O6" s="184" t="str">
        <v>USD2WOIS=TTKL</v>
      </c>
      <c r="P6" s="85">
        <v>0.10800000000000001</v>
      </c>
      <c r="Q6" s="85">
        <v>0.13799999999999998</v>
      </c>
      <c r="R6" s="85">
        <v>0</v>
      </c>
      <c r="S6" s="85">
        <v>0</v>
      </c>
      <c r="T6" s="85">
        <f t="shared" ref="T6:T58" si="3">IF(ISERROR(AVERAGE(P6,Q6)),#NUM!,AVERAGE(P6,Q6))</f>
        <v>0.123</v>
      </c>
      <c r="U6" s="85">
        <f t="shared" ref="U6:U58" si="4">Q6-P6</f>
        <v>2.9999999999999971E-2</v>
      </c>
      <c r="V6" s="195"/>
      <c r="W6" s="197">
        <v>8.5999999999999993E-2</v>
      </c>
      <c r="X6" s="195"/>
      <c r="Y6" s="85">
        <v>0.123</v>
      </c>
      <c r="Z6" s="188">
        <f>_xll.qlSimpleQuoteSetValue(F6,Y6/100,Trigger)</f>
        <v>0</v>
      </c>
      <c r="AA6" s="77"/>
    </row>
    <row r="7" spans="1:27" x14ac:dyDescent="0.2">
      <c r="A7" s="76"/>
      <c r="B7" s="91"/>
      <c r="C7" s="91" t="s">
        <v>131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USDOIS3W_Quote#0000</v>
      </c>
      <c r="G7" s="214" t="str">
        <f>_xll.ohRangeRetrieveError(F7)</f>
        <v/>
      </c>
      <c r="H7" s="171"/>
      <c r="J7" s="76"/>
      <c r="K7" s="79"/>
      <c r="L7" s="253" t="s">
        <v>20</v>
      </c>
      <c r="M7" s="183" t="s">
        <v>131</v>
      </c>
      <c r="N7" s="184" t="str">
        <f t="shared" si="1"/>
        <v>USD3WOIS</v>
      </c>
      <c r="O7" s="184" t="str">
        <v>USD3WOIS=TTKL</v>
      </c>
      <c r="P7" s="85">
        <v>0.10500000000000001</v>
      </c>
      <c r="Q7" s="85">
        <v>0.13500000000000001</v>
      </c>
      <c r="R7" s="85">
        <v>0</v>
      </c>
      <c r="S7" s="85">
        <v>0</v>
      </c>
      <c r="T7" s="85">
        <f t="shared" si="3"/>
        <v>0.12000000000000001</v>
      </c>
      <c r="U7" s="85">
        <f t="shared" si="4"/>
        <v>0.03</v>
      </c>
      <c r="V7" s="195"/>
      <c r="W7" s="197">
        <v>8.5000000000000006E-2</v>
      </c>
      <c r="X7" s="195"/>
      <c r="Y7" s="85">
        <v>0.12000000000000001</v>
      </c>
      <c r="Z7" s="188">
        <f>_xll.qlSimpleQuoteSetValue(F7,Y7/100,Trigger)</f>
        <v>0</v>
      </c>
      <c r="AA7" s="77"/>
    </row>
    <row r="8" spans="1:27" x14ac:dyDescent="0.2">
      <c r="A8" s="76"/>
      <c r="B8" s="91"/>
      <c r="C8" s="91" t="s">
        <v>131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USDOIS1M_Quote#0000</v>
      </c>
      <c r="G8" s="214" t="str">
        <f>_xll.ohRangeRetrieveError(F8)</f>
        <v/>
      </c>
      <c r="H8" s="171"/>
      <c r="J8" s="76"/>
      <c r="K8" s="79"/>
      <c r="L8" s="253" t="s">
        <v>19</v>
      </c>
      <c r="M8" s="183" t="s">
        <v>131</v>
      </c>
      <c r="N8" s="184" t="str">
        <f t="shared" si="1"/>
        <v>USD1MOIS</v>
      </c>
      <c r="O8" s="184" t="str">
        <v>USD1MOIS=TTKL</v>
      </c>
      <c r="P8" s="85">
        <v>0.10500000000000001</v>
      </c>
      <c r="Q8" s="85">
        <v>0.13500000000000001</v>
      </c>
      <c r="R8" s="85">
        <v>0</v>
      </c>
      <c r="S8" s="85">
        <v>0</v>
      </c>
      <c r="T8" s="85">
        <f t="shared" si="3"/>
        <v>0.12000000000000001</v>
      </c>
      <c r="U8" s="85">
        <f t="shared" si="4"/>
        <v>0.03</v>
      </c>
      <c r="V8" s="195"/>
      <c r="W8" s="197">
        <v>8.5000000000000006E-2</v>
      </c>
      <c r="X8" s="195"/>
      <c r="Y8" s="85">
        <v>0.12000000000000001</v>
      </c>
      <c r="Z8" s="188">
        <f>_xll.qlSimpleQuoteSetValue(F8,Y8/100,Trigger)</f>
        <v>0</v>
      </c>
      <c r="AA8" s="77"/>
    </row>
    <row r="9" spans="1:27" x14ac:dyDescent="0.2">
      <c r="A9" s="76"/>
      <c r="B9" s="91"/>
      <c r="C9" s="91" t="s">
        <v>131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USDOIS2M_Quote#0000</v>
      </c>
      <c r="G9" s="214" t="str">
        <f>_xll.ohRangeRetrieveError(F9)</f>
        <v/>
      </c>
      <c r="H9" s="171"/>
      <c r="J9" s="76"/>
      <c r="K9" s="79"/>
      <c r="L9" s="253" t="s">
        <v>18</v>
      </c>
      <c r="M9" s="183" t="s">
        <v>131</v>
      </c>
      <c r="N9" s="184" t="str">
        <f t="shared" si="1"/>
        <v>USD2MOIS</v>
      </c>
      <c r="O9" s="184" t="str">
        <v>USD2MOIS=TTKL</v>
      </c>
      <c r="P9" s="85">
        <v>0.10800000000000001</v>
      </c>
      <c r="Q9" s="85">
        <v>0.13799999999999998</v>
      </c>
      <c r="R9" s="85">
        <v>0</v>
      </c>
      <c r="S9" s="85">
        <v>0</v>
      </c>
      <c r="T9" s="85">
        <f t="shared" si="3"/>
        <v>0.123</v>
      </c>
      <c r="U9" s="85">
        <f t="shared" si="4"/>
        <v>2.9999999999999971E-2</v>
      </c>
      <c r="V9" s="195"/>
      <c r="W9" s="197">
        <v>8.5000000000000006E-2</v>
      </c>
      <c r="X9" s="195"/>
      <c r="Y9" s="85">
        <v>0.123</v>
      </c>
      <c r="Z9" s="188">
        <f>_xll.qlSimpleQuoteSetValue(F9,Y9/100,Trigger)</f>
        <v>0</v>
      </c>
      <c r="AA9" s="77"/>
    </row>
    <row r="10" spans="1:27" x14ac:dyDescent="0.2">
      <c r="A10" s="76"/>
      <c r="B10" s="91"/>
      <c r="C10" s="91" t="s">
        <v>131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USDOIS3M_Quote#0000</v>
      </c>
      <c r="G10" s="214" t="str">
        <f>_xll.ohRangeRetrieveError(F10)</f>
        <v/>
      </c>
      <c r="H10" s="171"/>
      <c r="J10" s="76"/>
      <c r="K10" s="79"/>
      <c r="L10" s="253" t="s">
        <v>17</v>
      </c>
      <c r="M10" s="183" t="s">
        <v>131</v>
      </c>
      <c r="N10" s="184" t="str">
        <f t="shared" si="1"/>
        <v>USD3MOIS</v>
      </c>
      <c r="O10" s="184" t="str">
        <v>USD3MOIS=TTKL</v>
      </c>
      <c r="P10" s="85">
        <v>0.11100000000000002</v>
      </c>
      <c r="Q10" s="85">
        <v>0.14099999999999999</v>
      </c>
      <c r="R10" s="85">
        <v>0</v>
      </c>
      <c r="S10" s="85">
        <v>0</v>
      </c>
      <c r="T10" s="85">
        <f t="shared" si="3"/>
        <v>0.126</v>
      </c>
      <c r="U10" s="85">
        <f t="shared" si="4"/>
        <v>2.9999999999999971E-2</v>
      </c>
      <c r="V10" s="195"/>
      <c r="W10" s="197">
        <v>8.5000000000000006E-2</v>
      </c>
      <c r="X10" s="195"/>
      <c r="Y10" s="85">
        <v>0.126</v>
      </c>
      <c r="Z10" s="188">
        <f>_xll.qlSimpleQuoteSetValue(F10,Y10/100,Trigger)</f>
        <v>0</v>
      </c>
      <c r="AA10" s="77"/>
    </row>
    <row r="11" spans="1:27" x14ac:dyDescent="0.2">
      <c r="A11" s="76"/>
      <c r="B11" s="91"/>
      <c r="C11" s="91" t="s">
        <v>131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USDOIS4M_Quote#0000</v>
      </c>
      <c r="G11" s="214" t="str">
        <f>_xll.ohRangeRetrieveError(F11)</f>
        <v/>
      </c>
      <c r="H11" s="171"/>
      <c r="J11" s="76"/>
      <c r="K11" s="79"/>
      <c r="L11" s="253" t="s">
        <v>16</v>
      </c>
      <c r="M11" s="183" t="s">
        <v>131</v>
      </c>
      <c r="N11" s="184" t="str">
        <f t="shared" si="1"/>
        <v>USD4MOIS</v>
      </c>
      <c r="O11" s="184" t="str">
        <v>USD4MOIS=TTKL</v>
      </c>
      <c r="P11" s="85">
        <v>0.126</v>
      </c>
      <c r="Q11" s="85">
        <v>0.156</v>
      </c>
      <c r="R11" s="85">
        <v>0</v>
      </c>
      <c r="S11" s="85">
        <v>0</v>
      </c>
      <c r="T11" s="85">
        <f t="shared" si="3"/>
        <v>0.14100000000000001</v>
      </c>
      <c r="U11" s="85">
        <f t="shared" si="4"/>
        <v>0.03</v>
      </c>
      <c r="V11" s="195"/>
      <c r="W11" s="197">
        <v>8.5999999999999993E-2</v>
      </c>
      <c r="X11" s="195"/>
      <c r="Y11" s="85">
        <v>0.14100000000000001</v>
      </c>
      <c r="Z11" s="188">
        <f>_xll.qlSimpleQuoteSetValue(F11,Y11/100,Trigger)</f>
        <v>0</v>
      </c>
      <c r="AA11" s="77"/>
    </row>
    <row r="12" spans="1:27" x14ac:dyDescent="0.2">
      <c r="A12" s="76"/>
      <c r="B12" s="91"/>
      <c r="C12" s="91" t="s">
        <v>131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USDOIS5M_Quote#0000</v>
      </c>
      <c r="G12" s="214" t="str">
        <f>_xll.ohRangeRetrieveError(F12)</f>
        <v/>
      </c>
      <c r="H12" s="171"/>
      <c r="J12" s="76"/>
      <c r="K12" s="79"/>
      <c r="L12" s="253" t="s">
        <v>15</v>
      </c>
      <c r="M12" s="183" t="s">
        <v>131</v>
      </c>
      <c r="N12" s="184" t="str">
        <f t="shared" si="1"/>
        <v>USD5MOIS</v>
      </c>
      <c r="O12" s="184" t="str">
        <v>USD5MOIS=TTKL</v>
      </c>
      <c r="P12" s="85">
        <v>0.14499999999999999</v>
      </c>
      <c r="Q12" s="85">
        <v>0.17499999999999999</v>
      </c>
      <c r="R12" s="85">
        <v>0</v>
      </c>
      <c r="S12" s="85">
        <v>0</v>
      </c>
      <c r="T12" s="85">
        <f t="shared" si="3"/>
        <v>0.15999999999999998</v>
      </c>
      <c r="U12" s="85">
        <f t="shared" si="4"/>
        <v>0.03</v>
      </c>
      <c r="V12" s="195"/>
      <c r="W12" s="197">
        <v>8.6999999999999994E-2</v>
      </c>
      <c r="X12" s="195"/>
      <c r="Y12" s="85">
        <v>0.15999999999999998</v>
      </c>
      <c r="Z12" s="188">
        <f>_xll.qlSimpleQuoteSetValue(F12,Y12/100,Trigger)</f>
        <v>0</v>
      </c>
      <c r="AA12" s="77"/>
    </row>
    <row r="13" spans="1:27" x14ac:dyDescent="0.2">
      <c r="A13" s="76"/>
      <c r="B13" s="91"/>
      <c r="C13" s="91" t="s">
        <v>131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USDOIS6M_Quote#0000</v>
      </c>
      <c r="G13" s="214" t="str">
        <f>_xll.ohRangeRetrieveError(F13)</f>
        <v/>
      </c>
      <c r="H13" s="171"/>
      <c r="J13" s="76"/>
      <c r="K13" s="79"/>
      <c r="L13" s="253" t="s">
        <v>14</v>
      </c>
      <c r="M13" s="183" t="s">
        <v>131</v>
      </c>
      <c r="N13" s="184" t="str">
        <f t="shared" si="1"/>
        <v>USD6MOIS</v>
      </c>
      <c r="O13" s="184" t="str">
        <v>USD6MOIS=TTKL</v>
      </c>
      <c r="P13" s="85">
        <v>0.16200000000000001</v>
      </c>
      <c r="Q13" s="85">
        <v>0.192</v>
      </c>
      <c r="R13" s="85">
        <v>0</v>
      </c>
      <c r="S13" s="85">
        <v>0</v>
      </c>
      <c r="T13" s="85">
        <f t="shared" si="3"/>
        <v>0.17699999999999999</v>
      </c>
      <c r="U13" s="85">
        <f t="shared" si="4"/>
        <v>0.03</v>
      </c>
      <c r="V13" s="195"/>
      <c r="W13" s="197">
        <v>0.09</v>
      </c>
      <c r="X13" s="195"/>
      <c r="Y13" s="85">
        <v>0.17699999999999999</v>
      </c>
      <c r="Z13" s="188">
        <f>_xll.qlSimpleQuoteSetValue(F13,Y13/100,Trigger)</f>
        <v>0</v>
      </c>
      <c r="AA13" s="77"/>
    </row>
    <row r="14" spans="1:27" x14ac:dyDescent="0.2">
      <c r="A14" s="76"/>
      <c r="B14" s="91"/>
      <c r="C14" s="91" t="s">
        <v>131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USDOIS7M_Quote#0000</v>
      </c>
      <c r="G14" s="214" t="str">
        <f>_xll.ohRangeRetrieveError(F14)</f>
        <v/>
      </c>
      <c r="H14" s="171"/>
      <c r="J14" s="76"/>
      <c r="K14" s="79"/>
      <c r="L14" s="253" t="s">
        <v>13</v>
      </c>
      <c r="M14" s="183" t="s">
        <v>131</v>
      </c>
      <c r="N14" s="184" t="str">
        <f t="shared" si="1"/>
        <v>USD7MOIS</v>
      </c>
      <c r="O14" s="184" t="str">
        <v>USD7MOIS=TTKL</v>
      </c>
      <c r="P14" s="85">
        <v>0.187</v>
      </c>
      <c r="Q14" s="85">
        <v>0.217</v>
      </c>
      <c r="R14" s="85">
        <v>0</v>
      </c>
      <c r="S14" s="85">
        <v>0</v>
      </c>
      <c r="T14" s="85">
        <f t="shared" si="3"/>
        <v>0.20200000000000001</v>
      </c>
      <c r="U14" s="85">
        <f t="shared" si="4"/>
        <v>0.03</v>
      </c>
      <c r="V14" s="195"/>
      <c r="W14" s="197">
        <v>9.5000000000000001E-2</v>
      </c>
      <c r="X14" s="195"/>
      <c r="Y14" s="85">
        <v>0.20200000000000001</v>
      </c>
      <c r="Z14" s="188">
        <f>_xll.qlSimpleQuoteSetValue(F14,Y14/100,Trigger)</f>
        <v>0</v>
      </c>
      <c r="AA14" s="77"/>
    </row>
    <row r="15" spans="1:27" x14ac:dyDescent="0.2">
      <c r="A15" s="76"/>
      <c r="B15" s="91"/>
      <c r="C15" s="91" t="s">
        <v>131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USDOIS8M_Quote#0000</v>
      </c>
      <c r="G15" s="214" t="str">
        <f>_xll.ohRangeRetrieveError(F15)</f>
        <v/>
      </c>
      <c r="H15" s="171"/>
      <c r="J15" s="76"/>
      <c r="K15" s="79"/>
      <c r="L15" s="253" t="s">
        <v>12</v>
      </c>
      <c r="M15" s="183" t="s">
        <v>131</v>
      </c>
      <c r="N15" s="184" t="str">
        <f t="shared" si="1"/>
        <v>USD8MOIS</v>
      </c>
      <c r="O15" s="184" t="str">
        <v>USD8MOIS=TTKL</v>
      </c>
      <c r="P15" s="85">
        <v>0.21099999999999999</v>
      </c>
      <c r="Q15" s="85">
        <v>0.24100000000000002</v>
      </c>
      <c r="R15" s="85">
        <v>0</v>
      </c>
      <c r="S15" s="85">
        <v>0</v>
      </c>
      <c r="T15" s="85">
        <f t="shared" si="3"/>
        <v>0.22600000000000001</v>
      </c>
      <c r="U15" s="85">
        <f t="shared" si="4"/>
        <v>3.0000000000000027E-2</v>
      </c>
      <c r="V15" s="195"/>
      <c r="W15" s="197">
        <v>0.1</v>
      </c>
      <c r="X15" s="195"/>
      <c r="Y15" s="85">
        <v>0.22600000000000001</v>
      </c>
      <c r="Z15" s="188">
        <f>_xll.qlSimpleQuoteSetValue(F15,Y15/100,Trigger)</f>
        <v>0</v>
      </c>
      <c r="AA15" s="77"/>
    </row>
    <row r="16" spans="1:27" x14ac:dyDescent="0.2">
      <c r="A16" s="76"/>
      <c r="B16" s="91"/>
      <c r="C16" s="91" t="s">
        <v>131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USDOIS9M_Quote#0000</v>
      </c>
      <c r="G16" s="214" t="str">
        <f>_xll.ohRangeRetrieveError(F16)</f>
        <v/>
      </c>
      <c r="H16" s="171"/>
      <c r="J16" s="76"/>
      <c r="K16" s="79"/>
      <c r="L16" s="253" t="s">
        <v>11</v>
      </c>
      <c r="M16" s="183" t="s">
        <v>131</v>
      </c>
      <c r="N16" s="184" t="str">
        <f t="shared" si="1"/>
        <v>USD9MOIS</v>
      </c>
      <c r="O16" s="184" t="str">
        <v>USD9MOIS=TTKL</v>
      </c>
      <c r="P16" s="85">
        <v>0.23399999999999999</v>
      </c>
      <c r="Q16" s="85">
        <v>0.26400000000000001</v>
      </c>
      <c r="R16" s="85">
        <v>0</v>
      </c>
      <c r="S16" s="85">
        <v>0</v>
      </c>
      <c r="T16" s="85">
        <f t="shared" si="3"/>
        <v>0.249</v>
      </c>
      <c r="U16" s="85">
        <f t="shared" si="4"/>
        <v>3.0000000000000027E-2</v>
      </c>
      <c r="V16" s="195"/>
      <c r="W16" s="197">
        <v>0.113</v>
      </c>
      <c r="X16" s="195"/>
      <c r="Y16" s="85">
        <v>0.249</v>
      </c>
      <c r="Z16" s="188">
        <f>_xll.qlSimpleQuoteSetValue(F16,Y16/100,Trigger)</f>
        <v>0</v>
      </c>
      <c r="AA16" s="77"/>
    </row>
    <row r="17" spans="1:27" x14ac:dyDescent="0.2">
      <c r="A17" s="76"/>
      <c r="B17" s="91"/>
      <c r="C17" s="91" t="s">
        <v>131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USDOIS10M_Quote#0000</v>
      </c>
      <c r="G17" s="214" t="str">
        <f>_xll.ohRangeRetrieveError(F17)</f>
        <v/>
      </c>
      <c r="H17" s="171"/>
      <c r="J17" s="76"/>
      <c r="K17" s="79"/>
      <c r="L17" s="253" t="s">
        <v>10</v>
      </c>
      <c r="M17" s="183" t="s">
        <v>131</v>
      </c>
      <c r="N17" s="184" t="str">
        <f t="shared" si="1"/>
        <v>USD10MOIS</v>
      </c>
      <c r="O17" s="184" t="str">
        <v>USD10MOIS=TTKL</v>
      </c>
      <c r="P17" s="85">
        <v>0.26500000000000001</v>
      </c>
      <c r="Q17" s="85">
        <v>0.29500000000000004</v>
      </c>
      <c r="R17" s="85">
        <v>0</v>
      </c>
      <c r="S17" s="85">
        <v>0</v>
      </c>
      <c r="T17" s="85">
        <f t="shared" si="3"/>
        <v>0.28000000000000003</v>
      </c>
      <c r="U17" s="85">
        <f t="shared" si="4"/>
        <v>3.0000000000000027E-2</v>
      </c>
      <c r="V17" s="195"/>
      <c r="W17" s="197">
        <v>0.13</v>
      </c>
      <c r="X17" s="195"/>
      <c r="Y17" s="85">
        <v>0.28000000000000003</v>
      </c>
      <c r="Z17" s="188">
        <f>_xll.qlSimpleQuoteSetValue(F17,Y17/100,Trigger)</f>
        <v>0</v>
      </c>
      <c r="AA17" s="77"/>
    </row>
    <row r="18" spans="1:27" x14ac:dyDescent="0.2">
      <c r="A18" s="76"/>
      <c r="B18" s="91"/>
      <c r="C18" s="91" t="s">
        <v>131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USDOIS11M_Quote#0000</v>
      </c>
      <c r="G18" s="214" t="str">
        <f>_xll.ohRangeRetrieveError(F18)</f>
        <v/>
      </c>
      <c r="H18" s="171"/>
      <c r="J18" s="76"/>
      <c r="K18" s="79"/>
      <c r="L18" s="253" t="s">
        <v>9</v>
      </c>
      <c r="M18" s="183" t="s">
        <v>131</v>
      </c>
      <c r="N18" s="184" t="str">
        <f t="shared" si="1"/>
        <v>USD11MOIS</v>
      </c>
      <c r="O18" s="184" t="str">
        <v>USD11MOIS=TTKL</v>
      </c>
      <c r="P18" s="85">
        <v>0.29399999999999998</v>
      </c>
      <c r="Q18" s="85">
        <v>0.32400000000000001</v>
      </c>
      <c r="R18" s="85">
        <v>0</v>
      </c>
      <c r="S18" s="85">
        <v>0</v>
      </c>
      <c r="T18" s="85">
        <f t="shared" si="3"/>
        <v>0.309</v>
      </c>
      <c r="U18" s="85">
        <f t="shared" si="4"/>
        <v>3.0000000000000027E-2</v>
      </c>
      <c r="V18" s="195"/>
      <c r="W18" s="197">
        <v>0.14400000000000002</v>
      </c>
      <c r="X18" s="195"/>
      <c r="Y18" s="85">
        <v>0.309</v>
      </c>
      <c r="Z18" s="188">
        <f>_xll.qlSimpleQuoteSetValue(F18,Y18/100,Trigger)</f>
        <v>0</v>
      </c>
      <c r="AA18" s="77"/>
    </row>
    <row r="19" spans="1:27" x14ac:dyDescent="0.2">
      <c r="A19" s="76"/>
      <c r="B19" s="91"/>
      <c r="C19" s="91" t="s">
        <v>131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USDOIS1Y_Quote#0000</v>
      </c>
      <c r="G19" s="214" t="str">
        <f>_xll.ohRangeRetrieveError(F19)</f>
        <v/>
      </c>
      <c r="H19" s="171"/>
      <c r="J19" s="76"/>
      <c r="K19" s="79"/>
      <c r="L19" s="253" t="s">
        <v>8</v>
      </c>
      <c r="M19" s="183" t="s">
        <v>131</v>
      </c>
      <c r="N19" s="184" t="str">
        <f t="shared" si="1"/>
        <v>USD1YOIS</v>
      </c>
      <c r="O19" s="184" t="str">
        <v>USD1YOIS=TTKL</v>
      </c>
      <c r="P19" s="85">
        <v>0.32200000000000001</v>
      </c>
      <c r="Q19" s="85">
        <v>0.35199999999999998</v>
      </c>
      <c r="R19" s="85">
        <v>0</v>
      </c>
      <c r="S19" s="85">
        <v>0</v>
      </c>
      <c r="T19" s="85">
        <f t="shared" si="3"/>
        <v>0.33699999999999997</v>
      </c>
      <c r="U19" s="85">
        <f t="shared" si="4"/>
        <v>2.9999999999999971E-2</v>
      </c>
      <c r="V19" s="195"/>
      <c r="W19" s="197">
        <v>0.16499999999999998</v>
      </c>
      <c r="X19" s="195"/>
      <c r="Y19" s="85">
        <v>0.33699999999999997</v>
      </c>
      <c r="Z19" s="188">
        <f>_xll.qlSimpleQuoteSetValue(F19,Y19/100,Trigger)</f>
        <v>0</v>
      </c>
      <c r="AA19" s="77"/>
    </row>
    <row r="20" spans="1:27" x14ac:dyDescent="0.2">
      <c r="A20" s="76"/>
      <c r="B20" s="91"/>
      <c r="C20" s="91" t="s">
        <v>131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USDOIS13M_Quote#0000</v>
      </c>
      <c r="G20" s="214" t="str">
        <f>_xll.ohRangeRetrieveError(F20)</f>
        <v/>
      </c>
      <c r="H20" s="171"/>
      <c r="J20" s="76"/>
      <c r="K20" s="79"/>
      <c r="L20" s="253" t="s">
        <v>148</v>
      </c>
      <c r="M20" s="183" t="s">
        <v>131</v>
      </c>
      <c r="N20" s="184" t="str">
        <f t="shared" si="1"/>
        <v>USD13MOIS</v>
      </c>
      <c r="O20" s="184" t="str">
        <v>USD13MOIS=TTKL</v>
      </c>
      <c r="P20" s="85">
        <v>0.35499999999999998</v>
      </c>
      <c r="Q20" s="85">
        <v>0.38500000000000001</v>
      </c>
      <c r="R20" s="85">
        <v>0</v>
      </c>
      <c r="S20" s="85">
        <v>0</v>
      </c>
      <c r="T20" s="85">
        <f t="shared" si="3"/>
        <v>0.37</v>
      </c>
      <c r="U20" s="85">
        <f t="shared" si="4"/>
        <v>3.0000000000000027E-2</v>
      </c>
      <c r="V20" s="195"/>
      <c r="W20" s="197">
        <v>0.19</v>
      </c>
      <c r="X20" s="195"/>
      <c r="Y20" s="85">
        <v>0.37</v>
      </c>
      <c r="Z20" s="188">
        <f>_xll.qlSimpleQuoteSetValue(F20,Y20/100,Trigger)</f>
        <v>0</v>
      </c>
      <c r="AA20" s="77"/>
    </row>
    <row r="21" spans="1:27" x14ac:dyDescent="0.2">
      <c r="A21" s="76"/>
      <c r="B21" s="91"/>
      <c r="C21" s="91" t="s">
        <v>131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USDOIS14M_Quote#0000</v>
      </c>
      <c r="G21" s="214" t="str">
        <f>_xll.ohRangeRetrieveError(F21)</f>
        <v/>
      </c>
      <c r="H21" s="171"/>
      <c r="J21" s="76"/>
      <c r="K21" s="79"/>
      <c r="L21" s="253" t="s">
        <v>147</v>
      </c>
      <c r="M21" s="183" t="s">
        <v>131</v>
      </c>
      <c r="N21" s="184" t="str">
        <f t="shared" si="1"/>
        <v>USD14MOIS</v>
      </c>
      <c r="O21" s="184" t="str">
        <v>USD14MOIS=TTKL</v>
      </c>
      <c r="P21" s="85">
        <v>0.38500000000000001</v>
      </c>
      <c r="Q21" s="85">
        <v>0.41500000000000004</v>
      </c>
      <c r="R21" s="85">
        <v>0</v>
      </c>
      <c r="S21" s="85">
        <v>0</v>
      </c>
      <c r="T21" s="85">
        <f t="shared" si="3"/>
        <v>0.4</v>
      </c>
      <c r="U21" s="85">
        <f t="shared" si="4"/>
        <v>3.0000000000000027E-2</v>
      </c>
      <c r="V21" s="195"/>
      <c r="W21" s="197">
        <v>0.21200000000000002</v>
      </c>
      <c r="X21" s="195"/>
      <c r="Y21" s="85">
        <v>0.4</v>
      </c>
      <c r="Z21" s="188">
        <f>_xll.qlSimpleQuoteSetValue(F21,Y21/100,Trigger)</f>
        <v>0</v>
      </c>
      <c r="AA21" s="77"/>
    </row>
    <row r="22" spans="1:27" x14ac:dyDescent="0.2">
      <c r="A22" s="76"/>
      <c r="B22" s="91"/>
      <c r="C22" s="91" t="s">
        <v>131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USDOIS15M_Quote#0000</v>
      </c>
      <c r="G22" s="214" t="str">
        <f>_xll.ohRangeRetrieveError(F22)</f>
        <v/>
      </c>
      <c r="H22" s="171"/>
      <c r="J22" s="76"/>
      <c r="K22" s="79"/>
      <c r="L22" s="253" t="s">
        <v>97</v>
      </c>
      <c r="M22" s="183" t="s">
        <v>131</v>
      </c>
      <c r="N22" s="184" t="str">
        <f t="shared" si="1"/>
        <v>USD15MOIS</v>
      </c>
      <c r="O22" s="184" t="str">
        <v>USD15MOIS=TTKL</v>
      </c>
      <c r="P22" s="85">
        <v>0.41600000000000004</v>
      </c>
      <c r="Q22" s="85">
        <v>0.44600000000000001</v>
      </c>
      <c r="R22" s="85">
        <v>0</v>
      </c>
      <c r="S22" s="85">
        <v>0</v>
      </c>
      <c r="T22" s="85">
        <f t="shared" si="3"/>
        <v>0.43100000000000005</v>
      </c>
      <c r="U22" s="85">
        <f t="shared" si="4"/>
        <v>2.9999999999999971E-2</v>
      </c>
      <c r="V22" s="195"/>
      <c r="W22" s="197">
        <v>0.24099999999999999</v>
      </c>
      <c r="X22" s="195"/>
      <c r="Y22" s="85">
        <v>0.43100000000000005</v>
      </c>
      <c r="Z22" s="188">
        <f>_xll.qlSimpleQuoteSetValue(F22,Y22/100,Trigger)</f>
        <v>0</v>
      </c>
      <c r="AA22" s="77"/>
    </row>
    <row r="23" spans="1:27" x14ac:dyDescent="0.2">
      <c r="A23" s="76"/>
      <c r="B23" s="91"/>
      <c r="C23" s="91" t="s">
        <v>131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USDOIS16M_Quote#0000</v>
      </c>
      <c r="G23" s="214" t="str">
        <f>_xll.ohRangeRetrieveError(F23)</f>
        <v/>
      </c>
      <c r="H23" s="171"/>
      <c r="J23" s="76"/>
      <c r="K23" s="79"/>
      <c r="L23" s="253" t="s">
        <v>146</v>
      </c>
      <c r="M23" s="183" t="s">
        <v>131</v>
      </c>
      <c r="N23" s="184" t="str">
        <f t="shared" si="1"/>
        <v>USD16MOIS</v>
      </c>
      <c r="O23" s="184" t="str">
        <v>USD16MOIS=TTKL</v>
      </c>
      <c r="P23" s="85">
        <v>0.44900000000000001</v>
      </c>
      <c r="Q23" s="85">
        <v>0.47899999999999998</v>
      </c>
      <c r="R23" s="85">
        <v>0</v>
      </c>
      <c r="S23" s="85">
        <v>0</v>
      </c>
      <c r="T23" s="85">
        <f t="shared" si="3"/>
        <v>0.46399999999999997</v>
      </c>
      <c r="U23" s="85">
        <f t="shared" si="4"/>
        <v>2.9999999999999971E-2</v>
      </c>
      <c r="V23" s="195"/>
      <c r="W23" s="197">
        <v>0.27100000000000002</v>
      </c>
      <c r="X23" s="195"/>
      <c r="Y23" s="85">
        <v>0.46399999999999997</v>
      </c>
      <c r="Z23" s="188">
        <f>_xll.qlSimpleQuoteSetValue(F23,Y23/100,Trigger)</f>
        <v>0</v>
      </c>
      <c r="AA23" s="77"/>
    </row>
    <row r="24" spans="1:27" x14ac:dyDescent="0.2">
      <c r="A24" s="76"/>
      <c r="B24" s="91"/>
      <c r="C24" s="91" t="s">
        <v>131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USDOIS17M_Quote#0000</v>
      </c>
      <c r="G24" s="214" t="str">
        <f>_xll.ohRangeRetrieveError(F24)</f>
        <v/>
      </c>
      <c r="H24" s="171"/>
      <c r="J24" s="76"/>
      <c r="K24" s="79"/>
      <c r="L24" s="253" t="s">
        <v>145</v>
      </c>
      <c r="M24" s="183" t="s">
        <v>131</v>
      </c>
      <c r="N24" s="184" t="str">
        <f t="shared" si="1"/>
        <v>USD17MOIS</v>
      </c>
      <c r="O24" s="184" t="str">
        <v>USD17MOIS=TTKL</v>
      </c>
      <c r="P24" s="85">
        <v>0.48200000000000004</v>
      </c>
      <c r="Q24" s="85">
        <v>0.51200000000000001</v>
      </c>
      <c r="R24" s="85">
        <v>0</v>
      </c>
      <c r="S24" s="85">
        <v>0</v>
      </c>
      <c r="T24" s="85">
        <f t="shared" si="3"/>
        <v>0.497</v>
      </c>
      <c r="U24" s="85">
        <f t="shared" si="4"/>
        <v>2.9999999999999971E-2</v>
      </c>
      <c r="V24" s="195"/>
      <c r="W24" s="197">
        <v>0.29699999999999999</v>
      </c>
      <c r="X24" s="195"/>
      <c r="Y24" s="85">
        <v>0.497</v>
      </c>
      <c r="Z24" s="188">
        <f>_xll.qlSimpleQuoteSetValue(F24,Y24/100,Trigger)</f>
        <v>0</v>
      </c>
      <c r="AA24" s="77"/>
    </row>
    <row r="25" spans="1:27" x14ac:dyDescent="0.2">
      <c r="A25" s="76"/>
      <c r="B25" s="91"/>
      <c r="C25" s="91" t="s">
        <v>131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USDOIS18M_Quote#0000</v>
      </c>
      <c r="G25" s="214" t="str">
        <f>_xll.ohRangeRetrieveError(F25)</f>
        <v/>
      </c>
      <c r="H25" s="171"/>
      <c r="J25" s="76"/>
      <c r="K25" s="79"/>
      <c r="L25" s="253" t="s">
        <v>96</v>
      </c>
      <c r="M25" s="183" t="s">
        <v>131</v>
      </c>
      <c r="N25" s="184" t="str">
        <f t="shared" si="1"/>
        <v>USD18MOIS</v>
      </c>
      <c r="O25" s="184" t="str">
        <v>USD18MOIS=TTKL</v>
      </c>
      <c r="P25" s="85">
        <v>0.51700000000000002</v>
      </c>
      <c r="Q25" s="85">
        <v>0.54699999999999993</v>
      </c>
      <c r="R25" s="85">
        <v>0</v>
      </c>
      <c r="S25" s="85">
        <v>0</v>
      </c>
      <c r="T25" s="85">
        <f t="shared" si="3"/>
        <v>0.53200000000000003</v>
      </c>
      <c r="U25" s="85">
        <f t="shared" si="4"/>
        <v>2.9999999999999916E-2</v>
      </c>
      <c r="V25" s="195"/>
      <c r="W25" s="197">
        <v>0.32800000000000001</v>
      </c>
      <c r="X25" s="195"/>
      <c r="Y25" s="85">
        <v>0.53200000000000003</v>
      </c>
      <c r="Z25" s="188">
        <f>_xll.qlSimpleQuoteSetValue(F25,Y25/100,Trigger)</f>
        <v>0</v>
      </c>
      <c r="AA25" s="77"/>
    </row>
    <row r="26" spans="1:27" x14ac:dyDescent="0.2">
      <c r="A26" s="76"/>
      <c r="B26" s="91"/>
      <c r="C26" s="91" t="s">
        <v>131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USDOIS19M_Quote#0000</v>
      </c>
      <c r="G26" s="214" t="str">
        <f>_xll.ohRangeRetrieveError(F26)</f>
        <v/>
      </c>
      <c r="H26" s="171"/>
      <c r="J26" s="76"/>
      <c r="K26" s="79"/>
      <c r="L26" s="253" t="s">
        <v>144</v>
      </c>
      <c r="M26" s="183" t="s">
        <v>131</v>
      </c>
      <c r="N26" s="184" t="str">
        <f t="shared" si="1"/>
        <v>USD19MOIS</v>
      </c>
      <c r="O26" s="184" t="str">
        <v>USD19MOIS=TTKL</v>
      </c>
      <c r="P26" s="85">
        <v>0.54900000000000004</v>
      </c>
      <c r="Q26" s="85">
        <v>0.57899999999999996</v>
      </c>
      <c r="R26" s="85">
        <v>0</v>
      </c>
      <c r="S26" s="85">
        <v>0</v>
      </c>
      <c r="T26" s="85">
        <f t="shared" si="3"/>
        <v>0.56400000000000006</v>
      </c>
      <c r="U26" s="85">
        <f t="shared" si="4"/>
        <v>2.9999999999999916E-2</v>
      </c>
      <c r="V26" s="195"/>
      <c r="W26" s="197">
        <v>0.36099999999999999</v>
      </c>
      <c r="X26" s="195"/>
      <c r="Y26" s="85">
        <v>0.56400000000000006</v>
      </c>
      <c r="Z26" s="188">
        <f>_xll.qlSimpleQuoteSetValue(F26,Y26/100,Trigger)</f>
        <v>0</v>
      </c>
      <c r="AA26" s="77"/>
    </row>
    <row r="27" spans="1:27" x14ac:dyDescent="0.2">
      <c r="A27" s="76"/>
      <c r="B27" s="91"/>
      <c r="C27" s="91" t="s">
        <v>131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USDOIS20M_Quote#0000</v>
      </c>
      <c r="G27" s="214" t="str">
        <f>_xll.ohRangeRetrieveError(F27)</f>
        <v/>
      </c>
      <c r="H27" s="171"/>
      <c r="J27" s="76"/>
      <c r="K27" s="79"/>
      <c r="L27" s="253" t="s">
        <v>143</v>
      </c>
      <c r="M27" s="183" t="s">
        <v>131</v>
      </c>
      <c r="N27" s="184" t="str">
        <f t="shared" si="1"/>
        <v>USD20MOIS</v>
      </c>
      <c r="O27" s="184" t="str">
        <v>USD20MOIS=TTKL</v>
      </c>
      <c r="P27" s="85">
        <v>0.58099999999999996</v>
      </c>
      <c r="Q27" s="85">
        <v>0.61099999999999999</v>
      </c>
      <c r="R27" s="85">
        <v>0</v>
      </c>
      <c r="S27" s="85">
        <v>0</v>
      </c>
      <c r="T27" s="85">
        <f t="shared" si="3"/>
        <v>0.59599999999999997</v>
      </c>
      <c r="U27" s="85">
        <f t="shared" si="4"/>
        <v>3.0000000000000027E-2</v>
      </c>
      <c r="V27" s="195"/>
      <c r="W27" s="197">
        <v>0.39400000000000002</v>
      </c>
      <c r="X27" s="195"/>
      <c r="Y27" s="85">
        <v>0.59599999999999997</v>
      </c>
      <c r="Z27" s="188">
        <f>_xll.qlSimpleQuoteSetValue(F27,Y27/100,Trigger)</f>
        <v>0</v>
      </c>
      <c r="AA27" s="77"/>
    </row>
    <row r="28" spans="1:27" x14ac:dyDescent="0.2">
      <c r="A28" s="76"/>
      <c r="B28" s="91"/>
      <c r="C28" s="91" t="s">
        <v>131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USDOIS21M_Quote#0000</v>
      </c>
      <c r="G28" s="214" t="str">
        <f>_xll.ohRangeRetrieveError(F28)</f>
        <v/>
      </c>
      <c r="H28" s="171"/>
      <c r="J28" s="76"/>
      <c r="K28" s="79"/>
      <c r="L28" s="253" t="s">
        <v>95</v>
      </c>
      <c r="M28" s="183" t="s">
        <v>131</v>
      </c>
      <c r="N28" s="184" t="str">
        <f t="shared" si="1"/>
        <v>USD21MOIS</v>
      </c>
      <c r="O28" s="184" t="str">
        <v>USD21MOIS=TTKL</v>
      </c>
      <c r="P28" s="85">
        <v>0.61499999999999999</v>
      </c>
      <c r="Q28" s="85">
        <v>0.64500000000000002</v>
      </c>
      <c r="R28" s="85">
        <v>0</v>
      </c>
      <c r="S28" s="85">
        <v>0</v>
      </c>
      <c r="T28" s="85">
        <f t="shared" si="3"/>
        <v>0.63</v>
      </c>
      <c r="U28" s="85">
        <f t="shared" si="4"/>
        <v>3.0000000000000027E-2</v>
      </c>
      <c r="V28" s="195"/>
      <c r="W28" s="197">
        <v>0.42699999999999999</v>
      </c>
      <c r="X28" s="195"/>
      <c r="Y28" s="85">
        <v>0.63</v>
      </c>
      <c r="Z28" s="188">
        <f>_xll.qlSimpleQuoteSetValue(F28,Y28/100,Trigger)</f>
        <v>0</v>
      </c>
      <c r="AA28" s="77"/>
    </row>
    <row r="29" spans="1:27" x14ac:dyDescent="0.2">
      <c r="A29" s="76"/>
      <c r="B29" s="91"/>
      <c r="C29" s="91" t="s">
        <v>131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USDOIS22M_Quote#0000</v>
      </c>
      <c r="G29" s="214" t="str">
        <f>_xll.ohRangeRetrieveError(F29)</f>
        <v/>
      </c>
      <c r="H29" s="171"/>
      <c r="J29" s="76"/>
      <c r="K29" s="79"/>
      <c r="L29" s="253" t="s">
        <v>142</v>
      </c>
      <c r="M29" s="183" t="s">
        <v>131</v>
      </c>
      <c r="N29" s="184" t="str">
        <f t="shared" si="1"/>
        <v>USD22MOIS</v>
      </c>
      <c r="O29" s="184" t="str">
        <v>USD22MOIS=TTKL</v>
      </c>
      <c r="P29" s="85">
        <v>0.64600000000000002</v>
      </c>
      <c r="Q29" s="85">
        <v>0.67599999999999993</v>
      </c>
      <c r="R29" s="85">
        <v>0</v>
      </c>
      <c r="S29" s="85">
        <v>0</v>
      </c>
      <c r="T29" s="85">
        <f t="shared" si="3"/>
        <v>0.66100000000000003</v>
      </c>
      <c r="U29" s="85">
        <f t="shared" si="4"/>
        <v>2.9999999999999916E-2</v>
      </c>
      <c r="V29" s="195"/>
      <c r="W29" s="197">
        <v>0.46199999999999997</v>
      </c>
      <c r="X29" s="195"/>
      <c r="Y29" s="85">
        <v>0.66100000000000003</v>
      </c>
      <c r="Z29" s="188">
        <f>_xll.qlSimpleQuoteSetValue(F29,Y29/100,Trigger)</f>
        <v>0</v>
      </c>
      <c r="AA29" s="77"/>
    </row>
    <row r="30" spans="1:27" x14ac:dyDescent="0.2">
      <c r="A30" s="76"/>
      <c r="B30" s="91"/>
      <c r="C30" s="91" t="s">
        <v>131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USDOIS23M_Quote#0000</v>
      </c>
      <c r="G30" s="214" t="str">
        <f>_xll.ohRangeRetrieveError(F30)</f>
        <v/>
      </c>
      <c r="H30" s="171"/>
      <c r="J30" s="76"/>
      <c r="K30" s="79"/>
      <c r="L30" s="253" t="s">
        <v>141</v>
      </c>
      <c r="M30" s="183" t="s">
        <v>131</v>
      </c>
      <c r="N30" s="184" t="str">
        <f t="shared" si="1"/>
        <v>USD23MOIS</v>
      </c>
      <c r="O30" s="184" t="str">
        <v>USD23MOIS=TTKL</v>
      </c>
      <c r="P30" s="85">
        <v>0.67999999999999994</v>
      </c>
      <c r="Q30" s="85">
        <v>0.71</v>
      </c>
      <c r="R30" s="85">
        <v>0</v>
      </c>
      <c r="S30" s="85">
        <v>0</v>
      </c>
      <c r="T30" s="85">
        <f t="shared" si="3"/>
        <v>0.69499999999999995</v>
      </c>
      <c r="U30" s="85">
        <f t="shared" si="4"/>
        <v>3.0000000000000027E-2</v>
      </c>
      <c r="V30" s="195"/>
      <c r="W30" s="197">
        <v>0.497</v>
      </c>
      <c r="X30" s="195"/>
      <c r="Y30" s="85">
        <v>0.69499999999999995</v>
      </c>
      <c r="Z30" s="188">
        <f>_xll.qlSimpleQuoteSetValue(F30,Y30/100,Trigger)</f>
        <v>0</v>
      </c>
      <c r="AA30" s="77"/>
    </row>
    <row r="31" spans="1:27" x14ac:dyDescent="0.2">
      <c r="A31" s="76"/>
      <c r="B31" s="91"/>
      <c r="C31" s="91" t="s">
        <v>131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USDOIS2Y_Quote#0000</v>
      </c>
      <c r="G31" s="214" t="str">
        <f>_xll.ohRangeRetrieveError(F31)</f>
        <v/>
      </c>
      <c r="H31" s="171"/>
      <c r="J31" s="76"/>
      <c r="K31" s="79"/>
      <c r="L31" s="253" t="s">
        <v>84</v>
      </c>
      <c r="M31" s="183" t="s">
        <v>131</v>
      </c>
      <c r="N31" s="184" t="str">
        <f t="shared" si="1"/>
        <v>USD2YOIS</v>
      </c>
      <c r="O31" s="184" t="str">
        <v>USD2YOIS=TTKL</v>
      </c>
      <c r="P31" s="85">
        <v>0.71</v>
      </c>
      <c r="Q31" s="85">
        <v>0.74</v>
      </c>
      <c r="R31" s="85">
        <v>0</v>
      </c>
      <c r="S31" s="85">
        <v>0</v>
      </c>
      <c r="T31" s="85">
        <f t="shared" si="3"/>
        <v>0.72499999999999998</v>
      </c>
      <c r="U31" s="85">
        <f t="shared" si="4"/>
        <v>3.0000000000000027E-2</v>
      </c>
      <c r="V31" s="195"/>
      <c r="W31" s="197">
        <v>0.53300000000000003</v>
      </c>
      <c r="X31" s="195"/>
      <c r="Y31" s="85">
        <v>0.72499999999999998</v>
      </c>
      <c r="Z31" s="188">
        <f>_xll.qlSimpleQuoteSetValue(F31,Y31/100,Trigger)</f>
        <v>0</v>
      </c>
      <c r="AA31" s="77"/>
    </row>
    <row r="32" spans="1:27" x14ac:dyDescent="0.2">
      <c r="A32" s="76"/>
      <c r="B32" s="91"/>
      <c r="C32" s="91" t="s">
        <v>131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USDOIS27M_Quote#0000</v>
      </c>
      <c r="G32" s="214" t="str">
        <f>_xll.ohRangeRetrieveError(F32)</f>
        <v/>
      </c>
      <c r="H32" s="171"/>
      <c r="J32" s="76"/>
      <c r="K32" s="79"/>
      <c r="L32" s="253" t="s">
        <v>140</v>
      </c>
      <c r="M32" s="183" t="s">
        <v>131</v>
      </c>
      <c r="N32" s="184" t="str">
        <f t="shared" si="1"/>
        <v>USD27MOIS</v>
      </c>
      <c r="O32" s="184" t="str">
        <v>USD27MOIS=TTKL</v>
      </c>
      <c r="P32" s="85">
        <v>0.79699999999999993</v>
      </c>
      <c r="Q32" s="85">
        <v>0.84700000000000009</v>
      </c>
      <c r="R32" s="85">
        <v>0</v>
      </c>
      <c r="S32" s="85">
        <v>0</v>
      </c>
      <c r="T32" s="85">
        <f t="shared" si="3"/>
        <v>0.82200000000000006</v>
      </c>
      <c r="U32" s="85">
        <f t="shared" si="4"/>
        <v>5.0000000000000155E-2</v>
      </c>
      <c r="V32" s="195"/>
      <c r="W32" s="197">
        <v>0.63900000000000001</v>
      </c>
      <c r="X32" s="195"/>
      <c r="Y32" s="85">
        <v>0.82200000000000006</v>
      </c>
      <c r="Z32" s="188">
        <f>_xll.qlSimpleQuoteSetValue(F32,Y32/100,Trigger)</f>
        <v>0</v>
      </c>
      <c r="AA32" s="77"/>
    </row>
    <row r="33" spans="1:27" x14ac:dyDescent="0.2">
      <c r="A33" s="76"/>
      <c r="B33" s="91"/>
      <c r="C33" s="91" t="s">
        <v>131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USDOIS30M_Quote#0000</v>
      </c>
      <c r="G33" s="214" t="str">
        <f>_xll.ohRangeRetrieveError(F33)</f>
        <v/>
      </c>
      <c r="H33" s="171"/>
      <c r="J33" s="76"/>
      <c r="K33" s="79"/>
      <c r="L33" s="253" t="s">
        <v>139</v>
      </c>
      <c r="M33" s="183" t="s">
        <v>131</v>
      </c>
      <c r="N33" s="184" t="str">
        <f t="shared" si="1"/>
        <v>USD30MOIS</v>
      </c>
      <c r="O33" s="184" t="str">
        <v>USD30MOIS=TTKL</v>
      </c>
      <c r="P33" s="85">
        <v>0.88500000000000001</v>
      </c>
      <c r="Q33" s="85">
        <v>0.93499999999999994</v>
      </c>
      <c r="R33" s="85">
        <v>0</v>
      </c>
      <c r="S33" s="85">
        <v>0</v>
      </c>
      <c r="T33" s="85">
        <f t="shared" si="3"/>
        <v>0.90999999999999992</v>
      </c>
      <c r="U33" s="85">
        <f t="shared" si="4"/>
        <v>4.9999999999999933E-2</v>
      </c>
      <c r="V33" s="195"/>
      <c r="W33" s="197">
        <v>0.74199999999999999</v>
      </c>
      <c r="X33" s="195"/>
      <c r="Y33" s="85">
        <v>0.90999999999999992</v>
      </c>
      <c r="Z33" s="188">
        <f>_xll.qlSimpleQuoteSetValue(F33,Y33/100,Trigger)</f>
        <v>0</v>
      </c>
      <c r="AA33" s="77"/>
    </row>
    <row r="34" spans="1:27" x14ac:dyDescent="0.2">
      <c r="A34" s="76"/>
      <c r="B34" s="91"/>
      <c r="C34" s="91" t="s">
        <v>131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USDOIS33M_Quote#0000</v>
      </c>
      <c r="G34" s="214" t="str">
        <f>_xll.ohRangeRetrieveError(F34)</f>
        <v/>
      </c>
      <c r="H34" s="171"/>
      <c r="J34" s="76"/>
      <c r="K34" s="79"/>
      <c r="L34" s="253" t="s">
        <v>138</v>
      </c>
      <c r="M34" s="183" t="s">
        <v>131</v>
      </c>
      <c r="N34" s="184" t="str">
        <f t="shared" si="1"/>
        <v>USD33MOIS</v>
      </c>
      <c r="O34" s="184" t="str">
        <v>USD33MOIS=TTKL</v>
      </c>
      <c r="P34" s="85">
        <v>0.96799999999999997</v>
      </c>
      <c r="Q34" s="85">
        <v>1.018</v>
      </c>
      <c r="R34" s="85">
        <v>0</v>
      </c>
      <c r="S34" s="85">
        <v>0</v>
      </c>
      <c r="T34" s="85">
        <f t="shared" si="3"/>
        <v>0.99299999999999999</v>
      </c>
      <c r="U34" s="85">
        <f t="shared" si="4"/>
        <v>5.0000000000000044E-2</v>
      </c>
      <c r="V34" s="195"/>
      <c r="W34" s="197">
        <v>0.84499999999999997</v>
      </c>
      <c r="X34" s="195"/>
      <c r="Y34" s="85">
        <v>0.99299999999999999</v>
      </c>
      <c r="Z34" s="188">
        <f>_xll.qlSimpleQuoteSetValue(F34,Y34/100,Trigger)</f>
        <v>0</v>
      </c>
      <c r="AA34" s="77"/>
    </row>
    <row r="35" spans="1:27" x14ac:dyDescent="0.2">
      <c r="A35" s="76"/>
      <c r="B35" s="91"/>
      <c r="C35" s="91" t="s">
        <v>131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USDOIS3Y_Quote#0000</v>
      </c>
      <c r="G35" s="214" t="str">
        <f>_xll.ohRangeRetrieveError(F35)</f>
        <v/>
      </c>
      <c r="H35" s="171"/>
      <c r="J35" s="76"/>
      <c r="K35" s="79"/>
      <c r="L35" s="253" t="s">
        <v>83</v>
      </c>
      <c r="M35" s="183" t="s">
        <v>131</v>
      </c>
      <c r="N35" s="184" t="str">
        <f t="shared" si="1"/>
        <v>USD3YOIS</v>
      </c>
      <c r="O35" s="184" t="str">
        <v>USD3YOIS=TTKL</v>
      </c>
      <c r="P35" s="85">
        <v>1.0449999999999999</v>
      </c>
      <c r="Q35" s="85">
        <v>1.095</v>
      </c>
      <c r="R35" s="85">
        <v>0</v>
      </c>
      <c r="S35" s="85">
        <v>0</v>
      </c>
      <c r="T35" s="85">
        <f t="shared" si="3"/>
        <v>1.0699999999999998</v>
      </c>
      <c r="U35" s="85">
        <f t="shared" si="4"/>
        <v>5.0000000000000044E-2</v>
      </c>
      <c r="V35" s="195"/>
      <c r="W35" s="197">
        <v>0.94199999999999995</v>
      </c>
      <c r="X35" s="195"/>
      <c r="Y35" s="85">
        <v>1.0699999999999998</v>
      </c>
      <c r="Z35" s="188">
        <f>_xll.qlSimpleQuoteSetValue(F35,Y35/100,Trigger)</f>
        <v>0</v>
      </c>
      <c r="AA35" s="77"/>
    </row>
    <row r="36" spans="1:27" x14ac:dyDescent="0.2">
      <c r="A36" s="76"/>
      <c r="B36" s="91"/>
      <c r="C36" s="91" t="s">
        <v>131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USDOIS39M_Quote#0000</v>
      </c>
      <c r="G36" s="214" t="str">
        <f>_xll.ohRangeRetrieveError(F36)</f>
        <v/>
      </c>
      <c r="H36" s="171"/>
      <c r="J36" s="76"/>
      <c r="K36" s="79"/>
      <c r="L36" s="253" t="s">
        <v>137</v>
      </c>
      <c r="M36" s="183" t="s">
        <v>131</v>
      </c>
      <c r="N36" s="184" t="str">
        <f t="shared" si="1"/>
        <v>USD39MOIS</v>
      </c>
      <c r="O36" s="184" t="str">
        <v>USD39MOIS=TTKL</v>
      </c>
      <c r="P36" s="85">
        <v>1.1160000000000001</v>
      </c>
      <c r="Q36" s="85">
        <v>1.1659999999999999</v>
      </c>
      <c r="R36" s="85">
        <v>0</v>
      </c>
      <c r="S36" s="85">
        <v>0</v>
      </c>
      <c r="T36" s="85">
        <f t="shared" si="3"/>
        <v>1.141</v>
      </c>
      <c r="U36" s="85">
        <f t="shared" si="4"/>
        <v>4.9999999999999822E-2</v>
      </c>
      <c r="V36" s="195"/>
      <c r="W36" s="197">
        <v>1.0339999999999998</v>
      </c>
      <c r="X36" s="195"/>
      <c r="Y36" s="85">
        <v>1.141</v>
      </c>
      <c r="Z36" s="188">
        <f>_xll.qlSimpleQuoteSetValue(F36,Y36/100,Trigger)</f>
        <v>0</v>
      </c>
      <c r="AA36" s="77"/>
    </row>
    <row r="37" spans="1:27" x14ac:dyDescent="0.2">
      <c r="A37" s="76"/>
      <c r="B37" s="91"/>
      <c r="C37" s="91" t="s">
        <v>131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USDOIS42M_Quote#0000</v>
      </c>
      <c r="G37" s="214" t="str">
        <f>_xll.ohRangeRetrieveError(F37)</f>
        <v/>
      </c>
      <c r="H37" s="171"/>
      <c r="J37" s="76"/>
      <c r="K37" s="79"/>
      <c r="L37" s="253" t="s">
        <v>136</v>
      </c>
      <c r="M37" s="183" t="s">
        <v>131</v>
      </c>
      <c r="N37" s="184" t="str">
        <f t="shared" ref="N37:N58" si="6">Currency&amp;$L37&amp;$M37</f>
        <v>USD42MOIS</v>
      </c>
      <c r="O37" s="184" t="str">
        <v>USD42MOIS=TTKL</v>
      </c>
      <c r="P37" s="85">
        <v>1.1870000000000001</v>
      </c>
      <c r="Q37" s="85">
        <v>1.2370000000000001</v>
      </c>
      <c r="R37" s="85">
        <v>0</v>
      </c>
      <c r="S37" s="85">
        <v>0</v>
      </c>
      <c r="T37" s="85">
        <f t="shared" si="3"/>
        <v>1.2120000000000002</v>
      </c>
      <c r="U37" s="85">
        <f t="shared" si="4"/>
        <v>5.0000000000000044E-2</v>
      </c>
      <c r="V37" s="195"/>
      <c r="W37" s="197">
        <v>1.113</v>
      </c>
      <c r="X37" s="195"/>
      <c r="Y37" s="85">
        <v>1.2120000000000002</v>
      </c>
      <c r="Z37" s="188">
        <f>_xll.qlSimpleQuoteSetValue(F37,Y37/100,Trigger)</f>
        <v>0</v>
      </c>
      <c r="AA37" s="77"/>
    </row>
    <row r="38" spans="1:27" x14ac:dyDescent="0.2">
      <c r="A38" s="76"/>
      <c r="B38" s="91"/>
      <c r="C38" s="91" t="s">
        <v>131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USDOIS45M_Quote#0000</v>
      </c>
      <c r="G38" s="214" t="str">
        <f>_xll.ohRangeRetrieveError(F38)</f>
        <v/>
      </c>
      <c r="H38" s="171"/>
      <c r="J38" s="76"/>
      <c r="K38" s="79"/>
      <c r="L38" s="253" t="s">
        <v>135</v>
      </c>
      <c r="M38" s="183" t="s">
        <v>131</v>
      </c>
      <c r="N38" s="184" t="str">
        <f t="shared" si="6"/>
        <v>USD45MOIS</v>
      </c>
      <c r="O38" s="184" t="str">
        <v>USD45MOIS=TTKL</v>
      </c>
      <c r="P38" s="85">
        <v>1.244</v>
      </c>
      <c r="Q38" s="85">
        <v>1.294</v>
      </c>
      <c r="R38" s="85">
        <v>0</v>
      </c>
      <c r="S38" s="85">
        <v>0</v>
      </c>
      <c r="T38" s="85">
        <f t="shared" si="3"/>
        <v>1.2690000000000001</v>
      </c>
      <c r="U38" s="85">
        <f t="shared" si="4"/>
        <v>5.0000000000000044E-2</v>
      </c>
      <c r="V38" s="195"/>
      <c r="W38" s="197">
        <v>1.1989999999999998</v>
      </c>
      <c r="X38" s="195"/>
      <c r="Y38" s="85">
        <v>1.2690000000000001</v>
      </c>
      <c r="Z38" s="188">
        <f>_xll.qlSimpleQuoteSetValue(F38,Y38/100,Trigger)</f>
        <v>0</v>
      </c>
      <c r="AA38" s="77"/>
    </row>
    <row r="39" spans="1:27" x14ac:dyDescent="0.2">
      <c r="A39" s="76"/>
      <c r="B39" s="91"/>
      <c r="C39" s="91" t="s">
        <v>131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USDOIS4Y_Quote#0000</v>
      </c>
      <c r="G39" s="214" t="str">
        <f>_xll.ohRangeRetrieveError(F39)</f>
        <v/>
      </c>
      <c r="H39" s="171"/>
      <c r="J39" s="76"/>
      <c r="K39" s="79"/>
      <c r="L39" s="253" t="s">
        <v>82</v>
      </c>
      <c r="M39" s="183" t="s">
        <v>131</v>
      </c>
      <c r="N39" s="184" t="str">
        <f t="shared" si="6"/>
        <v>USD4YOIS</v>
      </c>
      <c r="O39" s="184" t="str">
        <v>USD4YOIS=TTKL</v>
      </c>
      <c r="P39" s="85">
        <v>1.3029999999999999</v>
      </c>
      <c r="Q39" s="85">
        <v>1.353</v>
      </c>
      <c r="R39" s="85">
        <v>0</v>
      </c>
      <c r="S39" s="85">
        <v>0</v>
      </c>
      <c r="T39" s="85">
        <f t="shared" si="3"/>
        <v>1.3279999999999998</v>
      </c>
      <c r="U39" s="85">
        <f t="shared" si="4"/>
        <v>5.0000000000000044E-2</v>
      </c>
      <c r="V39" s="195"/>
      <c r="W39" s="197">
        <v>1.2650000000000001</v>
      </c>
      <c r="X39" s="195"/>
      <c r="Y39" s="85">
        <v>1.3279999999999998</v>
      </c>
      <c r="Z39" s="188">
        <f>_xll.qlSimpleQuoteSetValue(F39,Y39/100,Trigger)</f>
        <v>0</v>
      </c>
      <c r="AA39" s="77"/>
    </row>
    <row r="40" spans="1:27" x14ac:dyDescent="0.2">
      <c r="A40" s="76"/>
      <c r="B40" s="91"/>
      <c r="C40" s="91" t="s">
        <v>131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USDOIS51M_Quote#0000</v>
      </c>
      <c r="G40" s="214" t="str">
        <f>_xll.ohRangeRetrieveError(F40)</f>
        <v/>
      </c>
      <c r="H40" s="171"/>
      <c r="J40" s="76"/>
      <c r="K40" s="79"/>
      <c r="L40" s="253" t="s">
        <v>134</v>
      </c>
      <c r="M40" s="183" t="s">
        <v>131</v>
      </c>
      <c r="N40" s="184" t="str">
        <f t="shared" si="6"/>
        <v>USD51MOIS</v>
      </c>
      <c r="O40" s="184" t="str">
        <v>USD51MOIS=TTKL</v>
      </c>
      <c r="P40" s="85">
        <v>1.3559999999999999</v>
      </c>
      <c r="Q40" s="85">
        <v>1.4059999999999999</v>
      </c>
      <c r="R40" s="85">
        <v>0</v>
      </c>
      <c r="S40" s="85">
        <v>0</v>
      </c>
      <c r="T40" s="85">
        <f t="shared" si="3"/>
        <v>1.3809999999999998</v>
      </c>
      <c r="U40" s="85">
        <f t="shared" si="4"/>
        <v>5.0000000000000044E-2</v>
      </c>
      <c r="V40" s="195"/>
      <c r="W40" s="197">
        <v>1.343</v>
      </c>
      <c r="X40" s="195"/>
      <c r="Y40" s="85">
        <v>1.3809999999999998</v>
      </c>
      <c r="Z40" s="188">
        <f>_xll.qlSimpleQuoteSetValue(F40,Y40/100,Trigger)</f>
        <v>9.9999999999978578E-6</v>
      </c>
      <c r="AA40" s="77"/>
    </row>
    <row r="41" spans="1:27" x14ac:dyDescent="0.2">
      <c r="A41" s="76"/>
      <c r="B41" s="91"/>
      <c r="C41" s="91" t="s">
        <v>131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USDOIS54M_Quote#0000</v>
      </c>
      <c r="G41" s="214" t="str">
        <f>_xll.ohRangeRetrieveError(F41)</f>
        <v/>
      </c>
      <c r="H41" s="171"/>
      <c r="J41" s="76"/>
      <c r="K41" s="79"/>
      <c r="L41" s="253" t="s">
        <v>133</v>
      </c>
      <c r="M41" s="183" t="s">
        <v>131</v>
      </c>
      <c r="N41" s="184" t="str">
        <f t="shared" si="6"/>
        <v>USD54MOIS</v>
      </c>
      <c r="O41" s="184" t="str">
        <v>USD54MOIS=TTKL</v>
      </c>
      <c r="P41" s="85">
        <v>1.4039999999999999</v>
      </c>
      <c r="Q41" s="85">
        <v>1.454</v>
      </c>
      <c r="R41" s="85">
        <v>0</v>
      </c>
      <c r="S41" s="85">
        <v>0</v>
      </c>
      <c r="T41" s="85">
        <f t="shared" si="3"/>
        <v>1.4289999999999998</v>
      </c>
      <c r="U41" s="85">
        <f t="shared" si="4"/>
        <v>5.0000000000000044E-2</v>
      </c>
      <c r="V41" s="195"/>
      <c r="W41" s="197">
        <v>1.3959999999999999</v>
      </c>
      <c r="X41" s="195"/>
      <c r="Y41" s="85">
        <v>1.4289999999999998</v>
      </c>
      <c r="Z41" s="188">
        <f>_xll.qlSimpleQuoteSetValue(F41,Y41/100,Trigger)</f>
        <v>0</v>
      </c>
      <c r="AA41" s="77"/>
    </row>
    <row r="42" spans="1:27" x14ac:dyDescent="0.2">
      <c r="A42" s="76"/>
      <c r="B42" s="91"/>
      <c r="C42" s="91" t="s">
        <v>131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USDOIS57M_Quote#0000</v>
      </c>
      <c r="G42" s="214" t="str">
        <f>_xll.ohRangeRetrieveError(F42)</f>
        <v/>
      </c>
      <c r="H42" s="171"/>
      <c r="J42" s="76"/>
      <c r="K42" s="79"/>
      <c r="L42" s="253" t="s">
        <v>132</v>
      </c>
      <c r="M42" s="183" t="s">
        <v>131</v>
      </c>
      <c r="N42" s="184" t="str">
        <f t="shared" si="6"/>
        <v>USD57MOIS</v>
      </c>
      <c r="O42" s="184" t="str">
        <v>USD57MOIS=TTKL</v>
      </c>
      <c r="P42" s="85">
        <v>1.452</v>
      </c>
      <c r="Q42" s="85">
        <v>1.502</v>
      </c>
      <c r="R42" s="85">
        <v>0</v>
      </c>
      <c r="S42" s="85">
        <v>0</v>
      </c>
      <c r="T42" s="85">
        <f t="shared" si="3"/>
        <v>1.4769999999999999</v>
      </c>
      <c r="U42" s="85">
        <f t="shared" si="4"/>
        <v>5.0000000000000044E-2</v>
      </c>
      <c r="V42" s="195"/>
      <c r="W42" s="197">
        <v>1.4689999999999999</v>
      </c>
      <c r="X42" s="195"/>
      <c r="Y42" s="85">
        <v>1.4769999999999999</v>
      </c>
      <c r="Z42" s="188">
        <f>_xll.qlSimpleQuoteSetValue(F42,Y42/100,Trigger)</f>
        <v>0</v>
      </c>
      <c r="AA42" s="77"/>
    </row>
    <row r="43" spans="1:27" x14ac:dyDescent="0.2">
      <c r="A43" s="76"/>
      <c r="B43" s="91"/>
      <c r="C43" s="91" t="s">
        <v>131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USDOIS5Y_Quote#0000</v>
      </c>
      <c r="G43" s="214" t="str">
        <f>_xll.ohRangeRetrieveError(F43)</f>
        <v/>
      </c>
      <c r="H43" s="171"/>
      <c r="J43" s="76"/>
      <c r="K43" s="79"/>
      <c r="L43" s="253" t="s">
        <v>81</v>
      </c>
      <c r="M43" s="183" t="s">
        <v>131</v>
      </c>
      <c r="N43" s="184" t="str">
        <f t="shared" si="6"/>
        <v>USD5YOIS</v>
      </c>
      <c r="O43" s="184" t="str">
        <v>USD5YOIS=TTKL</v>
      </c>
      <c r="P43" s="85">
        <v>1.498</v>
      </c>
      <c r="Q43" s="85">
        <v>1.548</v>
      </c>
      <c r="R43" s="85">
        <v>0</v>
      </c>
      <c r="S43" s="85">
        <v>0</v>
      </c>
      <c r="T43" s="85">
        <f t="shared" si="3"/>
        <v>1.5230000000000001</v>
      </c>
      <c r="U43" s="85">
        <f t="shared" si="4"/>
        <v>5.0000000000000044E-2</v>
      </c>
      <c r="V43" s="195"/>
      <c r="W43" s="197">
        <v>1.514</v>
      </c>
      <c r="X43" s="195"/>
      <c r="Y43" s="85">
        <v>1.5230000000000001</v>
      </c>
      <c r="Z43" s="188">
        <f>_xll.qlSimpleQuoteSetValue(F43,Y43/100,Trigger)</f>
        <v>0</v>
      </c>
      <c r="AA43" s="77"/>
    </row>
    <row r="44" spans="1:27" x14ac:dyDescent="0.2">
      <c r="A44" s="76"/>
      <c r="B44" s="91"/>
      <c r="C44" s="91" t="s">
        <v>131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USDOIS6Y_Quote#0000</v>
      </c>
      <c r="G44" s="214" t="str">
        <f>_xll.ohRangeRetrieveError(F44)</f>
        <v/>
      </c>
      <c r="H44" s="171"/>
      <c r="J44" s="76"/>
      <c r="K44" s="79"/>
      <c r="L44" s="253" t="s">
        <v>80</v>
      </c>
      <c r="M44" s="183" t="s">
        <v>131</v>
      </c>
      <c r="N44" s="184" t="str">
        <f t="shared" si="6"/>
        <v>USD6YOIS</v>
      </c>
      <c r="O44" s="184" t="str">
        <v>USD6YOIS=TTKL</v>
      </c>
      <c r="P44" s="85">
        <v>1.6400000000000001</v>
      </c>
      <c r="Q44" s="85">
        <v>1.69</v>
      </c>
      <c r="R44" s="85">
        <v>0</v>
      </c>
      <c r="S44" s="85">
        <v>0</v>
      </c>
      <c r="T44" s="85">
        <f t="shared" si="3"/>
        <v>1.665</v>
      </c>
      <c r="U44" s="85">
        <f t="shared" si="4"/>
        <v>4.9999999999999822E-2</v>
      </c>
      <c r="V44" s="195"/>
      <c r="W44" s="197">
        <v>1.7050000000000001</v>
      </c>
      <c r="X44" s="195"/>
      <c r="Y44" s="85">
        <v>1.665</v>
      </c>
      <c r="Z44" s="188">
        <f>_xll.qlSimpleQuoteSetValue(F44,Y44/100,Trigger)</f>
        <v>0</v>
      </c>
      <c r="AA44" s="77"/>
    </row>
    <row r="45" spans="1:27" x14ac:dyDescent="0.2">
      <c r="A45" s="76"/>
      <c r="B45" s="91"/>
      <c r="C45" s="91" t="s">
        <v>131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USDOIS7Y_Quote#0000</v>
      </c>
      <c r="G45" s="214" t="str">
        <f>_xll.ohRangeRetrieveError(F45)</f>
        <v/>
      </c>
      <c r="H45" s="171"/>
      <c r="J45" s="76"/>
      <c r="K45" s="79"/>
      <c r="L45" s="253" t="s">
        <v>79</v>
      </c>
      <c r="M45" s="183" t="s">
        <v>131</v>
      </c>
      <c r="N45" s="184" t="str">
        <f t="shared" si="6"/>
        <v>USD7YOIS</v>
      </c>
      <c r="O45" s="184" t="str">
        <v>USD7YOIS=TTKL</v>
      </c>
      <c r="P45" s="85">
        <v>1.7549999999999999</v>
      </c>
      <c r="Q45" s="85">
        <v>1.8050000000000002</v>
      </c>
      <c r="R45" s="85">
        <v>0</v>
      </c>
      <c r="S45" s="85">
        <v>0</v>
      </c>
      <c r="T45" s="85">
        <f t="shared" si="3"/>
        <v>1.78</v>
      </c>
      <c r="U45" s="85">
        <f t="shared" si="4"/>
        <v>5.0000000000000266E-2</v>
      </c>
      <c r="V45" s="195"/>
      <c r="W45" s="197">
        <v>1.863</v>
      </c>
      <c r="X45" s="195"/>
      <c r="Y45" s="85">
        <v>1.78</v>
      </c>
      <c r="Z45" s="188">
        <f>_xll.qlSimpleQuoteSetValue(F45,Y45/100,Trigger)</f>
        <v>0</v>
      </c>
      <c r="AA45" s="77"/>
    </row>
    <row r="46" spans="1:27" x14ac:dyDescent="0.2">
      <c r="A46" s="76"/>
      <c r="B46" s="91"/>
      <c r="C46" s="91" t="s">
        <v>131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USDOIS8Y_Quote#0000</v>
      </c>
      <c r="G46" s="214" t="str">
        <f>_xll.ohRangeRetrieveError(F46)</f>
        <v/>
      </c>
      <c r="H46" s="171"/>
      <c r="J46" s="76"/>
      <c r="K46" s="79"/>
      <c r="L46" s="253" t="s">
        <v>78</v>
      </c>
      <c r="M46" s="183" t="s">
        <v>131</v>
      </c>
      <c r="N46" s="184" t="str">
        <f t="shared" si="6"/>
        <v>USD8YOIS</v>
      </c>
      <c r="O46" s="184" t="str">
        <v>USD8YOIS=TTKL</v>
      </c>
      <c r="P46" s="85">
        <v>1.847</v>
      </c>
      <c r="Q46" s="85">
        <v>1.897</v>
      </c>
      <c r="R46" s="85">
        <v>0</v>
      </c>
      <c r="S46" s="85">
        <v>0</v>
      </c>
      <c r="T46" s="85">
        <f t="shared" si="3"/>
        <v>1.8719999999999999</v>
      </c>
      <c r="U46" s="85">
        <f t="shared" si="4"/>
        <v>5.0000000000000044E-2</v>
      </c>
      <c r="V46" s="195"/>
      <c r="W46" s="197">
        <v>1.9910000000000001</v>
      </c>
      <c r="X46" s="195"/>
      <c r="Y46" s="85">
        <v>1.8719999999999999</v>
      </c>
      <c r="Z46" s="188">
        <f>_xll.qlSimpleQuoteSetValue(F46,Y46/100,Trigger)</f>
        <v>0</v>
      </c>
      <c r="AA46" s="77"/>
    </row>
    <row r="47" spans="1:27" x14ac:dyDescent="0.2">
      <c r="A47" s="76"/>
      <c r="B47" s="91"/>
      <c r="C47" s="91" t="s">
        <v>131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USDOIS9Y_Quote#0000</v>
      </c>
      <c r="G47" s="214" t="str">
        <f>_xll.ohRangeRetrieveError(F47)</f>
        <v/>
      </c>
      <c r="H47" s="171"/>
      <c r="J47" s="76"/>
      <c r="K47" s="79"/>
      <c r="L47" s="253" t="s">
        <v>77</v>
      </c>
      <c r="M47" s="183" t="s">
        <v>131</v>
      </c>
      <c r="N47" s="184" t="str">
        <f t="shared" si="6"/>
        <v>USD9YOIS</v>
      </c>
      <c r="O47" s="184" t="str">
        <v>USD9YOIS=TTKL</v>
      </c>
      <c r="P47" s="85">
        <v>1.9279999999999999</v>
      </c>
      <c r="Q47" s="85">
        <v>1.978</v>
      </c>
      <c r="R47" s="85">
        <v>0</v>
      </c>
      <c r="S47" s="85">
        <v>0</v>
      </c>
      <c r="T47" s="85">
        <f t="shared" si="3"/>
        <v>1.9529999999999998</v>
      </c>
      <c r="U47" s="85">
        <f t="shared" si="4"/>
        <v>5.0000000000000044E-2</v>
      </c>
      <c r="V47" s="195"/>
      <c r="W47" s="197">
        <v>2.1019999999999999</v>
      </c>
      <c r="X47" s="195"/>
      <c r="Y47" s="85">
        <v>1.9529999999999998</v>
      </c>
      <c r="Z47" s="188">
        <f>_xll.qlSimpleQuoteSetValue(F47,Y47/100,Trigger)</f>
        <v>0</v>
      </c>
      <c r="AA47" s="77"/>
    </row>
    <row r="48" spans="1:27" x14ac:dyDescent="0.2">
      <c r="A48" s="76"/>
      <c r="B48" s="91"/>
      <c r="C48" s="91" t="s">
        <v>131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USDOIS10Y_Quote#0000</v>
      </c>
      <c r="G48" s="214" t="str">
        <f>_xll.ohRangeRetrieveError(F48)</f>
        <v/>
      </c>
      <c r="H48" s="171"/>
      <c r="J48" s="76"/>
      <c r="K48" s="79"/>
      <c r="L48" s="253" t="s">
        <v>76</v>
      </c>
      <c r="M48" s="183" t="s">
        <v>131</v>
      </c>
      <c r="N48" s="184" t="str">
        <f t="shared" si="6"/>
        <v>USD10YOIS</v>
      </c>
      <c r="O48" s="184" t="str">
        <v>USD10YOIS=TTKL</v>
      </c>
      <c r="P48" s="85">
        <v>1.9929999999999999</v>
      </c>
      <c r="Q48" s="85">
        <v>2.0430000000000001</v>
      </c>
      <c r="R48" s="85">
        <v>0</v>
      </c>
      <c r="S48" s="85">
        <v>0</v>
      </c>
      <c r="T48" s="85">
        <f t="shared" si="3"/>
        <v>2.0179999999999998</v>
      </c>
      <c r="U48" s="85">
        <f t="shared" si="4"/>
        <v>5.0000000000000266E-2</v>
      </c>
      <c r="V48" s="195"/>
      <c r="W48" s="197">
        <v>2.1970000000000001</v>
      </c>
      <c r="X48" s="195"/>
      <c r="Y48" s="85">
        <v>2.0179999999999998</v>
      </c>
      <c r="Z48" s="188">
        <f>_xll.qlSimpleQuoteSetValue(F48,Y48/100,Trigger)</f>
        <v>0</v>
      </c>
      <c r="AA48" s="77"/>
    </row>
    <row r="49" spans="1:27" x14ac:dyDescent="0.2">
      <c r="A49" s="76"/>
      <c r="B49" s="91"/>
      <c r="C49" s="91" t="s">
        <v>131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USDOIS12Y_Quote#0000</v>
      </c>
      <c r="G49" s="214" t="str">
        <f>_xll.ohRangeRetrieveError(F49)</f>
        <v/>
      </c>
      <c r="H49" s="171"/>
      <c r="J49" s="76"/>
      <c r="K49" s="79"/>
      <c r="L49" s="253" t="s">
        <v>74</v>
      </c>
      <c r="M49" s="183" t="s">
        <v>131</v>
      </c>
      <c r="N49" s="184" t="str">
        <f t="shared" si="6"/>
        <v>USD12YOIS</v>
      </c>
      <c r="O49" s="184" t="str">
        <v>USD12YOIS=TTKL</v>
      </c>
      <c r="P49" s="85">
        <v>2.093</v>
      </c>
      <c r="Q49" s="85">
        <v>2.1429999999999998</v>
      </c>
      <c r="R49" s="85">
        <v>0</v>
      </c>
      <c r="S49" s="85">
        <v>0</v>
      </c>
      <c r="T49" s="85">
        <f t="shared" si="3"/>
        <v>2.1179999999999999</v>
      </c>
      <c r="U49" s="85">
        <f t="shared" si="4"/>
        <v>4.9999999999999822E-2</v>
      </c>
      <c r="V49" s="195"/>
      <c r="W49" s="197">
        <v>2.35</v>
      </c>
      <c r="X49" s="195"/>
      <c r="Y49" s="85">
        <v>2.1179999999999999</v>
      </c>
      <c r="Z49" s="188">
        <f>_xll.qlSimpleQuoteSetValue(F49,Y49/100,Trigger)</f>
        <v>0</v>
      </c>
      <c r="AA49" s="77"/>
    </row>
    <row r="50" spans="1:27" x14ac:dyDescent="0.2">
      <c r="A50" s="76"/>
      <c r="B50" s="91"/>
      <c r="C50" s="91" t="s">
        <v>131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USDOIS15Y_Quote#0000</v>
      </c>
      <c r="G50" s="214" t="str">
        <f>_xll.ohRangeRetrieveError(F50)</f>
        <v/>
      </c>
      <c r="H50" s="171"/>
      <c r="J50" s="76"/>
      <c r="K50" s="79"/>
      <c r="L50" s="253" t="s">
        <v>71</v>
      </c>
      <c r="M50" s="183" t="s">
        <v>131</v>
      </c>
      <c r="N50" s="184" t="str">
        <f t="shared" si="6"/>
        <v>USD15YOIS</v>
      </c>
      <c r="O50" s="184" t="str">
        <v>USD15YOIS=TTKL</v>
      </c>
      <c r="P50" s="85">
        <v>2.1960000000000002</v>
      </c>
      <c r="Q50" s="85">
        <v>2.246</v>
      </c>
      <c r="R50" s="85">
        <v>0</v>
      </c>
      <c r="S50" s="85">
        <v>0</v>
      </c>
      <c r="T50" s="85">
        <f t="shared" si="3"/>
        <v>2.2210000000000001</v>
      </c>
      <c r="U50" s="85">
        <f t="shared" si="4"/>
        <v>4.9999999999999822E-2</v>
      </c>
      <c r="V50" s="195"/>
      <c r="W50" s="197">
        <v>2.5049999999999999</v>
      </c>
      <c r="X50" s="195"/>
      <c r="Y50" s="85">
        <v>2.2210000000000001</v>
      </c>
      <c r="Z50" s="188">
        <f>_xll.qlSimpleQuoteSetValue(F50,Y50/100,Trigger)</f>
        <v>0</v>
      </c>
      <c r="AA50" s="77"/>
    </row>
    <row r="51" spans="1:27" x14ac:dyDescent="0.2">
      <c r="A51" s="76"/>
      <c r="B51" s="91"/>
      <c r="C51" s="91" t="s">
        <v>131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USDOIS20Y_Quote#0000</v>
      </c>
      <c r="G51" s="214" t="str">
        <f>_xll.ohRangeRetrieveError(F51)</f>
        <v/>
      </c>
      <c r="H51" s="171"/>
      <c r="J51" s="76"/>
      <c r="K51" s="79"/>
      <c r="L51" s="253" t="s">
        <v>66</v>
      </c>
      <c r="M51" s="183" t="s">
        <v>131</v>
      </c>
      <c r="N51" s="184" t="str">
        <f t="shared" si="6"/>
        <v>USD20YOIS</v>
      </c>
      <c r="O51" s="184" t="str">
        <v>USD20YOIS=TTKL</v>
      </c>
      <c r="P51" s="85">
        <v>2.294</v>
      </c>
      <c r="Q51" s="85">
        <v>2.3439999999999999</v>
      </c>
      <c r="R51" s="85">
        <v>0</v>
      </c>
      <c r="S51" s="85">
        <v>0</v>
      </c>
      <c r="T51" s="85">
        <f t="shared" si="3"/>
        <v>2.319</v>
      </c>
      <c r="U51" s="85">
        <f t="shared" si="4"/>
        <v>4.9999999999999822E-2</v>
      </c>
      <c r="V51" s="195"/>
      <c r="W51" s="197">
        <v>2.6619999999999999</v>
      </c>
      <c r="X51" s="195"/>
      <c r="Y51" s="85">
        <v>2.319</v>
      </c>
      <c r="Z51" s="188">
        <f>_xll.qlSimpleQuoteSetValue(F51,Y51/100,Trigger)</f>
        <v>0</v>
      </c>
      <c r="AA51" s="77"/>
    </row>
    <row r="52" spans="1:27" x14ac:dyDescent="0.2">
      <c r="A52" s="76"/>
      <c r="B52" s="91"/>
      <c r="C52" s="91" t="s">
        <v>131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USDOIS25Y_Quote#0000</v>
      </c>
      <c r="G52" s="214" t="str">
        <f>_xll.ohRangeRetrieveError(F52)</f>
        <v/>
      </c>
      <c r="H52" s="171"/>
      <c r="J52" s="76"/>
      <c r="K52" s="79"/>
      <c r="L52" s="253" t="s">
        <v>61</v>
      </c>
      <c r="M52" s="183" t="s">
        <v>131</v>
      </c>
      <c r="N52" s="184" t="str">
        <f t="shared" si="6"/>
        <v>USD25YOIS</v>
      </c>
      <c r="O52" s="184" t="str">
        <v>USD25YOIS=TTKL</v>
      </c>
      <c r="P52" s="85">
        <v>2.3359999999999999</v>
      </c>
      <c r="Q52" s="85">
        <v>2.3860000000000001</v>
      </c>
      <c r="R52" s="85">
        <v>0</v>
      </c>
      <c r="S52" s="85">
        <v>0</v>
      </c>
      <c r="T52" s="85">
        <f t="shared" si="3"/>
        <v>2.3609999999999998</v>
      </c>
      <c r="U52" s="85">
        <f t="shared" si="4"/>
        <v>5.0000000000000266E-2</v>
      </c>
      <c r="V52" s="195"/>
      <c r="W52" s="197">
        <v>2.7330000000000001</v>
      </c>
      <c r="X52" s="195"/>
      <c r="Y52" s="85">
        <v>2.3609999999999998</v>
      </c>
      <c r="Z52" s="188">
        <f>_xll.qlSimpleQuoteSetValue(F52,Y52/100,Trigger)</f>
        <v>0</v>
      </c>
      <c r="AA52" s="77"/>
    </row>
    <row r="53" spans="1:27" x14ac:dyDescent="0.2">
      <c r="A53" s="76"/>
      <c r="B53" s="91"/>
      <c r="C53" s="91" t="s">
        <v>131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USDOIS27Y_Quote#0000</v>
      </c>
      <c r="G53" s="214" t="str">
        <f>_xll.ohRangeRetrieveError(F53)</f>
        <v/>
      </c>
      <c r="H53" s="171"/>
      <c r="J53" s="76"/>
      <c r="K53" s="79"/>
      <c r="L53" s="253" t="s">
        <v>59</v>
      </c>
      <c r="M53" s="183" t="s">
        <v>131</v>
      </c>
      <c r="N53" s="184" t="str">
        <f t="shared" si="6"/>
        <v>USD27YOIS</v>
      </c>
      <c r="O53" s="184" t="str">
        <v>USD27YOIS=TTKL</v>
      </c>
      <c r="P53" s="85" t="s">
        <v>163</v>
      </c>
      <c r="Q53" s="85" t="s">
        <v>163</v>
      </c>
      <c r="R53" s="85" t="s">
        <v>163</v>
      </c>
      <c r="S53" s="85" t="s">
        <v>163</v>
      </c>
      <c r="T53" s="85" t="e">
        <f t="shared" si="3"/>
        <v>#NUM!</v>
      </c>
      <c r="U53" s="85" t="e">
        <f t="shared" si="4"/>
        <v>#VALUE!</v>
      </c>
      <c r="V53" s="195"/>
      <c r="W53" s="197" t="e">
        <v>#NUM!</v>
      </c>
      <c r="X53" s="195"/>
      <c r="Y53" s="85" t="e">
        <v>#NUM!</v>
      </c>
      <c r="Z53" s="188">
        <f>_xll.qlSimpleQuoteSetValue(F53,Y53/100,Trigger)</f>
        <v>0</v>
      </c>
      <c r="AA53" s="77"/>
    </row>
    <row r="54" spans="1:27" x14ac:dyDescent="0.2">
      <c r="A54" s="76"/>
      <c r="B54" s="91"/>
      <c r="C54" s="91" t="s">
        <v>131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USDOIS30Y_Quote#0000</v>
      </c>
      <c r="G54" s="214" t="str">
        <f>_xll.ohRangeRetrieveError(F54)</f>
        <v/>
      </c>
      <c r="H54" s="171"/>
      <c r="J54" s="76"/>
      <c r="K54" s="79"/>
      <c r="L54" s="253" t="s">
        <v>56</v>
      </c>
      <c r="M54" s="183" t="s">
        <v>131</v>
      </c>
      <c r="N54" s="184" t="str">
        <f t="shared" si="6"/>
        <v>USD30YOIS</v>
      </c>
      <c r="O54" s="184" t="str">
        <v>USD30YOIS=TTKL</v>
      </c>
      <c r="P54" s="85">
        <v>2.359</v>
      </c>
      <c r="Q54" s="85">
        <v>2.4089999999999998</v>
      </c>
      <c r="R54" s="85">
        <v>0</v>
      </c>
      <c r="S54" s="85">
        <v>0</v>
      </c>
      <c r="T54" s="85">
        <f t="shared" si="3"/>
        <v>2.3839999999999999</v>
      </c>
      <c r="U54" s="85">
        <f t="shared" si="4"/>
        <v>4.9999999999999822E-2</v>
      </c>
      <c r="V54" s="195"/>
      <c r="W54" s="197">
        <v>2.77</v>
      </c>
      <c r="X54" s="195"/>
      <c r="Y54" s="85">
        <v>2.3839999999999999</v>
      </c>
      <c r="Z54" s="188">
        <f>_xll.qlSimpleQuoteSetValue(F54,Y54/100,Trigger)</f>
        <v>0</v>
      </c>
      <c r="AA54" s="77"/>
    </row>
    <row r="55" spans="1:27" x14ac:dyDescent="0.2">
      <c r="A55" s="76"/>
      <c r="B55" s="91"/>
      <c r="C55" s="91" t="s">
        <v>131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USDOIS35Y_Quote#0000</v>
      </c>
      <c r="G55" s="214" t="str">
        <f>_xll.ohRangeRetrieveError(F55)</f>
        <v/>
      </c>
      <c r="H55" s="171"/>
      <c r="J55" s="76"/>
      <c r="K55" s="79"/>
      <c r="L55" s="253" t="s">
        <v>51</v>
      </c>
      <c r="M55" s="183" t="s">
        <v>131</v>
      </c>
      <c r="N55" s="184" t="str">
        <f t="shared" si="6"/>
        <v>USD35YOIS</v>
      </c>
      <c r="O55" s="184" t="str">
        <v>USD35YOIS=TTKL</v>
      </c>
      <c r="P55" s="85">
        <v>2.3620000000000001</v>
      </c>
      <c r="Q55" s="85">
        <v>2.4119999999999999</v>
      </c>
      <c r="R55" s="85">
        <v>0</v>
      </c>
      <c r="S55" s="85">
        <v>0</v>
      </c>
      <c r="T55" s="85">
        <f t="shared" si="3"/>
        <v>2.387</v>
      </c>
      <c r="U55" s="85">
        <f t="shared" si="4"/>
        <v>4.9999999999999822E-2</v>
      </c>
      <c r="V55" s="195"/>
      <c r="W55" s="197">
        <v>2.794</v>
      </c>
      <c r="X55" s="195"/>
      <c r="Y55" s="85">
        <v>2.387</v>
      </c>
      <c r="Z55" s="188">
        <f>_xll.qlSimpleQuoteSetValue(F55,Y55/100,Trigger)</f>
        <v>0</v>
      </c>
      <c r="AA55" s="77"/>
    </row>
    <row r="56" spans="1:27" x14ac:dyDescent="0.2">
      <c r="A56" s="76"/>
      <c r="B56" s="91"/>
      <c r="C56" s="91" t="s">
        <v>131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USDOIS40Y_Quote#0000</v>
      </c>
      <c r="G56" s="214" t="str">
        <f>_xll.ohRangeRetrieveError(F56)</f>
        <v/>
      </c>
      <c r="H56" s="171"/>
      <c r="J56" s="76"/>
      <c r="K56" s="79"/>
      <c r="L56" s="253" t="s">
        <v>46</v>
      </c>
      <c r="M56" s="183" t="s">
        <v>131</v>
      </c>
      <c r="N56" s="184" t="str">
        <f t="shared" si="6"/>
        <v>USD40YOIS</v>
      </c>
      <c r="O56" s="184" t="str">
        <v>USD40YOIS=TTKL</v>
      </c>
      <c r="P56" s="85">
        <v>2.37</v>
      </c>
      <c r="Q56" s="85">
        <v>2.42</v>
      </c>
      <c r="R56" s="85">
        <v>0</v>
      </c>
      <c r="S56" s="85">
        <v>0</v>
      </c>
      <c r="T56" s="85">
        <f t="shared" si="3"/>
        <v>2.395</v>
      </c>
      <c r="U56" s="85">
        <f t="shared" si="4"/>
        <v>4.9999999999999822E-2</v>
      </c>
      <c r="V56" s="195"/>
      <c r="W56" s="197">
        <v>2.7969999999999997</v>
      </c>
      <c r="X56" s="195"/>
      <c r="Y56" s="85">
        <v>2.395</v>
      </c>
      <c r="Z56" s="188">
        <f>_xll.qlSimpleQuoteSetValue(F56,Y56/100,Trigger)</f>
        <v>0</v>
      </c>
      <c r="AA56" s="77"/>
    </row>
    <row r="57" spans="1:27" x14ac:dyDescent="0.2">
      <c r="A57" s="76"/>
      <c r="B57" s="91"/>
      <c r="C57" s="91" t="s">
        <v>131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USDOIS45Y_Quote#0000</v>
      </c>
      <c r="G57" s="214" t="str">
        <f>_xll.ohRangeRetrieveError(F57)</f>
        <v/>
      </c>
      <c r="H57" s="171"/>
      <c r="J57" s="76"/>
      <c r="K57" s="79"/>
      <c r="L57" s="253" t="s">
        <v>41</v>
      </c>
      <c r="M57" s="183" t="s">
        <v>131</v>
      </c>
      <c r="N57" s="184" t="str">
        <f t="shared" si="6"/>
        <v>USD45YOIS</v>
      </c>
      <c r="O57" s="184" t="str">
        <v>USD45YOIS=TTKL</v>
      </c>
      <c r="P57" s="85">
        <v>2.36</v>
      </c>
      <c r="Q57" s="85">
        <v>2.41</v>
      </c>
      <c r="R57" s="85">
        <v>0</v>
      </c>
      <c r="S57" s="85">
        <v>0</v>
      </c>
      <c r="T57" s="85">
        <f t="shared" si="3"/>
        <v>2.3849999999999998</v>
      </c>
      <c r="U57" s="85">
        <f t="shared" si="4"/>
        <v>5.0000000000000266E-2</v>
      </c>
      <c r="V57" s="195"/>
      <c r="W57" s="197">
        <v>2.7880000000000003</v>
      </c>
      <c r="X57" s="195"/>
      <c r="Y57" s="85">
        <v>2.3849999999999998</v>
      </c>
      <c r="Z57" s="188">
        <f>_xll.qlSimpleQuoteSetValue(F57,Y57/100,Trigger)</f>
        <v>0</v>
      </c>
      <c r="AA57" s="77"/>
    </row>
    <row r="58" spans="1:27" x14ac:dyDescent="0.2">
      <c r="A58" s="76"/>
      <c r="B58" s="92"/>
      <c r="C58" s="92" t="s">
        <v>131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USDOIS50Y_Quote#0000</v>
      </c>
      <c r="G58" s="215" t="str">
        <f>_xll.ohRangeRetrieveError(F58)</f>
        <v/>
      </c>
      <c r="H58" s="171"/>
      <c r="J58" s="76"/>
      <c r="K58" s="80"/>
      <c r="L58" s="254" t="s">
        <v>36</v>
      </c>
      <c r="M58" s="185" t="s">
        <v>131</v>
      </c>
      <c r="N58" s="186" t="str">
        <f t="shared" si="6"/>
        <v>USD50YOIS</v>
      </c>
      <c r="O58" s="186" t="str">
        <v>USD50YOIS=TTKL</v>
      </c>
      <c r="P58" s="86">
        <v>2.351</v>
      </c>
      <c r="Q58" s="86">
        <v>2.4009999999999998</v>
      </c>
      <c r="R58" s="86">
        <v>0</v>
      </c>
      <c r="S58" s="86">
        <v>0</v>
      </c>
      <c r="T58" s="86">
        <f t="shared" si="3"/>
        <v>2.3759999999999999</v>
      </c>
      <c r="U58" s="86">
        <f t="shared" si="4"/>
        <v>4.9999999999999822E-2</v>
      </c>
      <c r="V58" s="195"/>
      <c r="W58" s="201">
        <v>2.778</v>
      </c>
      <c r="X58" s="195"/>
      <c r="Y58" s="86">
        <v>2.3759999999999999</v>
      </c>
      <c r="Z58" s="189">
        <f>_xll.qlSimpleQuoteSetValue(F58,Y58/100,Trigger)</f>
        <v>0</v>
      </c>
      <c r="AA58" s="77"/>
    </row>
    <row r="59" spans="1:27" x14ac:dyDescent="0.2">
      <c r="A59" s="172"/>
      <c r="B59" s="173"/>
      <c r="C59" s="173"/>
      <c r="D59" s="173"/>
      <c r="E59" s="173"/>
      <c r="F59" s="174"/>
      <c r="G59" s="174"/>
      <c r="H59" s="175"/>
      <c r="J59" s="140"/>
      <c r="K59" s="141"/>
      <c r="L59" s="141"/>
      <c r="M59" s="141"/>
      <c r="N59" s="141"/>
      <c r="O59" s="141"/>
      <c r="P59" s="141"/>
      <c r="Q59" s="141"/>
      <c r="R59" s="141"/>
      <c r="S59" s="141"/>
      <c r="T59" s="194"/>
      <c r="U59" s="194"/>
      <c r="V59" s="194"/>
      <c r="W59" s="194"/>
      <c r="X59" s="194"/>
      <c r="Y59" s="194"/>
      <c r="Z59" s="141"/>
      <c r="AA59" s="142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99" hidden="1" customWidth="1" outlineLevel="1"/>
    <col min="2" max="2" width="3.7109375" style="199" hidden="1" customWidth="1" outlineLevel="1"/>
    <col min="3" max="3" width="6" style="199" hidden="1" customWidth="1" outlineLevel="1"/>
    <col min="4" max="4" width="7.2851562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199" hidden="1" customWidth="1" outlineLevel="1"/>
    <col min="8" max="8" width="24.42578125" style="199" hidden="1" customWidth="1" outlineLevel="1"/>
    <col min="9" max="9" width="31.7109375" style="199" hidden="1" customWidth="1" outlineLevel="1"/>
    <col min="10" max="10" width="20.7109375" style="199" hidden="1" customWidth="1" outlineLevel="1"/>
    <col min="11" max="11" width="2.7109375" style="199" hidden="1" customWidth="1" outlineLevel="1"/>
    <col min="12" max="12" width="2.7109375" style="199" customWidth="1" collapsed="1"/>
    <col min="13" max="13" width="2.7109375" style="199" customWidth="1"/>
    <col min="14" max="14" width="3" style="199" bestFit="1" customWidth="1"/>
    <col min="15" max="15" width="6" style="199" bestFit="1" customWidth="1"/>
    <col min="16" max="16" width="7.140625" style="199" customWidth="1"/>
    <col min="17" max="17" width="17.28515625" style="199" bestFit="1" customWidth="1"/>
    <col min="18" max="18" width="13.5703125" style="199" customWidth="1"/>
    <col min="19" max="19" width="11.140625" style="199" customWidth="1"/>
    <col min="20" max="25" width="10.7109375" style="199" customWidth="1"/>
    <col min="26" max="26" width="2.7109375" style="199" customWidth="1"/>
    <col min="27" max="27" width="10.7109375" style="199" customWidth="1"/>
    <col min="28" max="28" width="2.7109375" style="199" customWidth="1"/>
    <col min="29" max="30" width="10.7109375" style="199" customWidth="1"/>
    <col min="31" max="32" width="2.7109375" style="199" customWidth="1"/>
    <col min="33" max="16384" width="9.140625" style="199"/>
  </cols>
  <sheetData>
    <row r="1" spans="1:31" x14ac:dyDescent="0.2">
      <c r="A1" s="143"/>
      <c r="B1" s="134"/>
      <c r="C1" s="134"/>
      <c r="D1" s="134"/>
      <c r="E1" s="134"/>
      <c r="F1" s="134"/>
      <c r="G1" s="134"/>
      <c r="H1" s="243" t="s">
        <v>156</v>
      </c>
      <c r="I1" s="109" t="str">
        <f>FuturesHWConvAdj!C5</f>
        <v>USDHW_Volatility_Quote#0000</v>
      </c>
      <c r="J1" s="134"/>
      <c r="K1" s="135"/>
      <c r="M1" s="2" t="s">
        <v>286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6"/>
      <c r="AA1" s="246"/>
      <c r="AB1" s="3"/>
      <c r="AC1" s="3"/>
      <c r="AD1" s="3"/>
      <c r="AE1" s="323"/>
    </row>
    <row r="2" spans="1:31" x14ac:dyDescent="0.2">
      <c r="A2" s="136"/>
      <c r="B2" s="137"/>
      <c r="C2" s="137"/>
      <c r="D2" s="137"/>
      <c r="E2" s="137"/>
      <c r="F2" s="137"/>
      <c r="G2" s="137"/>
      <c r="H2" s="243" t="s">
        <v>155</v>
      </c>
      <c r="I2" s="109" t="str">
        <f>FuturesHWConvAdj!C6</f>
        <v>USDHW_MeanReversion_Quote#0000</v>
      </c>
      <c r="J2" s="137"/>
      <c r="K2" s="138"/>
      <c r="M2" s="95"/>
      <c r="N2" s="7"/>
      <c r="O2" s="324"/>
      <c r="P2" s="324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138</v>
      </c>
      <c r="AE2" s="325"/>
    </row>
    <row r="3" spans="1:31" x14ac:dyDescent="0.2">
      <c r="A3" s="136"/>
      <c r="B3" s="137"/>
      <c r="C3" s="137"/>
      <c r="D3" s="247" t="s">
        <v>130</v>
      </c>
      <c r="E3" s="247" t="s">
        <v>17</v>
      </c>
      <c r="F3" s="137"/>
      <c r="G3" s="137"/>
      <c r="H3" s="243" t="s">
        <v>88</v>
      </c>
      <c r="I3" s="109" t="str">
        <f>Libor!E10</f>
        <v>UsdLibor3M#0000</v>
      </c>
      <c r="J3" s="137"/>
      <c r="K3" s="138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5"/>
    </row>
    <row r="4" spans="1:31" ht="22.5" customHeight="1" x14ac:dyDescent="0.2">
      <c r="A4" s="170" t="str">
        <f>_xll.ohRangeRetrieveError(F5)</f>
        <v/>
      </c>
      <c r="B4" s="103" t="s">
        <v>129</v>
      </c>
      <c r="C4" s="107" t="s">
        <v>128</v>
      </c>
      <c r="D4" s="107" t="s">
        <v>127</v>
      </c>
      <c r="E4" s="102" t="s">
        <v>262</v>
      </c>
      <c r="F4" s="102" t="s">
        <v>263</v>
      </c>
      <c r="G4" s="363" t="s">
        <v>280</v>
      </c>
      <c r="H4" s="102" t="s">
        <v>287</v>
      </c>
      <c r="I4" s="102" t="s">
        <v>288</v>
      </c>
      <c r="J4" s="363" t="s">
        <v>280</v>
      </c>
      <c r="K4" s="171"/>
      <c r="M4" s="95"/>
      <c r="N4" s="179" t="s">
        <v>129</v>
      </c>
      <c r="O4" s="179" t="s">
        <v>128</v>
      </c>
      <c r="P4" s="179" t="s">
        <v>127</v>
      </c>
      <c r="Q4" s="179" t="s">
        <v>178</v>
      </c>
      <c r="R4" s="178" t="str">
        <f>_xll.RData(R5:R46,S4:W4,"RTFEED:IDN",ReutersRtMode,,S5)</f>
        <v>Paused at 11:14:16</v>
      </c>
      <c r="S4" s="179" t="s">
        <v>177</v>
      </c>
      <c r="T4" s="179" t="s">
        <v>158</v>
      </c>
      <c r="U4" s="179" t="s">
        <v>157</v>
      </c>
      <c r="V4" s="179" t="s">
        <v>168</v>
      </c>
      <c r="W4" s="179" t="s">
        <v>176</v>
      </c>
      <c r="X4" s="180" t="s">
        <v>175</v>
      </c>
      <c r="Y4" s="88" t="s">
        <v>281</v>
      </c>
      <c r="Z4" s="52"/>
      <c r="AA4" s="179" t="s">
        <v>173</v>
      </c>
      <c r="AB4" s="52"/>
      <c r="AC4" s="179" t="s">
        <v>172</v>
      </c>
      <c r="AD4" s="179" t="s">
        <v>171</v>
      </c>
      <c r="AE4" s="51"/>
    </row>
    <row r="5" spans="1:31" x14ac:dyDescent="0.2">
      <c r="A5" s="327"/>
      <c r="B5" s="328">
        <v>1</v>
      </c>
      <c r="C5" s="256" t="b">
        <v>0</v>
      </c>
      <c r="D5" s="50" t="str">
        <f t="array" ref="D5:D46">_xll.qlIMMNextCodes(_xll.qlSettingsEvaluationDate(Trigger)-1,$C5:$C46)</f>
        <v>H5</v>
      </c>
      <c r="E5" s="329" t="str">
        <f t="shared" ref="E5:E46" si="0">Currency&amp;$D$3&amp;$E$3&amp;$D5&amp;QuoteSuffix</f>
        <v>USDFUT3MH5_Quote</v>
      </c>
      <c r="F5" s="330" t="str">
        <f>_xll.qlSimpleQuote(E5,,PriceTickValue,Permanent,Trigger,ObjectOverwrite)</f>
        <v>USDFUT3MH5_Quote#0000</v>
      </c>
      <c r="G5" s="342"/>
      <c r="H5" s="338" t="str">
        <f t="shared" ref="H5:H46" si="1">Currency&amp;$D$3&amp;$E$3&amp;$D5&amp;"ConvAdj"&amp;QuoteSuffix</f>
        <v>USDFUT3MH5ConvAdj_Quote</v>
      </c>
      <c r="I5" s="339" t="str">
        <f>_xll.qlFuturesConvAdjustmentQuote(H5,IborIndex,D5,F5,Volatility,MeanReversion,Permanent,AND(ISERROR(AD5),ISERROR(FuturesHWConvAdj!U5:U6)),ObjectOverwrite)</f>
        <v>USDFUT3MH5ConvAdj_Quote#0158</v>
      </c>
      <c r="J5" s="277" t="str">
        <f>_xll.ohRangeRetrieveError(I5)</f>
        <v/>
      </c>
      <c r="K5" s="171"/>
      <c r="M5" s="332"/>
      <c r="N5" s="333">
        <v>1</v>
      </c>
      <c r="O5" s="333" t="b">
        <v>0</v>
      </c>
      <c r="P5" s="259" t="str">
        <f t="array" ref="P5:P46">_xll.qlIMMcode(FuturesDates)</f>
        <v>H5</v>
      </c>
      <c r="Q5" s="334">
        <f t="array" ref="Q5:Q46">_xll.qlIMMNextDates(_xll.qlSettingsEvaluationDate(Trigger)-1,$O5:$O46)</f>
        <v>42081</v>
      </c>
      <c r="R5" s="259" t="str">
        <f t="array" ref="R5:R46">"ED"&amp;FuturesCodes</f>
        <v>EDH5</v>
      </c>
      <c r="S5" s="335">
        <v>42079</v>
      </c>
      <c r="T5" s="84">
        <v>99.732500000000002</v>
      </c>
      <c r="U5" s="84">
        <v>99.734999999999999</v>
      </c>
      <c r="V5" s="84">
        <v>99.732500000000002</v>
      </c>
      <c r="W5" s="84">
        <v>99.734999999999999</v>
      </c>
      <c r="X5" s="84">
        <f>_xll.qlMidSafe(T5,U5,Trigger)</f>
        <v>99.733750000000001</v>
      </c>
      <c r="Y5" s="85">
        <f>U5-T5</f>
        <v>2.4999999999977263E-3</v>
      </c>
      <c r="Z5" s="336"/>
      <c r="AA5" s="337">
        <v>99.771249999999995</v>
      </c>
      <c r="AB5" s="336"/>
      <c r="AC5" s="84">
        <f t="array" ref="AC5:AC46">QuoteLive</f>
        <v>99.733750000000001</v>
      </c>
      <c r="AD5" s="259">
        <f>_xll.qlSimpleQuoteSetValue(F5,AC5,Trigger)</f>
        <v>0</v>
      </c>
      <c r="AE5" s="51"/>
    </row>
    <row r="6" spans="1:31" x14ac:dyDescent="0.2">
      <c r="A6" s="327"/>
      <c r="B6" s="340">
        <v>2</v>
      </c>
      <c r="C6" s="56" t="b">
        <v>0</v>
      </c>
      <c r="D6" s="52" t="str">
        <v>J5</v>
      </c>
      <c r="E6" s="139" t="str">
        <f t="shared" si="0"/>
        <v>USDFUT3MJ5_Quote</v>
      </c>
      <c r="F6" s="341" t="str">
        <f>_xll.qlSimpleQuote(E6,,PriceTickValue,Permanent,Trigger,ObjectOverwrite)</f>
        <v>USDFUT3MJ5_Quote#0000</v>
      </c>
      <c r="G6" s="342" t="str">
        <f>_xll.ohRangeRetrieveError(F6)</f>
        <v/>
      </c>
      <c r="H6" s="347" t="str">
        <f t="shared" si="1"/>
        <v>USDFUT3MJ5ConvAdj_Quote</v>
      </c>
      <c r="I6" s="348" t="str">
        <f>_xll.qlFuturesConvAdjustmentQuote(H6,IborIndex,D6,F6,Volatility,MeanReversion,Permanent,AND(ISERROR(AD6),ISERROR(FuturesHWConvAdj!U6:U7)),ObjectOverwrite)</f>
        <v>USDFUT3MJ5ConvAdj_Quote#0158</v>
      </c>
      <c r="J6" s="280" t="str">
        <f>_xll.ohRangeRetrieveError(I6)</f>
        <v/>
      </c>
      <c r="K6" s="171"/>
      <c r="M6" s="332"/>
      <c r="N6" s="343">
        <v>2</v>
      </c>
      <c r="O6" s="343" t="b">
        <v>0</v>
      </c>
      <c r="P6" s="244" t="str">
        <v>J5</v>
      </c>
      <c r="Q6" s="344">
        <v>42109</v>
      </c>
      <c r="R6" s="244" t="str">
        <v>EDJ5</v>
      </c>
      <c r="S6" s="345">
        <v>42107</v>
      </c>
      <c r="T6" s="85">
        <v>99.715000000000003</v>
      </c>
      <c r="U6" s="85">
        <v>99.72</v>
      </c>
      <c r="V6" s="85">
        <v>99.72</v>
      </c>
      <c r="W6" s="85">
        <v>99.715000000000003</v>
      </c>
      <c r="X6" s="85">
        <f>_xll.qlMidSafe(T6,U6,Trigger)</f>
        <v>99.717500000000001</v>
      </c>
      <c r="Y6" s="85">
        <f t="shared" ref="Y6:Y46" si="2">U6-T6</f>
        <v>4.9999999999954525E-3</v>
      </c>
      <c r="Z6" s="336"/>
      <c r="AA6" s="346">
        <v>99.772500000000008</v>
      </c>
      <c r="AB6" s="336"/>
      <c r="AC6" s="85">
        <v>99.717500000000001</v>
      </c>
      <c r="AD6" s="244">
        <f>_xll.qlSimpleQuoteSetValue(F6,AC6,Trigger)</f>
        <v>0</v>
      </c>
      <c r="AE6" s="51"/>
    </row>
    <row r="7" spans="1:31" x14ac:dyDescent="0.2">
      <c r="A7" s="327"/>
      <c r="B7" s="340">
        <v>3</v>
      </c>
      <c r="C7" s="56" t="b">
        <v>0</v>
      </c>
      <c r="D7" s="52" t="str">
        <v>K5</v>
      </c>
      <c r="E7" s="139" t="str">
        <f t="shared" si="0"/>
        <v>USDFUT3MK5_Quote</v>
      </c>
      <c r="F7" s="341" t="str">
        <f>_xll.qlSimpleQuote(E7,,PriceTickValue,Permanent,Trigger,ObjectOverwrite)</f>
        <v>USDFUT3MK5_Quote#0000</v>
      </c>
      <c r="G7" s="342" t="str">
        <f>_xll.ohRangeRetrieveError(F7)</f>
        <v/>
      </c>
      <c r="H7" s="347" t="str">
        <f t="shared" si="1"/>
        <v>USDFUT3MK5ConvAdj_Quote</v>
      </c>
      <c r="I7" s="348" t="str">
        <f>_xll.qlFuturesConvAdjustmentQuote(H7,IborIndex,D7,F7,Volatility,MeanReversion,Permanent,AND(ISERROR(AD7),ISERROR(FuturesHWConvAdj!U7:U8)),ObjectOverwrite)</f>
        <v>USDFUT3MK5ConvAdj_Quote#0137</v>
      </c>
      <c r="J7" s="280" t="str">
        <f>_xll.ohRangeRetrieveError(I7)</f>
        <v/>
      </c>
      <c r="K7" s="171"/>
      <c r="M7" s="332"/>
      <c r="N7" s="343">
        <v>3</v>
      </c>
      <c r="O7" s="343" t="b">
        <v>0</v>
      </c>
      <c r="P7" s="244" t="str">
        <v>K5</v>
      </c>
      <c r="Q7" s="344">
        <v>42144</v>
      </c>
      <c r="R7" s="244" t="str">
        <v>EDK5</v>
      </c>
      <c r="S7" s="345">
        <v>42142</v>
      </c>
      <c r="T7" s="85">
        <v>99.665000000000006</v>
      </c>
      <c r="U7" s="85">
        <v>99.67</v>
      </c>
      <c r="V7" s="85">
        <v>0</v>
      </c>
      <c r="W7" s="85">
        <v>99.665000000000006</v>
      </c>
      <c r="X7" s="85">
        <f>_xll.qlMidSafe(T7,U7,Trigger)</f>
        <v>99.667500000000004</v>
      </c>
      <c r="Y7" s="85">
        <f t="shared" si="2"/>
        <v>4.9999999999954525E-3</v>
      </c>
      <c r="Z7" s="336"/>
      <c r="AA7" s="346">
        <v>99.767499999999998</v>
      </c>
      <c r="AB7" s="336"/>
      <c r="AC7" s="85">
        <v>99.667500000000004</v>
      </c>
      <c r="AD7" s="244">
        <f>_xll.qlSimpleQuoteSetValue(F7,AC7,Trigger)</f>
        <v>0</v>
      </c>
      <c r="AE7" s="51"/>
    </row>
    <row r="8" spans="1:31" x14ac:dyDescent="0.2">
      <c r="A8" s="327"/>
      <c r="B8" s="340">
        <v>4</v>
      </c>
      <c r="C8" s="56" t="b">
        <v>0</v>
      </c>
      <c r="D8" s="52" t="str">
        <v>M5</v>
      </c>
      <c r="E8" s="139" t="str">
        <f t="shared" si="0"/>
        <v>USDFUT3MM5_Quote</v>
      </c>
      <c r="F8" s="341" t="str">
        <f>_xll.qlSimpleQuote(E8,,PriceTickValue,Permanent,Trigger,ObjectOverwrite)</f>
        <v>USDFUT3MM5_Quote#0000</v>
      </c>
      <c r="G8" s="342" t="str">
        <f>_xll.ohRangeRetrieveError(F8)</f>
        <v/>
      </c>
      <c r="H8" s="347" t="str">
        <f t="shared" si="1"/>
        <v>USDFUT3MM5ConvAdj_Quote</v>
      </c>
      <c r="I8" s="348" t="str">
        <f>_xll.qlFuturesConvAdjustmentQuote(H8,IborIndex,D8,F8,Volatility,MeanReversion,Permanent,AND(ISERROR(AD8),ISERROR(FuturesHWConvAdj!U8:U9)),ObjectOverwrite)</f>
        <v>USDFUT3MM5ConvAdj_Quote#0137</v>
      </c>
      <c r="J8" s="280" t="str">
        <f>_xll.ohRangeRetrieveError(I8)</f>
        <v/>
      </c>
      <c r="K8" s="171"/>
      <c r="M8" s="332"/>
      <c r="N8" s="343">
        <v>4</v>
      </c>
      <c r="O8" s="343" t="b">
        <v>0</v>
      </c>
      <c r="P8" s="244" t="str">
        <v>M5</v>
      </c>
      <c r="Q8" s="344">
        <v>42172</v>
      </c>
      <c r="R8" s="244" t="str">
        <v>EDM5</v>
      </c>
      <c r="S8" s="345">
        <v>42170</v>
      </c>
      <c r="T8" s="85">
        <v>99.62</v>
      </c>
      <c r="U8" s="85">
        <v>99.625</v>
      </c>
      <c r="V8" s="85">
        <v>99.625</v>
      </c>
      <c r="W8" s="85">
        <v>99.625</v>
      </c>
      <c r="X8" s="85">
        <f>_xll.qlMidSafe(T8,U8,Trigger)</f>
        <v>99.622500000000002</v>
      </c>
      <c r="Y8" s="85">
        <f t="shared" si="2"/>
        <v>4.9999999999954525E-3</v>
      </c>
      <c r="Z8" s="336"/>
      <c r="AA8" s="346">
        <v>99.757499999999993</v>
      </c>
      <c r="AB8" s="336"/>
      <c r="AC8" s="85">
        <v>99.622500000000002</v>
      </c>
      <c r="AD8" s="244">
        <f>_xll.qlSimpleQuoteSetValue(F8,AC8,Trigger)</f>
        <v>0</v>
      </c>
      <c r="AE8" s="51"/>
    </row>
    <row r="9" spans="1:31" x14ac:dyDescent="0.2">
      <c r="A9" s="327"/>
      <c r="B9" s="340">
        <v>5</v>
      </c>
      <c r="C9" s="56" t="b">
        <v>0</v>
      </c>
      <c r="D9" s="52" t="str">
        <v>N5</v>
      </c>
      <c r="E9" s="139" t="str">
        <f t="shared" si="0"/>
        <v>USDFUT3MN5_Quote</v>
      </c>
      <c r="F9" s="341" t="str">
        <f>_xll.qlSimpleQuote(E9,,PriceTickValue,Permanent,Trigger,ObjectOverwrite)</f>
        <v>USDFUT3MN5_Quote#0000</v>
      </c>
      <c r="G9" s="342" t="str">
        <f>_xll.ohRangeRetrieveError(F9)</f>
        <v/>
      </c>
      <c r="H9" s="347" t="str">
        <f t="shared" si="1"/>
        <v>USDFUT3MN5ConvAdj_Quote</v>
      </c>
      <c r="I9" s="348" t="str">
        <f>_xll.qlFuturesConvAdjustmentQuote(H9,IborIndex,D9,F9,Volatility,MeanReversion,Permanent,AND(ISERROR(AD9),ISERROR(FuturesHWConvAdj!U9:U10)),ObjectOverwrite)</f>
        <v>USDFUT3MN5ConvAdj_Quote#0137</v>
      </c>
      <c r="J9" s="280" t="str">
        <f>_xll.ohRangeRetrieveError(I9)</f>
        <v/>
      </c>
      <c r="K9" s="171"/>
      <c r="L9" s="349"/>
      <c r="M9" s="332"/>
      <c r="N9" s="343">
        <v>5</v>
      </c>
      <c r="O9" s="343" t="b">
        <v>0</v>
      </c>
      <c r="P9" s="244" t="str">
        <v>N5</v>
      </c>
      <c r="Q9" s="344">
        <v>42200</v>
      </c>
      <c r="R9" s="244" t="str">
        <v>EDN5</v>
      </c>
      <c r="S9" s="345">
        <v>42198</v>
      </c>
      <c r="T9" s="85">
        <v>0</v>
      </c>
      <c r="U9" s="85">
        <v>0</v>
      </c>
      <c r="V9" s="85">
        <v>0</v>
      </c>
      <c r="W9" s="85">
        <v>99.564999999999998</v>
      </c>
      <c r="X9" s="85" t="e">
        <f>_xll.qlMidSafe(T9,U9,Trigger)</f>
        <v>#NUM!</v>
      </c>
      <c r="Y9" s="85">
        <f t="shared" si="2"/>
        <v>0</v>
      </c>
      <c r="Z9" s="336"/>
      <c r="AA9" s="350">
        <v>99.72</v>
      </c>
      <c r="AB9" s="336"/>
      <c r="AC9" s="85" t="e">
        <v>#NUM!</v>
      </c>
      <c r="AD9" s="244">
        <f>_xll.qlSimpleQuoteSetValue(F9,AC9,Trigger)</f>
        <v>0</v>
      </c>
      <c r="AE9" s="51"/>
    </row>
    <row r="10" spans="1:31" x14ac:dyDescent="0.2">
      <c r="A10" s="327"/>
      <c r="B10" s="340">
        <v>6</v>
      </c>
      <c r="C10" s="56" t="b">
        <v>0</v>
      </c>
      <c r="D10" s="52" t="str">
        <v>Q5</v>
      </c>
      <c r="E10" s="139" t="str">
        <f t="shared" si="0"/>
        <v>USDFUT3MQ5_Quote</v>
      </c>
      <c r="F10" s="341" t="str">
        <f>_xll.qlSimpleQuote(E10,,PriceTickValue,Permanent,Trigger,ObjectOverwrite)</f>
        <v>USDFUT3MQ5_Quote#0000</v>
      </c>
      <c r="G10" s="342" t="str">
        <f>_xll.ohRangeRetrieveError(F10)</f>
        <v/>
      </c>
      <c r="H10" s="347" t="str">
        <f t="shared" si="1"/>
        <v>USDFUT3MQ5ConvAdj_Quote</v>
      </c>
      <c r="I10" s="348" t="str">
        <f>_xll.qlFuturesConvAdjustmentQuote(H10,IborIndex,D10,F10,Volatility,MeanReversion,Permanent,AND(ISERROR(AD10),ISERROR(FuturesHWConvAdj!U10:U11)),ObjectOverwrite)</f>
        <v>USDFUT3MQ5ConvAdj_Quote#0134</v>
      </c>
      <c r="J10" s="280" t="str">
        <f>_xll.ohRangeRetrieveError(I10)</f>
        <v/>
      </c>
      <c r="K10" s="171"/>
      <c r="M10" s="332"/>
      <c r="N10" s="343">
        <v>6</v>
      </c>
      <c r="O10" s="343" t="b">
        <v>0</v>
      </c>
      <c r="P10" s="244" t="str">
        <v>Q5</v>
      </c>
      <c r="Q10" s="344">
        <v>42235</v>
      </c>
      <c r="R10" s="244" t="str">
        <v>EDQ5</v>
      </c>
      <c r="S10" s="345">
        <v>42233</v>
      </c>
      <c r="T10" s="85">
        <v>0</v>
      </c>
      <c r="U10" s="85">
        <v>0</v>
      </c>
      <c r="V10" s="85">
        <v>0</v>
      </c>
      <c r="W10" s="85">
        <v>99.5</v>
      </c>
      <c r="X10" s="85" t="e">
        <f>_xll.qlMidSafe(T10,U10,Trigger)</f>
        <v>#NUM!</v>
      </c>
      <c r="Y10" s="85">
        <f t="shared" si="2"/>
        <v>0</v>
      </c>
      <c r="Z10" s="336"/>
      <c r="AA10" s="350">
        <v>99.722499999999997</v>
      </c>
      <c r="AB10" s="336"/>
      <c r="AC10" s="85" t="e">
        <v>#NUM!</v>
      </c>
      <c r="AD10" s="244">
        <f>_xll.qlSimpleQuoteSetValue(F10,AC10,Trigger)</f>
        <v>0</v>
      </c>
      <c r="AE10" s="51"/>
    </row>
    <row r="11" spans="1:31" x14ac:dyDescent="0.2">
      <c r="A11" s="327"/>
      <c r="B11" s="340">
        <v>7</v>
      </c>
      <c r="C11" s="56" t="b">
        <v>0</v>
      </c>
      <c r="D11" s="52" t="str">
        <v>U5</v>
      </c>
      <c r="E11" s="139" t="str">
        <f t="shared" si="0"/>
        <v>USDFUT3MU5_Quote</v>
      </c>
      <c r="F11" s="341" t="str">
        <f>_xll.qlSimpleQuote(E11,,PriceTickValue,Permanent,Trigger,ObjectOverwrite)</f>
        <v>USDFUT3MU5_Quote#0000</v>
      </c>
      <c r="G11" s="342" t="str">
        <f>_xll.ohRangeRetrieveError(F11)</f>
        <v/>
      </c>
      <c r="H11" s="347" t="str">
        <f t="shared" si="1"/>
        <v>USDFUT3MU5ConvAdj_Quote</v>
      </c>
      <c r="I11" s="348" t="str">
        <f>_xll.qlFuturesConvAdjustmentQuote(H11,IborIndex,D11,F11,Volatility,MeanReversion,Permanent,AND(ISERROR(AD11),ISERROR(FuturesHWConvAdj!U11:U12)),ObjectOverwrite)</f>
        <v>USDFUT3MU5ConvAdj_Quote#0133</v>
      </c>
      <c r="J11" s="280" t="str">
        <f>_xll.ohRangeRetrieveError(I11)</f>
        <v/>
      </c>
      <c r="K11" s="171"/>
      <c r="M11" s="332"/>
      <c r="N11" s="343">
        <v>7</v>
      </c>
      <c r="O11" s="343" t="b">
        <v>0</v>
      </c>
      <c r="P11" s="244" t="str">
        <v>U5</v>
      </c>
      <c r="Q11" s="344">
        <v>42263</v>
      </c>
      <c r="R11" s="244" t="str">
        <v>EDU5</v>
      </c>
      <c r="S11" s="345">
        <v>42261</v>
      </c>
      <c r="T11" s="85">
        <v>99.44</v>
      </c>
      <c r="U11" s="85">
        <v>99.444999999999993</v>
      </c>
      <c r="V11" s="85">
        <v>99.44</v>
      </c>
      <c r="W11" s="85">
        <v>99.444999999999993</v>
      </c>
      <c r="X11" s="85">
        <f>_xll.qlMidSafe(T11,U11,Trigger)</f>
        <v>99.442499999999995</v>
      </c>
      <c r="Y11" s="85">
        <f t="shared" si="2"/>
        <v>4.9999999999954525E-3</v>
      </c>
      <c r="Z11" s="336"/>
      <c r="AA11" s="350" t="e">
        <v>#NUM!</v>
      </c>
      <c r="AB11" s="336"/>
      <c r="AC11" s="85">
        <v>99.442499999999995</v>
      </c>
      <c r="AD11" s="244">
        <f>_xll.qlSimpleQuoteSetValue(F11,AC11,Trigger)</f>
        <v>0</v>
      </c>
      <c r="AE11" s="51"/>
    </row>
    <row r="12" spans="1:31" x14ac:dyDescent="0.2">
      <c r="A12" s="327"/>
      <c r="B12" s="340">
        <v>8</v>
      </c>
      <c r="C12" s="56" t="b">
        <v>0</v>
      </c>
      <c r="D12" s="52" t="str">
        <v>V5</v>
      </c>
      <c r="E12" s="139" t="str">
        <f t="shared" si="0"/>
        <v>USDFUT3MV5_Quote</v>
      </c>
      <c r="F12" s="341" t="str">
        <f>_xll.qlSimpleQuote(E12,,PriceTickValue,Permanent,Trigger,ObjectOverwrite)</f>
        <v>USDFUT3MV5_Quote#0000</v>
      </c>
      <c r="G12" s="342" t="str">
        <f>_xll.ohRangeRetrieveError(F12)</f>
        <v/>
      </c>
      <c r="H12" s="347" t="str">
        <f t="shared" si="1"/>
        <v>USDFUT3MV5ConvAdj_Quote</v>
      </c>
      <c r="I12" s="348" t="str">
        <f>_xll.qlFuturesConvAdjustmentQuote(H12,IborIndex,D12,F12,Volatility,MeanReversion,Permanent,AND(ISERROR(AD12),ISERROR(FuturesHWConvAdj!U12:U13)),ObjectOverwrite)</f>
        <v>USDFUT3MV5ConvAdj_Quote#0133</v>
      </c>
      <c r="J12" s="280" t="str">
        <f>_xll.ohRangeRetrieveError(I12)</f>
        <v/>
      </c>
      <c r="K12" s="171"/>
      <c r="M12" s="332"/>
      <c r="N12" s="343">
        <v>8</v>
      </c>
      <c r="O12" s="343" t="b">
        <v>0</v>
      </c>
      <c r="P12" s="244" t="str">
        <v>V5</v>
      </c>
      <c r="Q12" s="344">
        <v>42298</v>
      </c>
      <c r="R12" s="244" t="str">
        <v>EDV5</v>
      </c>
      <c r="S12" s="345" t="s">
        <v>163</v>
      </c>
      <c r="T12" s="85" t="s">
        <v>163</v>
      </c>
      <c r="U12" s="85" t="s">
        <v>163</v>
      </c>
      <c r="V12" s="85" t="s">
        <v>163</v>
      </c>
      <c r="W12" s="85" t="s">
        <v>163</v>
      </c>
      <c r="X12" s="85" t="e">
        <f>_xll.qlMidSafe(T12,U12,Trigger)</f>
        <v>#NUM!</v>
      </c>
      <c r="Y12" s="85" t="e">
        <f t="shared" si="2"/>
        <v>#VALUE!</v>
      </c>
      <c r="Z12" s="336"/>
      <c r="AA12" s="350" t="e">
        <v>#NUM!</v>
      </c>
      <c r="AB12" s="336"/>
      <c r="AC12" s="85" t="e">
        <v>#NUM!</v>
      </c>
      <c r="AD12" s="244">
        <f>_xll.qlSimpleQuoteSetValue(F12,AC12,Trigger)</f>
        <v>0</v>
      </c>
      <c r="AE12" s="51"/>
    </row>
    <row r="13" spans="1:31" x14ac:dyDescent="0.2">
      <c r="A13" s="327"/>
      <c r="B13" s="340">
        <v>9</v>
      </c>
      <c r="C13" s="56" t="b">
        <v>0</v>
      </c>
      <c r="D13" s="52" t="str">
        <v>X5</v>
      </c>
      <c r="E13" s="139" t="str">
        <f t="shared" si="0"/>
        <v>USDFUT3MX5_Quote</v>
      </c>
      <c r="F13" s="341" t="str">
        <f>_xll.qlSimpleQuote(E13,,PriceTickValue,Permanent,Trigger,ObjectOverwrite)</f>
        <v>USDFUT3MX5_Quote#0000</v>
      </c>
      <c r="G13" s="342" t="str">
        <f>_xll.ohRangeRetrieveError(F13)</f>
        <v/>
      </c>
      <c r="H13" s="347" t="str">
        <f t="shared" si="1"/>
        <v>USDFUT3MX5ConvAdj_Quote</v>
      </c>
      <c r="I13" s="348" t="str">
        <f>_xll.qlFuturesConvAdjustmentQuote(H13,IborIndex,D13,F13,Volatility,MeanReversion,Permanent,AND(ISERROR(AD13),ISERROR(FuturesHWConvAdj!U13:U14)),ObjectOverwrite)</f>
        <v>USDFUT3MX5ConvAdj_Quote#0134</v>
      </c>
      <c r="J13" s="280" t="str">
        <f>_xll.ohRangeRetrieveError(I13)</f>
        <v/>
      </c>
      <c r="K13" s="171"/>
      <c r="M13" s="332"/>
      <c r="N13" s="343">
        <v>9</v>
      </c>
      <c r="O13" s="343" t="b">
        <v>0</v>
      </c>
      <c r="P13" s="244" t="str">
        <v>X5</v>
      </c>
      <c r="Q13" s="344">
        <v>42326</v>
      </c>
      <c r="R13" s="244" t="str">
        <v>EDX5</v>
      </c>
      <c r="S13" s="345" t="s">
        <v>163</v>
      </c>
      <c r="T13" s="85" t="s">
        <v>163</v>
      </c>
      <c r="U13" s="85" t="s">
        <v>163</v>
      </c>
      <c r="V13" s="85" t="s">
        <v>163</v>
      </c>
      <c r="W13" s="85" t="s">
        <v>163</v>
      </c>
      <c r="X13" s="85" t="e">
        <f>_xll.qlMidSafe(T13,U13,Trigger)</f>
        <v>#NUM!</v>
      </c>
      <c r="Y13" s="85" t="e">
        <f t="shared" si="2"/>
        <v>#VALUE!</v>
      </c>
      <c r="Z13" s="336"/>
      <c r="AA13" s="350">
        <v>99.577500000000001</v>
      </c>
      <c r="AB13" s="336"/>
      <c r="AC13" s="85" t="e">
        <v>#NUM!</v>
      </c>
      <c r="AD13" s="244">
        <f>_xll.qlSimpleQuoteSetValue(F13,AC13,Trigger)</f>
        <v>0</v>
      </c>
      <c r="AE13" s="51"/>
    </row>
    <row r="14" spans="1:31" x14ac:dyDescent="0.2">
      <c r="A14" s="327"/>
      <c r="B14" s="340">
        <v>10</v>
      </c>
      <c r="C14" s="56" t="b">
        <v>0</v>
      </c>
      <c r="D14" s="52" t="str">
        <v>Z5</v>
      </c>
      <c r="E14" s="139" t="str">
        <f t="shared" si="0"/>
        <v>USDFUT3MZ5_Quote</v>
      </c>
      <c r="F14" s="341" t="str">
        <f>_xll.qlSimpleQuote(E14,,PriceTickValue,Permanent,Trigger,ObjectOverwrite)</f>
        <v>USDFUT3MZ5_Quote#0000</v>
      </c>
      <c r="G14" s="342" t="str">
        <f>_xll.ohRangeRetrieveError(F14)</f>
        <v/>
      </c>
      <c r="H14" s="347" t="str">
        <f t="shared" si="1"/>
        <v>USDFUT3MZ5ConvAdj_Quote</v>
      </c>
      <c r="I14" s="348" t="str">
        <f>_xll.qlFuturesConvAdjustmentQuote(H14,IborIndex,D14,F14,Volatility,MeanReversion,Permanent,AND(ISERROR(AD14),ISERROR(FuturesHWConvAdj!U14:U15)),ObjectOverwrite)</f>
        <v>USDFUT3MZ5ConvAdj_Quote#0137</v>
      </c>
      <c r="J14" s="280" t="str">
        <f>_xll.ohRangeRetrieveError(I14)</f>
        <v/>
      </c>
      <c r="K14" s="171"/>
      <c r="M14" s="332"/>
      <c r="N14" s="343">
        <v>10</v>
      </c>
      <c r="O14" s="343" t="b">
        <v>0</v>
      </c>
      <c r="P14" s="244" t="str">
        <v>Z5</v>
      </c>
      <c r="Q14" s="344">
        <v>42354</v>
      </c>
      <c r="R14" s="244" t="str">
        <v>EDZ5</v>
      </c>
      <c r="S14" s="345">
        <v>42352</v>
      </c>
      <c r="T14" s="85">
        <v>99.22</v>
      </c>
      <c r="U14" s="85">
        <v>99.224999999999994</v>
      </c>
      <c r="V14" s="85">
        <v>99.22</v>
      </c>
      <c r="W14" s="85">
        <v>99.224999999999994</v>
      </c>
      <c r="X14" s="85">
        <f>_xll.qlMidSafe(T14,U14,Trigger)</f>
        <v>99.222499999999997</v>
      </c>
      <c r="Y14" s="85">
        <f t="shared" si="2"/>
        <v>4.9999999999954525E-3</v>
      </c>
      <c r="Z14" s="336"/>
      <c r="AA14" s="350" t="e">
        <v>#NUM!</v>
      </c>
      <c r="AB14" s="336"/>
      <c r="AC14" s="85">
        <v>99.222499999999997</v>
      </c>
      <c r="AD14" s="244">
        <f>_xll.qlSimpleQuoteSetValue(F14,AC14,Trigger)</f>
        <v>0</v>
      </c>
      <c r="AE14" s="51"/>
    </row>
    <row r="15" spans="1:31" x14ac:dyDescent="0.2">
      <c r="A15" s="327"/>
      <c r="B15" s="340">
        <v>11</v>
      </c>
      <c r="C15" s="56" t="b">
        <v>0</v>
      </c>
      <c r="D15" s="52" t="str">
        <v>F6</v>
      </c>
      <c r="E15" s="139" t="str">
        <f t="shared" si="0"/>
        <v>USDFUT3MF6_Quote</v>
      </c>
      <c r="F15" s="341" t="str">
        <f>_xll.qlSimpleQuote(E15,,PriceTickValue,Permanent,Trigger,ObjectOverwrite)</f>
        <v>USDFUT3MF6_Quote#0000</v>
      </c>
      <c r="G15" s="342" t="str">
        <f>_xll.ohRangeRetrieveError(F15)</f>
        <v/>
      </c>
      <c r="H15" s="347" t="str">
        <f t="shared" si="1"/>
        <v>USDFUT3MF6ConvAdj_Quote</v>
      </c>
      <c r="I15" s="348" t="str">
        <f>_xll.qlFuturesConvAdjustmentQuote(H15,IborIndex,D15,F15,Volatility,MeanReversion,Permanent,AND(ISERROR(AD15),ISERROR(FuturesHWConvAdj!U15:U16)),ObjectOverwrite)</f>
        <v>USDFUT3MF6ConvAdj_Quote#0133</v>
      </c>
      <c r="J15" s="280" t="str">
        <f>_xll.ohRangeRetrieveError(I15)</f>
        <v/>
      </c>
      <c r="K15" s="171"/>
      <c r="M15" s="332"/>
      <c r="N15" s="343">
        <v>11</v>
      </c>
      <c r="O15" s="343" t="b">
        <v>0</v>
      </c>
      <c r="P15" s="244" t="str">
        <v>F6</v>
      </c>
      <c r="Q15" s="344">
        <v>42389</v>
      </c>
      <c r="R15" s="244" t="str">
        <v>EDF6</v>
      </c>
      <c r="S15" s="345" t="s">
        <v>163</v>
      </c>
      <c r="T15" s="85" t="s">
        <v>163</v>
      </c>
      <c r="U15" s="85" t="s">
        <v>163</v>
      </c>
      <c r="V15" s="85" t="s">
        <v>163</v>
      </c>
      <c r="W15" s="85" t="s">
        <v>163</v>
      </c>
      <c r="X15" s="85" t="e">
        <f>_xll.qlMidSafe(T15,U15,Trigger)</f>
        <v>#NUM!</v>
      </c>
      <c r="Y15" s="85" t="e">
        <f t="shared" si="2"/>
        <v>#VALUE!</v>
      </c>
      <c r="Z15" s="336"/>
      <c r="AA15" s="350" t="e">
        <v>#NUM!</v>
      </c>
      <c r="AB15" s="336"/>
      <c r="AC15" s="85" t="e">
        <v>#NUM!</v>
      </c>
      <c r="AD15" s="244">
        <f>_xll.qlSimpleQuoteSetValue(F15,AC15,Trigger)</f>
        <v>0</v>
      </c>
      <c r="AE15" s="51"/>
    </row>
    <row r="16" spans="1:31" x14ac:dyDescent="0.2">
      <c r="A16" s="327"/>
      <c r="B16" s="340">
        <v>12</v>
      </c>
      <c r="C16" s="56" t="b">
        <v>0</v>
      </c>
      <c r="D16" s="52" t="str">
        <v>G6</v>
      </c>
      <c r="E16" s="139" t="str">
        <f t="shared" si="0"/>
        <v>USDFUT3MG6_Quote</v>
      </c>
      <c r="F16" s="341" t="str">
        <f>_xll.qlSimpleQuote(E16,,PriceTickValue,Permanent,Trigger,ObjectOverwrite)</f>
        <v>USDFUT3MG6_Quote#0000</v>
      </c>
      <c r="G16" s="342" t="str">
        <f>_xll.ohRangeRetrieveError(F16)</f>
        <v/>
      </c>
      <c r="H16" s="347" t="str">
        <f t="shared" si="1"/>
        <v>USDFUT3MG6ConvAdj_Quote</v>
      </c>
      <c r="I16" s="348" t="str">
        <f>_xll.qlFuturesConvAdjustmentQuote(H16,IborIndex,D16,F16,Volatility,MeanReversion,Permanent,AND(ISERROR(AD16),ISERROR(FuturesHWConvAdj!U16:U17)),ObjectOverwrite)</f>
        <v>USDFUT3MG6ConvAdj_Quote#0134</v>
      </c>
      <c r="J16" s="280" t="str">
        <f>_xll.ohRangeRetrieveError(I16)</f>
        <v/>
      </c>
      <c r="K16" s="171"/>
      <c r="M16" s="332"/>
      <c r="N16" s="343">
        <v>12</v>
      </c>
      <c r="O16" s="343" t="b">
        <v>0</v>
      </c>
      <c r="P16" s="244" t="str">
        <v>G6</v>
      </c>
      <c r="Q16" s="344">
        <v>42417</v>
      </c>
      <c r="R16" s="244" t="str">
        <v>EDG6</v>
      </c>
      <c r="S16" s="345" t="s">
        <v>163</v>
      </c>
      <c r="T16" s="85" t="s">
        <v>163</v>
      </c>
      <c r="U16" s="85" t="s">
        <v>163</v>
      </c>
      <c r="V16" s="85" t="s">
        <v>163</v>
      </c>
      <c r="W16" s="85" t="s">
        <v>163</v>
      </c>
      <c r="X16" s="85" t="e">
        <f>_xll.qlMidSafe(T16,U16,Trigger)</f>
        <v>#NUM!</v>
      </c>
      <c r="Y16" s="85" t="e">
        <f t="shared" si="2"/>
        <v>#VALUE!</v>
      </c>
      <c r="Z16" s="336"/>
      <c r="AA16" s="350">
        <v>99.357500000000002</v>
      </c>
      <c r="AB16" s="336"/>
      <c r="AC16" s="85" t="e">
        <v>#NUM!</v>
      </c>
      <c r="AD16" s="244">
        <f>_xll.qlSimpleQuoteSetValue(F16,AC16,Trigger)</f>
        <v>0</v>
      </c>
      <c r="AE16" s="51"/>
    </row>
    <row r="17" spans="1:31" x14ac:dyDescent="0.2">
      <c r="A17" s="327"/>
      <c r="B17" s="340">
        <v>13</v>
      </c>
      <c r="C17" s="56" t="b">
        <v>1</v>
      </c>
      <c r="D17" s="52" t="str">
        <v>H6</v>
      </c>
      <c r="E17" s="139" t="str">
        <f t="shared" si="0"/>
        <v>USDFUT3MH6_Quote</v>
      </c>
      <c r="F17" s="341" t="str">
        <f>_xll.qlSimpleQuote(E17,,PriceTickValue,Permanent,Trigger,ObjectOverwrite)</f>
        <v>USDFUT3MH6_Quote#0000</v>
      </c>
      <c r="G17" s="342" t="str">
        <f>_xll.ohRangeRetrieveError(F17)</f>
        <v/>
      </c>
      <c r="H17" s="347" t="str">
        <f t="shared" si="1"/>
        <v>USDFUT3MH6ConvAdj_Quote</v>
      </c>
      <c r="I17" s="348" t="str">
        <f>_xll.qlFuturesConvAdjustmentQuote(H17,IborIndex,D17,F17,Volatility,MeanReversion,Permanent,AND(ISERROR(AD17),ISERROR(FuturesHWConvAdj!U17:U18)),ObjectOverwrite)</f>
        <v>USDFUT3MH6ConvAdj_Quote#0134</v>
      </c>
      <c r="J17" s="280" t="str">
        <f>_xll.ohRangeRetrieveError(I17)</f>
        <v/>
      </c>
      <c r="K17" s="171"/>
      <c r="M17" s="332"/>
      <c r="N17" s="343">
        <v>13</v>
      </c>
      <c r="O17" s="343" t="b">
        <v>1</v>
      </c>
      <c r="P17" s="244" t="str">
        <v>H6</v>
      </c>
      <c r="Q17" s="344">
        <v>42445</v>
      </c>
      <c r="R17" s="244" t="str">
        <v>EDH6</v>
      </c>
      <c r="S17" s="345">
        <v>42443</v>
      </c>
      <c r="T17" s="85">
        <v>98.995000000000005</v>
      </c>
      <c r="U17" s="85">
        <v>99</v>
      </c>
      <c r="V17" s="85">
        <v>98.995000000000005</v>
      </c>
      <c r="W17" s="85">
        <v>99</v>
      </c>
      <c r="X17" s="85">
        <f>_xll.qlMidSafe(T17,U17,Trigger)</f>
        <v>98.997500000000002</v>
      </c>
      <c r="Y17" s="85">
        <f t="shared" si="2"/>
        <v>4.9999999999954525E-3</v>
      </c>
      <c r="Z17" s="336"/>
      <c r="AA17" s="350">
        <v>99.102499999999992</v>
      </c>
      <c r="AB17" s="336"/>
      <c r="AC17" s="85">
        <v>98.997500000000002</v>
      </c>
      <c r="AD17" s="244">
        <f>_xll.qlSimpleQuoteSetValue(F17,AC17,Trigger)</f>
        <v>0</v>
      </c>
      <c r="AE17" s="51"/>
    </row>
    <row r="18" spans="1:31" x14ac:dyDescent="0.2">
      <c r="A18" s="327"/>
      <c r="B18" s="340">
        <v>14</v>
      </c>
      <c r="C18" s="56" t="b">
        <v>1</v>
      </c>
      <c r="D18" s="52" t="str">
        <v>M6</v>
      </c>
      <c r="E18" s="139" t="str">
        <f t="shared" si="0"/>
        <v>USDFUT3MM6_Quote</v>
      </c>
      <c r="F18" s="341" t="str">
        <f>_xll.qlSimpleQuote(E18,,PriceTickValue,Permanent,Trigger,ObjectOverwrite)</f>
        <v>USDFUT3MM6_Quote#0000</v>
      </c>
      <c r="G18" s="342" t="str">
        <f>_xll.ohRangeRetrieveError(F18)</f>
        <v/>
      </c>
      <c r="H18" s="347" t="str">
        <f t="shared" si="1"/>
        <v>USDFUT3MM6ConvAdj_Quote</v>
      </c>
      <c r="I18" s="348" t="str">
        <f>_xll.qlFuturesConvAdjustmentQuote(H18,IborIndex,D18,F18,Volatility,MeanReversion,Permanent,AND(ISERROR(AD18),ISERROR(FuturesHWConvAdj!U18:U19)),ObjectOverwrite)</f>
        <v>USDFUT3MM6ConvAdj_Quote#0137</v>
      </c>
      <c r="J18" s="280" t="str">
        <f>_xll.ohRangeRetrieveError(I18)</f>
        <v/>
      </c>
      <c r="K18" s="171"/>
      <c r="M18" s="332"/>
      <c r="N18" s="343">
        <v>14</v>
      </c>
      <c r="O18" s="343" t="b">
        <v>1</v>
      </c>
      <c r="P18" s="244" t="str">
        <v>M6</v>
      </c>
      <c r="Q18" s="344">
        <v>42536</v>
      </c>
      <c r="R18" s="244" t="str">
        <v>EDM6</v>
      </c>
      <c r="S18" s="345">
        <v>42534</v>
      </c>
      <c r="T18" s="85">
        <v>98.765000000000001</v>
      </c>
      <c r="U18" s="85">
        <v>98.77</v>
      </c>
      <c r="V18" s="85">
        <v>98.77</v>
      </c>
      <c r="W18" s="85">
        <v>98.775000000000006</v>
      </c>
      <c r="X18" s="85">
        <f>_xll.qlMidSafe(T18,U18,Trigger)</f>
        <v>98.767499999999998</v>
      </c>
      <c r="Y18" s="85">
        <f t="shared" si="2"/>
        <v>4.9999999999954525E-3</v>
      </c>
      <c r="Z18" s="336"/>
      <c r="AA18" s="350">
        <v>98.842500000000001</v>
      </c>
      <c r="AB18" s="336"/>
      <c r="AC18" s="85">
        <v>98.767499999999998</v>
      </c>
      <c r="AD18" s="244">
        <f>_xll.qlSimpleQuoteSetValue(F18,AC18,Trigger)</f>
        <v>0</v>
      </c>
      <c r="AE18" s="51"/>
    </row>
    <row r="19" spans="1:31" x14ac:dyDescent="0.2">
      <c r="A19" s="327"/>
      <c r="B19" s="340">
        <v>15</v>
      </c>
      <c r="C19" s="56" t="b">
        <v>1</v>
      </c>
      <c r="D19" s="52" t="str">
        <v>U6</v>
      </c>
      <c r="E19" s="139" t="str">
        <f t="shared" si="0"/>
        <v>USDFUT3MU6_Quote</v>
      </c>
      <c r="F19" s="341" t="str">
        <f>_xll.qlSimpleQuote(E19,,PriceTickValue,Permanent,Trigger,ObjectOverwrite)</f>
        <v>USDFUT3MU6_Quote#0000</v>
      </c>
      <c r="G19" s="342" t="str">
        <f>_xll.ohRangeRetrieveError(F19)</f>
        <v/>
      </c>
      <c r="H19" s="347" t="str">
        <f t="shared" si="1"/>
        <v>USDFUT3MU6ConvAdj_Quote</v>
      </c>
      <c r="I19" s="348" t="str">
        <f>_xll.qlFuturesConvAdjustmentQuote(H19,IborIndex,D19,F19,Volatility,MeanReversion,Permanent,AND(ISERROR(AD19),ISERROR(FuturesHWConvAdj!U19:U20)),ObjectOverwrite)</f>
        <v>USDFUT3MU6ConvAdj_Quote#0137</v>
      </c>
      <c r="J19" s="280" t="str">
        <f>_xll.ohRangeRetrieveError(I19)</f>
        <v/>
      </c>
      <c r="K19" s="171"/>
      <c r="M19" s="332"/>
      <c r="N19" s="343">
        <v>15</v>
      </c>
      <c r="O19" s="343" t="b">
        <v>1</v>
      </c>
      <c r="P19" s="244" t="str">
        <v>U6</v>
      </c>
      <c r="Q19" s="344">
        <v>42634</v>
      </c>
      <c r="R19" s="244" t="str">
        <v>EDU6</v>
      </c>
      <c r="S19" s="345">
        <v>42632</v>
      </c>
      <c r="T19" s="85">
        <v>98.545000000000002</v>
      </c>
      <c r="U19" s="85">
        <v>98.55</v>
      </c>
      <c r="V19" s="85">
        <v>98.545000000000002</v>
      </c>
      <c r="W19" s="85">
        <v>98.555000000000007</v>
      </c>
      <c r="X19" s="85">
        <f>_xll.qlMidSafe(T19,U19,Trigger)</f>
        <v>98.547499999999999</v>
      </c>
      <c r="Y19" s="85">
        <f t="shared" si="2"/>
        <v>4.9999999999954525E-3</v>
      </c>
      <c r="Z19" s="336"/>
      <c r="AA19" s="350">
        <v>98.582499999999996</v>
      </c>
      <c r="AB19" s="336"/>
      <c r="AC19" s="85">
        <v>98.547499999999999</v>
      </c>
      <c r="AD19" s="244">
        <f>_xll.qlSimpleQuoteSetValue(F19,AC19,Trigger)</f>
        <v>0</v>
      </c>
      <c r="AE19" s="51"/>
    </row>
    <row r="20" spans="1:31" x14ac:dyDescent="0.2">
      <c r="A20" s="327"/>
      <c r="B20" s="340">
        <v>16</v>
      </c>
      <c r="C20" s="56" t="b">
        <v>1</v>
      </c>
      <c r="D20" s="52" t="str">
        <v>Z6</v>
      </c>
      <c r="E20" s="139" t="str">
        <f t="shared" si="0"/>
        <v>USDFUT3MZ6_Quote</v>
      </c>
      <c r="F20" s="341" t="str">
        <f>_xll.qlSimpleQuote(E20,,PriceTickValue,Permanent,Trigger,ObjectOverwrite)</f>
        <v>USDFUT3MZ6_Quote#0000</v>
      </c>
      <c r="G20" s="342" t="str">
        <f>_xll.ohRangeRetrieveError(F20)</f>
        <v/>
      </c>
      <c r="H20" s="347" t="str">
        <f t="shared" si="1"/>
        <v>USDFUT3MZ6ConvAdj_Quote</v>
      </c>
      <c r="I20" s="348" t="str">
        <f>_xll.qlFuturesConvAdjustmentQuote(H20,IborIndex,D20,F20,Volatility,MeanReversion,Permanent,AND(ISERROR(AD20),ISERROR(FuturesHWConvAdj!U20:U21)),ObjectOverwrite)</f>
        <v>USDFUT3MZ6ConvAdj_Quote#0134</v>
      </c>
      <c r="J20" s="280" t="str">
        <f>_xll.ohRangeRetrieveError(I20)</f>
        <v/>
      </c>
      <c r="K20" s="171"/>
      <c r="M20" s="332"/>
      <c r="N20" s="343">
        <v>16</v>
      </c>
      <c r="O20" s="343" t="b">
        <v>1</v>
      </c>
      <c r="P20" s="244" t="str">
        <v>Z6</v>
      </c>
      <c r="Q20" s="344">
        <v>42725</v>
      </c>
      <c r="R20" s="244" t="str">
        <v>EDZ6</v>
      </c>
      <c r="S20" s="345">
        <v>42723</v>
      </c>
      <c r="T20" s="85">
        <v>98.334999999999994</v>
      </c>
      <c r="U20" s="85">
        <v>98.344999999999999</v>
      </c>
      <c r="V20" s="85">
        <v>98.34</v>
      </c>
      <c r="W20" s="85">
        <v>98.35</v>
      </c>
      <c r="X20" s="85">
        <f>_xll.qlMidSafe(T20,U20,Trigger)</f>
        <v>98.34</v>
      </c>
      <c r="Y20" s="85">
        <f t="shared" si="2"/>
        <v>1.0000000000005116E-2</v>
      </c>
      <c r="Z20" s="336"/>
      <c r="AA20" s="350">
        <v>98.327500000000001</v>
      </c>
      <c r="AB20" s="336"/>
      <c r="AC20" s="85">
        <v>98.34</v>
      </c>
      <c r="AD20" s="244">
        <f>_xll.qlSimpleQuoteSetValue(F20,AC20,Trigger)</f>
        <v>0</v>
      </c>
      <c r="AE20" s="51"/>
    </row>
    <row r="21" spans="1:31" x14ac:dyDescent="0.2">
      <c r="A21" s="327"/>
      <c r="B21" s="340">
        <v>17</v>
      </c>
      <c r="C21" s="56" t="b">
        <v>1</v>
      </c>
      <c r="D21" s="52" t="str">
        <v>H7</v>
      </c>
      <c r="E21" s="139" t="str">
        <f t="shared" si="0"/>
        <v>USDFUT3MH7_Quote</v>
      </c>
      <c r="F21" s="341" t="str">
        <f>_xll.qlSimpleQuote(E21,,PriceTickValue,Permanent,Trigger,ObjectOverwrite)</f>
        <v>USDFUT3MH7_Quote#0000</v>
      </c>
      <c r="G21" s="342" t="str">
        <f>_xll.ohRangeRetrieveError(F21)</f>
        <v/>
      </c>
      <c r="H21" s="347" t="str">
        <f t="shared" si="1"/>
        <v>USDFUT3MH7ConvAdj_Quote</v>
      </c>
      <c r="I21" s="348" t="str">
        <f>_xll.qlFuturesConvAdjustmentQuote(H21,IborIndex,D21,F21,Volatility,MeanReversion,Permanent,AND(ISERROR(AD21),ISERROR(FuturesHWConvAdj!U21:U22)),ObjectOverwrite)</f>
        <v>USDFUT3MH7ConvAdj_Quote#0134</v>
      </c>
      <c r="J21" s="280" t="str">
        <f>_xll.ohRangeRetrieveError(I21)</f>
        <v/>
      </c>
      <c r="K21" s="171"/>
      <c r="M21" s="332"/>
      <c r="N21" s="343">
        <v>17</v>
      </c>
      <c r="O21" s="343" t="b">
        <v>1</v>
      </c>
      <c r="P21" s="244" t="str">
        <v>H7</v>
      </c>
      <c r="Q21" s="344">
        <v>42809</v>
      </c>
      <c r="R21" s="244" t="str">
        <v>EDH7</v>
      </c>
      <c r="S21" s="345">
        <v>42807</v>
      </c>
      <c r="T21" s="85">
        <v>98.17</v>
      </c>
      <c r="U21" s="85">
        <v>98.174999999999997</v>
      </c>
      <c r="V21" s="85">
        <v>98.174999999999997</v>
      </c>
      <c r="W21" s="85">
        <v>98.185000000000002</v>
      </c>
      <c r="X21" s="85">
        <f>_xll.qlMidSafe(T21,U21,Trigger)</f>
        <v>98.172499999999999</v>
      </c>
      <c r="Y21" s="85">
        <f t="shared" si="2"/>
        <v>4.9999999999954525E-3</v>
      </c>
      <c r="Z21" s="336"/>
      <c r="AA21" s="350">
        <v>98.092500000000001</v>
      </c>
      <c r="AB21" s="336"/>
      <c r="AC21" s="85">
        <v>98.172499999999999</v>
      </c>
      <c r="AD21" s="244">
        <f>_xll.qlSimpleQuoteSetValue(F21,AC21,Trigger)</f>
        <v>0</v>
      </c>
      <c r="AE21" s="51"/>
    </row>
    <row r="22" spans="1:31" x14ac:dyDescent="0.2">
      <c r="A22" s="327"/>
      <c r="B22" s="340">
        <v>18</v>
      </c>
      <c r="C22" s="56" t="b">
        <v>1</v>
      </c>
      <c r="D22" s="52" t="str">
        <v>M7</v>
      </c>
      <c r="E22" s="139" t="str">
        <f t="shared" si="0"/>
        <v>USDFUT3MM7_Quote</v>
      </c>
      <c r="F22" s="341" t="str">
        <f>_xll.qlSimpleQuote(E22,,PriceTickValue,Permanent,Trigger,ObjectOverwrite)</f>
        <v>USDFUT3MM7_Quote#0000</v>
      </c>
      <c r="G22" s="342" t="str">
        <f>_xll.ohRangeRetrieveError(F22)</f>
        <v/>
      </c>
      <c r="H22" s="347" t="str">
        <f t="shared" si="1"/>
        <v>USDFUT3MM7ConvAdj_Quote</v>
      </c>
      <c r="I22" s="348" t="str">
        <f>_xll.qlFuturesConvAdjustmentQuote(H22,IborIndex,D22,F22,Volatility,MeanReversion,Permanent,AND(ISERROR(AD22),ISERROR(FuturesHWConvAdj!U22:U23)),ObjectOverwrite)</f>
        <v>USDFUT3MM7ConvAdj_Quote#0134</v>
      </c>
      <c r="J22" s="280" t="str">
        <f>_xll.ohRangeRetrieveError(I22)</f>
        <v/>
      </c>
      <c r="K22" s="171"/>
      <c r="M22" s="332"/>
      <c r="N22" s="343">
        <v>18</v>
      </c>
      <c r="O22" s="343" t="b">
        <v>1</v>
      </c>
      <c r="P22" s="244" t="str">
        <v>M7</v>
      </c>
      <c r="Q22" s="344">
        <v>42907</v>
      </c>
      <c r="R22" s="244" t="str">
        <v>EDM7</v>
      </c>
      <c r="S22" s="345">
        <v>42905</v>
      </c>
      <c r="T22" s="85">
        <v>98.02</v>
      </c>
      <c r="U22" s="85">
        <v>98.025000000000006</v>
      </c>
      <c r="V22" s="85">
        <v>98.02</v>
      </c>
      <c r="W22" s="85">
        <v>98.03</v>
      </c>
      <c r="X22" s="85">
        <f>_xll.qlMidSafe(T22,U22,Trigger)</f>
        <v>98.022500000000008</v>
      </c>
      <c r="Y22" s="85">
        <f t="shared" si="2"/>
        <v>5.0000000000096634E-3</v>
      </c>
      <c r="Z22" s="336"/>
      <c r="AA22" s="350">
        <v>97.892499999999998</v>
      </c>
      <c r="AB22" s="336"/>
      <c r="AC22" s="85">
        <v>98.022500000000008</v>
      </c>
      <c r="AD22" s="244">
        <f>_xll.qlSimpleQuoteSetValue(F22,AC22,Trigger)</f>
        <v>0</v>
      </c>
      <c r="AE22" s="51"/>
    </row>
    <row r="23" spans="1:31" x14ac:dyDescent="0.2">
      <c r="A23" s="327"/>
      <c r="B23" s="340">
        <v>19</v>
      </c>
      <c r="C23" s="56" t="b">
        <v>1</v>
      </c>
      <c r="D23" s="52" t="str">
        <v>U7</v>
      </c>
      <c r="E23" s="139" t="str">
        <f t="shared" si="0"/>
        <v>USDFUT3MU7_Quote</v>
      </c>
      <c r="F23" s="341" t="str">
        <f>_xll.qlSimpleQuote(E23,,PriceTickValue,Permanent,Trigger,ObjectOverwrite)</f>
        <v>USDFUT3MU7_Quote#0000</v>
      </c>
      <c r="G23" s="342" t="str">
        <f>_xll.ohRangeRetrieveError(F23)</f>
        <v/>
      </c>
      <c r="H23" s="347" t="str">
        <f t="shared" si="1"/>
        <v>USDFUT3MU7ConvAdj_Quote</v>
      </c>
      <c r="I23" s="348" t="str">
        <f>_xll.qlFuturesConvAdjustmentQuote(H23,IborIndex,D23,F23,Volatility,MeanReversion,Permanent,AND(ISERROR(AD23),ISERROR(FuturesHWConvAdj!U23:U24)),ObjectOverwrite)</f>
        <v>USDFUT3MU7ConvAdj_Quote#0134</v>
      </c>
      <c r="J23" s="280" t="str">
        <f>_xll.ohRangeRetrieveError(I23)</f>
        <v/>
      </c>
      <c r="K23" s="171"/>
      <c r="M23" s="332"/>
      <c r="N23" s="343">
        <v>19</v>
      </c>
      <c r="O23" s="343" t="b">
        <v>1</v>
      </c>
      <c r="P23" s="244" t="str">
        <v>U7</v>
      </c>
      <c r="Q23" s="344">
        <v>42998</v>
      </c>
      <c r="R23" s="244" t="str">
        <v>EDU7</v>
      </c>
      <c r="S23" s="345">
        <v>42996</v>
      </c>
      <c r="T23" s="85">
        <v>97.89</v>
      </c>
      <c r="U23" s="85">
        <v>97.894999999999996</v>
      </c>
      <c r="V23" s="85">
        <v>97.894999999999996</v>
      </c>
      <c r="W23" s="85">
        <v>97.905000000000001</v>
      </c>
      <c r="X23" s="85">
        <f>_xll.qlMidSafe(T23,U23,Trigger)</f>
        <v>97.892499999999998</v>
      </c>
      <c r="Y23" s="85">
        <f t="shared" si="2"/>
        <v>4.9999999999954525E-3</v>
      </c>
      <c r="Z23" s="336"/>
      <c r="AA23" s="350">
        <v>97.712500000000006</v>
      </c>
      <c r="AB23" s="336"/>
      <c r="AC23" s="85">
        <v>97.892499999999998</v>
      </c>
      <c r="AD23" s="244">
        <f>_xll.qlSimpleQuoteSetValue(F23,AC23,Trigger)</f>
        <v>0</v>
      </c>
      <c r="AE23" s="51"/>
    </row>
    <row r="24" spans="1:31" x14ac:dyDescent="0.2">
      <c r="A24" s="327"/>
      <c r="B24" s="340">
        <v>20</v>
      </c>
      <c r="C24" s="56" t="b">
        <v>1</v>
      </c>
      <c r="D24" s="52" t="str">
        <v>Z7</v>
      </c>
      <c r="E24" s="139" t="str">
        <f t="shared" si="0"/>
        <v>USDFUT3MZ7_Quote</v>
      </c>
      <c r="F24" s="341" t="str">
        <f>_xll.qlSimpleQuote(E24,,PriceTickValue,Permanent,Trigger,ObjectOverwrite)</f>
        <v>USDFUT3MZ7_Quote#0000</v>
      </c>
      <c r="G24" s="342" t="str">
        <f>_xll.ohRangeRetrieveError(F24)</f>
        <v/>
      </c>
      <c r="H24" s="347" t="str">
        <f t="shared" si="1"/>
        <v>USDFUT3MZ7ConvAdj_Quote</v>
      </c>
      <c r="I24" s="348" t="str">
        <f>_xll.qlFuturesConvAdjustmentQuote(H24,IborIndex,D24,F24,Volatility,MeanReversion,Permanent,AND(ISERROR(AD24),ISERROR(FuturesHWConvAdj!U24:U25)),ObjectOverwrite)</f>
        <v>USDFUT3MZ7ConvAdj_Quote#0134</v>
      </c>
      <c r="J24" s="280" t="str">
        <f>_xll.ohRangeRetrieveError(I24)</f>
        <v/>
      </c>
      <c r="K24" s="171"/>
      <c r="M24" s="332"/>
      <c r="N24" s="343">
        <v>20</v>
      </c>
      <c r="O24" s="343" t="b">
        <v>1</v>
      </c>
      <c r="P24" s="244" t="str">
        <v>Z7</v>
      </c>
      <c r="Q24" s="344">
        <v>43089</v>
      </c>
      <c r="R24" s="244" t="str">
        <v>EDZ7</v>
      </c>
      <c r="S24" s="345">
        <v>43087</v>
      </c>
      <c r="T24" s="85">
        <v>97.77</v>
      </c>
      <c r="U24" s="85">
        <v>97.775000000000006</v>
      </c>
      <c r="V24" s="85">
        <v>97.775000000000006</v>
      </c>
      <c r="W24" s="85">
        <v>97.784999999999997</v>
      </c>
      <c r="X24" s="85">
        <f>_xll.qlMidSafe(T24,U24,Trigger)</f>
        <v>97.772500000000008</v>
      </c>
      <c r="Y24" s="85">
        <f t="shared" si="2"/>
        <v>5.0000000000096634E-3</v>
      </c>
      <c r="Z24" s="336"/>
      <c r="AA24" s="350">
        <v>97.567499999999995</v>
      </c>
      <c r="AB24" s="336"/>
      <c r="AC24" s="85">
        <v>97.772500000000008</v>
      </c>
      <c r="AD24" s="244">
        <f>_xll.qlSimpleQuoteSetValue(F24,AC24,Trigger)</f>
        <v>0</v>
      </c>
      <c r="AE24" s="51"/>
    </row>
    <row r="25" spans="1:31" x14ac:dyDescent="0.2">
      <c r="A25" s="327"/>
      <c r="B25" s="340">
        <v>21</v>
      </c>
      <c r="C25" s="56" t="b">
        <v>1</v>
      </c>
      <c r="D25" s="52" t="str">
        <v>H8</v>
      </c>
      <c r="E25" s="139" t="str">
        <f t="shared" si="0"/>
        <v>USDFUT3MH8_Quote</v>
      </c>
      <c r="F25" s="341" t="str">
        <f>_xll.qlSimpleQuote(E25,,PriceTickValue,Permanent,Trigger,ObjectOverwrite)</f>
        <v>USDFUT3MH8_Quote#0000</v>
      </c>
      <c r="G25" s="342" t="str">
        <f>_xll.ohRangeRetrieveError(F25)</f>
        <v/>
      </c>
      <c r="H25" s="347" t="str">
        <f t="shared" si="1"/>
        <v>USDFUT3MH8ConvAdj_Quote</v>
      </c>
      <c r="I25" s="348" t="str">
        <f>_xll.qlFuturesConvAdjustmentQuote(H25,IborIndex,D25,F25,Volatility,MeanReversion,Permanent,AND(ISERROR(AD25),ISERROR(FuturesHWConvAdj!U25:U26)),ObjectOverwrite)</f>
        <v>USDFUT3MH8ConvAdj_Quote#0134</v>
      </c>
      <c r="J25" s="280" t="str">
        <f>_xll.ohRangeRetrieveError(I25)</f>
        <v/>
      </c>
      <c r="K25" s="171"/>
      <c r="M25" s="332"/>
      <c r="N25" s="343">
        <v>21</v>
      </c>
      <c r="O25" s="343" t="b">
        <v>1</v>
      </c>
      <c r="P25" s="244" t="str">
        <v>H8</v>
      </c>
      <c r="Q25" s="344">
        <v>43180</v>
      </c>
      <c r="R25" s="244" t="str">
        <v>EDH8</v>
      </c>
      <c r="S25" s="345">
        <v>43178</v>
      </c>
      <c r="T25" s="85">
        <v>97.68</v>
      </c>
      <c r="U25" s="85">
        <v>97.69</v>
      </c>
      <c r="V25" s="85">
        <v>97.685000000000002</v>
      </c>
      <c r="W25" s="85">
        <v>97.694999999999993</v>
      </c>
      <c r="X25" s="85">
        <f>_xll.qlMidSafe(T25,U25,Trigger)</f>
        <v>97.685000000000002</v>
      </c>
      <c r="Y25" s="85">
        <f t="shared" si="2"/>
        <v>9.9999999999909051E-3</v>
      </c>
      <c r="Z25" s="336"/>
      <c r="AA25" s="350">
        <v>97.4375</v>
      </c>
      <c r="AB25" s="336"/>
      <c r="AC25" s="85">
        <v>97.685000000000002</v>
      </c>
      <c r="AD25" s="244">
        <f>_xll.qlSimpleQuoteSetValue(F25,AC25,Trigger)</f>
        <v>0</v>
      </c>
      <c r="AE25" s="51"/>
    </row>
    <row r="26" spans="1:31" x14ac:dyDescent="0.2">
      <c r="A26" s="327"/>
      <c r="B26" s="340">
        <v>22</v>
      </c>
      <c r="C26" s="56" t="b">
        <v>1</v>
      </c>
      <c r="D26" s="52" t="str">
        <v>M8</v>
      </c>
      <c r="E26" s="139" t="str">
        <f t="shared" si="0"/>
        <v>USDFUT3MM8_Quote</v>
      </c>
      <c r="F26" s="341" t="str">
        <f>_xll.qlSimpleQuote(E26,,PriceTickValue,Permanent,Trigger,ObjectOverwrite)</f>
        <v>USDFUT3MM8_Quote#0000</v>
      </c>
      <c r="G26" s="342" t="str">
        <f>_xll.ohRangeRetrieveError(F26)</f>
        <v/>
      </c>
      <c r="H26" s="347" t="str">
        <f t="shared" si="1"/>
        <v>USDFUT3MM8ConvAdj_Quote</v>
      </c>
      <c r="I26" s="348" t="str">
        <f>_xll.qlFuturesConvAdjustmentQuote(H26,IborIndex,D26,F26,Volatility,MeanReversion,Permanent,AND(ISERROR(AD26),ISERROR(FuturesHWConvAdj!U26:U27)),ObjectOverwrite)</f>
        <v>USDFUT3MM8ConvAdj_Quote#0133</v>
      </c>
      <c r="J26" s="280" t="str">
        <f>_xll.ohRangeRetrieveError(I26)</f>
        <v/>
      </c>
      <c r="K26" s="171"/>
      <c r="M26" s="332"/>
      <c r="N26" s="343">
        <v>22</v>
      </c>
      <c r="O26" s="343" t="b">
        <v>1</v>
      </c>
      <c r="P26" s="244" t="str">
        <v>M8</v>
      </c>
      <c r="Q26" s="344">
        <v>43271</v>
      </c>
      <c r="R26" s="244" t="str">
        <v>EDM8</v>
      </c>
      <c r="S26" s="345">
        <v>43269</v>
      </c>
      <c r="T26" s="85">
        <v>97.594999999999999</v>
      </c>
      <c r="U26" s="85">
        <v>97.6</v>
      </c>
      <c r="V26" s="85">
        <v>97.6</v>
      </c>
      <c r="W26" s="85">
        <v>97.61</v>
      </c>
      <c r="X26" s="85">
        <f>_xll.qlMidSafe(T26,U26,Trigger)</f>
        <v>97.597499999999997</v>
      </c>
      <c r="Y26" s="85">
        <f t="shared" si="2"/>
        <v>4.9999999999954525E-3</v>
      </c>
      <c r="Z26" s="336"/>
      <c r="AA26" s="350">
        <v>97.337500000000006</v>
      </c>
      <c r="AB26" s="336"/>
      <c r="AC26" s="85">
        <v>97.597499999999997</v>
      </c>
      <c r="AD26" s="244">
        <f>_xll.qlSimpleQuoteSetValue(F26,AC26,Trigger)</f>
        <v>0</v>
      </c>
      <c r="AE26" s="51"/>
    </row>
    <row r="27" spans="1:31" x14ac:dyDescent="0.2">
      <c r="A27" s="327"/>
      <c r="B27" s="340">
        <v>23</v>
      </c>
      <c r="C27" s="56" t="b">
        <v>1</v>
      </c>
      <c r="D27" s="52" t="str">
        <v>U8</v>
      </c>
      <c r="E27" s="139" t="str">
        <f t="shared" si="0"/>
        <v>USDFUT3MU8_Quote</v>
      </c>
      <c r="F27" s="341" t="str">
        <f>_xll.qlSimpleQuote(E27,,PriceTickValue,Permanent,Trigger,ObjectOverwrite)</f>
        <v>USDFUT3MU8_Quote#0000</v>
      </c>
      <c r="G27" s="342" t="str">
        <f>_xll.ohRangeRetrieveError(F27)</f>
        <v/>
      </c>
      <c r="H27" s="347" t="str">
        <f t="shared" si="1"/>
        <v>USDFUT3MU8ConvAdj_Quote</v>
      </c>
      <c r="I27" s="348" t="str">
        <f>_xll.qlFuturesConvAdjustmentQuote(H27,IborIndex,D27,F27,Volatility,MeanReversion,Permanent,AND(ISERROR(AD27),ISERROR(FuturesHWConvAdj!U27:U28)),ObjectOverwrite)</f>
        <v>USDFUT3MU8ConvAdj_Quote#0137</v>
      </c>
      <c r="J27" s="280" t="str">
        <f>_xll.ohRangeRetrieveError(I27)</f>
        <v/>
      </c>
      <c r="K27" s="171"/>
      <c r="M27" s="332"/>
      <c r="N27" s="343">
        <v>23</v>
      </c>
      <c r="O27" s="343" t="b">
        <v>1</v>
      </c>
      <c r="P27" s="244" t="str">
        <v>U8</v>
      </c>
      <c r="Q27" s="344">
        <v>43362</v>
      </c>
      <c r="R27" s="244" t="str">
        <v>EDU8</v>
      </c>
      <c r="S27" s="345">
        <v>43360</v>
      </c>
      <c r="T27" s="85">
        <v>97.52</v>
      </c>
      <c r="U27" s="85">
        <v>97.525000000000006</v>
      </c>
      <c r="V27" s="85">
        <v>97.525000000000006</v>
      </c>
      <c r="W27" s="85">
        <v>97.534999999999997</v>
      </c>
      <c r="X27" s="85">
        <f>_xll.qlMidSafe(T27,U27,Trigger)</f>
        <v>97.522500000000008</v>
      </c>
      <c r="Y27" s="85">
        <f t="shared" si="2"/>
        <v>5.0000000000096634E-3</v>
      </c>
      <c r="Z27" s="336"/>
      <c r="AA27" s="350">
        <v>97.252499999999998</v>
      </c>
      <c r="AB27" s="336"/>
      <c r="AC27" s="85">
        <v>97.522500000000008</v>
      </c>
      <c r="AD27" s="244">
        <f>_xll.qlSimpleQuoteSetValue(F27,AC27,Trigger)</f>
        <v>0</v>
      </c>
      <c r="AE27" s="51"/>
    </row>
    <row r="28" spans="1:31" x14ac:dyDescent="0.2">
      <c r="A28" s="327"/>
      <c r="B28" s="340">
        <v>24</v>
      </c>
      <c r="C28" s="56" t="b">
        <v>1</v>
      </c>
      <c r="D28" s="52" t="str">
        <v>Z8</v>
      </c>
      <c r="E28" s="139" t="str">
        <f t="shared" si="0"/>
        <v>USDFUT3MZ8_Quote</v>
      </c>
      <c r="F28" s="341" t="str">
        <f>_xll.qlSimpleQuote(E28,,PriceTickValue,Permanent,Trigger,ObjectOverwrite)</f>
        <v>USDFUT3MZ8_Quote#0000</v>
      </c>
      <c r="G28" s="342" t="str">
        <f>_xll.ohRangeRetrieveError(F28)</f>
        <v/>
      </c>
      <c r="H28" s="347" t="str">
        <f t="shared" si="1"/>
        <v>USDFUT3MZ8ConvAdj_Quote</v>
      </c>
      <c r="I28" s="348" t="str">
        <f>_xll.qlFuturesConvAdjustmentQuote(H28,IborIndex,D28,F28,Volatility,MeanReversion,Permanent,AND(ISERROR(AD28),ISERROR(FuturesHWConvAdj!U28:U29)),ObjectOverwrite)</f>
        <v>USDFUT3MZ8ConvAdj_Quote#0133</v>
      </c>
      <c r="J28" s="280" t="str">
        <f>_xll.ohRangeRetrieveError(I28)</f>
        <v/>
      </c>
      <c r="K28" s="171"/>
      <c r="M28" s="332"/>
      <c r="N28" s="343">
        <v>24</v>
      </c>
      <c r="O28" s="343" t="b">
        <v>1</v>
      </c>
      <c r="P28" s="244" t="str">
        <v>Z8</v>
      </c>
      <c r="Q28" s="344">
        <v>43453</v>
      </c>
      <c r="R28" s="244" t="str">
        <v>EDZ8</v>
      </c>
      <c r="S28" s="345">
        <v>43451</v>
      </c>
      <c r="T28" s="85">
        <v>97.444999999999993</v>
      </c>
      <c r="U28" s="85">
        <v>97.45</v>
      </c>
      <c r="V28" s="85">
        <v>97.45</v>
      </c>
      <c r="W28" s="85">
        <v>97.465000000000003</v>
      </c>
      <c r="X28" s="85">
        <f>_xll.qlMidSafe(T28,U28,Trigger)</f>
        <v>97.447499999999991</v>
      </c>
      <c r="Y28" s="85">
        <f t="shared" si="2"/>
        <v>5.0000000000096634E-3</v>
      </c>
      <c r="Z28" s="336"/>
      <c r="AA28" s="350">
        <v>97.17</v>
      </c>
      <c r="AB28" s="336"/>
      <c r="AC28" s="85">
        <v>97.447499999999991</v>
      </c>
      <c r="AD28" s="244">
        <f>_xll.qlSimpleQuoteSetValue(F28,AC28,Trigger)</f>
        <v>0</v>
      </c>
      <c r="AE28" s="51"/>
    </row>
    <row r="29" spans="1:31" x14ac:dyDescent="0.2">
      <c r="A29" s="327"/>
      <c r="B29" s="340">
        <v>25</v>
      </c>
      <c r="C29" s="56" t="b">
        <v>1</v>
      </c>
      <c r="D29" s="52" t="str">
        <v>H9</v>
      </c>
      <c r="E29" s="139" t="str">
        <f t="shared" si="0"/>
        <v>USDFUT3MH9_Quote</v>
      </c>
      <c r="F29" s="341" t="str">
        <f>_xll.qlSimpleQuote(E29,,PriceTickValue,Permanent,Trigger,ObjectOverwrite)</f>
        <v>USDFUT3MH9_Quote#0000</v>
      </c>
      <c r="G29" s="342" t="str">
        <f>_xll.ohRangeRetrieveError(F29)</f>
        <v/>
      </c>
      <c r="H29" s="347" t="str">
        <f t="shared" si="1"/>
        <v>USDFUT3MH9ConvAdj_Quote</v>
      </c>
      <c r="I29" s="348" t="str">
        <f>_xll.qlFuturesConvAdjustmentQuote(H29,IborIndex,D29,F29,Volatility,MeanReversion,Permanent,AND(ISERROR(AD29),ISERROR(FuturesHWConvAdj!U29:U30)),ObjectOverwrite)</f>
        <v>USDFUT3MH9ConvAdj_Quote#0133</v>
      </c>
      <c r="J29" s="280" t="str">
        <f>_xll.ohRangeRetrieveError(I29)</f>
        <v/>
      </c>
      <c r="K29" s="171"/>
      <c r="M29" s="332"/>
      <c r="N29" s="343">
        <v>25</v>
      </c>
      <c r="O29" s="343" t="b">
        <v>1</v>
      </c>
      <c r="P29" s="244" t="str">
        <v>H9</v>
      </c>
      <c r="Q29" s="344">
        <v>43544</v>
      </c>
      <c r="R29" s="244" t="str">
        <v>EDH9</v>
      </c>
      <c r="S29" s="345">
        <v>43542</v>
      </c>
      <c r="T29" s="85">
        <v>97.39</v>
      </c>
      <c r="U29" s="85">
        <v>97.4</v>
      </c>
      <c r="V29" s="85">
        <v>97.394999999999996</v>
      </c>
      <c r="W29" s="85">
        <v>97.41</v>
      </c>
      <c r="X29" s="85">
        <f>_xll.qlMidSafe(T29,U29,Trigger)</f>
        <v>97.39500000000001</v>
      </c>
      <c r="Y29" s="85">
        <f t="shared" si="2"/>
        <v>1.0000000000005116E-2</v>
      </c>
      <c r="Z29" s="336"/>
      <c r="AA29" s="350">
        <v>97.09</v>
      </c>
      <c r="AB29" s="336"/>
      <c r="AC29" s="85">
        <v>97.39500000000001</v>
      </c>
      <c r="AD29" s="244">
        <f>_xll.qlSimpleQuoteSetValue(F29,AC29,Trigger)</f>
        <v>0</v>
      </c>
      <c r="AE29" s="51"/>
    </row>
    <row r="30" spans="1:31" x14ac:dyDescent="0.2">
      <c r="A30" s="327"/>
      <c r="B30" s="340">
        <v>26</v>
      </c>
      <c r="C30" s="56" t="b">
        <v>1</v>
      </c>
      <c r="D30" s="52" t="str">
        <v>M9</v>
      </c>
      <c r="E30" s="139" t="str">
        <f t="shared" si="0"/>
        <v>USDFUT3MM9_Quote</v>
      </c>
      <c r="F30" s="341" t="str">
        <f>_xll.qlSimpleQuote(E30,,PriceTickValue,Permanent,Trigger,ObjectOverwrite)</f>
        <v>USDFUT3MM9_Quote#0000</v>
      </c>
      <c r="G30" s="342" t="str">
        <f>_xll.ohRangeRetrieveError(F30)</f>
        <v/>
      </c>
      <c r="H30" s="347" t="str">
        <f t="shared" si="1"/>
        <v>USDFUT3MM9ConvAdj_Quote</v>
      </c>
      <c r="I30" s="348" t="str">
        <f>_xll.qlFuturesConvAdjustmentQuote(H30,IborIndex,D30,F30,Volatility,MeanReversion,Permanent,AND(ISERROR(AD30),ISERROR(FuturesHWConvAdj!U30:U31)),ObjectOverwrite)</f>
        <v>USDFUT3MM9ConvAdj_Quote#0137</v>
      </c>
      <c r="J30" s="280" t="str">
        <f>_xll.ohRangeRetrieveError(I30)</f>
        <v/>
      </c>
      <c r="K30" s="171"/>
      <c r="M30" s="332"/>
      <c r="N30" s="343">
        <v>26</v>
      </c>
      <c r="O30" s="343" t="b">
        <v>1</v>
      </c>
      <c r="P30" s="244" t="str">
        <v>M9</v>
      </c>
      <c r="Q30" s="344">
        <v>43635</v>
      </c>
      <c r="R30" s="244" t="str">
        <v>EDM9</v>
      </c>
      <c r="S30" s="345">
        <v>43633</v>
      </c>
      <c r="T30" s="85">
        <v>97.34</v>
      </c>
      <c r="U30" s="85">
        <v>97.344999999999999</v>
      </c>
      <c r="V30" s="85">
        <v>97.34</v>
      </c>
      <c r="W30" s="85">
        <v>97.355000000000004</v>
      </c>
      <c r="X30" s="85">
        <f>_xll.qlMidSafe(T30,U30,Trigger)</f>
        <v>97.342500000000001</v>
      </c>
      <c r="Y30" s="85">
        <f t="shared" si="2"/>
        <v>4.9999999999954525E-3</v>
      </c>
      <c r="Z30" s="336"/>
      <c r="AA30" s="350">
        <v>97.027500000000003</v>
      </c>
      <c r="AB30" s="336"/>
      <c r="AC30" s="85">
        <v>97.342500000000001</v>
      </c>
      <c r="AD30" s="244">
        <f>_xll.qlSimpleQuoteSetValue(F30,AC30,Trigger)</f>
        <v>0</v>
      </c>
      <c r="AE30" s="51"/>
    </row>
    <row r="31" spans="1:31" x14ac:dyDescent="0.2">
      <c r="A31" s="327"/>
      <c r="B31" s="340">
        <v>27</v>
      </c>
      <c r="C31" s="56" t="b">
        <v>1</v>
      </c>
      <c r="D31" s="52" t="str">
        <v>U9</v>
      </c>
      <c r="E31" s="139" t="str">
        <f t="shared" si="0"/>
        <v>USDFUT3MU9_Quote</v>
      </c>
      <c r="F31" s="341" t="str">
        <f>_xll.qlSimpleQuote(E31,,PriceTickValue,Permanent,Trigger,ObjectOverwrite)</f>
        <v>USDFUT3MU9_Quote#0000</v>
      </c>
      <c r="G31" s="342" t="str">
        <f>_xll.ohRangeRetrieveError(F31)</f>
        <v/>
      </c>
      <c r="H31" s="347" t="str">
        <f t="shared" si="1"/>
        <v>USDFUT3MU9ConvAdj_Quote</v>
      </c>
      <c r="I31" s="348" t="str">
        <f>_xll.qlFuturesConvAdjustmentQuote(H31,IborIndex,D31,F31,Volatility,MeanReversion,Permanent,AND(ISERROR(AD31),ISERROR(FuturesHWConvAdj!U31:U32)),ObjectOverwrite)</f>
        <v>USDFUT3MU9ConvAdj_Quote#0134</v>
      </c>
      <c r="J31" s="280" t="str">
        <f>_xll.ohRangeRetrieveError(I31)</f>
        <v/>
      </c>
      <c r="K31" s="171"/>
      <c r="M31" s="332"/>
      <c r="N31" s="343">
        <v>27</v>
      </c>
      <c r="O31" s="343" t="b">
        <v>1</v>
      </c>
      <c r="P31" s="244" t="str">
        <v>U9</v>
      </c>
      <c r="Q31" s="344">
        <v>43726</v>
      </c>
      <c r="R31" s="244" t="str">
        <v>EDU9</v>
      </c>
      <c r="S31" s="345">
        <v>43724</v>
      </c>
      <c r="T31" s="85">
        <v>97.284999999999997</v>
      </c>
      <c r="U31" s="85">
        <v>97.295000000000002</v>
      </c>
      <c r="V31" s="85">
        <v>97.29</v>
      </c>
      <c r="W31" s="85">
        <v>97.305000000000007</v>
      </c>
      <c r="X31" s="85">
        <f>_xll.qlMidSafe(T31,U31,Trigger)</f>
        <v>97.289999999999992</v>
      </c>
      <c r="Y31" s="85">
        <f t="shared" si="2"/>
        <v>1.0000000000005116E-2</v>
      </c>
      <c r="Z31" s="336"/>
      <c r="AA31" s="350">
        <v>96.965000000000003</v>
      </c>
      <c r="AB31" s="336"/>
      <c r="AC31" s="85">
        <v>97.289999999999992</v>
      </c>
      <c r="AD31" s="244">
        <f>_xll.qlSimpleQuoteSetValue(F31,AC31,Trigger)</f>
        <v>0</v>
      </c>
      <c r="AE31" s="51"/>
    </row>
    <row r="32" spans="1:31" x14ac:dyDescent="0.2">
      <c r="A32" s="327"/>
      <c r="B32" s="340">
        <v>28</v>
      </c>
      <c r="C32" s="56" t="b">
        <v>1</v>
      </c>
      <c r="D32" s="52" t="str">
        <v>Z9</v>
      </c>
      <c r="E32" s="139" t="str">
        <f t="shared" si="0"/>
        <v>USDFUT3MZ9_Quote</v>
      </c>
      <c r="F32" s="341" t="str">
        <f>_xll.qlSimpleQuote(E32,,PriceTickValue,Permanent,Trigger,ObjectOverwrite)</f>
        <v>USDFUT3MZ9_Quote#0000</v>
      </c>
      <c r="G32" s="342" t="str">
        <f>_xll.ohRangeRetrieveError(F32)</f>
        <v/>
      </c>
      <c r="H32" s="347" t="str">
        <f t="shared" si="1"/>
        <v>USDFUT3MZ9ConvAdj_Quote</v>
      </c>
      <c r="I32" s="348" t="str">
        <f>_xll.qlFuturesConvAdjustmentQuote(H32,IborIndex,D32,F32,Volatility,MeanReversion,Permanent,AND(ISERROR(AD32),ISERROR(FuturesHWConvAdj!U32:U33)),ObjectOverwrite)</f>
        <v>USDFUT3MZ9ConvAdj_Quote#0137</v>
      </c>
      <c r="J32" s="280" t="str">
        <f>_xll.ohRangeRetrieveError(I32)</f>
        <v/>
      </c>
      <c r="K32" s="171"/>
      <c r="M32" s="332"/>
      <c r="N32" s="343">
        <v>28</v>
      </c>
      <c r="O32" s="343" t="b">
        <v>1</v>
      </c>
      <c r="P32" s="244" t="str">
        <v>Z9</v>
      </c>
      <c r="Q32" s="344">
        <v>43817</v>
      </c>
      <c r="R32" s="244" t="str">
        <v>EDZ9</v>
      </c>
      <c r="S32" s="345">
        <v>43815</v>
      </c>
      <c r="T32" s="85">
        <v>97.234999999999999</v>
      </c>
      <c r="U32" s="85">
        <v>97.24</v>
      </c>
      <c r="V32" s="85">
        <v>97.24</v>
      </c>
      <c r="W32" s="85">
        <v>97.254999999999995</v>
      </c>
      <c r="X32" s="85">
        <f>_xll.qlMidSafe(T32,U32,Trigger)</f>
        <v>97.237499999999997</v>
      </c>
      <c r="Y32" s="85">
        <f t="shared" si="2"/>
        <v>4.9999999999954525E-3</v>
      </c>
      <c r="Z32" s="336"/>
      <c r="AA32" s="350">
        <v>96.9</v>
      </c>
      <c r="AB32" s="336"/>
      <c r="AC32" s="85">
        <v>97.237499999999997</v>
      </c>
      <c r="AD32" s="244">
        <f>_xll.qlSimpleQuoteSetValue(F32,AC32,Trigger)</f>
        <v>0</v>
      </c>
      <c r="AE32" s="51"/>
    </row>
    <row r="33" spans="1:31" x14ac:dyDescent="0.2">
      <c r="A33" s="327"/>
      <c r="B33" s="340">
        <v>29</v>
      </c>
      <c r="C33" s="56" t="b">
        <v>1</v>
      </c>
      <c r="D33" s="52" t="str">
        <v>H0</v>
      </c>
      <c r="E33" s="139" t="str">
        <f t="shared" si="0"/>
        <v>USDFUT3MH0_Quote</v>
      </c>
      <c r="F33" s="341" t="str">
        <f>_xll.qlSimpleQuote(E33,,PriceTickValue,Permanent,Trigger,ObjectOverwrite)</f>
        <v>USDFUT3MH0_Quote#0000</v>
      </c>
      <c r="G33" s="342" t="str">
        <f>_xll.ohRangeRetrieveError(F33)</f>
        <v/>
      </c>
      <c r="H33" s="347" t="str">
        <f t="shared" si="1"/>
        <v>USDFUT3MH0ConvAdj_Quote</v>
      </c>
      <c r="I33" s="348" t="str">
        <f>_xll.qlFuturesConvAdjustmentQuote(H33,IborIndex,D33,F33,Volatility,MeanReversion,Permanent,AND(ISERROR(AD33),ISERROR(FuturesHWConvAdj!U33:U34)),ObjectOverwrite)</f>
        <v>USDFUT3MH0ConvAdj_Quote#0133</v>
      </c>
      <c r="J33" s="280" t="str">
        <f>_xll.ohRangeRetrieveError(I33)</f>
        <v/>
      </c>
      <c r="K33" s="171"/>
      <c r="M33" s="332"/>
      <c r="N33" s="343">
        <v>29</v>
      </c>
      <c r="O33" s="343" t="b">
        <v>1</v>
      </c>
      <c r="P33" s="244" t="str">
        <v>H0</v>
      </c>
      <c r="Q33" s="344">
        <v>43908</v>
      </c>
      <c r="R33" s="244" t="str">
        <v>EDH0</v>
      </c>
      <c r="S33" s="345">
        <v>43906</v>
      </c>
      <c r="T33" s="85">
        <v>97.19</v>
      </c>
      <c r="U33" s="85">
        <v>97.194999999999993</v>
      </c>
      <c r="V33" s="85">
        <v>97.215000000000003</v>
      </c>
      <c r="W33" s="85">
        <v>97.21</v>
      </c>
      <c r="X33" s="85">
        <f>_xll.qlMidSafe(T33,U33,Trigger)</f>
        <v>97.192499999999995</v>
      </c>
      <c r="Y33" s="85">
        <f t="shared" si="2"/>
        <v>4.9999999999954525E-3</v>
      </c>
      <c r="Z33" s="336"/>
      <c r="AA33" s="350">
        <v>96.835000000000008</v>
      </c>
      <c r="AB33" s="336"/>
      <c r="AC33" s="85">
        <v>97.192499999999995</v>
      </c>
      <c r="AD33" s="244">
        <f>_xll.qlSimpleQuoteSetValue(F33,AC33,Trigger)</f>
        <v>0</v>
      </c>
      <c r="AE33" s="51"/>
    </row>
    <row r="34" spans="1:31" x14ac:dyDescent="0.2">
      <c r="A34" s="327"/>
      <c r="B34" s="340">
        <v>30</v>
      </c>
      <c r="C34" s="56" t="b">
        <v>1</v>
      </c>
      <c r="D34" s="52" t="str">
        <v>M0</v>
      </c>
      <c r="E34" s="139" t="str">
        <f t="shared" si="0"/>
        <v>USDFUT3MM0_Quote</v>
      </c>
      <c r="F34" s="341" t="str">
        <f>_xll.qlSimpleQuote(E34,,PriceTickValue,Permanent,Trigger,ObjectOverwrite)</f>
        <v>USDFUT3MM0_Quote#0000</v>
      </c>
      <c r="G34" s="342" t="str">
        <f>_xll.ohRangeRetrieveError(F34)</f>
        <v/>
      </c>
      <c r="H34" s="347" t="str">
        <f t="shared" si="1"/>
        <v>USDFUT3MM0ConvAdj_Quote</v>
      </c>
      <c r="I34" s="348" t="str">
        <f>_xll.qlFuturesConvAdjustmentQuote(H34,IborIndex,D34,F34,Volatility,MeanReversion,Permanent,AND(ISERROR(AD34),ISERROR(FuturesHWConvAdj!U34:U35)),ObjectOverwrite)</f>
        <v>USDFUT3MM0ConvAdj_Quote#0134</v>
      </c>
      <c r="J34" s="280" t="str">
        <f>_xll.ohRangeRetrieveError(I34)</f>
        <v/>
      </c>
      <c r="K34" s="171"/>
      <c r="M34" s="332"/>
      <c r="N34" s="343">
        <v>30</v>
      </c>
      <c r="O34" s="343" t="b">
        <v>1</v>
      </c>
      <c r="P34" s="244" t="str">
        <v>M0</v>
      </c>
      <c r="Q34" s="344">
        <v>43999</v>
      </c>
      <c r="R34" s="244" t="str">
        <v>EDM0</v>
      </c>
      <c r="S34" s="345">
        <v>43997</v>
      </c>
      <c r="T34" s="85">
        <v>97.144999999999996</v>
      </c>
      <c r="U34" s="85">
        <v>97.155000000000001</v>
      </c>
      <c r="V34" s="85">
        <v>97.165000000000006</v>
      </c>
      <c r="W34" s="85">
        <v>97.165000000000006</v>
      </c>
      <c r="X34" s="85">
        <f>_xll.qlMidSafe(T34,U34,Trigger)</f>
        <v>97.15</v>
      </c>
      <c r="Y34" s="85">
        <f t="shared" si="2"/>
        <v>1.0000000000005116E-2</v>
      </c>
      <c r="Z34" s="336"/>
      <c r="AA34" s="350">
        <v>96.777500000000003</v>
      </c>
      <c r="AB34" s="336"/>
      <c r="AC34" s="85">
        <v>97.15</v>
      </c>
      <c r="AD34" s="244">
        <f>_xll.qlSimpleQuoteSetValue(F34,AC34,Trigger)</f>
        <v>0</v>
      </c>
      <c r="AE34" s="51"/>
    </row>
    <row r="35" spans="1:31" x14ac:dyDescent="0.2">
      <c r="A35" s="327"/>
      <c r="B35" s="340">
        <v>31</v>
      </c>
      <c r="C35" s="56" t="b">
        <v>1</v>
      </c>
      <c r="D35" s="52" t="str">
        <v>U0</v>
      </c>
      <c r="E35" s="139" t="str">
        <f t="shared" si="0"/>
        <v>USDFUT3MU0_Quote</v>
      </c>
      <c r="F35" s="341" t="str">
        <f>_xll.qlSimpleQuote(E35,,PriceTickValue,Permanent,Trigger,ObjectOverwrite)</f>
        <v>USDFUT3MU0_Quote#0000</v>
      </c>
      <c r="G35" s="342" t="str">
        <f>_xll.ohRangeRetrieveError(F35)</f>
        <v/>
      </c>
      <c r="H35" s="347" t="str">
        <f t="shared" si="1"/>
        <v>USDFUT3MU0ConvAdj_Quote</v>
      </c>
      <c r="I35" s="348" t="str">
        <f>_xll.qlFuturesConvAdjustmentQuote(H35,IborIndex,D35,F35,Volatility,MeanReversion,Permanent,AND(ISERROR(AD35),ISERROR(FuturesHWConvAdj!U35:U36)),ObjectOverwrite)</f>
        <v>USDFUT3MU0ConvAdj_Quote#0134</v>
      </c>
      <c r="J35" s="280" t="str">
        <f>_xll.ohRangeRetrieveError(I35)</f>
        <v/>
      </c>
      <c r="K35" s="171"/>
      <c r="M35" s="332"/>
      <c r="N35" s="343">
        <v>31</v>
      </c>
      <c r="O35" s="343" t="b">
        <v>1</v>
      </c>
      <c r="P35" s="244" t="str">
        <v>U0</v>
      </c>
      <c r="Q35" s="344">
        <v>44090</v>
      </c>
      <c r="R35" s="244" t="str">
        <v>EDU0</v>
      </c>
      <c r="S35" s="345">
        <v>44088</v>
      </c>
      <c r="T35" s="85">
        <v>97.105000000000004</v>
      </c>
      <c r="U35" s="85">
        <v>97.114999999999995</v>
      </c>
      <c r="V35" s="85">
        <v>97.125</v>
      </c>
      <c r="W35" s="85">
        <v>97.125</v>
      </c>
      <c r="X35" s="85">
        <f>_xll.qlMidSafe(T35,U35,Trigger)</f>
        <v>97.11</v>
      </c>
      <c r="Y35" s="85">
        <f t="shared" si="2"/>
        <v>9.9999999999909051E-3</v>
      </c>
      <c r="Z35" s="336"/>
      <c r="AA35" s="350">
        <v>96.72</v>
      </c>
      <c r="AB35" s="336"/>
      <c r="AC35" s="85">
        <v>97.11</v>
      </c>
      <c r="AD35" s="244">
        <f>_xll.qlSimpleQuoteSetValue(F35,AC35,Trigger)</f>
        <v>0</v>
      </c>
      <c r="AE35" s="51"/>
    </row>
    <row r="36" spans="1:31" x14ac:dyDescent="0.2">
      <c r="A36" s="327"/>
      <c r="B36" s="340">
        <v>32</v>
      </c>
      <c r="C36" s="56" t="b">
        <v>1</v>
      </c>
      <c r="D36" s="52" t="str">
        <v>Z0</v>
      </c>
      <c r="E36" s="139" t="str">
        <f t="shared" si="0"/>
        <v>USDFUT3MZ0_Quote</v>
      </c>
      <c r="F36" s="341" t="str">
        <f>_xll.qlSimpleQuote(E36,,PriceTickValue,Permanent,Trigger,ObjectOverwrite)</f>
        <v>USDFUT3MZ0_Quote#0000</v>
      </c>
      <c r="G36" s="342" t="str">
        <f>_xll.ohRangeRetrieveError(F36)</f>
        <v/>
      </c>
      <c r="H36" s="347" t="str">
        <f t="shared" si="1"/>
        <v>USDFUT3MZ0ConvAdj_Quote</v>
      </c>
      <c r="I36" s="348" t="str">
        <f>_xll.qlFuturesConvAdjustmentQuote(H36,IborIndex,D36,F36,Volatility,MeanReversion,Permanent,AND(ISERROR(AD36),ISERROR(FuturesHWConvAdj!U36:U37)),ObjectOverwrite)</f>
        <v>USDFUT3MZ0ConvAdj_Quote#0137</v>
      </c>
      <c r="J36" s="280" t="str">
        <f>_xll.ohRangeRetrieveError(I36)</f>
        <v/>
      </c>
      <c r="K36" s="171"/>
      <c r="M36" s="332"/>
      <c r="N36" s="343">
        <v>32</v>
      </c>
      <c r="O36" s="343" t="b">
        <v>1</v>
      </c>
      <c r="P36" s="244" t="str">
        <v>Z0</v>
      </c>
      <c r="Q36" s="344">
        <v>44181</v>
      </c>
      <c r="R36" s="244" t="str">
        <v>EDZ0</v>
      </c>
      <c r="S36" s="345">
        <v>44179</v>
      </c>
      <c r="T36" s="85">
        <v>97.06</v>
      </c>
      <c r="U36" s="85">
        <v>97.07</v>
      </c>
      <c r="V36" s="85">
        <v>97.075000000000003</v>
      </c>
      <c r="W36" s="85">
        <v>97.084999999999994</v>
      </c>
      <c r="X36" s="85">
        <f>_xll.qlMidSafe(T36,U36,Trigger)</f>
        <v>97.064999999999998</v>
      </c>
      <c r="Y36" s="85">
        <f t="shared" si="2"/>
        <v>9.9999999999909051E-3</v>
      </c>
      <c r="Z36" s="336"/>
      <c r="AA36" s="350">
        <v>96.664999999999992</v>
      </c>
      <c r="AB36" s="336"/>
      <c r="AC36" s="85">
        <v>97.064999999999998</v>
      </c>
      <c r="AD36" s="244">
        <f>_xll.qlSimpleQuoteSetValue(F36,AC36,Trigger)</f>
        <v>0</v>
      </c>
      <c r="AE36" s="51"/>
    </row>
    <row r="37" spans="1:31" x14ac:dyDescent="0.2">
      <c r="A37" s="327"/>
      <c r="B37" s="340">
        <v>33</v>
      </c>
      <c r="C37" s="56" t="b">
        <v>1</v>
      </c>
      <c r="D37" s="52" t="str">
        <v>H1</v>
      </c>
      <c r="E37" s="139" t="str">
        <f t="shared" si="0"/>
        <v>USDFUT3MH1_Quote</v>
      </c>
      <c r="F37" s="341" t="str">
        <f>_xll.qlSimpleQuote(E37,,PriceTickValue,Permanent,Trigger,ObjectOverwrite)</f>
        <v>USDFUT3MH1_Quote#0000</v>
      </c>
      <c r="G37" s="342" t="str">
        <f>_xll.ohRangeRetrieveError(F37)</f>
        <v/>
      </c>
      <c r="H37" s="347" t="str">
        <f t="shared" si="1"/>
        <v>USDFUT3MH1ConvAdj_Quote</v>
      </c>
      <c r="I37" s="348" t="str">
        <f>_xll.qlFuturesConvAdjustmentQuote(H37,IborIndex,D37,F37,Volatility,MeanReversion,Permanent,AND(ISERROR(AD37),ISERROR(FuturesHWConvAdj!U37:U38)),ObjectOverwrite)</f>
        <v>USDFUT3MH1ConvAdj_Quote#0133</v>
      </c>
      <c r="J37" s="280" t="str">
        <f>_xll.ohRangeRetrieveError(I37)</f>
        <v/>
      </c>
      <c r="K37" s="171"/>
      <c r="M37" s="332"/>
      <c r="N37" s="343">
        <v>33</v>
      </c>
      <c r="O37" s="343" t="b">
        <v>1</v>
      </c>
      <c r="P37" s="244" t="str">
        <v>H1</v>
      </c>
      <c r="Q37" s="344">
        <v>44272</v>
      </c>
      <c r="R37" s="244" t="str">
        <v>EDH1</v>
      </c>
      <c r="S37" s="345">
        <v>44270</v>
      </c>
      <c r="T37" s="85">
        <v>97.03</v>
      </c>
      <c r="U37" s="85">
        <v>97.04</v>
      </c>
      <c r="V37" s="85">
        <v>0</v>
      </c>
      <c r="W37" s="85">
        <v>97.055000000000007</v>
      </c>
      <c r="X37" s="85">
        <f>_xll.qlMidSafe(T37,U37,Trigger)</f>
        <v>97.034999999999997</v>
      </c>
      <c r="Y37" s="85">
        <f t="shared" si="2"/>
        <v>1.0000000000005116E-2</v>
      </c>
      <c r="Z37" s="336"/>
      <c r="AA37" s="350">
        <v>96.615000000000009</v>
      </c>
      <c r="AB37" s="336"/>
      <c r="AC37" s="85">
        <v>97.034999999999997</v>
      </c>
      <c r="AD37" s="244">
        <f>_xll.qlSimpleQuoteSetValue(F37,AC37,Trigger)</f>
        <v>0</v>
      </c>
      <c r="AE37" s="51"/>
    </row>
    <row r="38" spans="1:31" x14ac:dyDescent="0.2">
      <c r="A38" s="327"/>
      <c r="B38" s="340">
        <v>34</v>
      </c>
      <c r="C38" s="56" t="b">
        <v>1</v>
      </c>
      <c r="D38" s="52" t="str">
        <v>M1</v>
      </c>
      <c r="E38" s="139" t="str">
        <f t="shared" si="0"/>
        <v>USDFUT3MM1_Quote</v>
      </c>
      <c r="F38" s="341" t="str">
        <f>_xll.qlSimpleQuote(E38,,PriceTickValue,Permanent,Trigger,ObjectOverwrite)</f>
        <v>USDFUT3MM1_Quote#0000</v>
      </c>
      <c r="G38" s="342" t="str">
        <f>_xll.ohRangeRetrieveError(F38)</f>
        <v/>
      </c>
      <c r="H38" s="347" t="str">
        <f t="shared" si="1"/>
        <v>USDFUT3MM1ConvAdj_Quote</v>
      </c>
      <c r="I38" s="348" t="str">
        <f>_xll.qlFuturesConvAdjustmentQuote(H38,IborIndex,D38,F38,Volatility,MeanReversion,Permanent,AND(ISERROR(AD38),ISERROR(FuturesHWConvAdj!U38:U39)),ObjectOverwrite)</f>
        <v>USDFUT3MM1ConvAdj_Quote#0133</v>
      </c>
      <c r="J38" s="280" t="str">
        <f>_xll.ohRangeRetrieveError(I38)</f>
        <v/>
      </c>
      <c r="K38" s="171"/>
      <c r="M38" s="332"/>
      <c r="N38" s="343">
        <v>34</v>
      </c>
      <c r="O38" s="343" t="b">
        <v>1</v>
      </c>
      <c r="P38" s="244" t="str">
        <v>M1</v>
      </c>
      <c r="Q38" s="344">
        <v>44363</v>
      </c>
      <c r="R38" s="244" t="str">
        <v>EDM1</v>
      </c>
      <c r="S38" s="345">
        <v>44361</v>
      </c>
      <c r="T38" s="85">
        <v>97</v>
      </c>
      <c r="U38" s="85">
        <v>97.01</v>
      </c>
      <c r="V38" s="85">
        <v>0</v>
      </c>
      <c r="W38" s="85">
        <v>97.025000000000006</v>
      </c>
      <c r="X38" s="85">
        <f>_xll.qlMidSafe(T38,U38,Trigger)</f>
        <v>97.004999999999995</v>
      </c>
      <c r="Y38" s="85">
        <f t="shared" si="2"/>
        <v>1.0000000000005116E-2</v>
      </c>
      <c r="Z38" s="336"/>
      <c r="AA38" s="350">
        <v>96.577499999999986</v>
      </c>
      <c r="AB38" s="336"/>
      <c r="AC38" s="85">
        <v>97.004999999999995</v>
      </c>
      <c r="AD38" s="244">
        <f>_xll.qlSimpleQuoteSetValue(F38,AC38,Trigger)</f>
        <v>0</v>
      </c>
      <c r="AE38" s="51"/>
    </row>
    <row r="39" spans="1:31" x14ac:dyDescent="0.2">
      <c r="A39" s="327"/>
      <c r="B39" s="340">
        <v>35</v>
      </c>
      <c r="C39" s="56" t="b">
        <v>1</v>
      </c>
      <c r="D39" s="52" t="str">
        <v>U1</v>
      </c>
      <c r="E39" s="139" t="str">
        <f t="shared" si="0"/>
        <v>USDFUT3MU1_Quote</v>
      </c>
      <c r="F39" s="341" t="str">
        <f>_xll.qlSimpleQuote(E39,,PriceTickValue,Permanent,Trigger,ObjectOverwrite)</f>
        <v>USDFUT3MU1_Quote#0000</v>
      </c>
      <c r="G39" s="342" t="str">
        <f>_xll.ohRangeRetrieveError(F39)</f>
        <v/>
      </c>
      <c r="H39" s="347" t="str">
        <f t="shared" si="1"/>
        <v>USDFUT3MU1ConvAdj_Quote</v>
      </c>
      <c r="I39" s="348" t="str">
        <f>_xll.qlFuturesConvAdjustmentQuote(H39,IborIndex,D39,F39,Volatility,MeanReversion,Permanent,AND(ISERROR(AD39),ISERROR(FuturesHWConvAdj!U39:U40)),ObjectOverwrite)</f>
        <v>USDFUT3MU1ConvAdj_Quote#0133</v>
      </c>
      <c r="J39" s="280" t="str">
        <f>_xll.ohRangeRetrieveError(I39)</f>
        <v/>
      </c>
      <c r="K39" s="171"/>
      <c r="M39" s="332"/>
      <c r="N39" s="343">
        <v>35</v>
      </c>
      <c r="O39" s="343" t="b">
        <v>1</v>
      </c>
      <c r="P39" s="244" t="str">
        <v>U1</v>
      </c>
      <c r="Q39" s="344">
        <v>44454</v>
      </c>
      <c r="R39" s="244" t="str">
        <v>EDU1</v>
      </c>
      <c r="S39" s="345">
        <v>44452</v>
      </c>
      <c r="T39" s="85">
        <v>96.974999999999994</v>
      </c>
      <c r="U39" s="85">
        <v>96.984999999999999</v>
      </c>
      <c r="V39" s="85">
        <v>0</v>
      </c>
      <c r="W39" s="85">
        <v>97</v>
      </c>
      <c r="X39" s="85">
        <f>_xll.qlMidSafe(T39,U39,Trigger)</f>
        <v>96.97999999999999</v>
      </c>
      <c r="Y39" s="85">
        <f t="shared" si="2"/>
        <v>1.0000000000005116E-2</v>
      </c>
      <c r="Z39" s="336"/>
      <c r="AA39" s="350">
        <v>96.532499999999999</v>
      </c>
      <c r="AB39" s="336"/>
      <c r="AC39" s="85">
        <v>96.97999999999999</v>
      </c>
      <c r="AD39" s="244">
        <f>_xll.qlSimpleQuoteSetValue(F39,AC39,Trigger)</f>
        <v>0</v>
      </c>
      <c r="AE39" s="51"/>
    </row>
    <row r="40" spans="1:31" x14ac:dyDescent="0.2">
      <c r="A40" s="327"/>
      <c r="B40" s="340">
        <v>36</v>
      </c>
      <c r="C40" s="56" t="b">
        <v>1</v>
      </c>
      <c r="D40" s="52" t="str">
        <v>Z1</v>
      </c>
      <c r="E40" s="139" t="str">
        <f t="shared" si="0"/>
        <v>USDFUT3MZ1_Quote</v>
      </c>
      <c r="F40" s="341" t="str">
        <f>_xll.qlSimpleQuote(E40,,PriceTickValue,Permanent,Trigger,ObjectOverwrite)</f>
        <v>USDFUT3MZ1_Quote#0000</v>
      </c>
      <c r="G40" s="342" t="str">
        <f>_xll.ohRangeRetrieveError(F40)</f>
        <v/>
      </c>
      <c r="H40" s="347" t="str">
        <f t="shared" si="1"/>
        <v>USDFUT3MZ1ConvAdj_Quote</v>
      </c>
      <c r="I40" s="348" t="str">
        <f>_xll.qlFuturesConvAdjustmentQuote(H40,IborIndex,D40,F40,Volatility,MeanReversion,Permanent,AND(ISERROR(AD40),ISERROR(FuturesHWConvAdj!U40:U41)),ObjectOverwrite)</f>
        <v>USDFUT3MZ1ConvAdj_Quote#0137</v>
      </c>
      <c r="J40" s="280" t="str">
        <f>_xll.ohRangeRetrieveError(I40)</f>
        <v/>
      </c>
      <c r="K40" s="171"/>
      <c r="M40" s="332"/>
      <c r="N40" s="343">
        <v>36</v>
      </c>
      <c r="O40" s="343" t="b">
        <v>1</v>
      </c>
      <c r="P40" s="244" t="str">
        <v>Z1</v>
      </c>
      <c r="Q40" s="344">
        <v>44545</v>
      </c>
      <c r="R40" s="244" t="str">
        <v>EDZ1</v>
      </c>
      <c r="S40" s="345">
        <v>44543</v>
      </c>
      <c r="T40" s="85">
        <v>96.944999999999993</v>
      </c>
      <c r="U40" s="85">
        <v>96.954999999999998</v>
      </c>
      <c r="V40" s="85">
        <v>0</v>
      </c>
      <c r="W40" s="85">
        <v>96.97</v>
      </c>
      <c r="X40" s="85">
        <f>_xll.qlMidSafe(T40,U40,Trigger)</f>
        <v>96.949999999999989</v>
      </c>
      <c r="Y40" s="85">
        <f t="shared" si="2"/>
        <v>1.0000000000005116E-2</v>
      </c>
      <c r="Z40" s="336"/>
      <c r="AA40" s="350">
        <v>96.502499999999998</v>
      </c>
      <c r="AB40" s="336"/>
      <c r="AC40" s="85">
        <v>96.949999999999989</v>
      </c>
      <c r="AD40" s="244">
        <f>_xll.qlSimpleQuoteSetValue(F40,AC40,Trigger)</f>
        <v>0</v>
      </c>
      <c r="AE40" s="51"/>
    </row>
    <row r="41" spans="1:31" x14ac:dyDescent="0.2">
      <c r="A41" s="327"/>
      <c r="B41" s="340">
        <v>37</v>
      </c>
      <c r="C41" s="56" t="b">
        <v>1</v>
      </c>
      <c r="D41" s="52" t="str">
        <v>H2</v>
      </c>
      <c r="E41" s="139" t="str">
        <f t="shared" si="0"/>
        <v>USDFUT3MH2_Quote</v>
      </c>
      <c r="F41" s="341" t="str">
        <f>_xll.qlSimpleQuote(E41,,PriceTickValue,Permanent,Trigger,ObjectOverwrite)</f>
        <v>USDFUT3MH2_Quote#0000</v>
      </c>
      <c r="G41" s="342" t="str">
        <f>_xll.ohRangeRetrieveError(F41)</f>
        <v/>
      </c>
      <c r="H41" s="347" t="str">
        <f t="shared" si="1"/>
        <v>USDFUT3MH2ConvAdj_Quote</v>
      </c>
      <c r="I41" s="348" t="str">
        <f>_xll.qlFuturesConvAdjustmentQuote(H41,IborIndex,D41,F41,Volatility,MeanReversion,Permanent,AND(ISERROR(AD41),ISERROR(FuturesHWConvAdj!U41:U42)),ObjectOverwrite)</f>
        <v>USDFUT3MH2ConvAdj_Quote#0133</v>
      </c>
      <c r="J41" s="280" t="str">
        <f>_xll.ohRangeRetrieveError(I41)</f>
        <v/>
      </c>
      <c r="K41" s="171"/>
      <c r="M41" s="332"/>
      <c r="N41" s="343">
        <v>37</v>
      </c>
      <c r="O41" s="343" t="b">
        <v>1</v>
      </c>
      <c r="P41" s="244" t="str">
        <v>H2</v>
      </c>
      <c r="Q41" s="344">
        <v>44636</v>
      </c>
      <c r="R41" s="244" t="str">
        <v>EDH2</v>
      </c>
      <c r="S41" s="345">
        <v>44634</v>
      </c>
      <c r="T41" s="85">
        <v>96.924999999999997</v>
      </c>
      <c r="U41" s="85">
        <v>96.94</v>
      </c>
      <c r="V41" s="85">
        <v>0</v>
      </c>
      <c r="W41" s="85">
        <v>96.95</v>
      </c>
      <c r="X41" s="85">
        <f>_xll.qlMidSafe(T41,U41,Trigger)</f>
        <v>96.932500000000005</v>
      </c>
      <c r="Y41" s="85">
        <f t="shared" si="2"/>
        <v>1.5000000000000568E-2</v>
      </c>
      <c r="Z41" s="336"/>
      <c r="AA41" s="350">
        <v>96.457499999999996</v>
      </c>
      <c r="AB41" s="336"/>
      <c r="AC41" s="85">
        <v>96.932500000000005</v>
      </c>
      <c r="AD41" s="244">
        <f>_xll.qlSimpleQuoteSetValue(F41,AC41,Trigger)</f>
        <v>0</v>
      </c>
      <c r="AE41" s="51"/>
    </row>
    <row r="42" spans="1:31" x14ac:dyDescent="0.2">
      <c r="A42" s="327"/>
      <c r="B42" s="340">
        <v>38</v>
      </c>
      <c r="C42" s="56" t="b">
        <v>1</v>
      </c>
      <c r="D42" s="52" t="str">
        <v>M2</v>
      </c>
      <c r="E42" s="139" t="str">
        <f t="shared" si="0"/>
        <v>USDFUT3MM2_Quote</v>
      </c>
      <c r="F42" s="341" t="str">
        <f>_xll.qlSimpleQuote(E42,,PriceTickValue,Permanent,Trigger,ObjectOverwrite)</f>
        <v>USDFUT3MM2_Quote#0000</v>
      </c>
      <c r="G42" s="342" t="str">
        <f>_xll.ohRangeRetrieveError(F42)</f>
        <v/>
      </c>
      <c r="H42" s="347" t="str">
        <f t="shared" si="1"/>
        <v>USDFUT3MM2ConvAdj_Quote</v>
      </c>
      <c r="I42" s="348" t="str">
        <f>_xll.qlFuturesConvAdjustmentQuote(H42,IborIndex,D42,F42,Volatility,MeanReversion,Permanent,AND(ISERROR(AD42),ISERROR(FuturesHWConvAdj!U42:U43)),ObjectOverwrite)</f>
        <v>USDFUT3MM2ConvAdj_Quote#0137</v>
      </c>
      <c r="J42" s="280" t="str">
        <f>_xll.ohRangeRetrieveError(I42)</f>
        <v/>
      </c>
      <c r="K42" s="171"/>
      <c r="M42" s="332"/>
      <c r="N42" s="343">
        <v>38</v>
      </c>
      <c r="O42" s="343" t="b">
        <v>1</v>
      </c>
      <c r="P42" s="244" t="str">
        <v>M2</v>
      </c>
      <c r="Q42" s="344">
        <v>44727</v>
      </c>
      <c r="R42" s="244" t="str">
        <v>EDM2</v>
      </c>
      <c r="S42" s="345">
        <v>44725</v>
      </c>
      <c r="T42" s="85">
        <v>96.885000000000005</v>
      </c>
      <c r="U42" s="85">
        <v>96.924999999999997</v>
      </c>
      <c r="V42" s="85">
        <v>0</v>
      </c>
      <c r="W42" s="85">
        <v>96.93</v>
      </c>
      <c r="X42" s="85">
        <f>_xll.qlMidSafe(T42,U42,Trigger)</f>
        <v>96.905000000000001</v>
      </c>
      <c r="Y42" s="85">
        <f t="shared" si="2"/>
        <v>3.9999999999992042E-2</v>
      </c>
      <c r="Z42" s="336"/>
      <c r="AA42" s="350">
        <v>96.367500000000007</v>
      </c>
      <c r="AB42" s="336"/>
      <c r="AC42" s="85">
        <v>96.905000000000001</v>
      </c>
      <c r="AD42" s="244">
        <f>_xll.qlSimpleQuoteSetValue(F42,AC42,Trigger)</f>
        <v>0</v>
      </c>
      <c r="AE42" s="51"/>
    </row>
    <row r="43" spans="1:31" x14ac:dyDescent="0.2">
      <c r="A43" s="327"/>
      <c r="B43" s="340">
        <v>39</v>
      </c>
      <c r="C43" s="56" t="b">
        <v>1</v>
      </c>
      <c r="D43" s="52" t="str">
        <v>U2</v>
      </c>
      <c r="E43" s="139" t="str">
        <f t="shared" si="0"/>
        <v>USDFUT3MU2_Quote</v>
      </c>
      <c r="F43" s="341" t="str">
        <f>_xll.qlSimpleQuote(E43,,PriceTickValue,Permanent,Trigger,ObjectOverwrite)</f>
        <v>USDFUT3MU2_Quote#0000</v>
      </c>
      <c r="G43" s="342" t="str">
        <f>_xll.ohRangeRetrieveError(F43)</f>
        <v/>
      </c>
      <c r="H43" s="347" t="str">
        <f t="shared" si="1"/>
        <v>USDFUT3MU2ConvAdj_Quote</v>
      </c>
      <c r="I43" s="348" t="str">
        <f>_xll.qlFuturesConvAdjustmentQuote(H43,IborIndex,D43,F43,Volatility,MeanReversion,Permanent,AND(ISERROR(AD43),ISERROR(FuturesHWConvAdj!U43:U44)),ObjectOverwrite)</f>
        <v>USDFUT3MU2ConvAdj_Quote#0137</v>
      </c>
      <c r="J43" s="280" t="str">
        <f>_xll.ohRangeRetrieveError(I43)</f>
        <v/>
      </c>
      <c r="K43" s="171"/>
      <c r="M43" s="332"/>
      <c r="N43" s="343">
        <v>39</v>
      </c>
      <c r="O43" s="343" t="b">
        <v>1</v>
      </c>
      <c r="P43" s="244" t="str">
        <v>U2</v>
      </c>
      <c r="Q43" s="344">
        <v>44825</v>
      </c>
      <c r="R43" s="244" t="str">
        <v>EDU2</v>
      </c>
      <c r="S43" s="345">
        <v>44823</v>
      </c>
      <c r="T43" s="85">
        <v>96.87</v>
      </c>
      <c r="U43" s="85">
        <v>96.9</v>
      </c>
      <c r="V43" s="85">
        <v>0</v>
      </c>
      <c r="W43" s="85">
        <v>96.91</v>
      </c>
      <c r="X43" s="85">
        <f>_xll.qlMidSafe(T43,U43,Trigger)</f>
        <v>96.885000000000005</v>
      </c>
      <c r="Y43" s="85">
        <f t="shared" si="2"/>
        <v>3.0000000000001137E-2</v>
      </c>
      <c r="Z43" s="336"/>
      <c r="AA43" s="350">
        <v>96.39</v>
      </c>
      <c r="AB43" s="336"/>
      <c r="AC43" s="85">
        <v>96.885000000000005</v>
      </c>
      <c r="AD43" s="244">
        <f>_xll.qlSimpleQuoteSetValue(F43,AC43,Trigger)</f>
        <v>0</v>
      </c>
      <c r="AE43" s="51"/>
    </row>
    <row r="44" spans="1:31" x14ac:dyDescent="0.2">
      <c r="A44" s="327"/>
      <c r="B44" s="340">
        <v>40</v>
      </c>
      <c r="C44" s="56" t="b">
        <v>1</v>
      </c>
      <c r="D44" s="52" t="str">
        <v>Z2</v>
      </c>
      <c r="E44" s="139" t="str">
        <f t="shared" si="0"/>
        <v>USDFUT3MZ2_Quote</v>
      </c>
      <c r="F44" s="341" t="str">
        <f>_xll.qlSimpleQuote(E44,,PriceTickValue,Permanent,Trigger,ObjectOverwrite)</f>
        <v>USDFUT3MZ2_Quote#0000</v>
      </c>
      <c r="G44" s="342" t="str">
        <f>_xll.ohRangeRetrieveError(F44)</f>
        <v/>
      </c>
      <c r="H44" s="347" t="str">
        <f t="shared" si="1"/>
        <v>USDFUT3MZ2ConvAdj_Quote</v>
      </c>
      <c r="I44" s="348" t="str">
        <f>_xll.qlFuturesConvAdjustmentQuote(H44,IborIndex,D44,F44,Volatility,MeanReversion,Permanent,AND(ISERROR(AD44),ISERROR(FuturesHWConvAdj!U44:U45)),ObjectOverwrite)</f>
        <v>USDFUT3MZ2ConvAdj_Quote#0137</v>
      </c>
      <c r="J44" s="280" t="str">
        <f>_xll.ohRangeRetrieveError(I44)</f>
        <v/>
      </c>
      <c r="K44" s="171"/>
      <c r="M44" s="332"/>
      <c r="N44" s="343">
        <v>40</v>
      </c>
      <c r="O44" s="343" t="b">
        <v>1</v>
      </c>
      <c r="P44" s="244" t="str">
        <v>Z2</v>
      </c>
      <c r="Q44" s="344">
        <v>44916</v>
      </c>
      <c r="R44" s="244" t="str">
        <v>EDZ2</v>
      </c>
      <c r="S44" s="345">
        <v>44914</v>
      </c>
      <c r="T44" s="85">
        <v>96.84</v>
      </c>
      <c r="U44" s="85">
        <v>96.88</v>
      </c>
      <c r="V44" s="85">
        <v>0</v>
      </c>
      <c r="W44" s="85">
        <v>96.885000000000005</v>
      </c>
      <c r="X44" s="85">
        <f>_xll.qlMidSafe(T44,U44,Trigger)</f>
        <v>96.86</v>
      </c>
      <c r="Y44" s="85">
        <f t="shared" si="2"/>
        <v>3.9999999999992042E-2</v>
      </c>
      <c r="Z44" s="336"/>
      <c r="AA44" s="350">
        <v>96.297499999999999</v>
      </c>
      <c r="AB44" s="336"/>
      <c r="AC44" s="85">
        <v>96.86</v>
      </c>
      <c r="AD44" s="244">
        <f>_xll.qlSimpleQuoteSetValue(F44,AC44,Trigger)</f>
        <v>0.99500000000000455</v>
      </c>
      <c r="AE44" s="51"/>
    </row>
    <row r="45" spans="1:31" x14ac:dyDescent="0.2">
      <c r="A45" s="327"/>
      <c r="B45" s="340">
        <v>41</v>
      </c>
      <c r="C45" s="56" t="b">
        <v>1</v>
      </c>
      <c r="D45" s="52" t="str">
        <v>H3</v>
      </c>
      <c r="E45" s="139" t="str">
        <f t="shared" si="0"/>
        <v>USDFUT3MH3_Quote</v>
      </c>
      <c r="F45" s="341" t="str">
        <f>_xll.qlSimpleQuote(E45,,PriceTickValue,Permanent,Trigger,ObjectOverwrite)</f>
        <v>USDFUT3MH3_Quote#0000</v>
      </c>
      <c r="G45" s="342" t="str">
        <f>_xll.ohRangeRetrieveError(F45)</f>
        <v/>
      </c>
      <c r="H45" s="347" t="str">
        <f t="shared" si="1"/>
        <v>USDFUT3MH3ConvAdj_Quote</v>
      </c>
      <c r="I45" s="348" t="str">
        <f>_xll.qlFuturesConvAdjustmentQuote(H45,IborIndex,D45,F45,Volatility,MeanReversion,Permanent,AND(ISERROR(AD45),ISERROR(FuturesHWConvAdj!U45:U46)),ObjectOverwrite)</f>
        <v>USDFUT3MH3ConvAdj_Quote#0134</v>
      </c>
      <c r="J45" s="280" t="str">
        <f>_xll.ohRangeRetrieveError(I45)</f>
        <v/>
      </c>
      <c r="K45" s="171"/>
      <c r="M45" s="332"/>
      <c r="N45" s="343">
        <v>41</v>
      </c>
      <c r="O45" s="343" t="b">
        <v>1</v>
      </c>
      <c r="P45" s="244" t="str">
        <v>H3</v>
      </c>
      <c r="Q45" s="344">
        <v>45000</v>
      </c>
      <c r="R45" s="244" t="str">
        <v>EDH3</v>
      </c>
      <c r="S45" s="345">
        <v>44998</v>
      </c>
      <c r="T45" s="85">
        <v>96.825000000000003</v>
      </c>
      <c r="U45" s="85">
        <v>96.864999999999995</v>
      </c>
      <c r="V45" s="85">
        <v>0</v>
      </c>
      <c r="W45" s="85">
        <v>96.87</v>
      </c>
      <c r="X45" s="85">
        <f>_xll.qlMidSafe(T45,U45,Trigger)</f>
        <v>96.844999999999999</v>
      </c>
      <c r="Y45" s="85">
        <f t="shared" si="2"/>
        <v>3.9999999999992042E-2</v>
      </c>
      <c r="Z45" s="336"/>
      <c r="AA45" s="350">
        <v>96.33</v>
      </c>
      <c r="AB45" s="336"/>
      <c r="AC45" s="85">
        <v>96.844999999999999</v>
      </c>
      <c r="AD45" s="244">
        <f>_xll.qlSimpleQuoteSetValue(F45,AC45,Trigger)</f>
        <v>0.99500000000000455</v>
      </c>
      <c r="AE45" s="51"/>
    </row>
    <row r="46" spans="1:31" x14ac:dyDescent="0.2">
      <c r="A46" s="327"/>
      <c r="B46" s="351">
        <v>42</v>
      </c>
      <c r="C46" s="258" t="b">
        <v>1</v>
      </c>
      <c r="D46" s="53" t="str">
        <v>M3</v>
      </c>
      <c r="E46" s="352" t="str">
        <f t="shared" si="0"/>
        <v>USDFUT3MM3_Quote</v>
      </c>
      <c r="F46" s="353" t="str">
        <f>_xll.qlSimpleQuote(E46,,PriceTickValue,Permanent,Trigger,ObjectOverwrite)</f>
        <v>USDFUT3MM3_Quote#0000</v>
      </c>
      <c r="G46" s="354" t="str">
        <f>_xll.ohRangeRetrieveError(F46)</f>
        <v/>
      </c>
      <c r="H46" s="359" t="str">
        <f t="shared" si="1"/>
        <v>USDFUT3MM3ConvAdj_Quote</v>
      </c>
      <c r="I46" s="360" t="str">
        <f>_xll.qlFuturesConvAdjustmentQuote(H46,IborIndex,D46,F46,Volatility,MeanReversion,Permanent,AND(ISERROR(AD46),ISERROR(FuturesHWConvAdj!U46:U47)),ObjectOverwrite)</f>
        <v>USDFUT3MM3ConvAdj_Quote#0137</v>
      </c>
      <c r="J46" s="282" t="str">
        <f>_xll.ohRangeRetrieveError(I46)</f>
        <v/>
      </c>
      <c r="K46" s="171"/>
      <c r="M46" s="332"/>
      <c r="N46" s="355">
        <v>42</v>
      </c>
      <c r="O46" s="355" t="b">
        <v>1</v>
      </c>
      <c r="P46" s="245" t="str">
        <v>M3</v>
      </c>
      <c r="Q46" s="356">
        <v>45098</v>
      </c>
      <c r="R46" s="245" t="str">
        <v>EDM3</v>
      </c>
      <c r="S46" s="357">
        <v>45096</v>
      </c>
      <c r="T46" s="86">
        <v>96.79</v>
      </c>
      <c r="U46" s="86">
        <v>96.87</v>
      </c>
      <c r="V46" s="86">
        <v>0</v>
      </c>
      <c r="W46" s="86">
        <v>96.85</v>
      </c>
      <c r="X46" s="86">
        <f>_xll.qlMidSafe(T46,U46,Trigger)</f>
        <v>96.830000000000013</v>
      </c>
      <c r="Y46" s="86">
        <f t="shared" si="2"/>
        <v>7.9999999999998295E-2</v>
      </c>
      <c r="Z46" s="336"/>
      <c r="AA46" s="358">
        <v>95.795000000000002</v>
      </c>
      <c r="AB46" s="336"/>
      <c r="AC46" s="86">
        <v>96.830000000000013</v>
      </c>
      <c r="AD46" s="245">
        <f>_xll.qlSimpleQuoteSetValue(F46,AC46,Trigger)</f>
        <v>0.99250000000000682</v>
      </c>
      <c r="AE46" s="51"/>
    </row>
    <row r="47" spans="1:31" ht="12" thickBot="1" x14ac:dyDescent="0.25">
      <c r="A47" s="361"/>
      <c r="B47" s="173"/>
      <c r="C47" s="173"/>
      <c r="D47" s="173"/>
      <c r="E47" s="173"/>
      <c r="F47" s="173"/>
      <c r="G47" s="173"/>
      <c r="H47" s="173"/>
      <c r="I47" s="173"/>
      <c r="J47" s="173"/>
      <c r="K47" s="175"/>
      <c r="M47" s="362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4" style="199" hidden="1" customWidth="1" outlineLevel="1"/>
    <col min="3" max="3" width="3.7109375" style="199" hidden="1" customWidth="1" outlineLevel="1"/>
    <col min="4" max="4" width="4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1.7109375" style="199" customWidth="1"/>
    <col min="11" max="11" width="4" style="199" bestFit="1" customWidth="1"/>
    <col min="12" max="12" width="3.7109375" style="199" customWidth="1"/>
    <col min="13" max="13" width="4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9" x14ac:dyDescent="0.2">
      <c r="A1" s="137"/>
      <c r="B1" s="137"/>
      <c r="C1" s="137"/>
      <c r="D1" s="137"/>
      <c r="E1" s="137"/>
      <c r="F1" s="150"/>
      <c r="G1" s="137"/>
      <c r="H1" s="138"/>
      <c r="J1" s="136" t="s">
        <v>271</v>
      </c>
      <c r="K1" s="13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7"/>
    </row>
    <row r="2" spans="1:29" x14ac:dyDescent="0.2">
      <c r="A2" s="137"/>
      <c r="B2" s="137"/>
      <c r="C2" s="137"/>
      <c r="D2" s="137"/>
      <c r="E2" s="137"/>
      <c r="F2" s="150"/>
      <c r="G2" s="137"/>
      <c r="H2" s="138"/>
      <c r="J2" s="170"/>
      <c r="K2" s="7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15</v>
      </c>
      <c r="AA2" s="171"/>
    </row>
    <row r="3" spans="1:29" x14ac:dyDescent="0.2">
      <c r="A3" s="218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9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76"/>
      <c r="K4" s="103"/>
      <c r="L4" s="107"/>
      <c r="M4" s="103"/>
      <c r="N4" s="103" t="s">
        <v>282</v>
      </c>
      <c r="O4" s="106" t="str">
        <f>_xll.RData(O5:O18,P4:S4,"RTFEED:IDN",ReutersRtMode,,P5)</f>
        <v>Paused at 11:15:03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281</v>
      </c>
      <c r="V4" s="56"/>
      <c r="W4" s="87" t="s">
        <v>173</v>
      </c>
      <c r="X4" s="56"/>
      <c r="Y4" s="103" t="s">
        <v>172</v>
      </c>
      <c r="Z4" s="103" t="s">
        <v>171</v>
      </c>
      <c r="AA4" s="77"/>
      <c r="AC4" s="203"/>
    </row>
    <row r="5" spans="1:29" x14ac:dyDescent="0.2">
      <c r="A5" s="219"/>
      <c r="B5" s="220" t="str">
        <f>K5</f>
        <v/>
      </c>
      <c r="C5" s="221">
        <f>L5</f>
        <v>2</v>
      </c>
      <c r="D5" s="222" t="str">
        <f>M5</f>
        <v>X1S</v>
      </c>
      <c r="E5" s="223" t="str">
        <f t="shared" ref="E5:E18" si="0">Currency&amp;$C5&amp;$D5&amp;$B5&amp;QuoteSuffix</f>
        <v>USD2X1S_Quote</v>
      </c>
      <c r="F5" s="223" t="str">
        <f>_xll.qlSimpleQuote(Currency&amp;$C5&amp;$D5&amp;$B5&amp;QuoteSuffix,,RateTickValue,Permanent,Trigger,ObjectOverwrite)</f>
        <v>USD2X1S_Quote#0004</v>
      </c>
      <c r="G5" s="224" t="str">
        <f>_xll.ohRangeRetrieveError(F5)</f>
        <v/>
      </c>
      <c r="H5" s="171" t="s">
        <v>234</v>
      </c>
      <c r="J5" s="76"/>
      <c r="K5" s="183" t="str">
        <f>IF($O$2="ICAP Singapore","2M","")</f>
        <v/>
      </c>
      <c r="L5" s="183">
        <f>IF($O$2="ICAP Singapore","AM",2)</f>
        <v>2</v>
      </c>
      <c r="M5" s="183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0.151</v>
      </c>
      <c r="Q5" s="85">
        <v>0.20099999999999998</v>
      </c>
      <c r="R5" s="85">
        <v>0</v>
      </c>
      <c r="S5" s="85">
        <v>0</v>
      </c>
      <c r="T5" s="85">
        <f>IF(ISERROR(AVERAGE(P5,Q5)),#NUM!,AVERAGE(P5,Q5))</f>
        <v>0.17599999999999999</v>
      </c>
      <c r="U5" s="85">
        <f>Q5-P5</f>
        <v>4.9999999999999989E-2</v>
      </c>
      <c r="V5" s="56"/>
      <c r="W5" s="225">
        <v>0.152</v>
      </c>
      <c r="X5" s="56"/>
      <c r="Y5" s="85">
        <f t="array" ref="Y5:Y18">QuoteLive</f>
        <v>0.17599999999999999</v>
      </c>
      <c r="Z5" s="188" t="e">
        <f>_xll.qlSimpleQuoteSetValue(F5,Y5/100,Trigger)</f>
        <v>#N/A</v>
      </c>
      <c r="AA5" s="77"/>
      <c r="AC5" s="226"/>
    </row>
    <row r="6" spans="1:29" x14ac:dyDescent="0.2">
      <c r="A6" s="219"/>
      <c r="B6" s="227" t="str">
        <f t="shared" ref="B6:B18" si="2">K6</f>
        <v/>
      </c>
      <c r="C6" s="228">
        <f t="shared" ref="C6:C18" si="3">L6</f>
        <v>3</v>
      </c>
      <c r="D6" s="229" t="str">
        <f t="shared" ref="D6:D18" si="4">M6</f>
        <v>X1S</v>
      </c>
      <c r="E6" s="230" t="str">
        <f t="shared" si="0"/>
        <v>USD3X1S_Quote</v>
      </c>
      <c r="F6" s="230" t="str">
        <f>_xll.qlSimpleQuote(Currency&amp;$C6&amp;$D6&amp;$B6&amp;QuoteSuffix,,RateTickValue,Permanent,Trigger,ObjectOverwrite)</f>
        <v>USD3X1S_Quote#0004</v>
      </c>
      <c r="G6" s="231" t="str">
        <f>_xll.ohRangeRetrieveError(F6)</f>
        <v/>
      </c>
      <c r="H6" s="171" t="s">
        <v>234</v>
      </c>
      <c r="J6" s="76"/>
      <c r="K6" s="183" t="str">
        <f>IF($O$2="ICAP Singapore","3M","")</f>
        <v/>
      </c>
      <c r="L6" s="183">
        <f>IF($O$2="ICAP Singapore","AM",3)</f>
        <v>3</v>
      </c>
      <c r="M6" s="183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0.153</v>
      </c>
      <c r="Q6" s="85">
        <v>0.20299999999999999</v>
      </c>
      <c r="R6" s="85">
        <v>0</v>
      </c>
      <c r="S6" s="85">
        <v>0</v>
      </c>
      <c r="T6" s="85">
        <f t="shared" ref="T6:T18" si="6">IF(ISERROR(AVERAGE(P6,Q6)),#NUM!,AVERAGE(P6,Q6))</f>
        <v>0.17799999999999999</v>
      </c>
      <c r="U6" s="85">
        <f t="shared" ref="U6:U18" si="7">Q6-P6</f>
        <v>4.9999999999999989E-2</v>
      </c>
      <c r="V6" s="56"/>
      <c r="W6" s="225">
        <v>0.152</v>
      </c>
      <c r="X6" s="56"/>
      <c r="Y6" s="85">
        <v>0.17799999999999999</v>
      </c>
      <c r="Z6" s="188" t="e">
        <f>_xll.qlSimpleQuoteSetValue(F6,Y6/100,Trigger)</f>
        <v>#N/A</v>
      </c>
      <c r="AA6" s="77"/>
      <c r="AC6" s="226"/>
    </row>
    <row r="7" spans="1:29" x14ac:dyDescent="0.2">
      <c r="A7" s="219"/>
      <c r="B7" s="227" t="str">
        <f t="shared" si="2"/>
        <v/>
      </c>
      <c r="C7" s="228">
        <f t="shared" si="3"/>
        <v>4</v>
      </c>
      <c r="D7" s="229" t="str">
        <f t="shared" si="4"/>
        <v>X1S</v>
      </c>
      <c r="E7" s="230" t="str">
        <f t="shared" si="0"/>
        <v>USD4X1S_Quote</v>
      </c>
      <c r="F7" s="230" t="str">
        <f>_xll.qlSimpleQuote(Currency&amp;$C7&amp;$D7&amp;$B7&amp;QuoteSuffix,,RateTickValue,Permanent,Trigger,ObjectOverwrite)</f>
        <v>USD4X1S_Quote#0004</v>
      </c>
      <c r="G7" s="231" t="str">
        <f>_xll.ohRangeRetrieveError(F7)</f>
        <v/>
      </c>
      <c r="H7" s="171" t="s">
        <v>234</v>
      </c>
      <c r="J7" s="76"/>
      <c r="K7" s="183" t="str">
        <f>IF($O$2="ICAP Singapore","4M","")</f>
        <v/>
      </c>
      <c r="L7" s="183">
        <f>IF($O$2="ICAP Singapore","AM",4)</f>
        <v>4</v>
      </c>
      <c r="M7" s="183" t="str">
        <f t="shared" si="5"/>
        <v>X1S</v>
      </c>
      <c r="N7" s="82" t="str">
        <f t="shared" si="1"/>
        <v>USD4X1S</v>
      </c>
      <c r="O7" s="82" t="str">
        <v>USD4X1S=ICAP</v>
      </c>
      <c r="P7" s="85">
        <v>0.16699999999999998</v>
      </c>
      <c r="Q7" s="85">
        <v>0.217</v>
      </c>
      <c r="R7" s="85">
        <v>0</v>
      </c>
      <c r="S7" s="85">
        <v>0</v>
      </c>
      <c r="T7" s="85">
        <f t="shared" si="6"/>
        <v>0.192</v>
      </c>
      <c r="U7" s="85">
        <f t="shared" si="7"/>
        <v>5.0000000000000017E-2</v>
      </c>
      <c r="V7" s="56"/>
      <c r="W7" s="225">
        <v>0.152</v>
      </c>
      <c r="X7" s="56"/>
      <c r="Y7" s="85">
        <v>0.192</v>
      </c>
      <c r="Z7" s="188" t="e">
        <f>_xll.qlSimpleQuoteSetValue(F7,Y7/100,Trigger)</f>
        <v>#N/A</v>
      </c>
      <c r="AA7" s="77"/>
      <c r="AC7" s="226"/>
    </row>
    <row r="8" spans="1:29" x14ac:dyDescent="0.2">
      <c r="A8" s="219"/>
      <c r="B8" s="227" t="str">
        <f t="shared" si="2"/>
        <v/>
      </c>
      <c r="C8" s="228">
        <f t="shared" si="3"/>
        <v>5</v>
      </c>
      <c r="D8" s="229" t="str">
        <f t="shared" si="4"/>
        <v>X1S</v>
      </c>
      <c r="E8" s="230" t="str">
        <f t="shared" si="0"/>
        <v>USD5X1S_Quote</v>
      </c>
      <c r="F8" s="230" t="str">
        <f>_xll.qlSimpleQuote(Currency&amp;$C8&amp;$D8&amp;$B8&amp;QuoteSuffix,,RateTickValue,Permanent,Trigger,ObjectOverwrite)</f>
        <v>USD5X1S_Quote#0004</v>
      </c>
      <c r="G8" s="231" t="str">
        <f>_xll.ohRangeRetrieveError(F8)</f>
        <v/>
      </c>
      <c r="H8" s="171" t="s">
        <v>234</v>
      </c>
      <c r="J8" s="76"/>
      <c r="K8" s="183" t="str">
        <f>IF($O$2="ICAP Singapore","5M","")</f>
        <v/>
      </c>
      <c r="L8" s="183">
        <f>IF($O$2="ICAP Singapore","AM",5)</f>
        <v>5</v>
      </c>
      <c r="M8" s="183" t="str">
        <f t="shared" si="5"/>
        <v>X1S</v>
      </c>
      <c r="N8" s="82" t="str">
        <f t="shared" si="1"/>
        <v>USD5X1S</v>
      </c>
      <c r="O8" s="82" t="str">
        <v>USD5X1S=ICAP</v>
      </c>
      <c r="P8" s="85">
        <v>0.184</v>
      </c>
      <c r="Q8" s="85">
        <v>0.23399999999999999</v>
      </c>
      <c r="R8" s="85">
        <v>0</v>
      </c>
      <c r="S8" s="85">
        <v>0</v>
      </c>
      <c r="T8" s="85">
        <f t="shared" si="6"/>
        <v>0.20899999999999999</v>
      </c>
      <c r="U8" s="85">
        <f t="shared" si="7"/>
        <v>4.9999999999999989E-2</v>
      </c>
      <c r="V8" s="56"/>
      <c r="W8" s="225">
        <v>0.153</v>
      </c>
      <c r="X8" s="56"/>
      <c r="Y8" s="85">
        <v>0.20899999999999999</v>
      </c>
      <c r="Z8" s="188" t="e">
        <f>_xll.qlSimpleQuoteSetValue(F8,Y8/100,Trigger)</f>
        <v>#N/A</v>
      </c>
      <c r="AA8" s="77"/>
      <c r="AC8" s="226"/>
    </row>
    <row r="9" spans="1:29" x14ac:dyDescent="0.2">
      <c r="A9" s="219"/>
      <c r="B9" s="227" t="str">
        <f t="shared" si="2"/>
        <v/>
      </c>
      <c r="C9" s="228">
        <f t="shared" si="3"/>
        <v>6</v>
      </c>
      <c r="D9" s="229" t="str">
        <f t="shared" si="4"/>
        <v>X1S</v>
      </c>
      <c r="E9" s="230" t="str">
        <f t="shared" si="0"/>
        <v>USD6X1S_Quote</v>
      </c>
      <c r="F9" s="230" t="str">
        <f>_xll.qlSimpleQuote(Currency&amp;$C9&amp;$D9&amp;$B9&amp;QuoteSuffix,,RateTickValue,Permanent,Trigger,ObjectOverwrite)</f>
        <v>USD6X1S_Quote#0004</v>
      </c>
      <c r="G9" s="231" t="str">
        <f>_xll.ohRangeRetrieveError(F9)</f>
        <v/>
      </c>
      <c r="H9" s="171" t="s">
        <v>234</v>
      </c>
      <c r="J9" s="76"/>
      <c r="K9" s="183" t="str">
        <f>IF($O$2="ICAP Singapore","6M","")</f>
        <v/>
      </c>
      <c r="L9" s="183">
        <f>IF($O$2="ICAP Singapore","AM",6)</f>
        <v>6</v>
      </c>
      <c r="M9" s="183" t="str">
        <f t="shared" si="5"/>
        <v>X1S</v>
      </c>
      <c r="N9" s="82" t="str">
        <f t="shared" si="1"/>
        <v>USD6X1S</v>
      </c>
      <c r="O9" s="82" t="str">
        <v>USD6X1S=ICAP</v>
      </c>
      <c r="P9" s="85">
        <v>0.20099999999999998</v>
      </c>
      <c r="Q9" s="85">
        <v>0.251</v>
      </c>
      <c r="R9" s="85">
        <v>0</v>
      </c>
      <c r="S9" s="85">
        <v>0</v>
      </c>
      <c r="T9" s="85">
        <f t="shared" si="6"/>
        <v>0.22599999999999998</v>
      </c>
      <c r="U9" s="85">
        <f t="shared" si="7"/>
        <v>5.0000000000000017E-2</v>
      </c>
      <c r="V9" s="56"/>
      <c r="W9" s="225">
        <v>0.155</v>
      </c>
      <c r="X9" s="56"/>
      <c r="Y9" s="85">
        <v>0.22599999999999998</v>
      </c>
      <c r="Z9" s="188" t="e">
        <f>_xll.qlSimpleQuoteSetValue(F9,Y9/100,Trigger)</f>
        <v>#N/A</v>
      </c>
      <c r="AA9" s="77"/>
      <c r="AC9" s="226"/>
    </row>
    <row r="10" spans="1:29" x14ac:dyDescent="0.2">
      <c r="A10" s="219"/>
      <c r="B10" s="227" t="str">
        <f t="shared" si="2"/>
        <v/>
      </c>
      <c r="C10" s="228">
        <f t="shared" si="3"/>
        <v>7</v>
      </c>
      <c r="D10" s="229" t="str">
        <f t="shared" si="4"/>
        <v>X1S</v>
      </c>
      <c r="E10" s="230" t="str">
        <f t="shared" si="0"/>
        <v>USD7X1S_Quote</v>
      </c>
      <c r="F10" s="230" t="str">
        <f>_xll.qlSimpleQuote(Currency&amp;$C10&amp;$D10&amp;$B10&amp;QuoteSuffix,,RateTickValue,Permanent,Trigger,ObjectOverwrite)</f>
        <v>USD7X1S_Quote#0004</v>
      </c>
      <c r="G10" s="231" t="str">
        <f>_xll.ohRangeRetrieveError(F10)</f>
        <v/>
      </c>
      <c r="H10" s="171" t="s">
        <v>234</v>
      </c>
      <c r="J10" s="76"/>
      <c r="K10" s="183" t="str">
        <f>IF($O$2="ICAP Singapore","7M","")</f>
        <v/>
      </c>
      <c r="L10" s="183">
        <f>IF($O$2="ICAP Singapore","AM",7)</f>
        <v>7</v>
      </c>
      <c r="M10" s="183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0.22700000000000001</v>
      </c>
      <c r="Q10" s="85">
        <v>0.27700000000000002</v>
      </c>
      <c r="R10" s="85">
        <v>0</v>
      </c>
      <c r="S10" s="85">
        <v>0</v>
      </c>
      <c r="T10" s="85">
        <f t="shared" si="6"/>
        <v>0.252</v>
      </c>
      <c r="U10" s="85">
        <f t="shared" si="7"/>
        <v>5.0000000000000017E-2</v>
      </c>
      <c r="V10" s="56"/>
      <c r="W10" s="225">
        <v>0.158</v>
      </c>
      <c r="X10" s="56"/>
      <c r="Y10" s="85">
        <v>0.252</v>
      </c>
      <c r="Z10" s="188" t="e">
        <f>_xll.qlSimpleQuoteSetValue(F10,Y10/100,Trigger)</f>
        <v>#N/A</v>
      </c>
      <c r="AA10" s="77"/>
      <c r="AC10" s="226"/>
    </row>
    <row r="11" spans="1:29" x14ac:dyDescent="0.2">
      <c r="A11" s="219"/>
      <c r="B11" s="227" t="str">
        <f t="shared" si="2"/>
        <v/>
      </c>
      <c r="C11" s="228">
        <f t="shared" si="3"/>
        <v>8</v>
      </c>
      <c r="D11" s="229" t="str">
        <f t="shared" si="4"/>
        <v>X1S</v>
      </c>
      <c r="E11" s="230" t="str">
        <f t="shared" si="0"/>
        <v>USD8X1S_Quote</v>
      </c>
      <c r="F11" s="230" t="str">
        <f>_xll.qlSimpleQuote(Currency&amp;$C11&amp;$D11&amp;$B11&amp;QuoteSuffix,,RateTickValue,Permanent,Trigger,ObjectOverwrite)</f>
        <v>USD8X1S_Quote#0004</v>
      </c>
      <c r="G11" s="231" t="str">
        <f>_xll.ohRangeRetrieveError(F11)</f>
        <v/>
      </c>
      <c r="H11" s="171" t="s">
        <v>234</v>
      </c>
      <c r="J11" s="76"/>
      <c r="K11" s="183" t="str">
        <f>IF($O$2="ICAP Singapore","8M","")</f>
        <v/>
      </c>
      <c r="L11" s="183">
        <f>IF($O$2="ICAP Singapore","AM",8)</f>
        <v>8</v>
      </c>
      <c r="M11" s="183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0.25</v>
      </c>
      <c r="Q11" s="85">
        <v>0.3</v>
      </c>
      <c r="R11" s="85">
        <v>0</v>
      </c>
      <c r="S11" s="85">
        <v>0</v>
      </c>
      <c r="T11" s="85">
        <f t="shared" si="6"/>
        <v>0.27500000000000002</v>
      </c>
      <c r="U11" s="85">
        <f t="shared" si="7"/>
        <v>4.9999999999999989E-2</v>
      </c>
      <c r="V11" s="56"/>
      <c r="W11" s="225">
        <v>0.16400000000000001</v>
      </c>
      <c r="X11" s="56"/>
      <c r="Y11" s="85">
        <v>0.27500000000000002</v>
      </c>
      <c r="Z11" s="188" t="e">
        <f>_xll.qlSimpleQuoteSetValue(F11,Y11/100,Trigger)</f>
        <v>#N/A</v>
      </c>
      <c r="AA11" s="77"/>
      <c r="AC11" s="226"/>
    </row>
    <row r="12" spans="1:29" x14ac:dyDescent="0.2">
      <c r="A12" s="219"/>
      <c r="B12" s="227" t="str">
        <f t="shared" si="2"/>
        <v/>
      </c>
      <c r="C12" s="228">
        <f t="shared" si="3"/>
        <v>9</v>
      </c>
      <c r="D12" s="229" t="str">
        <f t="shared" si="4"/>
        <v>X1S</v>
      </c>
      <c r="E12" s="230" t="str">
        <f t="shared" si="0"/>
        <v>USD9X1S_Quote</v>
      </c>
      <c r="F12" s="230" t="str">
        <f>_xll.qlSimpleQuote(Currency&amp;$C12&amp;$D12&amp;$B12&amp;QuoteSuffix,,RateTickValue,Permanent,Trigger,ObjectOverwrite)</f>
        <v>USD9X1S_Quote#0004</v>
      </c>
      <c r="G12" s="231" t="str">
        <f>_xll.ohRangeRetrieveError(F12)</f>
        <v/>
      </c>
      <c r="H12" s="171" t="s">
        <v>234</v>
      </c>
      <c r="J12" s="76"/>
      <c r="K12" s="183" t="str">
        <f>IF($O$2="ICAP Singapore","9M","")</f>
        <v/>
      </c>
      <c r="L12" s="183">
        <f>IF($O$2="ICAP Singapore","AM",9)</f>
        <v>9</v>
      </c>
      <c r="M12" s="183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0.27400000000000002</v>
      </c>
      <c r="Q12" s="85">
        <v>0.32400000000000001</v>
      </c>
      <c r="R12" s="85">
        <v>0</v>
      </c>
      <c r="S12" s="85">
        <v>0</v>
      </c>
      <c r="T12" s="85">
        <f t="shared" si="6"/>
        <v>0.29900000000000004</v>
      </c>
      <c r="U12" s="85">
        <f t="shared" si="7"/>
        <v>4.9999999999999989E-2</v>
      </c>
      <c r="V12" s="56"/>
      <c r="W12" s="225">
        <v>0.17599999999999999</v>
      </c>
      <c r="X12" s="56"/>
      <c r="Y12" s="85">
        <v>0.29900000000000004</v>
      </c>
      <c r="Z12" s="188" t="e">
        <f>_xll.qlSimpleQuoteSetValue(F12,Y12/100,Trigger)</f>
        <v>#N/A</v>
      </c>
      <c r="AA12" s="77"/>
      <c r="AC12" s="226"/>
    </row>
    <row r="13" spans="1:29" x14ac:dyDescent="0.2">
      <c r="A13" s="219"/>
      <c r="B13" s="227" t="str">
        <f t="shared" si="2"/>
        <v/>
      </c>
      <c r="C13" s="228">
        <f t="shared" si="3"/>
        <v>10</v>
      </c>
      <c r="D13" s="229" t="str">
        <f t="shared" si="4"/>
        <v>X1S</v>
      </c>
      <c r="E13" s="230" t="str">
        <f t="shared" si="0"/>
        <v>USD10X1S_Quote</v>
      </c>
      <c r="F13" s="230" t="str">
        <f>_xll.qlSimpleQuote(Currency&amp;$C13&amp;$D13&amp;$B13&amp;QuoteSuffix,,RateTickValue,Permanent,Trigger,ObjectOverwrite)</f>
        <v>USD10X1S_Quote#0004</v>
      </c>
      <c r="G13" s="231" t="str">
        <f>_xll.ohRangeRetrieveError(F13)</f>
        <v/>
      </c>
      <c r="H13" s="171" t="s">
        <v>234</v>
      </c>
      <c r="J13" s="76"/>
      <c r="K13" s="183" t="str">
        <f>IF($O$2="ICAP Singapore","10M","")</f>
        <v/>
      </c>
      <c r="L13" s="183">
        <f>IF($O$2="ICAP Singapore","AM",10)</f>
        <v>10</v>
      </c>
      <c r="M13" s="183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0.30599999999999999</v>
      </c>
      <c r="Q13" s="85">
        <v>0.35599999999999998</v>
      </c>
      <c r="R13" s="85">
        <v>0</v>
      </c>
      <c r="S13" s="85">
        <v>0</v>
      </c>
      <c r="T13" s="85">
        <f t="shared" si="6"/>
        <v>0.33099999999999996</v>
      </c>
      <c r="U13" s="85">
        <f t="shared" si="7"/>
        <v>4.9999999999999989E-2</v>
      </c>
      <c r="V13" s="56"/>
      <c r="W13" s="225">
        <v>0.191</v>
      </c>
      <c r="X13" s="56"/>
      <c r="Y13" s="85">
        <v>0.33099999999999996</v>
      </c>
      <c r="Z13" s="188" t="e">
        <f>_xll.qlSimpleQuoteSetValue(F13,Y13/100,Trigger)</f>
        <v>#N/A</v>
      </c>
      <c r="AA13" s="77"/>
      <c r="AC13" s="226"/>
    </row>
    <row r="14" spans="1:29" x14ac:dyDescent="0.2">
      <c r="A14" s="219"/>
      <c r="B14" s="227" t="str">
        <f t="shared" si="2"/>
        <v/>
      </c>
      <c r="C14" s="228">
        <f t="shared" si="3"/>
        <v>11</v>
      </c>
      <c r="D14" s="229" t="str">
        <f t="shared" si="4"/>
        <v>X1S</v>
      </c>
      <c r="E14" s="230" t="str">
        <f t="shared" si="0"/>
        <v>USD11X1S_Quote</v>
      </c>
      <c r="F14" s="230" t="str">
        <f>_xll.qlSimpleQuote(Currency&amp;$C14&amp;$D14&amp;$B14&amp;QuoteSuffix,,RateTickValue,Permanent,Trigger,ObjectOverwrite)</f>
        <v>USD11X1S_Quote#0004</v>
      </c>
      <c r="G14" s="231" t="str">
        <f>_xll.ohRangeRetrieveError(F14)</f>
        <v/>
      </c>
      <c r="H14" s="171" t="s">
        <v>234</v>
      </c>
      <c r="J14" s="76"/>
      <c r="K14" s="183" t="str">
        <f>IF($O$2="ICAP Singapore","11M","")</f>
        <v/>
      </c>
      <c r="L14" s="183">
        <f>IF($O$2="ICAP Singapore","AM",11)</f>
        <v>11</v>
      </c>
      <c r="M14" s="183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0.33599999999999997</v>
      </c>
      <c r="Q14" s="85">
        <v>0.38600000000000001</v>
      </c>
      <c r="R14" s="85">
        <v>0</v>
      </c>
      <c r="S14" s="85">
        <v>0</v>
      </c>
      <c r="T14" s="85">
        <f t="shared" si="6"/>
        <v>0.36099999999999999</v>
      </c>
      <c r="U14" s="85">
        <f t="shared" si="7"/>
        <v>5.0000000000000044E-2</v>
      </c>
      <c r="V14" s="56"/>
      <c r="W14" s="225">
        <v>0.20600000000000002</v>
      </c>
      <c r="X14" s="56"/>
      <c r="Y14" s="85">
        <v>0.36099999999999999</v>
      </c>
      <c r="Z14" s="188" t="e">
        <f>_xll.qlSimpleQuoteSetValue(F14,Y14/100,Trigger)</f>
        <v>#N/A</v>
      </c>
      <c r="AA14" s="77"/>
      <c r="AC14" s="226"/>
    </row>
    <row r="15" spans="1:29" x14ac:dyDescent="0.2">
      <c r="A15" s="219"/>
      <c r="B15" s="227" t="str">
        <f t="shared" si="2"/>
        <v/>
      </c>
      <c r="C15" s="228">
        <f t="shared" si="3"/>
        <v>12</v>
      </c>
      <c r="D15" s="229" t="str">
        <f t="shared" si="4"/>
        <v>X1S</v>
      </c>
      <c r="E15" s="230" t="str">
        <f t="shared" si="0"/>
        <v>USD12X1S_Quote</v>
      </c>
      <c r="F15" s="230" t="str">
        <f>_xll.qlSimpleQuote(Currency&amp;$C15&amp;$D15&amp;$B15&amp;QuoteSuffix,,RateTickValue,Permanent,Trigger,ObjectOverwrite)</f>
        <v>USD12X1S_Quote#0004</v>
      </c>
      <c r="G15" s="231" t="str">
        <f>_xll.ohRangeRetrieveError(F15)</f>
        <v/>
      </c>
      <c r="H15" s="171" t="s">
        <v>234</v>
      </c>
      <c r="J15" s="76"/>
      <c r="K15" s="183" t="str">
        <f>IF($O$2="ICAP Singapore","12M","")</f>
        <v/>
      </c>
      <c r="L15" s="183">
        <f>IF($O$2="ICAP Singapore","AM",12)</f>
        <v>12</v>
      </c>
      <c r="M15" s="183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0.36399999999999999</v>
      </c>
      <c r="Q15" s="85">
        <v>0.41399999999999998</v>
      </c>
      <c r="R15" s="85">
        <v>0</v>
      </c>
      <c r="S15" s="85">
        <v>0</v>
      </c>
      <c r="T15" s="85">
        <f t="shared" si="6"/>
        <v>0.38900000000000001</v>
      </c>
      <c r="U15" s="85">
        <f t="shared" si="7"/>
        <v>4.9999999999999989E-2</v>
      </c>
      <c r="V15" s="56"/>
      <c r="W15" s="225">
        <v>0.22899999999999998</v>
      </c>
      <c r="X15" s="56"/>
      <c r="Y15" s="85">
        <v>0.38900000000000001</v>
      </c>
      <c r="Z15" s="188" t="e">
        <f>_xll.qlSimpleQuoteSetValue(F15,Y15/100,Trigger)</f>
        <v>#N/A</v>
      </c>
      <c r="AA15" s="77"/>
      <c r="AC15" s="226"/>
    </row>
    <row r="16" spans="1:29" x14ac:dyDescent="0.2">
      <c r="A16" s="95"/>
      <c r="B16" s="227" t="str">
        <f t="shared" si="2"/>
        <v/>
      </c>
      <c r="C16" s="228">
        <f t="shared" si="3"/>
        <v>15</v>
      </c>
      <c r="D16" s="229" t="str">
        <f t="shared" si="4"/>
        <v>X1S</v>
      </c>
      <c r="E16" s="230" t="str">
        <f t="shared" si="0"/>
        <v>USD15X1S_Quote</v>
      </c>
      <c r="F16" s="230" t="str">
        <f>_xll.qlSimpleQuote(Currency&amp;$C16&amp;$D16&amp;$B16&amp;QuoteSuffix,,RateTickValue,Permanent,Trigger,ObjectOverwrite)</f>
        <v>USD15X1S_Quote#0004</v>
      </c>
      <c r="G16" s="231" t="str">
        <f>_xll.ohRangeRetrieveError(F16)</f>
        <v/>
      </c>
      <c r="H16" s="171" t="s">
        <v>234</v>
      </c>
      <c r="J16" s="76"/>
      <c r="K16" s="183" t="str">
        <f>IF($O$2="ICAP Singapore","15M","")</f>
        <v/>
      </c>
      <c r="L16" s="183">
        <f>IF($O$2="ICAP Singapore","AM",15)</f>
        <v>15</v>
      </c>
      <c r="M16" s="183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0.46200000000000002</v>
      </c>
      <c r="Q16" s="85">
        <v>0.51200000000000001</v>
      </c>
      <c r="R16" s="85">
        <v>0</v>
      </c>
      <c r="S16" s="85">
        <v>0</v>
      </c>
      <c r="T16" s="85">
        <f t="shared" si="6"/>
        <v>0.48699999999999999</v>
      </c>
      <c r="U16" s="85">
        <f t="shared" si="7"/>
        <v>4.9999999999999989E-2</v>
      </c>
      <c r="V16" s="56"/>
      <c r="W16" s="225">
        <v>0.30500000000000005</v>
      </c>
      <c r="X16" s="56"/>
      <c r="Y16" s="85">
        <v>0.48699999999999999</v>
      </c>
      <c r="Z16" s="188" t="e">
        <f>_xll.qlSimpleQuoteSetValue(F16,Y16/100,Trigger)</f>
        <v>#N/A</v>
      </c>
      <c r="AA16" s="77"/>
    </row>
    <row r="17" spans="1:27" x14ac:dyDescent="0.2">
      <c r="A17" s="137"/>
      <c r="B17" s="227" t="str">
        <f t="shared" si="2"/>
        <v/>
      </c>
      <c r="C17" s="228">
        <f t="shared" si="3"/>
        <v>18</v>
      </c>
      <c r="D17" s="229" t="str">
        <f t="shared" si="4"/>
        <v>X1S</v>
      </c>
      <c r="E17" s="230" t="str">
        <f t="shared" si="0"/>
        <v>USD18X1S_Quote</v>
      </c>
      <c r="F17" s="230" t="str">
        <f>_xll.qlSimpleQuote(Currency&amp;$C17&amp;$D17&amp;$B17&amp;QuoteSuffix,,RateTickValue,Permanent,Trigger,ObjectOverwrite)</f>
        <v>USD18X1S_Quote#0004</v>
      </c>
      <c r="G17" s="231" t="str">
        <f>_xll.ohRangeRetrieveError(F17)</f>
        <v/>
      </c>
      <c r="H17" s="138" t="s">
        <v>234</v>
      </c>
      <c r="J17" s="76"/>
      <c r="K17" s="183" t="str">
        <f>IF($O$2="ICAP Singapore","18M","")</f>
        <v/>
      </c>
      <c r="L17" s="183">
        <f>IF($O$2="ICAP Singapore","AM",18)</f>
        <v>18</v>
      </c>
      <c r="M17" s="183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0.56600000000000006</v>
      </c>
      <c r="Q17" s="85">
        <v>0.61599999999999999</v>
      </c>
      <c r="R17" s="85">
        <v>0</v>
      </c>
      <c r="S17" s="85">
        <v>0</v>
      </c>
      <c r="T17" s="85">
        <f t="shared" si="6"/>
        <v>0.59099999999999997</v>
      </c>
      <c r="U17" s="85">
        <f t="shared" si="7"/>
        <v>4.9999999999999933E-2</v>
      </c>
      <c r="V17" s="56"/>
      <c r="W17" s="225">
        <v>0.39700000000000002</v>
      </c>
      <c r="X17" s="56"/>
      <c r="Y17" s="85">
        <v>0.59099999999999997</v>
      </c>
      <c r="Z17" s="188" t="e">
        <f>_xll.qlSimpleQuoteSetValue(F17,Y17/100,Trigger)</f>
        <v>#N/A</v>
      </c>
      <c r="AA17" s="77"/>
    </row>
    <row r="18" spans="1:27" x14ac:dyDescent="0.2">
      <c r="A18" s="137"/>
      <c r="B18" s="232" t="str">
        <f t="shared" si="2"/>
        <v/>
      </c>
      <c r="C18" s="233">
        <f t="shared" si="3"/>
        <v>24</v>
      </c>
      <c r="D18" s="234" t="str">
        <f t="shared" si="4"/>
        <v>X1S</v>
      </c>
      <c r="E18" s="235" t="str">
        <f t="shared" si="0"/>
        <v>USD24X1S_Quote</v>
      </c>
      <c r="F18" s="235" t="str">
        <f>_xll.qlSimpleQuote(Currency&amp;$C18&amp;$D18&amp;$B18&amp;QuoteSuffix,,RateTickValue,Permanent,Trigger,ObjectOverwrite)</f>
        <v>USD24X1S_Quote#0004</v>
      </c>
      <c r="G18" s="236" t="str">
        <f>_xll.ohRangeRetrieveError(F18)</f>
        <v/>
      </c>
      <c r="H18" s="138" t="s">
        <v>234</v>
      </c>
      <c r="J18" s="76"/>
      <c r="K18" s="185" t="str">
        <f>IF($O$2="ICAP Singapore","24M","")</f>
        <v/>
      </c>
      <c r="L18" s="183">
        <f>IF($O$2="ICAP Singapore","AM",24)</f>
        <v>24</v>
      </c>
      <c r="M18" s="183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0.76300000000000001</v>
      </c>
      <c r="Q18" s="86">
        <v>0.81300000000000006</v>
      </c>
      <c r="R18" s="86">
        <v>0</v>
      </c>
      <c r="S18" s="86">
        <v>0</v>
      </c>
      <c r="T18" s="86">
        <f t="shared" si="6"/>
        <v>0.78800000000000003</v>
      </c>
      <c r="U18" s="86">
        <f t="shared" si="7"/>
        <v>5.0000000000000044E-2</v>
      </c>
      <c r="V18" s="56"/>
      <c r="W18" s="237">
        <v>0.60399999999999998</v>
      </c>
      <c r="X18" s="56"/>
      <c r="Y18" s="86">
        <v>0.78800000000000003</v>
      </c>
      <c r="Z18" s="189" t="e">
        <f>_xll.qlSimpleQuoteSetValue(F18,Y18/100,Trigger)</f>
        <v>#N/A</v>
      </c>
      <c r="AA18" s="77"/>
    </row>
    <row r="19" spans="1:27" x14ac:dyDescent="0.2">
      <c r="A19" s="141"/>
      <c r="B19" s="141"/>
      <c r="C19" s="141"/>
      <c r="D19" s="141"/>
      <c r="E19" s="141"/>
      <c r="F19" s="153"/>
      <c r="G19" s="141"/>
      <c r="H19" s="142"/>
      <c r="J19" s="172"/>
      <c r="K19" s="173"/>
      <c r="L19" s="238"/>
      <c r="M19" s="238"/>
      <c r="N19" s="238"/>
      <c r="O19" s="238"/>
      <c r="P19" s="238"/>
      <c r="Q19" s="238"/>
      <c r="R19" s="238"/>
      <c r="S19" s="238"/>
      <c r="T19" s="238"/>
      <c r="U19" s="173"/>
      <c r="V19" s="173"/>
      <c r="W19" s="238"/>
      <c r="X19" s="173"/>
      <c r="Y19" s="238"/>
      <c r="Z19" s="238"/>
      <c r="AA19" s="239"/>
    </row>
    <row r="26" spans="1:27" x14ac:dyDescent="0.2">
      <c r="M26" s="241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255" customWidth="1"/>
    <col min="12" max="13" width="3" style="255" bestFit="1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8" width="2.7109375" style="199" customWidth="1"/>
    <col min="29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272</v>
      </c>
      <c r="K1" s="256"/>
      <c r="L1" s="256"/>
      <c r="M1" s="256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57</v>
      </c>
      <c r="AA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76"/>
      <c r="K4" s="103"/>
      <c r="L4" s="103"/>
      <c r="M4" s="103"/>
      <c r="N4" s="103" t="s">
        <v>282</v>
      </c>
      <c r="O4" s="106" t="str">
        <f>_xll.RData(O5:O42,P4:S4,"RTFEED:IDN",ReutersRtMode,,P5)</f>
        <v>Paused at 11:15:03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281</v>
      </c>
      <c r="V4" s="56"/>
      <c r="W4" s="87" t="s">
        <v>173</v>
      </c>
      <c r="X4" s="56"/>
      <c r="Y4" s="242" t="s">
        <v>172</v>
      </c>
      <c r="Z4" s="107" t="s">
        <v>171</v>
      </c>
      <c r="AA4" s="77"/>
      <c r="AD4" s="203"/>
    </row>
    <row r="5" spans="1:30" x14ac:dyDescent="0.2">
      <c r="A5" s="76"/>
      <c r="B5" s="220" t="str">
        <f>K5</f>
        <v>6M</v>
      </c>
      <c r="C5" s="222" t="str">
        <f>L5</f>
        <v>AM</v>
      </c>
      <c r="D5" s="222" t="str">
        <f>M5</f>
        <v>3L</v>
      </c>
      <c r="E5" s="230" t="str">
        <f t="shared" ref="E5:E42" si="0">Currency&amp;$C5&amp;$D5&amp;$B5&amp;QuoteSuffix</f>
        <v>USDAM3L6M_Quote</v>
      </c>
      <c r="F5" s="230" t="str">
        <f>_xll.qlSimpleQuote(Currency&amp;$C5&amp;$D5&amp;$B5&amp;QuoteSuffix,,RateTickValue,Permanent,Trigger,ObjectOverwrite)</f>
        <v>USDAM3L6M_Quote#0000</v>
      </c>
      <c r="G5" s="231" t="str">
        <f>_xll.ohRangeRetrieveError(F5)</f>
        <v/>
      </c>
      <c r="H5" s="171"/>
      <c r="J5" s="76"/>
      <c r="K5" s="181" t="s">
        <v>14</v>
      </c>
      <c r="L5" s="181" t="s">
        <v>153</v>
      </c>
      <c r="M5" s="181" t="s">
        <v>93</v>
      </c>
      <c r="N5" s="182" t="str">
        <f t="shared" ref="N5:N42" si="1">Currency&amp;$L5&amp;$M5&amp;$K5</f>
        <v>USDAM3L6M</v>
      </c>
      <c r="O5" s="182" t="str">
        <f t="array" ref="O5:O42">Instruments&amp;"="&amp;VLOOKUP(Contributor,ContributorTable,2,FALSE)</f>
        <v>USDAM3L6M=ICAP</v>
      </c>
      <c r="P5" s="84" t="s">
        <v>163</v>
      </c>
      <c r="Q5" s="84" t="s">
        <v>163</v>
      </c>
      <c r="R5" s="84" t="s">
        <v>163</v>
      </c>
      <c r="S5" s="84" t="s">
        <v>163</v>
      </c>
      <c r="T5" s="84" t="e">
        <f>IF(ISERROR(AVERAGE(P5,Q5)),#NUM!,AVERAGE(P5,Q5))</f>
        <v>#NUM!</v>
      </c>
      <c r="U5" s="85" t="e">
        <f>Q5-P5</f>
        <v>#VALUE!</v>
      </c>
      <c r="V5" s="195"/>
      <c r="W5" s="197" t="e">
        <v>#NUM!</v>
      </c>
      <c r="X5" s="195"/>
      <c r="Y5" s="84" t="e">
        <f t="array" ref="Y5:Y42">QuoteLive</f>
        <v>#NUM!</v>
      </c>
      <c r="Z5" s="188">
        <f>_xll.qlSimpleQuoteSetValue(F5,Y5/100,Trigger)</f>
        <v>0</v>
      </c>
      <c r="AA5" s="77"/>
      <c r="AD5" s="226"/>
    </row>
    <row r="6" spans="1:30" x14ac:dyDescent="0.2">
      <c r="A6" s="76"/>
      <c r="B6" s="227" t="str">
        <f t="shared" ref="B6:B42" si="2">K6</f>
        <v>1Y</v>
      </c>
      <c r="C6" s="229" t="str">
        <f t="shared" ref="C6:C42" si="3">L6</f>
        <v>AM</v>
      </c>
      <c r="D6" s="229" t="str">
        <f t="shared" ref="D6:D42" si="4">M6</f>
        <v>3L</v>
      </c>
      <c r="E6" s="230" t="str">
        <f t="shared" si="0"/>
        <v>USDAM3L1Y_Quote</v>
      </c>
      <c r="F6" s="230" t="str">
        <f>_xll.qlSimpleQuote(Currency&amp;$C6&amp;$D6&amp;$B6&amp;QuoteSuffix,,RateTickValue,Permanent,Trigger,ObjectOverwrite)</f>
        <v>USDAM3L1Y_Quote#0000</v>
      </c>
      <c r="G6" s="231" t="str">
        <f>_xll.ohRangeRetrieveError(F6)</f>
        <v/>
      </c>
      <c r="H6" s="171"/>
      <c r="J6" s="76"/>
      <c r="K6" s="183" t="s">
        <v>8</v>
      </c>
      <c r="L6" s="183" t="s">
        <v>153</v>
      </c>
      <c r="M6" s="183" t="s">
        <v>93</v>
      </c>
      <c r="N6" s="184" t="str">
        <f t="shared" si="1"/>
        <v>USDAM3L1Y</v>
      </c>
      <c r="O6" s="184" t="str">
        <v>USDAM3L1Y=ICAP</v>
      </c>
      <c r="P6" s="85">
        <v>0.46900000000000003</v>
      </c>
      <c r="Q6" s="85">
        <v>0.499</v>
      </c>
      <c r="R6" s="85">
        <v>0</v>
      </c>
      <c r="S6" s="85">
        <v>0</v>
      </c>
      <c r="T6" s="85">
        <f t="shared" ref="T6:T42" si="5">IF(ISERROR(AVERAGE(P6,Q6)),#NUM!,AVERAGE(P6,Q6))</f>
        <v>0.48399999999999999</v>
      </c>
      <c r="U6" s="85">
        <f t="shared" ref="U6:U42" si="6">Q6-P6</f>
        <v>2.9999999999999971E-2</v>
      </c>
      <c r="V6" s="195"/>
      <c r="W6" s="197">
        <v>0.314</v>
      </c>
      <c r="X6" s="195"/>
      <c r="Y6" s="85">
        <v>0.48399999999999999</v>
      </c>
      <c r="Z6" s="188">
        <f>_xll.qlSimpleQuoteSetValue(F6,Y6/100,Trigger)</f>
        <v>0</v>
      </c>
      <c r="AA6" s="77"/>
      <c r="AD6" s="226"/>
    </row>
    <row r="7" spans="1:30" x14ac:dyDescent="0.2">
      <c r="A7" s="76"/>
      <c r="B7" s="227" t="str">
        <f t="shared" si="2"/>
        <v>15M</v>
      </c>
      <c r="C7" s="228" t="str">
        <f t="shared" si="3"/>
        <v>AM</v>
      </c>
      <c r="D7" s="228" t="str">
        <f t="shared" si="4"/>
        <v>3L</v>
      </c>
      <c r="E7" s="230" t="str">
        <f t="shared" si="0"/>
        <v>USDAM3L15M_Quote</v>
      </c>
      <c r="F7" s="230" t="str">
        <f>_xll.qlSimpleQuote(Currency&amp;$C7&amp;$D7&amp;$B7&amp;QuoteSuffix,,RateTickValue,Permanent,Trigger,ObjectOverwrite)</f>
        <v>USDAM3L15M_Quote#0000</v>
      </c>
      <c r="G7" s="231" t="str">
        <f>_xll.ohRangeRetrieveError(F7)</f>
        <v/>
      </c>
      <c r="H7" s="171"/>
      <c r="J7" s="76"/>
      <c r="K7" s="183" t="s">
        <v>97</v>
      </c>
      <c r="L7" s="183" t="s">
        <v>153</v>
      </c>
      <c r="M7" s="183" t="s">
        <v>93</v>
      </c>
      <c r="N7" s="184" t="str">
        <f t="shared" si="1"/>
        <v>USDAM3L15M</v>
      </c>
      <c r="O7" s="184" t="str">
        <v>USDAM3L15M=ICAP</v>
      </c>
      <c r="P7" s="85" t="s">
        <v>163</v>
      </c>
      <c r="Q7" s="85" t="s">
        <v>163</v>
      </c>
      <c r="R7" s="85" t="s">
        <v>163</v>
      </c>
      <c r="S7" s="85" t="s">
        <v>163</v>
      </c>
      <c r="T7" s="85" t="e">
        <f t="shared" si="5"/>
        <v>#NUM!</v>
      </c>
      <c r="U7" s="85" t="e">
        <f t="shared" si="6"/>
        <v>#VALUE!</v>
      </c>
      <c r="V7" s="195"/>
      <c r="W7" s="197" t="e">
        <v>#NUM!</v>
      </c>
      <c r="X7" s="195"/>
      <c r="Y7" s="85" t="e">
        <v>#NUM!</v>
      </c>
      <c r="Z7" s="188">
        <f>_xll.qlSimpleQuoteSetValue(F7,Y7/100,Trigger)</f>
        <v>0</v>
      </c>
      <c r="AA7" s="77"/>
      <c r="AD7" s="226"/>
    </row>
    <row r="8" spans="1:30" x14ac:dyDescent="0.2">
      <c r="A8" s="76"/>
      <c r="B8" s="227" t="str">
        <f t="shared" si="2"/>
        <v>18M</v>
      </c>
      <c r="C8" s="228" t="str">
        <f t="shared" si="3"/>
        <v>AM</v>
      </c>
      <c r="D8" s="228" t="str">
        <f t="shared" si="4"/>
        <v>3L</v>
      </c>
      <c r="E8" s="230" t="str">
        <f t="shared" si="0"/>
        <v>USDAM3L18M_Quote</v>
      </c>
      <c r="F8" s="230" t="str">
        <f>_xll.qlSimpleQuote(Currency&amp;$C8&amp;$D8&amp;$B8&amp;QuoteSuffix,,RateTickValue,Permanent,Trigger,ObjectOverwrite)</f>
        <v>USDAM3L18M_Quote#0000</v>
      </c>
      <c r="G8" s="231" t="str">
        <f>_xll.ohRangeRetrieveError(F8)</f>
        <v/>
      </c>
      <c r="H8" s="171"/>
      <c r="J8" s="76"/>
      <c r="K8" s="183" t="s">
        <v>96</v>
      </c>
      <c r="L8" s="183" t="s">
        <v>153</v>
      </c>
      <c r="M8" s="183" t="s">
        <v>93</v>
      </c>
      <c r="N8" s="184" t="str">
        <f t="shared" si="1"/>
        <v>USDAM3L18M</v>
      </c>
      <c r="O8" s="184" t="str">
        <v>USDAM3L18M=ICAP</v>
      </c>
      <c r="P8" s="85" t="s">
        <v>163</v>
      </c>
      <c r="Q8" s="85" t="s">
        <v>163</v>
      </c>
      <c r="R8" s="85" t="s">
        <v>163</v>
      </c>
      <c r="S8" s="85" t="s">
        <v>163</v>
      </c>
      <c r="T8" s="85" t="e">
        <f t="shared" si="5"/>
        <v>#NUM!</v>
      </c>
      <c r="U8" s="85" t="e">
        <f t="shared" si="6"/>
        <v>#VALUE!</v>
      </c>
      <c r="V8" s="195"/>
      <c r="W8" s="197" t="e">
        <v>#NUM!</v>
      </c>
      <c r="X8" s="195"/>
      <c r="Y8" s="85" t="e">
        <v>#NUM!</v>
      </c>
      <c r="Z8" s="188">
        <f>_xll.qlSimpleQuoteSetValue(F8,Y8/100,Trigger)</f>
        <v>0</v>
      </c>
      <c r="AA8" s="77"/>
      <c r="AD8" s="226"/>
    </row>
    <row r="9" spans="1:30" x14ac:dyDescent="0.2">
      <c r="A9" s="76"/>
      <c r="B9" s="227" t="str">
        <f t="shared" si="2"/>
        <v>21M</v>
      </c>
      <c r="C9" s="228" t="str">
        <f t="shared" si="3"/>
        <v>AM</v>
      </c>
      <c r="D9" s="228" t="str">
        <f t="shared" si="4"/>
        <v>3L</v>
      </c>
      <c r="E9" s="230" t="str">
        <f t="shared" si="0"/>
        <v>USDAM3L21M_Quote</v>
      </c>
      <c r="F9" s="230" t="str">
        <f>_xll.qlSimpleQuote(Currency&amp;$C9&amp;$D9&amp;$B9&amp;QuoteSuffix,,RateTickValue,Permanent,Trigger,ObjectOverwrite)</f>
        <v>USDAM3L21M_Quote#0000</v>
      </c>
      <c r="G9" s="231" t="str">
        <f>_xll.ohRangeRetrieveError(F9)</f>
        <v/>
      </c>
      <c r="H9" s="171"/>
      <c r="J9" s="76"/>
      <c r="K9" s="183" t="s">
        <v>95</v>
      </c>
      <c r="L9" s="183" t="s">
        <v>153</v>
      </c>
      <c r="M9" s="183" t="s">
        <v>93</v>
      </c>
      <c r="N9" s="184" t="str">
        <f t="shared" si="1"/>
        <v>USDAM3L21M</v>
      </c>
      <c r="O9" s="184" t="str">
        <v>USDAM3L21M=ICAP</v>
      </c>
      <c r="P9" s="85" t="s">
        <v>163</v>
      </c>
      <c r="Q9" s="85" t="s">
        <v>163</v>
      </c>
      <c r="R9" s="85" t="s">
        <v>163</v>
      </c>
      <c r="S9" s="85" t="s">
        <v>163</v>
      </c>
      <c r="T9" s="85" t="e">
        <f t="shared" si="5"/>
        <v>#NUM!</v>
      </c>
      <c r="U9" s="85" t="e">
        <f t="shared" si="6"/>
        <v>#VALUE!</v>
      </c>
      <c r="V9" s="195"/>
      <c r="W9" s="197" t="e">
        <v>#NUM!</v>
      </c>
      <c r="X9" s="195"/>
      <c r="Y9" s="85" t="e">
        <v>#NUM!</v>
      </c>
      <c r="Z9" s="188">
        <f>_xll.qlSimpleQuoteSetValue(F9,Y9/100,Trigger)</f>
        <v>0</v>
      </c>
      <c r="AA9" s="77"/>
      <c r="AD9" s="226"/>
    </row>
    <row r="10" spans="1:30" x14ac:dyDescent="0.2">
      <c r="A10" s="76"/>
      <c r="B10" s="227" t="str">
        <f t="shared" si="2"/>
        <v>2Y</v>
      </c>
      <c r="C10" s="228" t="str">
        <f t="shared" si="3"/>
        <v>AM</v>
      </c>
      <c r="D10" s="228" t="str">
        <f t="shared" si="4"/>
        <v>3L</v>
      </c>
      <c r="E10" s="230" t="str">
        <f t="shared" si="0"/>
        <v>USDAM3L2Y_Quote</v>
      </c>
      <c r="F10" s="230" t="str">
        <f>_xll.qlSimpleQuote(Currency&amp;$C10&amp;$D10&amp;$B10&amp;QuoteSuffix,,RateTickValue,Permanent,Trigger,ObjectOverwrite)</f>
        <v>USDAM3L2Y_Quote#0000</v>
      </c>
      <c r="G10" s="231" t="str">
        <f>_xll.ohRangeRetrieveError(F10)</f>
        <v/>
      </c>
      <c r="H10" s="171"/>
      <c r="J10" s="76"/>
      <c r="K10" s="183" t="s">
        <v>84</v>
      </c>
      <c r="L10" s="183" t="s">
        <v>153</v>
      </c>
      <c r="M10" s="183" t="s">
        <v>93</v>
      </c>
      <c r="N10" s="184" t="str">
        <f t="shared" si="1"/>
        <v>USDAM3L2Y</v>
      </c>
      <c r="O10" s="184" t="str">
        <v>USDAM3L2Y=ICAP</v>
      </c>
      <c r="P10" s="85">
        <v>0.877</v>
      </c>
      <c r="Q10" s="85">
        <v>0.90700000000000003</v>
      </c>
      <c r="R10" s="85">
        <v>0</v>
      </c>
      <c r="S10" s="85">
        <v>0</v>
      </c>
      <c r="T10" s="85">
        <f t="shared" si="5"/>
        <v>0.89200000000000002</v>
      </c>
      <c r="U10" s="85">
        <f t="shared" si="6"/>
        <v>3.0000000000000027E-2</v>
      </c>
      <c r="V10" s="195"/>
      <c r="W10" s="197">
        <v>0.70100000000000007</v>
      </c>
      <c r="X10" s="195"/>
      <c r="Y10" s="85">
        <v>0.89200000000000002</v>
      </c>
      <c r="Z10" s="188">
        <f>_xll.qlSimpleQuoteSetValue(F10,Y10/100,Trigger)</f>
        <v>0</v>
      </c>
      <c r="AA10" s="77"/>
      <c r="AD10" s="226"/>
    </row>
    <row r="11" spans="1:30" x14ac:dyDescent="0.2">
      <c r="A11" s="76"/>
      <c r="B11" s="227" t="str">
        <f t="shared" si="2"/>
        <v>3Y</v>
      </c>
      <c r="C11" s="228" t="str">
        <f t="shared" si="3"/>
        <v>AM</v>
      </c>
      <c r="D11" s="228" t="str">
        <f t="shared" si="4"/>
        <v>3L</v>
      </c>
      <c r="E11" s="230" t="str">
        <f t="shared" si="0"/>
        <v>USDAM3L3Y_Quote</v>
      </c>
      <c r="F11" s="230" t="str">
        <f>_xll.qlSimpleQuote(Currency&amp;$C11&amp;$D11&amp;$B11&amp;QuoteSuffix,,RateTickValue,Permanent,Trigger,ObjectOverwrite)</f>
        <v>USDAM3L3Y_Quote#0000</v>
      </c>
      <c r="G11" s="231" t="str">
        <f>_xll.ohRangeRetrieveError(F11)</f>
        <v/>
      </c>
      <c r="H11" s="171"/>
      <c r="J11" s="76"/>
      <c r="K11" s="183" t="s">
        <v>83</v>
      </c>
      <c r="L11" s="260" t="s">
        <v>153</v>
      </c>
      <c r="M11" s="260" t="s">
        <v>93</v>
      </c>
      <c r="N11" s="184" t="str">
        <f t="shared" si="1"/>
        <v>USDAM3L3Y</v>
      </c>
      <c r="O11" s="184" t="str">
        <v>USDAM3L3Y=ICAP</v>
      </c>
      <c r="P11" s="85">
        <v>1.236</v>
      </c>
      <c r="Q11" s="85">
        <v>1.266</v>
      </c>
      <c r="R11" s="85">
        <v>0</v>
      </c>
      <c r="S11" s="85">
        <v>0</v>
      </c>
      <c r="T11" s="85">
        <f t="shared" si="5"/>
        <v>1.2509999999999999</v>
      </c>
      <c r="U11" s="85">
        <f t="shared" si="6"/>
        <v>3.0000000000000027E-2</v>
      </c>
      <c r="V11" s="195"/>
      <c r="W11" s="197">
        <v>1.129</v>
      </c>
      <c r="X11" s="195"/>
      <c r="Y11" s="85">
        <v>1.2509999999999999</v>
      </c>
      <c r="Z11" s="188">
        <f>_xll.qlSimpleQuoteSetValue(F11,Y11/100,Trigger)</f>
        <v>0</v>
      </c>
      <c r="AA11" s="77"/>
      <c r="AD11" s="226"/>
    </row>
    <row r="12" spans="1:30" x14ac:dyDescent="0.2">
      <c r="A12" s="76"/>
      <c r="B12" s="227" t="str">
        <f t="shared" si="2"/>
        <v>4Y</v>
      </c>
      <c r="C12" s="228" t="str">
        <f t="shared" si="3"/>
        <v>AM</v>
      </c>
      <c r="D12" s="228" t="str">
        <f t="shared" si="4"/>
        <v>3L</v>
      </c>
      <c r="E12" s="230" t="str">
        <f t="shared" si="0"/>
        <v>USDAM3L4Y_Quote</v>
      </c>
      <c r="F12" s="230" t="str">
        <f>_xll.qlSimpleQuote(Currency&amp;$C12&amp;$D12&amp;$B12&amp;QuoteSuffix,,RateTickValue,Permanent,Trigger,ObjectOverwrite)</f>
        <v>USDAM3L4Y_Quote#0000</v>
      </c>
      <c r="G12" s="231" t="str">
        <f>_xll.ohRangeRetrieveError(F12)</f>
        <v/>
      </c>
      <c r="H12" s="171"/>
      <c r="J12" s="76"/>
      <c r="K12" s="183" t="s">
        <v>82</v>
      </c>
      <c r="L12" s="260" t="s">
        <v>153</v>
      </c>
      <c r="M12" s="260" t="s">
        <v>93</v>
      </c>
      <c r="N12" s="184" t="str">
        <f t="shared" si="1"/>
        <v>USDAM3L4Y</v>
      </c>
      <c r="O12" s="184" t="str">
        <v>USDAM3L4Y=ICAP</v>
      </c>
      <c r="P12" s="85">
        <v>1.5030000000000001</v>
      </c>
      <c r="Q12" s="85">
        <v>1.5329999999999999</v>
      </c>
      <c r="R12" s="85">
        <v>0</v>
      </c>
      <c r="S12" s="85">
        <v>0</v>
      </c>
      <c r="T12" s="85">
        <f t="shared" si="5"/>
        <v>1.518</v>
      </c>
      <c r="U12" s="85">
        <f t="shared" si="6"/>
        <v>2.9999999999999805E-2</v>
      </c>
      <c r="V12" s="195"/>
      <c r="W12" s="197">
        <v>1.468</v>
      </c>
      <c r="X12" s="195"/>
      <c r="Y12" s="85">
        <v>1.518</v>
      </c>
      <c r="Z12" s="188">
        <f>_xll.qlSimpleQuoteSetValue(F12,Y12/100,Trigger)</f>
        <v>0</v>
      </c>
      <c r="AA12" s="77"/>
      <c r="AD12" s="226"/>
    </row>
    <row r="13" spans="1:30" x14ac:dyDescent="0.2">
      <c r="A13" s="76"/>
      <c r="B13" s="227" t="str">
        <f t="shared" si="2"/>
        <v>5Y</v>
      </c>
      <c r="C13" s="228" t="str">
        <f t="shared" si="3"/>
        <v>AM</v>
      </c>
      <c r="D13" s="228" t="str">
        <f t="shared" si="4"/>
        <v>3L</v>
      </c>
      <c r="E13" s="230" t="str">
        <f t="shared" si="0"/>
        <v>USDAM3L5Y_Quote</v>
      </c>
      <c r="F13" s="230" t="str">
        <f>_xll.qlSimpleQuote(Currency&amp;$C13&amp;$D13&amp;$B13&amp;QuoteSuffix,,RateTickValue,Permanent,Trigger,ObjectOverwrite)</f>
        <v>USDAM3L5Y_Quote#0000</v>
      </c>
      <c r="G13" s="231" t="str">
        <f>_xll.ohRangeRetrieveError(F13)</f>
        <v/>
      </c>
      <c r="H13" s="171"/>
      <c r="J13" s="76"/>
      <c r="K13" s="183" t="s">
        <v>81</v>
      </c>
      <c r="L13" s="260" t="s">
        <v>153</v>
      </c>
      <c r="M13" s="260" t="s">
        <v>93</v>
      </c>
      <c r="N13" s="184" t="str">
        <f t="shared" si="1"/>
        <v>USDAM3L5Y</v>
      </c>
      <c r="O13" s="184" t="str">
        <v>USDAM3L5Y=ICAP</v>
      </c>
      <c r="P13" s="85">
        <v>1.7030000000000001</v>
      </c>
      <c r="Q13" s="85">
        <v>1.7330000000000001</v>
      </c>
      <c r="R13" s="85">
        <v>0</v>
      </c>
      <c r="S13" s="85">
        <v>0</v>
      </c>
      <c r="T13" s="85">
        <f t="shared" si="5"/>
        <v>1.718</v>
      </c>
      <c r="U13" s="85">
        <f t="shared" si="6"/>
        <v>3.0000000000000027E-2</v>
      </c>
      <c r="V13" s="195"/>
      <c r="W13" s="197">
        <v>1.7229999999999999</v>
      </c>
      <c r="X13" s="195"/>
      <c r="Y13" s="85">
        <v>1.718</v>
      </c>
      <c r="Z13" s="188">
        <f>_xll.qlSimpleQuoteSetValue(F13,Y13/100,Trigger)</f>
        <v>9.9999999999995925E-6</v>
      </c>
      <c r="AA13" s="77"/>
      <c r="AD13" s="226"/>
    </row>
    <row r="14" spans="1:30" x14ac:dyDescent="0.2">
      <c r="A14" s="76"/>
      <c r="B14" s="227" t="str">
        <f t="shared" si="2"/>
        <v>6Y</v>
      </c>
      <c r="C14" s="228" t="str">
        <f t="shared" si="3"/>
        <v>AM</v>
      </c>
      <c r="D14" s="228" t="str">
        <f t="shared" si="4"/>
        <v>3L</v>
      </c>
      <c r="E14" s="230" t="str">
        <f t="shared" si="0"/>
        <v>USDAM3L6Y_Quote</v>
      </c>
      <c r="F14" s="230" t="str">
        <f>_xll.qlSimpleQuote(Currency&amp;$C14&amp;$D14&amp;$B14&amp;QuoteSuffix,,RateTickValue,Permanent,Trigger,ObjectOverwrite)</f>
        <v>USDAM3L6Y_Quote#0000</v>
      </c>
      <c r="G14" s="231" t="str">
        <f>_xll.ohRangeRetrieveError(F14)</f>
        <v/>
      </c>
      <c r="H14" s="171"/>
      <c r="J14" s="76"/>
      <c r="K14" s="183" t="s">
        <v>80</v>
      </c>
      <c r="L14" s="260" t="s">
        <v>153</v>
      </c>
      <c r="M14" s="260" t="s">
        <v>93</v>
      </c>
      <c r="N14" s="184" t="str">
        <f t="shared" si="1"/>
        <v>USDAM3L6Y</v>
      </c>
      <c r="O14" s="184" t="str">
        <v>USDAM3L6Y=ICAP</v>
      </c>
      <c r="P14" s="85">
        <v>1.855</v>
      </c>
      <c r="Q14" s="85">
        <v>1.885</v>
      </c>
      <c r="R14" s="85">
        <v>0</v>
      </c>
      <c r="S14" s="85">
        <v>0</v>
      </c>
      <c r="T14" s="85">
        <f t="shared" si="5"/>
        <v>1.87</v>
      </c>
      <c r="U14" s="85">
        <f t="shared" si="6"/>
        <v>3.0000000000000027E-2</v>
      </c>
      <c r="V14" s="195"/>
      <c r="W14" s="197">
        <v>1.9209999999999998</v>
      </c>
      <c r="X14" s="195"/>
      <c r="Y14" s="85">
        <v>1.87</v>
      </c>
      <c r="Z14" s="188">
        <f>_xll.qlSimpleQuoteSetValue(F14,Y14/100,Trigger)</f>
        <v>1.0000000000003062E-5</v>
      </c>
      <c r="AA14" s="77"/>
      <c r="AD14" s="226"/>
    </row>
    <row r="15" spans="1:30" x14ac:dyDescent="0.2">
      <c r="A15" s="76"/>
      <c r="B15" s="227" t="str">
        <f t="shared" si="2"/>
        <v>7Y</v>
      </c>
      <c r="C15" s="228" t="str">
        <f t="shared" si="3"/>
        <v>AM</v>
      </c>
      <c r="D15" s="228" t="str">
        <f t="shared" si="4"/>
        <v>3L</v>
      </c>
      <c r="E15" s="230" t="str">
        <f t="shared" si="0"/>
        <v>USDAM3L7Y_Quote</v>
      </c>
      <c r="F15" s="230" t="str">
        <f>_xll.qlSimpleQuote(Currency&amp;$C15&amp;$D15&amp;$B15&amp;QuoteSuffix,,RateTickValue,Permanent,Trigger,ObjectOverwrite)</f>
        <v>USDAM3L7Y_Quote#0000</v>
      </c>
      <c r="G15" s="231" t="str">
        <f>_xll.ohRangeRetrieveError(F15)</f>
        <v/>
      </c>
      <c r="H15" s="171"/>
      <c r="J15" s="76"/>
      <c r="K15" s="183" t="s">
        <v>79</v>
      </c>
      <c r="L15" s="260" t="s">
        <v>153</v>
      </c>
      <c r="M15" s="260" t="s">
        <v>93</v>
      </c>
      <c r="N15" s="184" t="str">
        <f t="shared" si="1"/>
        <v>USDAM3L7Y</v>
      </c>
      <c r="O15" s="184" t="str">
        <v>USDAM3L7Y=ICAP</v>
      </c>
      <c r="P15" s="85">
        <v>1.972</v>
      </c>
      <c r="Q15" s="85">
        <v>2.0019999999999998</v>
      </c>
      <c r="R15" s="85">
        <v>0</v>
      </c>
      <c r="S15" s="85">
        <v>0</v>
      </c>
      <c r="T15" s="85">
        <f t="shared" si="5"/>
        <v>1.9869999999999999</v>
      </c>
      <c r="U15" s="85">
        <f t="shared" si="6"/>
        <v>2.9999999999999805E-2</v>
      </c>
      <c r="V15" s="195"/>
      <c r="W15" s="197">
        <v>2.0840000000000001</v>
      </c>
      <c r="X15" s="195"/>
      <c r="Y15" s="85">
        <v>1.9869999999999999</v>
      </c>
      <c r="Z15" s="188">
        <f>_xll.qlSimpleQuoteSetValue(F15,Y15/100,Trigger)</f>
        <v>0</v>
      </c>
      <c r="AA15" s="77"/>
      <c r="AD15" s="226"/>
    </row>
    <row r="16" spans="1:30" x14ac:dyDescent="0.2">
      <c r="A16" s="76"/>
      <c r="B16" s="227" t="str">
        <f t="shared" si="2"/>
        <v>8Y</v>
      </c>
      <c r="C16" s="228" t="str">
        <f t="shared" si="3"/>
        <v>AM</v>
      </c>
      <c r="D16" s="228" t="str">
        <f t="shared" si="4"/>
        <v>3L</v>
      </c>
      <c r="E16" s="230" t="str">
        <f t="shared" si="0"/>
        <v>USDAM3L8Y_Quote</v>
      </c>
      <c r="F16" s="230" t="str">
        <f>_xll.qlSimpleQuote(Currency&amp;$C16&amp;$D16&amp;$B16&amp;QuoteSuffix,,RateTickValue,Permanent,Trigger,ObjectOverwrite)</f>
        <v>USDAM3L8Y_Quote#0000</v>
      </c>
      <c r="G16" s="231" t="str">
        <f>_xll.ohRangeRetrieveError(F16)</f>
        <v/>
      </c>
      <c r="H16" s="171"/>
      <c r="J16" s="76"/>
      <c r="K16" s="183" t="s">
        <v>78</v>
      </c>
      <c r="L16" s="260" t="s">
        <v>153</v>
      </c>
      <c r="M16" s="260" t="s">
        <v>93</v>
      </c>
      <c r="N16" s="184" t="str">
        <f t="shared" si="1"/>
        <v>USDAM3L8Y</v>
      </c>
      <c r="O16" s="184" t="str">
        <v>USDAM3L8Y=ICAP</v>
      </c>
      <c r="P16" s="85">
        <v>2.0670000000000002</v>
      </c>
      <c r="Q16" s="85">
        <v>2.097</v>
      </c>
      <c r="R16" s="85">
        <v>0</v>
      </c>
      <c r="S16" s="85">
        <v>0</v>
      </c>
      <c r="T16" s="85">
        <f t="shared" si="5"/>
        <v>2.0819999999999999</v>
      </c>
      <c r="U16" s="85">
        <f t="shared" si="6"/>
        <v>2.9999999999999805E-2</v>
      </c>
      <c r="V16" s="195"/>
      <c r="W16" s="197">
        <v>2.2170000000000001</v>
      </c>
      <c r="X16" s="195"/>
      <c r="Y16" s="85">
        <v>2.0819999999999999</v>
      </c>
      <c r="Z16" s="188">
        <f>_xll.qlSimpleQuoteSetValue(F16,Y16/100,Trigger)</f>
        <v>0</v>
      </c>
      <c r="AA16" s="77"/>
      <c r="AD16" s="226"/>
    </row>
    <row r="17" spans="1:30" x14ac:dyDescent="0.2">
      <c r="A17" s="76"/>
      <c r="B17" s="227" t="str">
        <f t="shared" si="2"/>
        <v>9Y</v>
      </c>
      <c r="C17" s="228" t="str">
        <f t="shared" si="3"/>
        <v>AM</v>
      </c>
      <c r="D17" s="228" t="str">
        <f t="shared" si="4"/>
        <v>3L</v>
      </c>
      <c r="E17" s="230" t="str">
        <f t="shared" si="0"/>
        <v>USDAM3L9Y_Quote</v>
      </c>
      <c r="F17" s="230" t="str">
        <f>_xll.qlSimpleQuote(Currency&amp;$C17&amp;$D17&amp;$B17&amp;QuoteSuffix,,RateTickValue,Permanent,Trigger,ObjectOverwrite)</f>
        <v>USDAM3L9Y_Quote#0000</v>
      </c>
      <c r="G17" s="231" t="str">
        <f>_xll.ohRangeRetrieveError(F17)</f>
        <v/>
      </c>
      <c r="H17" s="171"/>
      <c r="J17" s="76"/>
      <c r="K17" s="183" t="s">
        <v>77</v>
      </c>
      <c r="L17" s="260" t="s">
        <v>153</v>
      </c>
      <c r="M17" s="260" t="s">
        <v>93</v>
      </c>
      <c r="N17" s="184" t="str">
        <f t="shared" si="1"/>
        <v>USDAM3L9Y</v>
      </c>
      <c r="O17" s="184" t="str">
        <v>USDAM3L9Y=ICAP</v>
      </c>
      <c r="P17" s="85">
        <v>2.1440000000000001</v>
      </c>
      <c r="Q17" s="85">
        <v>2.1739999999999999</v>
      </c>
      <c r="R17" s="85">
        <v>0</v>
      </c>
      <c r="S17" s="85">
        <v>0</v>
      </c>
      <c r="T17" s="85">
        <f t="shared" si="5"/>
        <v>2.1589999999999998</v>
      </c>
      <c r="U17" s="85">
        <f t="shared" si="6"/>
        <v>2.9999999999999805E-2</v>
      </c>
      <c r="V17" s="195"/>
      <c r="W17" s="197">
        <v>2.331</v>
      </c>
      <c r="X17" s="195"/>
      <c r="Y17" s="85">
        <v>2.1589999999999998</v>
      </c>
      <c r="Z17" s="188">
        <f>_xll.qlSimpleQuoteSetValue(F17,Y17/100,Trigger)</f>
        <v>0</v>
      </c>
      <c r="AA17" s="77"/>
      <c r="AD17" s="226"/>
    </row>
    <row r="18" spans="1:30" x14ac:dyDescent="0.2">
      <c r="A18" s="76"/>
      <c r="B18" s="227" t="str">
        <f t="shared" si="2"/>
        <v>10Y</v>
      </c>
      <c r="C18" s="228" t="str">
        <f t="shared" si="3"/>
        <v>AM</v>
      </c>
      <c r="D18" s="228" t="str">
        <f t="shared" si="4"/>
        <v>3L</v>
      </c>
      <c r="E18" s="230" t="str">
        <f t="shared" si="0"/>
        <v>USDAM3L10Y_Quote</v>
      </c>
      <c r="F18" s="230" t="str">
        <f>_xll.qlSimpleQuote(Currency&amp;$C18&amp;$D18&amp;$B18&amp;QuoteSuffix,,RateTickValue,Permanent,Trigger,ObjectOverwrite)</f>
        <v>USDAM3L10Y_Quote#0000</v>
      </c>
      <c r="G18" s="231" t="str">
        <f>_xll.ohRangeRetrieveError(F18)</f>
        <v/>
      </c>
      <c r="H18" s="171"/>
      <c r="J18" s="76"/>
      <c r="K18" s="183" t="s">
        <v>76</v>
      </c>
      <c r="L18" s="260" t="s">
        <v>153</v>
      </c>
      <c r="M18" s="260" t="s">
        <v>93</v>
      </c>
      <c r="N18" s="184" t="str">
        <f t="shared" si="1"/>
        <v>USDAM3L10Y</v>
      </c>
      <c r="O18" s="184" t="str">
        <v>USDAM3L10Y=ICAP</v>
      </c>
      <c r="P18" s="85">
        <v>2.2069999999999999</v>
      </c>
      <c r="Q18" s="85">
        <v>2.2370000000000001</v>
      </c>
      <c r="R18" s="85">
        <v>0</v>
      </c>
      <c r="S18" s="85">
        <v>0</v>
      </c>
      <c r="T18" s="85">
        <f t="shared" si="5"/>
        <v>2.222</v>
      </c>
      <c r="U18" s="85">
        <f t="shared" si="6"/>
        <v>3.0000000000000249E-2</v>
      </c>
      <c r="V18" s="195"/>
      <c r="W18" s="197">
        <v>2.427</v>
      </c>
      <c r="X18" s="195"/>
      <c r="Y18" s="85">
        <v>2.222</v>
      </c>
      <c r="Z18" s="188">
        <f>_xll.qlSimpleQuoteSetValue(F18,Y18/100,Trigger)</f>
        <v>0</v>
      </c>
      <c r="AA18" s="77"/>
      <c r="AD18" s="226"/>
    </row>
    <row r="19" spans="1:30" x14ac:dyDescent="0.2">
      <c r="A19" s="76"/>
      <c r="B19" s="227" t="str">
        <f t="shared" si="2"/>
        <v>11Y</v>
      </c>
      <c r="C19" s="228" t="str">
        <f t="shared" si="3"/>
        <v>AM</v>
      </c>
      <c r="D19" s="228" t="str">
        <f t="shared" si="4"/>
        <v>3L</v>
      </c>
      <c r="E19" s="230" t="str">
        <f t="shared" si="0"/>
        <v>USDAM3L11Y_Quote</v>
      </c>
      <c r="F19" s="230" t="str">
        <f>_xll.qlSimpleQuote(Currency&amp;$C19&amp;$D19&amp;$B19&amp;QuoteSuffix,,RateTickValue,Permanent,Trigger,ObjectOverwrite)</f>
        <v>USDAM3L11Y_Quote#0000</v>
      </c>
      <c r="G19" s="231" t="str">
        <f>_xll.ohRangeRetrieveError(F19)</f>
        <v/>
      </c>
      <c r="H19" s="171"/>
      <c r="J19" s="76"/>
      <c r="K19" s="183" t="s">
        <v>75</v>
      </c>
      <c r="L19" s="260" t="s">
        <v>153</v>
      </c>
      <c r="M19" s="260" t="s">
        <v>93</v>
      </c>
      <c r="N19" s="184" t="str">
        <f t="shared" si="1"/>
        <v>USDAM3L11Y</v>
      </c>
      <c r="O19" s="184" t="str">
        <v>USDAM3L11Y=ICAP</v>
      </c>
      <c r="P19" s="85" t="s">
        <v>163</v>
      </c>
      <c r="Q19" s="85" t="s">
        <v>163</v>
      </c>
      <c r="R19" s="85" t="s">
        <v>163</v>
      </c>
      <c r="S19" s="85" t="s">
        <v>163</v>
      </c>
      <c r="T19" s="85" t="e">
        <f t="shared" si="5"/>
        <v>#NUM!</v>
      </c>
      <c r="U19" s="85" t="e">
        <f t="shared" si="6"/>
        <v>#VALUE!</v>
      </c>
      <c r="V19" s="195"/>
      <c r="W19" s="197" t="e">
        <v>#NUM!</v>
      </c>
      <c r="X19" s="195"/>
      <c r="Y19" s="85" t="e">
        <v>#NUM!</v>
      </c>
      <c r="Z19" s="188">
        <f>_xll.qlSimpleQuoteSetValue(F19,Y19/100,Trigger)</f>
        <v>0</v>
      </c>
      <c r="AA19" s="77"/>
      <c r="AD19" s="226"/>
    </row>
    <row r="20" spans="1:30" x14ac:dyDescent="0.2">
      <c r="A20" s="76"/>
      <c r="B20" s="227" t="str">
        <f t="shared" si="2"/>
        <v>12Y</v>
      </c>
      <c r="C20" s="228" t="str">
        <f t="shared" si="3"/>
        <v>AM</v>
      </c>
      <c r="D20" s="228" t="str">
        <f t="shared" si="4"/>
        <v>3L</v>
      </c>
      <c r="E20" s="230" t="str">
        <f t="shared" si="0"/>
        <v>USDAM3L12Y_Quote</v>
      </c>
      <c r="F20" s="230" t="str">
        <f>_xll.qlSimpleQuote(Currency&amp;$C20&amp;$D20&amp;$B20&amp;QuoteSuffix,,RateTickValue,Permanent,Trigger,ObjectOverwrite)</f>
        <v>USDAM3L12Y_Quote#0000</v>
      </c>
      <c r="G20" s="231" t="str">
        <f>_xll.ohRangeRetrieveError(F20)</f>
        <v/>
      </c>
      <c r="H20" s="171"/>
      <c r="J20" s="76"/>
      <c r="K20" s="183" t="s">
        <v>74</v>
      </c>
      <c r="L20" s="260" t="s">
        <v>153</v>
      </c>
      <c r="M20" s="260" t="s">
        <v>93</v>
      </c>
      <c r="N20" s="184" t="str">
        <f t="shared" si="1"/>
        <v>USDAM3L12Y</v>
      </c>
      <c r="O20" s="184" t="str">
        <v>USDAM3L12Y=ICAP</v>
      </c>
      <c r="P20" s="85">
        <v>2.31</v>
      </c>
      <c r="Q20" s="85">
        <v>2.34</v>
      </c>
      <c r="R20" s="85">
        <v>0</v>
      </c>
      <c r="S20" s="85">
        <v>0</v>
      </c>
      <c r="T20" s="85">
        <f t="shared" si="5"/>
        <v>2.3250000000000002</v>
      </c>
      <c r="U20" s="85">
        <f t="shared" si="6"/>
        <v>2.9999999999999805E-2</v>
      </c>
      <c r="V20" s="195"/>
      <c r="W20" s="197">
        <v>2.585</v>
      </c>
      <c r="X20" s="195"/>
      <c r="Y20" s="85">
        <v>2.3250000000000002</v>
      </c>
      <c r="Z20" s="188">
        <f>_xll.qlSimpleQuoteSetValue(F20,Y20/100,Trigger)</f>
        <v>0</v>
      </c>
      <c r="AA20" s="77"/>
      <c r="AD20" s="226"/>
    </row>
    <row r="21" spans="1:30" x14ac:dyDescent="0.2">
      <c r="A21" s="76"/>
      <c r="B21" s="227" t="str">
        <f t="shared" si="2"/>
        <v>13Y</v>
      </c>
      <c r="C21" s="228" t="str">
        <f t="shared" si="3"/>
        <v>AM</v>
      </c>
      <c r="D21" s="228" t="str">
        <f t="shared" si="4"/>
        <v>3L</v>
      </c>
      <c r="E21" s="230" t="str">
        <f t="shared" si="0"/>
        <v>USDAM3L13Y_Quote</v>
      </c>
      <c r="F21" s="230" t="str">
        <f>_xll.qlSimpleQuote(Currency&amp;$C21&amp;$D21&amp;$B21&amp;QuoteSuffix,,RateTickValue,Permanent,Trigger,ObjectOverwrite)</f>
        <v>USDAM3L13Y_Quote#0000</v>
      </c>
      <c r="G21" s="231" t="str">
        <f>_xll.ohRangeRetrieveError(F21)</f>
        <v/>
      </c>
      <c r="H21" s="171"/>
      <c r="J21" s="76"/>
      <c r="K21" s="183" t="s">
        <v>73</v>
      </c>
      <c r="L21" s="260" t="s">
        <v>153</v>
      </c>
      <c r="M21" s="260" t="s">
        <v>93</v>
      </c>
      <c r="N21" s="184" t="str">
        <f t="shared" si="1"/>
        <v>USDAM3L13Y</v>
      </c>
      <c r="O21" s="184" t="str">
        <v>USDAM3L13Y=ICAP</v>
      </c>
      <c r="P21" s="85" t="s">
        <v>163</v>
      </c>
      <c r="Q21" s="85" t="s">
        <v>163</v>
      </c>
      <c r="R21" s="85" t="s">
        <v>163</v>
      </c>
      <c r="S21" s="85" t="s">
        <v>163</v>
      </c>
      <c r="T21" s="85" t="e">
        <f t="shared" si="5"/>
        <v>#NUM!</v>
      </c>
      <c r="U21" s="85" t="e">
        <f t="shared" si="6"/>
        <v>#VALUE!</v>
      </c>
      <c r="V21" s="195"/>
      <c r="W21" s="197" t="e">
        <v>#NUM!</v>
      </c>
      <c r="X21" s="195"/>
      <c r="Y21" s="85" t="e">
        <v>#NUM!</v>
      </c>
      <c r="Z21" s="188">
        <f>_xll.qlSimpleQuoteSetValue(F21,Y21/100,Trigger)</f>
        <v>0</v>
      </c>
      <c r="AA21" s="77"/>
      <c r="AD21" s="226"/>
    </row>
    <row r="22" spans="1:30" x14ac:dyDescent="0.2">
      <c r="A22" s="76"/>
      <c r="B22" s="227" t="str">
        <f t="shared" si="2"/>
        <v>14Y</v>
      </c>
      <c r="C22" s="228" t="str">
        <f t="shared" si="3"/>
        <v>AM</v>
      </c>
      <c r="D22" s="228" t="str">
        <f t="shared" si="4"/>
        <v>3L</v>
      </c>
      <c r="E22" s="230" t="str">
        <f t="shared" si="0"/>
        <v>USDAM3L14Y_Quote</v>
      </c>
      <c r="F22" s="230" t="str">
        <f>_xll.qlSimpleQuote(Currency&amp;$C22&amp;$D22&amp;$B22&amp;QuoteSuffix,,RateTickValue,Permanent,Trigger,ObjectOverwrite)</f>
        <v>USDAM3L14Y_Quote#0000</v>
      </c>
      <c r="G22" s="231" t="str">
        <f>_xll.ohRangeRetrieveError(F22)</f>
        <v/>
      </c>
      <c r="H22" s="171"/>
      <c r="J22" s="76"/>
      <c r="K22" s="183" t="s">
        <v>72</v>
      </c>
      <c r="L22" s="260" t="s">
        <v>153</v>
      </c>
      <c r="M22" s="260" t="s">
        <v>93</v>
      </c>
      <c r="N22" s="184" t="str">
        <f t="shared" si="1"/>
        <v>USDAM3L14Y</v>
      </c>
      <c r="O22" s="184" t="str">
        <v>USDAM3L14Y=ICAP</v>
      </c>
      <c r="P22" s="85" t="s">
        <v>163</v>
      </c>
      <c r="Q22" s="85" t="s">
        <v>163</v>
      </c>
      <c r="R22" s="85" t="s">
        <v>163</v>
      </c>
      <c r="S22" s="85" t="s">
        <v>163</v>
      </c>
      <c r="T22" s="85" t="e">
        <f t="shared" si="5"/>
        <v>#NUM!</v>
      </c>
      <c r="U22" s="85" t="e">
        <f t="shared" si="6"/>
        <v>#VALUE!</v>
      </c>
      <c r="V22" s="195"/>
      <c r="W22" s="197" t="e">
        <v>#NUM!</v>
      </c>
      <c r="X22" s="195"/>
      <c r="Y22" s="85" t="e">
        <v>#NUM!</v>
      </c>
      <c r="Z22" s="188">
        <f>_xll.qlSimpleQuoteSetValue(F22,Y22/100,Trigger)</f>
        <v>0</v>
      </c>
      <c r="AA22" s="77"/>
      <c r="AD22" s="226"/>
    </row>
    <row r="23" spans="1:30" x14ac:dyDescent="0.2">
      <c r="A23" s="76"/>
      <c r="B23" s="227" t="str">
        <f t="shared" si="2"/>
        <v>15Y</v>
      </c>
      <c r="C23" s="228" t="str">
        <f t="shared" si="3"/>
        <v>AM</v>
      </c>
      <c r="D23" s="228" t="str">
        <f t="shared" si="4"/>
        <v>3L</v>
      </c>
      <c r="E23" s="230" t="str">
        <f t="shared" si="0"/>
        <v>USDAM3L15Y_Quote</v>
      </c>
      <c r="F23" s="230" t="str">
        <f>_xll.qlSimpleQuote(Currency&amp;$C23&amp;$D23&amp;$B23&amp;QuoteSuffix,,RateTickValue,Permanent,Trigger,ObjectOverwrite)</f>
        <v>USDAM3L15Y_Quote#0000</v>
      </c>
      <c r="G23" s="231" t="str">
        <f>_xll.ohRangeRetrieveError(F23)</f>
        <v/>
      </c>
      <c r="H23" s="171"/>
      <c r="J23" s="76"/>
      <c r="K23" s="183" t="s">
        <v>71</v>
      </c>
      <c r="L23" s="260" t="s">
        <v>153</v>
      </c>
      <c r="M23" s="260" t="s">
        <v>93</v>
      </c>
      <c r="N23" s="184" t="str">
        <f t="shared" si="1"/>
        <v>USDAM3L15Y</v>
      </c>
      <c r="O23" s="184" t="str">
        <v>USDAM3L15Y=ICAP</v>
      </c>
      <c r="P23" s="85">
        <v>2.4119999999999999</v>
      </c>
      <c r="Q23" s="85">
        <v>2.4420000000000002</v>
      </c>
      <c r="R23" s="85">
        <v>0</v>
      </c>
      <c r="S23" s="85">
        <v>0</v>
      </c>
      <c r="T23" s="85">
        <f t="shared" si="5"/>
        <v>2.427</v>
      </c>
      <c r="U23" s="85">
        <f t="shared" si="6"/>
        <v>3.0000000000000249E-2</v>
      </c>
      <c r="V23" s="195"/>
      <c r="W23" s="197">
        <v>2.7489999999999997</v>
      </c>
      <c r="X23" s="195"/>
      <c r="Y23" s="85">
        <v>2.427</v>
      </c>
      <c r="Z23" s="188">
        <f>_xll.qlSimpleQuoteSetValue(F23,Y23/100,Trigger)</f>
        <v>0</v>
      </c>
      <c r="AA23" s="77"/>
      <c r="AD23" s="226"/>
    </row>
    <row r="24" spans="1:30" x14ac:dyDescent="0.2">
      <c r="A24" s="76"/>
      <c r="B24" s="227" t="str">
        <f t="shared" si="2"/>
        <v>16Y</v>
      </c>
      <c r="C24" s="228" t="str">
        <f t="shared" si="3"/>
        <v>AM</v>
      </c>
      <c r="D24" s="228" t="str">
        <f t="shared" si="4"/>
        <v>3L</v>
      </c>
      <c r="E24" s="230" t="str">
        <f t="shared" si="0"/>
        <v>USDAM3L16Y_Quote</v>
      </c>
      <c r="F24" s="230" t="str">
        <f>_xll.qlSimpleQuote(Currency&amp;$C24&amp;$D24&amp;$B24&amp;QuoteSuffix,,RateTickValue,Permanent,Trigger,ObjectOverwrite)</f>
        <v>USDAM3L16Y_Quote#0000</v>
      </c>
      <c r="G24" s="231" t="str">
        <f>_xll.ohRangeRetrieveError(F24)</f>
        <v/>
      </c>
      <c r="H24" s="171"/>
      <c r="J24" s="76"/>
      <c r="K24" s="183" t="s">
        <v>70</v>
      </c>
      <c r="L24" s="260" t="s">
        <v>153</v>
      </c>
      <c r="M24" s="260" t="s">
        <v>93</v>
      </c>
      <c r="N24" s="184" t="str">
        <f t="shared" si="1"/>
        <v>USDAM3L16Y</v>
      </c>
      <c r="O24" s="184" t="str">
        <v>USDAM3L16Y=ICAP</v>
      </c>
      <c r="P24" s="85" t="s">
        <v>163</v>
      </c>
      <c r="Q24" s="85" t="s">
        <v>163</v>
      </c>
      <c r="R24" s="85" t="s">
        <v>163</v>
      </c>
      <c r="S24" s="85" t="s">
        <v>163</v>
      </c>
      <c r="T24" s="85" t="e">
        <f t="shared" si="5"/>
        <v>#NUM!</v>
      </c>
      <c r="U24" s="85" t="e">
        <f t="shared" si="6"/>
        <v>#VALUE!</v>
      </c>
      <c r="V24" s="195"/>
      <c r="W24" s="197" t="e">
        <v>#NUM!</v>
      </c>
      <c r="X24" s="195"/>
      <c r="Y24" s="85" t="e">
        <v>#NUM!</v>
      </c>
      <c r="Z24" s="188">
        <f>_xll.qlSimpleQuoteSetValue(F24,Y24/100,Trigger)</f>
        <v>0</v>
      </c>
      <c r="AA24" s="77"/>
      <c r="AD24" s="226"/>
    </row>
    <row r="25" spans="1:30" x14ac:dyDescent="0.2">
      <c r="A25" s="76"/>
      <c r="B25" s="227" t="str">
        <f t="shared" si="2"/>
        <v>17Y</v>
      </c>
      <c r="C25" s="228" t="str">
        <f t="shared" si="3"/>
        <v>AM</v>
      </c>
      <c r="D25" s="228" t="str">
        <f t="shared" si="4"/>
        <v>3L</v>
      </c>
      <c r="E25" s="230" t="str">
        <f t="shared" si="0"/>
        <v>USDAM3L17Y_Quote</v>
      </c>
      <c r="F25" s="230" t="str">
        <f>_xll.qlSimpleQuote(Currency&amp;$C25&amp;$D25&amp;$B25&amp;QuoteSuffix,,RateTickValue,Permanent,Trigger,ObjectOverwrite)</f>
        <v>USDAM3L17Y_Quote#0000</v>
      </c>
      <c r="G25" s="231" t="str">
        <f>_xll.ohRangeRetrieveError(F25)</f>
        <v/>
      </c>
      <c r="H25" s="171"/>
      <c r="J25" s="76"/>
      <c r="K25" s="183" t="s">
        <v>69</v>
      </c>
      <c r="L25" s="260" t="s">
        <v>153</v>
      </c>
      <c r="M25" s="260" t="s">
        <v>93</v>
      </c>
      <c r="N25" s="184" t="str">
        <f t="shared" si="1"/>
        <v>USDAM3L17Y</v>
      </c>
      <c r="O25" s="184" t="str">
        <v>USDAM3L17Y=ICAP</v>
      </c>
      <c r="P25" s="85" t="s">
        <v>163</v>
      </c>
      <c r="Q25" s="85" t="s">
        <v>163</v>
      </c>
      <c r="R25" s="85" t="s">
        <v>163</v>
      </c>
      <c r="S25" s="85" t="s">
        <v>163</v>
      </c>
      <c r="T25" s="85" t="e">
        <f t="shared" si="5"/>
        <v>#NUM!</v>
      </c>
      <c r="U25" s="85" t="e">
        <f t="shared" si="6"/>
        <v>#VALUE!</v>
      </c>
      <c r="V25" s="195"/>
      <c r="W25" s="197" t="e">
        <v>#NUM!</v>
      </c>
      <c r="X25" s="195"/>
      <c r="Y25" s="85" t="e">
        <v>#NUM!</v>
      </c>
      <c r="Z25" s="188">
        <f>_xll.qlSimpleQuoteSetValue(F25,Y25/100,Trigger)</f>
        <v>0</v>
      </c>
      <c r="AA25" s="77"/>
      <c r="AD25" s="226"/>
    </row>
    <row r="26" spans="1:30" x14ac:dyDescent="0.2">
      <c r="A26" s="76"/>
      <c r="B26" s="227" t="str">
        <f t="shared" si="2"/>
        <v>18Y</v>
      </c>
      <c r="C26" s="228" t="str">
        <f t="shared" si="3"/>
        <v>AM</v>
      </c>
      <c r="D26" s="228" t="str">
        <f t="shared" si="4"/>
        <v>3L</v>
      </c>
      <c r="E26" s="230" t="str">
        <f t="shared" si="0"/>
        <v>USDAM3L18Y_Quote</v>
      </c>
      <c r="F26" s="230" t="str">
        <f>_xll.qlSimpleQuote(Currency&amp;$C26&amp;$D26&amp;$B26&amp;QuoteSuffix,,RateTickValue,Permanent,Trigger,ObjectOverwrite)</f>
        <v>USDAM3L18Y_Quote#0000</v>
      </c>
      <c r="G26" s="231" t="str">
        <f>_xll.ohRangeRetrieveError(F26)</f>
        <v/>
      </c>
      <c r="H26" s="171"/>
      <c r="J26" s="76"/>
      <c r="K26" s="183" t="s">
        <v>68</v>
      </c>
      <c r="L26" s="260" t="s">
        <v>153</v>
      </c>
      <c r="M26" s="260" t="s">
        <v>93</v>
      </c>
      <c r="N26" s="184" t="str">
        <f t="shared" si="1"/>
        <v>USDAM3L18Y</v>
      </c>
      <c r="O26" s="184" t="str">
        <v>USDAM3L18Y=ICAP</v>
      </c>
      <c r="P26" s="85" t="s">
        <v>163</v>
      </c>
      <c r="Q26" s="85" t="s">
        <v>163</v>
      </c>
      <c r="R26" s="85" t="s">
        <v>163</v>
      </c>
      <c r="S26" s="85" t="s">
        <v>163</v>
      </c>
      <c r="T26" s="85" t="e">
        <f t="shared" si="5"/>
        <v>#NUM!</v>
      </c>
      <c r="U26" s="85" t="e">
        <f t="shared" si="6"/>
        <v>#VALUE!</v>
      </c>
      <c r="V26" s="195"/>
      <c r="W26" s="197" t="e">
        <v>#NUM!</v>
      </c>
      <c r="X26" s="195"/>
      <c r="Y26" s="85" t="e">
        <v>#NUM!</v>
      </c>
      <c r="Z26" s="188">
        <f>_xll.qlSimpleQuoteSetValue(F26,Y26/100,Trigger)</f>
        <v>0</v>
      </c>
      <c r="AA26" s="77"/>
      <c r="AD26" s="226"/>
    </row>
    <row r="27" spans="1:30" x14ac:dyDescent="0.2">
      <c r="A27" s="76"/>
      <c r="B27" s="227" t="str">
        <f t="shared" si="2"/>
        <v>19Y</v>
      </c>
      <c r="C27" s="228" t="str">
        <f t="shared" si="3"/>
        <v>AM</v>
      </c>
      <c r="D27" s="228" t="str">
        <f t="shared" si="4"/>
        <v>3L</v>
      </c>
      <c r="E27" s="230" t="str">
        <f t="shared" si="0"/>
        <v>USDAM3L19Y_Quote</v>
      </c>
      <c r="F27" s="230" t="str">
        <f>_xll.qlSimpleQuote(Currency&amp;$C27&amp;$D27&amp;$B27&amp;QuoteSuffix,,RateTickValue,Permanent,Trigger,ObjectOverwrite)</f>
        <v>USDAM3L19Y_Quote#0000</v>
      </c>
      <c r="G27" s="231" t="str">
        <f>_xll.ohRangeRetrieveError(F27)</f>
        <v/>
      </c>
      <c r="H27" s="171"/>
      <c r="J27" s="76"/>
      <c r="K27" s="183" t="s">
        <v>67</v>
      </c>
      <c r="L27" s="260" t="s">
        <v>153</v>
      </c>
      <c r="M27" s="260" t="s">
        <v>93</v>
      </c>
      <c r="N27" s="184" t="str">
        <f t="shared" si="1"/>
        <v>USDAM3L19Y</v>
      </c>
      <c r="O27" s="184" t="str">
        <v>USDAM3L19Y=ICAP</v>
      </c>
      <c r="P27" s="85" t="s">
        <v>163</v>
      </c>
      <c r="Q27" s="85" t="s">
        <v>163</v>
      </c>
      <c r="R27" s="85" t="s">
        <v>163</v>
      </c>
      <c r="S27" s="85" t="s">
        <v>163</v>
      </c>
      <c r="T27" s="85" t="e">
        <f t="shared" si="5"/>
        <v>#NUM!</v>
      </c>
      <c r="U27" s="85" t="e">
        <f t="shared" si="6"/>
        <v>#VALUE!</v>
      </c>
      <c r="V27" s="195"/>
      <c r="W27" s="197" t="e">
        <v>#NUM!</v>
      </c>
      <c r="X27" s="195"/>
      <c r="Y27" s="85" t="e">
        <v>#NUM!</v>
      </c>
      <c r="Z27" s="188">
        <f>_xll.qlSimpleQuoteSetValue(F27,Y27/100,Trigger)</f>
        <v>0</v>
      </c>
      <c r="AA27" s="77"/>
      <c r="AD27" s="226"/>
    </row>
    <row r="28" spans="1:30" x14ac:dyDescent="0.2">
      <c r="A28" s="76"/>
      <c r="B28" s="227" t="str">
        <f t="shared" si="2"/>
        <v>20Y</v>
      </c>
      <c r="C28" s="228" t="str">
        <f t="shared" si="3"/>
        <v>AM</v>
      </c>
      <c r="D28" s="228" t="str">
        <f t="shared" si="4"/>
        <v>3L</v>
      </c>
      <c r="E28" s="230" t="str">
        <f t="shared" si="0"/>
        <v>USDAM3L20Y_Quote</v>
      </c>
      <c r="F28" s="230" t="str">
        <f>_xll.qlSimpleQuote(Currency&amp;$C28&amp;$D28&amp;$B28&amp;QuoteSuffix,,RateTickValue,Permanent,Trigger,ObjectOverwrite)</f>
        <v>USDAM3L20Y_Quote#0000</v>
      </c>
      <c r="G28" s="231" t="str">
        <f>_xll.ohRangeRetrieveError(F28)</f>
        <v/>
      </c>
      <c r="H28" s="171"/>
      <c r="J28" s="76"/>
      <c r="K28" s="183" t="s">
        <v>66</v>
      </c>
      <c r="L28" s="260" t="s">
        <v>153</v>
      </c>
      <c r="M28" s="260" t="s">
        <v>93</v>
      </c>
      <c r="N28" s="184" t="str">
        <f t="shared" si="1"/>
        <v>USDAM3L20Y</v>
      </c>
      <c r="O28" s="184" t="str">
        <v>USDAM3L20Y=ICAP</v>
      </c>
      <c r="P28" s="85">
        <v>2.508</v>
      </c>
      <c r="Q28" s="85">
        <v>2.5380000000000003</v>
      </c>
      <c r="R28" s="85">
        <v>0</v>
      </c>
      <c r="S28" s="85">
        <v>0</v>
      </c>
      <c r="T28" s="85">
        <f t="shared" si="5"/>
        <v>2.5230000000000001</v>
      </c>
      <c r="U28" s="85">
        <f t="shared" si="6"/>
        <v>3.0000000000000249E-2</v>
      </c>
      <c r="V28" s="195"/>
      <c r="W28" s="197">
        <v>2.9039999999999999</v>
      </c>
      <c r="X28" s="195"/>
      <c r="Y28" s="85">
        <v>2.5230000000000001</v>
      </c>
      <c r="Z28" s="188">
        <f>_xll.qlSimpleQuoteSetValue(F28,Y28/100,Trigger)</f>
        <v>0</v>
      </c>
      <c r="AA28" s="77"/>
      <c r="AD28" s="226"/>
    </row>
    <row r="29" spans="1:30" x14ac:dyDescent="0.2">
      <c r="A29" s="76"/>
      <c r="B29" s="227" t="str">
        <f t="shared" si="2"/>
        <v>21Y</v>
      </c>
      <c r="C29" s="228" t="str">
        <f t="shared" si="3"/>
        <v>AM</v>
      </c>
      <c r="D29" s="228" t="str">
        <f t="shared" si="4"/>
        <v>3L</v>
      </c>
      <c r="E29" s="230" t="str">
        <f t="shared" si="0"/>
        <v>USDAM3L21Y_Quote</v>
      </c>
      <c r="F29" s="230" t="str">
        <f>_xll.qlSimpleQuote(Currency&amp;$C29&amp;$D29&amp;$B29&amp;QuoteSuffix,,RateTickValue,Permanent,Trigger,ObjectOverwrite)</f>
        <v>USDAM3L21Y_Quote#0000</v>
      </c>
      <c r="G29" s="231" t="str">
        <f>_xll.ohRangeRetrieveError(F29)</f>
        <v/>
      </c>
      <c r="H29" s="171"/>
      <c r="J29" s="76"/>
      <c r="K29" s="183" t="s">
        <v>65</v>
      </c>
      <c r="L29" s="52" t="s">
        <v>153</v>
      </c>
      <c r="M29" s="52" t="s">
        <v>93</v>
      </c>
      <c r="N29" s="184" t="str">
        <f t="shared" si="1"/>
        <v>USDAM3L21Y</v>
      </c>
      <c r="O29" s="184" t="str">
        <v>USDAM3L21Y=ICAP</v>
      </c>
      <c r="P29" s="85" t="s">
        <v>163</v>
      </c>
      <c r="Q29" s="85" t="s">
        <v>163</v>
      </c>
      <c r="R29" s="85" t="s">
        <v>163</v>
      </c>
      <c r="S29" s="85" t="s">
        <v>163</v>
      </c>
      <c r="T29" s="85" t="e">
        <f t="shared" si="5"/>
        <v>#NUM!</v>
      </c>
      <c r="U29" s="85" t="e">
        <f t="shared" si="6"/>
        <v>#VALUE!</v>
      </c>
      <c r="V29" s="195"/>
      <c r="W29" s="197" t="e">
        <v>#NUM!</v>
      </c>
      <c r="X29" s="195"/>
      <c r="Y29" s="85" t="e">
        <v>#NUM!</v>
      </c>
      <c r="Z29" s="188">
        <f>_xll.qlSimpleQuoteSetValue(F29,Y29/100,Trigger)</f>
        <v>0</v>
      </c>
      <c r="AA29" s="77"/>
      <c r="AD29" s="226"/>
    </row>
    <row r="30" spans="1:30" x14ac:dyDescent="0.2">
      <c r="A30" s="76"/>
      <c r="B30" s="227" t="str">
        <f t="shared" si="2"/>
        <v>22Y</v>
      </c>
      <c r="C30" s="228" t="str">
        <f t="shared" si="3"/>
        <v>AM</v>
      </c>
      <c r="D30" s="228" t="str">
        <f t="shared" si="4"/>
        <v>3L</v>
      </c>
      <c r="E30" s="230" t="str">
        <f t="shared" si="0"/>
        <v>USDAM3L22Y_Quote</v>
      </c>
      <c r="F30" s="230" t="str">
        <f>_xll.qlSimpleQuote(Currency&amp;$C30&amp;$D30&amp;$B30&amp;QuoteSuffix,,RateTickValue,Permanent,Trigger,ObjectOverwrite)</f>
        <v>USDAM3L22Y_Quote#0000</v>
      </c>
      <c r="G30" s="231" t="str">
        <f>_xll.ohRangeRetrieveError(F30)</f>
        <v/>
      </c>
      <c r="H30" s="171"/>
      <c r="J30" s="76"/>
      <c r="K30" s="183" t="s">
        <v>64</v>
      </c>
      <c r="L30" s="260" t="s">
        <v>153</v>
      </c>
      <c r="M30" s="260" t="s">
        <v>93</v>
      </c>
      <c r="N30" s="184" t="str">
        <f t="shared" si="1"/>
        <v>USDAM3L22Y</v>
      </c>
      <c r="O30" s="184" t="str">
        <v>USDAM3L22Y=ICAP</v>
      </c>
      <c r="P30" s="85" t="s">
        <v>163</v>
      </c>
      <c r="Q30" s="85" t="s">
        <v>163</v>
      </c>
      <c r="R30" s="85" t="s">
        <v>163</v>
      </c>
      <c r="S30" s="85" t="s">
        <v>163</v>
      </c>
      <c r="T30" s="85" t="e">
        <f t="shared" si="5"/>
        <v>#NUM!</v>
      </c>
      <c r="U30" s="85" t="e">
        <f t="shared" si="6"/>
        <v>#VALUE!</v>
      </c>
      <c r="V30" s="195"/>
      <c r="W30" s="197" t="e">
        <v>#NUM!</v>
      </c>
      <c r="X30" s="195"/>
      <c r="Y30" s="85" t="e">
        <v>#NUM!</v>
      </c>
      <c r="Z30" s="188">
        <f>_xll.qlSimpleQuoteSetValue(F30,Y30/100,Trigger)</f>
        <v>0</v>
      </c>
      <c r="AA30" s="77"/>
      <c r="AD30" s="226"/>
    </row>
    <row r="31" spans="1:30" x14ac:dyDescent="0.2">
      <c r="A31" s="76"/>
      <c r="B31" s="227" t="str">
        <f t="shared" si="2"/>
        <v>23Y</v>
      </c>
      <c r="C31" s="228" t="str">
        <f t="shared" si="3"/>
        <v>AM</v>
      </c>
      <c r="D31" s="228" t="str">
        <f t="shared" si="4"/>
        <v>3L</v>
      </c>
      <c r="E31" s="230" t="str">
        <f t="shared" si="0"/>
        <v>USDAM3L23Y_Quote</v>
      </c>
      <c r="F31" s="230" t="str">
        <f>_xll.qlSimpleQuote(Currency&amp;$C31&amp;$D31&amp;$B31&amp;QuoteSuffix,,RateTickValue,Permanent,Trigger,ObjectOverwrite)</f>
        <v>USDAM3L23Y_Quote#0000</v>
      </c>
      <c r="G31" s="231" t="str">
        <f>_xll.ohRangeRetrieveError(F31)</f>
        <v/>
      </c>
      <c r="H31" s="171"/>
      <c r="J31" s="76"/>
      <c r="K31" s="183" t="s">
        <v>63</v>
      </c>
      <c r="L31" s="260" t="s">
        <v>153</v>
      </c>
      <c r="M31" s="260" t="s">
        <v>93</v>
      </c>
      <c r="N31" s="184" t="str">
        <f t="shared" si="1"/>
        <v>USDAM3L23Y</v>
      </c>
      <c r="O31" s="184" t="str">
        <v>USDAM3L23Y=ICAP</v>
      </c>
      <c r="P31" s="85" t="s">
        <v>163</v>
      </c>
      <c r="Q31" s="85" t="s">
        <v>163</v>
      </c>
      <c r="R31" s="85" t="s">
        <v>163</v>
      </c>
      <c r="S31" s="85" t="s">
        <v>163</v>
      </c>
      <c r="T31" s="85" t="e">
        <f t="shared" si="5"/>
        <v>#NUM!</v>
      </c>
      <c r="U31" s="85" t="e">
        <f t="shared" si="6"/>
        <v>#VALUE!</v>
      </c>
      <c r="V31" s="195"/>
      <c r="W31" s="197" t="e">
        <v>#NUM!</v>
      </c>
      <c r="X31" s="195"/>
      <c r="Y31" s="85" t="e">
        <v>#NUM!</v>
      </c>
      <c r="Z31" s="188">
        <f>_xll.qlSimpleQuoteSetValue(F31,Y31/100,Trigger)</f>
        <v>0</v>
      </c>
      <c r="AA31" s="77"/>
      <c r="AD31" s="226"/>
    </row>
    <row r="32" spans="1:30" x14ac:dyDescent="0.2">
      <c r="A32" s="76"/>
      <c r="B32" s="227" t="str">
        <f t="shared" si="2"/>
        <v>24Y</v>
      </c>
      <c r="C32" s="228" t="str">
        <f t="shared" si="3"/>
        <v>AM</v>
      </c>
      <c r="D32" s="228" t="str">
        <f t="shared" si="4"/>
        <v>3L</v>
      </c>
      <c r="E32" s="230" t="str">
        <f t="shared" si="0"/>
        <v>USDAM3L24Y_Quote</v>
      </c>
      <c r="F32" s="230" t="str">
        <f>_xll.qlSimpleQuote(Currency&amp;$C32&amp;$D32&amp;$B32&amp;QuoteSuffix,,RateTickValue,Permanent,Trigger,ObjectOverwrite)</f>
        <v>USDAM3L24Y_Quote#0000</v>
      </c>
      <c r="G32" s="231" t="str">
        <f>_xll.ohRangeRetrieveError(F32)</f>
        <v/>
      </c>
      <c r="H32" s="171"/>
      <c r="J32" s="76"/>
      <c r="K32" s="183" t="s">
        <v>62</v>
      </c>
      <c r="L32" s="260" t="s">
        <v>153</v>
      </c>
      <c r="M32" s="260" t="s">
        <v>93</v>
      </c>
      <c r="N32" s="184" t="str">
        <f t="shared" si="1"/>
        <v>USDAM3L24Y</v>
      </c>
      <c r="O32" s="184" t="str">
        <v>USDAM3L24Y=ICAP</v>
      </c>
      <c r="P32" s="85" t="s">
        <v>163</v>
      </c>
      <c r="Q32" s="85" t="s">
        <v>163</v>
      </c>
      <c r="R32" s="85" t="s">
        <v>163</v>
      </c>
      <c r="S32" s="85" t="s">
        <v>163</v>
      </c>
      <c r="T32" s="85" t="e">
        <f t="shared" si="5"/>
        <v>#NUM!</v>
      </c>
      <c r="U32" s="85" t="e">
        <f t="shared" si="6"/>
        <v>#VALUE!</v>
      </c>
      <c r="V32" s="195"/>
      <c r="W32" s="197" t="e">
        <v>#NUM!</v>
      </c>
      <c r="X32" s="195"/>
      <c r="Y32" s="85" t="e">
        <v>#NUM!</v>
      </c>
      <c r="Z32" s="188">
        <f>_xll.qlSimpleQuoteSetValue(F32,Y32/100,Trigger)</f>
        <v>0</v>
      </c>
      <c r="AA32" s="77"/>
      <c r="AD32" s="226"/>
    </row>
    <row r="33" spans="1:30" x14ac:dyDescent="0.2">
      <c r="A33" s="76"/>
      <c r="B33" s="227" t="str">
        <f t="shared" si="2"/>
        <v>25Y</v>
      </c>
      <c r="C33" s="228" t="str">
        <f t="shared" si="3"/>
        <v>AM</v>
      </c>
      <c r="D33" s="228" t="str">
        <f t="shared" si="4"/>
        <v>3L</v>
      </c>
      <c r="E33" s="230" t="str">
        <f t="shared" si="0"/>
        <v>USDAM3L25Y_Quote</v>
      </c>
      <c r="F33" s="230" t="str">
        <f>_xll.qlSimpleQuote(Currency&amp;$C33&amp;$D33&amp;$B33&amp;QuoteSuffix,,RateTickValue,Permanent,Trigger,ObjectOverwrite)</f>
        <v>USDAM3L25Y_Quote#0000</v>
      </c>
      <c r="G33" s="231" t="str">
        <f>_xll.ohRangeRetrieveError(F33)</f>
        <v/>
      </c>
      <c r="H33" s="171"/>
      <c r="J33" s="76"/>
      <c r="K33" s="183" t="s">
        <v>61</v>
      </c>
      <c r="L33" s="260" t="s">
        <v>153</v>
      </c>
      <c r="M33" s="260" t="s">
        <v>93</v>
      </c>
      <c r="N33" s="184" t="str">
        <f t="shared" si="1"/>
        <v>USDAM3L25Y</v>
      </c>
      <c r="O33" s="184" t="str">
        <v>USDAM3L25Y=ICAP</v>
      </c>
      <c r="P33" s="85">
        <v>2.548</v>
      </c>
      <c r="Q33" s="85">
        <v>2.5780000000000003</v>
      </c>
      <c r="R33" s="85">
        <v>0</v>
      </c>
      <c r="S33" s="85">
        <v>0</v>
      </c>
      <c r="T33" s="85">
        <f t="shared" si="5"/>
        <v>2.5630000000000002</v>
      </c>
      <c r="U33" s="85">
        <f t="shared" si="6"/>
        <v>3.0000000000000249E-2</v>
      </c>
      <c r="V33" s="195"/>
      <c r="W33" s="197">
        <v>2.9779999999999998</v>
      </c>
      <c r="X33" s="195"/>
      <c r="Y33" s="85">
        <v>2.5630000000000002</v>
      </c>
      <c r="Z33" s="188">
        <f>_xll.qlSimpleQuoteSetValue(F33,Y33/100,Trigger)</f>
        <v>0</v>
      </c>
      <c r="AA33" s="77"/>
      <c r="AD33" s="226"/>
    </row>
    <row r="34" spans="1:30" x14ac:dyDescent="0.2">
      <c r="A34" s="76"/>
      <c r="B34" s="227" t="str">
        <f t="shared" si="2"/>
        <v>26Y</v>
      </c>
      <c r="C34" s="228" t="str">
        <f t="shared" si="3"/>
        <v>AM</v>
      </c>
      <c r="D34" s="228" t="str">
        <f t="shared" si="4"/>
        <v>3L</v>
      </c>
      <c r="E34" s="230" t="str">
        <f t="shared" si="0"/>
        <v>USDAM3L26Y_Quote</v>
      </c>
      <c r="F34" s="230" t="str">
        <f>_xll.qlSimpleQuote(Currency&amp;$C34&amp;$D34&amp;$B34&amp;QuoteSuffix,,RateTickValue,Permanent,Trigger,ObjectOverwrite)</f>
        <v>USDAM3L26Y_Quote#0000</v>
      </c>
      <c r="G34" s="231" t="str">
        <f>_xll.ohRangeRetrieveError(F34)</f>
        <v/>
      </c>
      <c r="H34" s="171"/>
      <c r="J34" s="76"/>
      <c r="K34" s="183" t="s">
        <v>60</v>
      </c>
      <c r="L34" s="260" t="s">
        <v>153</v>
      </c>
      <c r="M34" s="260" t="s">
        <v>93</v>
      </c>
      <c r="N34" s="184" t="str">
        <f t="shared" si="1"/>
        <v>USDAM3L26Y</v>
      </c>
      <c r="O34" s="184" t="str">
        <v>USDAM3L26Y=ICAP</v>
      </c>
      <c r="P34" s="85" t="s">
        <v>163</v>
      </c>
      <c r="Q34" s="85" t="s">
        <v>163</v>
      </c>
      <c r="R34" s="85" t="s">
        <v>163</v>
      </c>
      <c r="S34" s="85" t="s">
        <v>163</v>
      </c>
      <c r="T34" s="85" t="e">
        <f t="shared" si="5"/>
        <v>#NUM!</v>
      </c>
      <c r="U34" s="85" t="e">
        <f t="shared" si="6"/>
        <v>#VALUE!</v>
      </c>
      <c r="V34" s="195"/>
      <c r="W34" s="197" t="e">
        <v>#NUM!</v>
      </c>
      <c r="X34" s="195"/>
      <c r="Y34" s="85" t="e">
        <v>#NUM!</v>
      </c>
      <c r="Z34" s="188">
        <f>_xll.qlSimpleQuoteSetValue(F34,Y34/100,Trigger)</f>
        <v>0</v>
      </c>
      <c r="AA34" s="77"/>
      <c r="AD34" s="226"/>
    </row>
    <row r="35" spans="1:30" x14ac:dyDescent="0.2">
      <c r="A35" s="76"/>
      <c r="B35" s="227" t="str">
        <f t="shared" si="2"/>
        <v>27Y</v>
      </c>
      <c r="C35" s="228" t="str">
        <f t="shared" si="3"/>
        <v>AM</v>
      </c>
      <c r="D35" s="228" t="str">
        <f t="shared" si="4"/>
        <v>3L</v>
      </c>
      <c r="E35" s="230" t="str">
        <f t="shared" si="0"/>
        <v>USDAM3L27Y_Quote</v>
      </c>
      <c r="F35" s="230" t="str">
        <f>_xll.qlSimpleQuote(Currency&amp;$C35&amp;$D35&amp;$B35&amp;QuoteSuffix,,RateTickValue,Permanent,Trigger,ObjectOverwrite)</f>
        <v>USDAM3L27Y_Quote#0000</v>
      </c>
      <c r="G35" s="231" t="str">
        <f>_xll.ohRangeRetrieveError(F35)</f>
        <v/>
      </c>
      <c r="H35" s="171"/>
      <c r="J35" s="76"/>
      <c r="K35" s="183" t="s">
        <v>59</v>
      </c>
      <c r="L35" s="260" t="s">
        <v>153</v>
      </c>
      <c r="M35" s="260" t="s">
        <v>93</v>
      </c>
      <c r="N35" s="184" t="str">
        <f t="shared" si="1"/>
        <v>USDAM3L27Y</v>
      </c>
      <c r="O35" s="184" t="str">
        <v>USDAM3L27Y=ICAP</v>
      </c>
      <c r="P35" s="85" t="s">
        <v>163</v>
      </c>
      <c r="Q35" s="85" t="s">
        <v>163</v>
      </c>
      <c r="R35" s="85" t="s">
        <v>163</v>
      </c>
      <c r="S35" s="85" t="s">
        <v>163</v>
      </c>
      <c r="T35" s="85" t="e">
        <f t="shared" si="5"/>
        <v>#NUM!</v>
      </c>
      <c r="U35" s="85" t="e">
        <f t="shared" si="6"/>
        <v>#VALUE!</v>
      </c>
      <c r="V35" s="195"/>
      <c r="W35" s="197" t="e">
        <v>#NUM!</v>
      </c>
      <c r="X35" s="195"/>
      <c r="Y35" s="85" t="e">
        <v>#NUM!</v>
      </c>
      <c r="Z35" s="188">
        <f>_xll.qlSimpleQuoteSetValue(F35,Y35/100,Trigger)</f>
        <v>0</v>
      </c>
      <c r="AA35" s="77"/>
      <c r="AD35" s="226"/>
    </row>
    <row r="36" spans="1:30" x14ac:dyDescent="0.2">
      <c r="A36" s="76"/>
      <c r="B36" s="227" t="str">
        <f t="shared" si="2"/>
        <v>28Y</v>
      </c>
      <c r="C36" s="228" t="str">
        <f t="shared" si="3"/>
        <v>AM</v>
      </c>
      <c r="D36" s="228" t="str">
        <f t="shared" si="4"/>
        <v>3L</v>
      </c>
      <c r="E36" s="230" t="str">
        <f t="shared" si="0"/>
        <v>USDAM3L28Y_Quote</v>
      </c>
      <c r="F36" s="230" t="str">
        <f>_xll.qlSimpleQuote(Currency&amp;$C36&amp;$D36&amp;$B36&amp;QuoteSuffix,,RateTickValue,Permanent,Trigger,ObjectOverwrite)</f>
        <v>USDAM3L28Y_Quote#0000</v>
      </c>
      <c r="G36" s="231" t="str">
        <f>_xll.ohRangeRetrieveError(F36)</f>
        <v/>
      </c>
      <c r="H36" s="171"/>
      <c r="J36" s="76"/>
      <c r="K36" s="183" t="s">
        <v>58</v>
      </c>
      <c r="L36" s="260" t="s">
        <v>153</v>
      </c>
      <c r="M36" s="260" t="s">
        <v>93</v>
      </c>
      <c r="N36" s="184" t="str">
        <f t="shared" si="1"/>
        <v>USDAM3L28Y</v>
      </c>
      <c r="O36" s="184" t="str">
        <v>USDAM3L28Y=ICAP</v>
      </c>
      <c r="P36" s="85" t="s">
        <v>163</v>
      </c>
      <c r="Q36" s="85" t="s">
        <v>163</v>
      </c>
      <c r="R36" s="85" t="s">
        <v>163</v>
      </c>
      <c r="S36" s="85" t="s">
        <v>163</v>
      </c>
      <c r="T36" s="85" t="e">
        <f t="shared" si="5"/>
        <v>#NUM!</v>
      </c>
      <c r="U36" s="85" t="e">
        <f t="shared" si="6"/>
        <v>#VALUE!</v>
      </c>
      <c r="V36" s="195"/>
      <c r="W36" s="197" t="e">
        <v>#NUM!</v>
      </c>
      <c r="X36" s="195"/>
      <c r="Y36" s="85" t="e">
        <v>#NUM!</v>
      </c>
      <c r="Z36" s="188">
        <f>_xll.qlSimpleQuoteSetValue(F36,Y36/100,Trigger)</f>
        <v>0</v>
      </c>
      <c r="AA36" s="77"/>
      <c r="AD36" s="226"/>
    </row>
    <row r="37" spans="1:30" x14ac:dyDescent="0.2">
      <c r="A37" s="76"/>
      <c r="B37" s="227" t="str">
        <f t="shared" si="2"/>
        <v>29Y</v>
      </c>
      <c r="C37" s="228" t="str">
        <f t="shared" si="3"/>
        <v>AM</v>
      </c>
      <c r="D37" s="228" t="str">
        <f t="shared" si="4"/>
        <v>3L</v>
      </c>
      <c r="E37" s="230" t="str">
        <f t="shared" si="0"/>
        <v>USDAM3L29Y_Quote</v>
      </c>
      <c r="F37" s="230" t="str">
        <f>_xll.qlSimpleQuote(Currency&amp;$C37&amp;$D37&amp;$B37&amp;QuoteSuffix,,RateTickValue,Permanent,Trigger,ObjectOverwrite)</f>
        <v>USDAM3L29Y_Quote#0000</v>
      </c>
      <c r="G37" s="231" t="str">
        <f>_xll.ohRangeRetrieveError(F37)</f>
        <v/>
      </c>
      <c r="H37" s="171"/>
      <c r="J37" s="76"/>
      <c r="K37" s="183" t="s">
        <v>57</v>
      </c>
      <c r="L37" s="260" t="s">
        <v>153</v>
      </c>
      <c r="M37" s="260" t="s">
        <v>93</v>
      </c>
      <c r="N37" s="184" t="str">
        <f t="shared" si="1"/>
        <v>USDAM3L29Y</v>
      </c>
      <c r="O37" s="184" t="str">
        <v>USDAM3L29Y=ICAP</v>
      </c>
      <c r="P37" s="85" t="s">
        <v>163</v>
      </c>
      <c r="Q37" s="85" t="s">
        <v>163</v>
      </c>
      <c r="R37" s="85" t="s">
        <v>163</v>
      </c>
      <c r="S37" s="85" t="s">
        <v>163</v>
      </c>
      <c r="T37" s="85" t="e">
        <f t="shared" si="5"/>
        <v>#NUM!</v>
      </c>
      <c r="U37" s="85" t="e">
        <f t="shared" si="6"/>
        <v>#VALUE!</v>
      </c>
      <c r="V37" s="195"/>
      <c r="W37" s="197" t="e">
        <v>#NUM!</v>
      </c>
      <c r="X37" s="195"/>
      <c r="Y37" s="85" t="e">
        <v>#NUM!</v>
      </c>
      <c r="Z37" s="188">
        <f>_xll.qlSimpleQuoteSetValue(F37,Y37/100,Trigger)</f>
        <v>0</v>
      </c>
      <c r="AA37" s="77"/>
      <c r="AD37" s="226"/>
    </row>
    <row r="38" spans="1:30" x14ac:dyDescent="0.2">
      <c r="A38" s="76"/>
      <c r="B38" s="227" t="str">
        <f t="shared" si="2"/>
        <v>30Y</v>
      </c>
      <c r="C38" s="228" t="str">
        <f t="shared" si="3"/>
        <v>AM</v>
      </c>
      <c r="D38" s="228" t="str">
        <f t="shared" si="4"/>
        <v>3L</v>
      </c>
      <c r="E38" s="230" t="str">
        <f t="shared" si="0"/>
        <v>USDAM3L30Y_Quote</v>
      </c>
      <c r="F38" s="230" t="str">
        <f>_xll.qlSimpleQuote(Currency&amp;$C38&amp;$D38&amp;$B38&amp;QuoteSuffix,,RateTickValue,Permanent,Trigger,ObjectOverwrite)</f>
        <v>USDAM3L30Y_Quote#0000</v>
      </c>
      <c r="G38" s="231" t="str">
        <f>_xll.ohRangeRetrieveError(F38)</f>
        <v/>
      </c>
      <c r="H38" s="171"/>
      <c r="J38" s="76"/>
      <c r="K38" s="183" t="s">
        <v>56</v>
      </c>
      <c r="L38" s="260" t="s">
        <v>153</v>
      </c>
      <c r="M38" s="260" t="s">
        <v>93</v>
      </c>
      <c r="N38" s="184" t="str">
        <f t="shared" si="1"/>
        <v>USDAM3L30Y</v>
      </c>
      <c r="O38" s="184" t="str">
        <v>USDAM3L30Y=ICAP</v>
      </c>
      <c r="P38" s="85">
        <v>2.569</v>
      </c>
      <c r="Q38" s="85">
        <v>2.5990000000000002</v>
      </c>
      <c r="R38" s="85">
        <v>0</v>
      </c>
      <c r="S38" s="85">
        <v>0</v>
      </c>
      <c r="T38" s="85">
        <f t="shared" si="5"/>
        <v>2.5840000000000001</v>
      </c>
      <c r="U38" s="85">
        <f t="shared" si="6"/>
        <v>3.0000000000000249E-2</v>
      </c>
      <c r="V38" s="195"/>
      <c r="W38" s="197">
        <v>3.0190000000000001</v>
      </c>
      <c r="X38" s="195"/>
      <c r="Y38" s="85">
        <v>2.5840000000000001</v>
      </c>
      <c r="Z38" s="188">
        <f>_xll.qlSimpleQuoteSetValue(F38,Y38/100,Trigger)</f>
        <v>0</v>
      </c>
      <c r="AA38" s="77"/>
      <c r="AD38" s="226"/>
    </row>
    <row r="39" spans="1:30" x14ac:dyDescent="0.2">
      <c r="A39" s="76"/>
      <c r="B39" s="227" t="str">
        <f t="shared" si="2"/>
        <v>35Y</v>
      </c>
      <c r="C39" s="228" t="str">
        <f t="shared" si="3"/>
        <v>AM</v>
      </c>
      <c r="D39" s="228" t="str">
        <f t="shared" si="4"/>
        <v>3L</v>
      </c>
      <c r="E39" s="230" t="str">
        <f t="shared" si="0"/>
        <v>USDAM3L35Y_Quote</v>
      </c>
      <c r="F39" s="230" t="str">
        <f>_xll.qlSimpleQuote(Currency&amp;$C39&amp;$D39&amp;$B39&amp;QuoteSuffix,,RateTickValue,Permanent,Trigger,ObjectOverwrite)</f>
        <v>USDAM3L35Y_Quote#0000</v>
      </c>
      <c r="G39" s="231" t="str">
        <f>_xll.ohRangeRetrieveError(F39)</f>
        <v/>
      </c>
      <c r="H39" s="171"/>
      <c r="J39" s="76"/>
      <c r="K39" s="183" t="s">
        <v>51</v>
      </c>
      <c r="L39" s="260" t="s">
        <v>153</v>
      </c>
      <c r="M39" s="260" t="s">
        <v>93</v>
      </c>
      <c r="N39" s="184" t="str">
        <f t="shared" si="1"/>
        <v>USDAM3L35Y</v>
      </c>
      <c r="O39" s="184" t="str">
        <v>USDAM3L35Y=ICAP</v>
      </c>
      <c r="P39" s="85" t="s">
        <v>163</v>
      </c>
      <c r="Q39" s="85" t="s">
        <v>163</v>
      </c>
      <c r="R39" s="85" t="s">
        <v>163</v>
      </c>
      <c r="S39" s="85" t="s">
        <v>163</v>
      </c>
      <c r="T39" s="85" t="e">
        <f t="shared" si="5"/>
        <v>#NUM!</v>
      </c>
      <c r="U39" s="85" t="e">
        <f t="shared" si="6"/>
        <v>#VALUE!</v>
      </c>
      <c r="V39" s="195"/>
      <c r="W39" s="197" t="e">
        <v>#NUM!</v>
      </c>
      <c r="X39" s="195"/>
      <c r="Y39" s="85" t="e">
        <v>#NUM!</v>
      </c>
      <c r="Z39" s="188">
        <f>_xll.qlSimpleQuoteSetValue(F39,Y39/100,Trigger)</f>
        <v>0</v>
      </c>
      <c r="AA39" s="77"/>
      <c r="AD39" s="226"/>
    </row>
    <row r="40" spans="1:30" x14ac:dyDescent="0.2">
      <c r="A40" s="76"/>
      <c r="B40" s="227" t="str">
        <f t="shared" si="2"/>
        <v>40Y</v>
      </c>
      <c r="C40" s="228" t="str">
        <f t="shared" si="3"/>
        <v>AM</v>
      </c>
      <c r="D40" s="228" t="str">
        <f t="shared" si="4"/>
        <v>3L</v>
      </c>
      <c r="E40" s="230" t="str">
        <f t="shared" si="0"/>
        <v>USDAM3L40Y_Quote</v>
      </c>
      <c r="F40" s="230" t="str">
        <f>_xll.qlSimpleQuote(Currency&amp;$C40&amp;$D40&amp;$B40&amp;QuoteSuffix,,RateTickValue,Permanent,Trigger,ObjectOverwrite)</f>
        <v>USDAM3L40Y_Quote#0000</v>
      </c>
      <c r="G40" s="231" t="str">
        <f>_xll.ohRangeRetrieveError(F40)</f>
        <v/>
      </c>
      <c r="H40" s="171"/>
      <c r="J40" s="76"/>
      <c r="K40" s="183" t="s">
        <v>46</v>
      </c>
      <c r="L40" s="260" t="s">
        <v>153</v>
      </c>
      <c r="M40" s="260" t="s">
        <v>93</v>
      </c>
      <c r="N40" s="184" t="str">
        <f t="shared" si="1"/>
        <v>USDAM3L40Y</v>
      </c>
      <c r="O40" s="184" t="str">
        <v>USDAM3L40Y=ICAP</v>
      </c>
      <c r="P40" s="85">
        <v>2.5880000000000001</v>
      </c>
      <c r="Q40" s="85">
        <v>2.6179999999999999</v>
      </c>
      <c r="R40" s="85">
        <v>0</v>
      </c>
      <c r="S40" s="85">
        <v>0</v>
      </c>
      <c r="T40" s="85">
        <f t="shared" si="5"/>
        <v>2.6029999999999998</v>
      </c>
      <c r="U40" s="85">
        <f t="shared" si="6"/>
        <v>2.9999999999999805E-2</v>
      </c>
      <c r="V40" s="195"/>
      <c r="W40" s="197">
        <v>3.04</v>
      </c>
      <c r="X40" s="195"/>
      <c r="Y40" s="85">
        <v>2.6029999999999998</v>
      </c>
      <c r="Z40" s="188">
        <f>_xll.qlSimpleQuoteSetValue(F40,Y40/100,Trigger)</f>
        <v>0</v>
      </c>
      <c r="AA40" s="77"/>
      <c r="AD40" s="226"/>
    </row>
    <row r="41" spans="1:30" x14ac:dyDescent="0.2">
      <c r="A41" s="76"/>
      <c r="B41" s="227" t="str">
        <f t="shared" si="2"/>
        <v>50Y</v>
      </c>
      <c r="C41" s="228" t="str">
        <f t="shared" si="3"/>
        <v>AM</v>
      </c>
      <c r="D41" s="228" t="str">
        <f t="shared" si="4"/>
        <v>3L</v>
      </c>
      <c r="E41" s="230" t="str">
        <f t="shared" si="0"/>
        <v>USDAM3L50Y_Quote</v>
      </c>
      <c r="F41" s="230" t="str">
        <f>_xll.qlSimpleQuote(Currency&amp;$C41&amp;$D41&amp;$B41&amp;QuoteSuffix,,RateTickValue,Permanent,Trigger,ObjectOverwrite)</f>
        <v>USDAM3L50Y_Quote#0000</v>
      </c>
      <c r="G41" s="231" t="str">
        <f>_xll.ohRangeRetrieveError(F41)</f>
        <v/>
      </c>
      <c r="H41" s="171"/>
      <c r="J41" s="76"/>
      <c r="K41" s="183" t="s">
        <v>36</v>
      </c>
      <c r="L41" s="260" t="s">
        <v>153</v>
      </c>
      <c r="M41" s="260" t="s">
        <v>93</v>
      </c>
      <c r="N41" s="184" t="str">
        <f t="shared" si="1"/>
        <v>USDAM3L50Y</v>
      </c>
      <c r="O41" s="184" t="str">
        <v>USDAM3L50Y=ICAP</v>
      </c>
      <c r="P41" s="85">
        <v>2.569</v>
      </c>
      <c r="Q41" s="85">
        <v>2.5990000000000002</v>
      </c>
      <c r="R41" s="85">
        <v>0</v>
      </c>
      <c r="S41" s="85">
        <v>0</v>
      </c>
      <c r="T41" s="85">
        <f t="shared" si="5"/>
        <v>2.5840000000000001</v>
      </c>
      <c r="U41" s="85">
        <f t="shared" si="6"/>
        <v>3.0000000000000249E-2</v>
      </c>
      <c r="V41" s="195"/>
      <c r="W41" s="197">
        <v>3.0190000000000001</v>
      </c>
      <c r="X41" s="195"/>
      <c r="Y41" s="85">
        <v>2.5840000000000001</v>
      </c>
      <c r="Z41" s="188">
        <f>_xll.qlSimpleQuoteSetValue(F41,Y41/100,Trigger)</f>
        <v>0</v>
      </c>
      <c r="AA41" s="77"/>
      <c r="AD41" s="226"/>
    </row>
    <row r="42" spans="1:30" x14ac:dyDescent="0.2">
      <c r="A42" s="76"/>
      <c r="B42" s="232" t="str">
        <f t="shared" si="2"/>
        <v>60Y</v>
      </c>
      <c r="C42" s="233" t="str">
        <f t="shared" si="3"/>
        <v>AM</v>
      </c>
      <c r="D42" s="233" t="str">
        <f t="shared" si="4"/>
        <v>3L</v>
      </c>
      <c r="E42" s="235" t="str">
        <f t="shared" si="0"/>
        <v>USDAM3L60Y_Quote</v>
      </c>
      <c r="F42" s="235" t="str">
        <f>_xll.qlSimpleQuote(Currency&amp;$C42&amp;$D42&amp;$B42&amp;QuoteSuffix,,RateTickValue,Permanent,Trigger,ObjectOverwrite)</f>
        <v>USDAM3L60Y_Quote#0000</v>
      </c>
      <c r="G42" s="236" t="str">
        <f>_xll.ohRangeRetrieveError(F42)</f>
        <v/>
      </c>
      <c r="H42" s="171"/>
      <c r="J42" s="76"/>
      <c r="K42" s="185" t="s">
        <v>26</v>
      </c>
      <c r="L42" s="261" t="s">
        <v>153</v>
      </c>
      <c r="M42" s="261" t="s">
        <v>93</v>
      </c>
      <c r="N42" s="186" t="str">
        <f t="shared" si="1"/>
        <v>USDAM3L60Y</v>
      </c>
      <c r="O42" s="186" t="str">
        <v>USDAM3L60Y=ICAP</v>
      </c>
      <c r="P42" s="86" t="s">
        <v>163</v>
      </c>
      <c r="Q42" s="86" t="s">
        <v>163</v>
      </c>
      <c r="R42" s="86" t="s">
        <v>163</v>
      </c>
      <c r="S42" s="86" t="s">
        <v>163</v>
      </c>
      <c r="T42" s="86" t="e">
        <f t="shared" si="5"/>
        <v>#NUM!</v>
      </c>
      <c r="U42" s="86" t="e">
        <f t="shared" si="6"/>
        <v>#VALUE!</v>
      </c>
      <c r="V42" s="195"/>
      <c r="W42" s="201" t="e">
        <v>#NUM!</v>
      </c>
      <c r="X42" s="195"/>
      <c r="Y42" s="86" t="e">
        <v>#NUM!</v>
      </c>
      <c r="Z42" s="189">
        <f>_xll.qlSimpleQuoteSetValue(F42,Y42/100,Trigger)</f>
        <v>0</v>
      </c>
      <c r="AA42" s="77"/>
      <c r="AD42" s="226"/>
    </row>
    <row r="43" spans="1:30" x14ac:dyDescent="0.2">
      <c r="A43" s="172"/>
      <c r="B43" s="173"/>
      <c r="C43" s="173"/>
      <c r="D43" s="173"/>
      <c r="E43" s="173"/>
      <c r="F43" s="174"/>
      <c r="G43" s="174"/>
      <c r="H43" s="175"/>
      <c r="J43" s="257"/>
      <c r="K43" s="258"/>
      <c r="L43" s="258"/>
      <c r="M43" s="258"/>
      <c r="N43" s="173"/>
      <c r="O43" s="173"/>
      <c r="P43" s="173"/>
      <c r="Q43" s="173"/>
      <c r="R43" s="173"/>
      <c r="S43" s="173"/>
      <c r="T43" s="173"/>
      <c r="U43" s="173"/>
      <c r="V43" s="258"/>
      <c r="W43" s="258"/>
      <c r="X43" s="258"/>
      <c r="Y43" s="258"/>
      <c r="Z43" s="258"/>
      <c r="AA43" s="239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9" x14ac:dyDescent="0.2">
      <c r="A1" s="137"/>
      <c r="B1" s="137"/>
      <c r="C1" s="137"/>
      <c r="D1" s="137"/>
      <c r="E1" s="137"/>
      <c r="F1" s="150"/>
      <c r="G1" s="137"/>
      <c r="H1" s="138"/>
      <c r="J1" s="143" t="s">
        <v>273</v>
      </c>
      <c r="K1" s="134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29" x14ac:dyDescent="0.2">
      <c r="A2" s="137"/>
      <c r="B2" s="137"/>
      <c r="C2" s="137"/>
      <c r="D2" s="137"/>
      <c r="E2" s="137"/>
      <c r="F2" s="150"/>
      <c r="G2" s="137"/>
      <c r="H2" s="138"/>
      <c r="J2" s="170"/>
      <c r="K2" s="7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8</v>
      </c>
      <c r="AA2" s="171"/>
    </row>
    <row r="3" spans="1:29" x14ac:dyDescent="0.2">
      <c r="A3" s="139"/>
      <c r="B3" s="160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76"/>
      <c r="K4" s="243"/>
      <c r="L4" s="103"/>
      <c r="M4" s="103"/>
      <c r="N4" s="103" t="s">
        <v>282</v>
      </c>
      <c r="O4" s="106" t="str">
        <f>_xll.RData(O5:O11,P4:S4,"RTFEED:IDN",ReutersRtMode,,P5)</f>
        <v>Paused at 11:14:16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281</v>
      </c>
      <c r="V4" s="263"/>
      <c r="W4" s="87" t="s">
        <v>173</v>
      </c>
      <c r="X4" s="263"/>
      <c r="Y4" s="103" t="s">
        <v>172</v>
      </c>
      <c r="Z4" s="103" t="s">
        <v>171</v>
      </c>
      <c r="AA4" s="77"/>
      <c r="AC4" s="203"/>
    </row>
    <row r="5" spans="1:29" x14ac:dyDescent="0.2">
      <c r="A5" s="76"/>
      <c r="B5" s="264"/>
      <c r="C5" s="222" t="str">
        <f>L5</f>
        <v>1S</v>
      </c>
      <c r="D5" s="222">
        <f>M5</f>
        <v>12</v>
      </c>
      <c r="E5" s="223" t="str">
        <f t="shared" ref="E5:E11" si="0">Currency&amp;$C5&amp;$D5&amp;QuoteSuffix</f>
        <v>USD1S12_Quote</v>
      </c>
      <c r="F5" s="223" t="str">
        <f>_xll.qlSimpleQuote(Currency&amp;$C5&amp;$D5&amp;QuoteSuffix,,RateTickValue,Permanent,Trigger,ObjectOverwrite)</f>
        <v>USD1S12_Quote#0000</v>
      </c>
      <c r="G5" s="265" t="str">
        <f>_xll.ohRangeRetrieveError(F5)</f>
        <v/>
      </c>
      <c r="H5" s="171"/>
      <c r="J5" s="76"/>
      <c r="K5" s="274"/>
      <c r="L5" s="266" t="s">
        <v>149</v>
      </c>
      <c r="M5" s="266">
        <v>12</v>
      </c>
      <c r="N5" s="267" t="str">
        <f t="shared" ref="N5:N11" si="1">Currency&amp;$L5&amp;$M5</f>
        <v>USD1S12</v>
      </c>
      <c r="O5" s="267" t="str">
        <f t="array" ref="O5:O11">Instruments&amp;"="&amp;VLOOKUP($O$2,ContributorTable,2,FALSE)</f>
        <v>USD1S12=ICAP</v>
      </c>
      <c r="P5" s="190">
        <v>0.46900000000000003</v>
      </c>
      <c r="Q5" s="190">
        <v>0.51900000000000002</v>
      </c>
      <c r="R5" s="190">
        <v>0</v>
      </c>
      <c r="S5" s="190">
        <v>0</v>
      </c>
      <c r="T5" s="190">
        <f>IF(ISERROR(AVERAGE(P5,Q5)),#NUM!,AVERAGE(P5,Q5))</f>
        <v>0.49399999999999999</v>
      </c>
      <c r="U5" s="190">
        <f>Q5-P5</f>
        <v>4.9999999999999989E-2</v>
      </c>
      <c r="V5" s="193"/>
      <c r="W5" s="190">
        <v>0.317</v>
      </c>
      <c r="X5" s="193"/>
      <c r="Y5" s="190">
        <f t="array" ref="Y5:Y11">QuoteLive</f>
        <v>0.49399999999999999</v>
      </c>
      <c r="Z5" s="272">
        <f>_xll.qlSimpleQuoteSetValue(F5,Y5/100,Trigger)</f>
        <v>0</v>
      </c>
      <c r="AA5" s="77"/>
      <c r="AC5" s="226"/>
    </row>
    <row r="6" spans="1:29" x14ac:dyDescent="0.2">
      <c r="A6" s="76"/>
      <c r="B6" s="76"/>
      <c r="C6" s="229" t="str">
        <f t="shared" ref="C6:C11" si="2">L6</f>
        <v>2S</v>
      </c>
      <c r="D6" s="229">
        <f t="shared" ref="D6:D11" si="3">M6</f>
        <v>12</v>
      </c>
      <c r="E6" s="230" t="str">
        <f t="shared" si="0"/>
        <v>USD2S12_Quote</v>
      </c>
      <c r="F6" s="230" t="str">
        <f>_xll.qlSimpleQuote(Currency&amp;$C6&amp;$D6&amp;QuoteSuffix,,RateTickValue,Permanent,Trigger,ObjectOverwrite)</f>
        <v>USD2S12_Quote#0000</v>
      </c>
      <c r="G6" s="268" t="str">
        <f>_xll.ohRangeRetrieveError(F6)</f>
        <v/>
      </c>
      <c r="H6" s="171"/>
      <c r="J6" s="76"/>
      <c r="K6" s="274"/>
      <c r="L6" s="266" t="s">
        <v>150</v>
      </c>
      <c r="M6" s="266">
        <v>12</v>
      </c>
      <c r="N6" s="267" t="str">
        <f t="shared" si="1"/>
        <v>USD2S12</v>
      </c>
      <c r="O6" s="267" t="str">
        <v>USD2S12=ICAP</v>
      </c>
      <c r="P6" s="190">
        <v>0.65199999999999991</v>
      </c>
      <c r="Q6" s="190">
        <v>0.70199999999999996</v>
      </c>
      <c r="R6" s="190">
        <v>0</v>
      </c>
      <c r="S6" s="190">
        <v>0</v>
      </c>
      <c r="T6" s="190">
        <f t="shared" ref="T6:T11" si="4">IF(ISERROR(AVERAGE(P6,Q6)),#NUM!,AVERAGE(P6,Q6))</f>
        <v>0.67699999999999994</v>
      </c>
      <c r="U6" s="190">
        <f t="shared" ref="U6:U11" si="5">Q6-P6</f>
        <v>5.0000000000000044E-2</v>
      </c>
      <c r="V6" s="193"/>
      <c r="W6" s="190">
        <v>0.36899999999999999</v>
      </c>
      <c r="X6" s="193"/>
      <c r="Y6" s="190">
        <v>0.67699999999999994</v>
      </c>
      <c r="Z6" s="272">
        <f>_xll.qlSimpleQuoteSetValue(F6,Y6/100,Trigger)</f>
        <v>0</v>
      </c>
      <c r="AA6" s="77"/>
      <c r="AC6" s="226"/>
    </row>
    <row r="7" spans="1:29" x14ac:dyDescent="0.2">
      <c r="A7" s="76"/>
      <c r="B7" s="76"/>
      <c r="C7" s="229" t="str">
        <f t="shared" si="2"/>
        <v>3S</v>
      </c>
      <c r="D7" s="229">
        <f t="shared" si="3"/>
        <v>12</v>
      </c>
      <c r="E7" s="230" t="str">
        <f t="shared" si="0"/>
        <v>USD3S12_Quote</v>
      </c>
      <c r="F7" s="230" t="str">
        <f>_xll.qlSimpleQuote(Currency&amp;$C7&amp;$D7&amp;QuoteSuffix,,RateTickValue,Permanent,Trigger,ObjectOverwrite)</f>
        <v>USD3S12_Quote#0000</v>
      </c>
      <c r="G7" s="268" t="str">
        <f>_xll.ohRangeRetrieveError(F7)</f>
        <v/>
      </c>
      <c r="H7" s="171"/>
      <c r="J7" s="76"/>
      <c r="K7" s="274"/>
      <c r="L7" s="266" t="s">
        <v>152</v>
      </c>
      <c r="M7" s="266">
        <v>12</v>
      </c>
      <c r="N7" s="267" t="str">
        <f t="shared" si="1"/>
        <v>USD3S12</v>
      </c>
      <c r="O7" s="267" t="str">
        <v>USD3S12=ICAP</v>
      </c>
      <c r="P7" s="190">
        <v>0.86999999999999988</v>
      </c>
      <c r="Q7" s="190">
        <v>0.91999999999999993</v>
      </c>
      <c r="R7" s="190">
        <v>0</v>
      </c>
      <c r="S7" s="190">
        <v>0</v>
      </c>
      <c r="T7" s="190">
        <f t="shared" si="4"/>
        <v>0.89499999999999991</v>
      </c>
      <c r="U7" s="190">
        <f t="shared" si="5"/>
        <v>5.0000000000000044E-2</v>
      </c>
      <c r="V7" s="193"/>
      <c r="W7" s="190">
        <v>0.434</v>
      </c>
      <c r="X7" s="193"/>
      <c r="Y7" s="190">
        <v>0.89499999999999991</v>
      </c>
      <c r="Z7" s="272">
        <f>_xll.qlSimpleQuoteSetValue(F7,Y7/100,Trigger)</f>
        <v>0</v>
      </c>
      <c r="AA7" s="77"/>
      <c r="AC7" s="226"/>
    </row>
    <row r="8" spans="1:29" x14ac:dyDescent="0.2">
      <c r="A8" s="76"/>
      <c r="B8" s="76"/>
      <c r="C8" s="229" t="str">
        <f t="shared" si="2"/>
        <v>4S</v>
      </c>
      <c r="D8" s="229">
        <f t="shared" si="3"/>
        <v>12</v>
      </c>
      <c r="E8" s="230" t="str">
        <f t="shared" si="0"/>
        <v>USD4S12_Quote</v>
      </c>
      <c r="F8" s="230" t="str">
        <f>_xll.qlSimpleQuote(Currency&amp;$C8&amp;$D8&amp;QuoteSuffix,,RateTickValue,Permanent,Trigger,ObjectOverwrite)</f>
        <v>USD4S12_Quote#0000</v>
      </c>
      <c r="G8" s="268" t="str">
        <f>_xll.ohRangeRetrieveError(F8)</f>
        <v/>
      </c>
      <c r="H8" s="171"/>
      <c r="J8" s="76"/>
      <c r="K8" s="274"/>
      <c r="L8" s="266" t="s">
        <v>151</v>
      </c>
      <c r="M8" s="266">
        <v>12</v>
      </c>
      <c r="N8" s="267" t="str">
        <f t="shared" si="1"/>
        <v>USD4S12</v>
      </c>
      <c r="O8" s="267" t="str">
        <v>USD4S12=ICAP</v>
      </c>
      <c r="P8" s="190">
        <v>1.0860000000000001</v>
      </c>
      <c r="Q8" s="190">
        <v>1.1359999999999999</v>
      </c>
      <c r="R8" s="190">
        <v>0</v>
      </c>
      <c r="S8" s="190">
        <v>0</v>
      </c>
      <c r="T8" s="190">
        <f t="shared" si="4"/>
        <v>1.111</v>
      </c>
      <c r="U8" s="190">
        <f t="shared" si="5"/>
        <v>4.9999999999999822E-2</v>
      </c>
      <c r="V8" s="193"/>
      <c r="W8" s="190">
        <v>0.51900000000000002</v>
      </c>
      <c r="X8" s="193"/>
      <c r="Y8" s="190">
        <v>1.111</v>
      </c>
      <c r="Z8" s="272">
        <f>_xll.qlSimpleQuoteSetValue(F8,Y8/100,Trigger)</f>
        <v>0</v>
      </c>
      <c r="AA8" s="77"/>
      <c r="AC8" s="226"/>
    </row>
    <row r="9" spans="1:29" x14ac:dyDescent="0.2">
      <c r="A9" s="76"/>
      <c r="B9" s="76"/>
      <c r="C9" s="229" t="str">
        <f t="shared" si="2"/>
        <v>5S</v>
      </c>
      <c r="D9" s="229">
        <f t="shared" si="3"/>
        <v>12</v>
      </c>
      <c r="E9" s="230" t="str">
        <f t="shared" si="0"/>
        <v>USD5S12_Quote</v>
      </c>
      <c r="F9" s="230" t="str">
        <f>_xll.qlSimpleQuote(Currency&amp;$C9&amp;$D9&amp;QuoteSuffix,,RateTickValue,Permanent,Trigger,ObjectOverwrite)</f>
        <v>USD5S12_Quote#0000</v>
      </c>
      <c r="G9" s="268" t="str">
        <f>_xll.ohRangeRetrieveError(F9)</f>
        <v/>
      </c>
      <c r="H9" s="171"/>
      <c r="J9" s="76"/>
      <c r="K9" s="274"/>
      <c r="L9" s="266" t="s">
        <v>185</v>
      </c>
      <c r="M9" s="266">
        <v>12</v>
      </c>
      <c r="N9" s="267" t="str">
        <f t="shared" si="1"/>
        <v>USD5S12</v>
      </c>
      <c r="O9" s="267" t="str">
        <v>USD5S12=ICAP</v>
      </c>
      <c r="P9" s="190">
        <v>1.292</v>
      </c>
      <c r="Q9" s="190">
        <v>1.3420000000000001</v>
      </c>
      <c r="R9" s="190">
        <v>0</v>
      </c>
      <c r="S9" s="190">
        <v>0</v>
      </c>
      <c r="T9" s="190">
        <f t="shared" si="4"/>
        <v>1.3170000000000002</v>
      </c>
      <c r="U9" s="190">
        <f t="shared" si="5"/>
        <v>5.0000000000000044E-2</v>
      </c>
      <c r="V9" s="193"/>
      <c r="W9" s="190" t="e">
        <v>#NUM!</v>
      </c>
      <c r="X9" s="193"/>
      <c r="Y9" s="190">
        <v>1.3170000000000002</v>
      </c>
      <c r="Z9" s="272">
        <f>_xll.qlSimpleQuoteSetValue(F9,Y9/100,Trigger)</f>
        <v>-9.9999999999995925E-6</v>
      </c>
      <c r="AA9" s="77"/>
      <c r="AC9" s="226"/>
    </row>
    <row r="10" spans="1:29" x14ac:dyDescent="0.2">
      <c r="A10" s="76"/>
      <c r="B10" s="76"/>
      <c r="C10" s="229" t="str">
        <f t="shared" si="2"/>
        <v>6S</v>
      </c>
      <c r="D10" s="229">
        <f t="shared" si="3"/>
        <v>12</v>
      </c>
      <c r="E10" s="230" t="str">
        <f t="shared" si="0"/>
        <v>USD6S12_Quote</v>
      </c>
      <c r="F10" s="230" t="str">
        <f>_xll.qlSimpleQuote(Currency&amp;$C10&amp;$D10&amp;QuoteSuffix,,RateTickValue,Permanent,Trigger,ObjectOverwrite)</f>
        <v>USD6S12_Quote#0000</v>
      </c>
      <c r="G10" s="268" t="str">
        <f>_xll.ohRangeRetrieveError(F10)</f>
        <v/>
      </c>
      <c r="H10" s="171"/>
      <c r="J10" s="76"/>
      <c r="K10" s="274"/>
      <c r="L10" s="266" t="s">
        <v>184</v>
      </c>
      <c r="M10" s="266">
        <v>12</v>
      </c>
      <c r="N10" s="267" t="str">
        <f t="shared" si="1"/>
        <v>USD6S12</v>
      </c>
      <c r="O10" s="267" t="str">
        <v>USD6S12=ICAP</v>
      </c>
      <c r="P10" s="190" t="s">
        <v>163</v>
      </c>
      <c r="Q10" s="190" t="s">
        <v>163</v>
      </c>
      <c r="R10" s="190" t="s">
        <v>163</v>
      </c>
      <c r="S10" s="190" t="s">
        <v>163</v>
      </c>
      <c r="T10" s="190" t="e">
        <f t="shared" si="4"/>
        <v>#NUM!</v>
      </c>
      <c r="U10" s="190" t="e">
        <f t="shared" si="5"/>
        <v>#VALUE!</v>
      </c>
      <c r="V10" s="193"/>
      <c r="W10" s="190" t="e">
        <v>#NUM!</v>
      </c>
      <c r="X10" s="193"/>
      <c r="Y10" s="190" t="e">
        <v>#NUM!</v>
      </c>
      <c r="Z10" s="272">
        <f>_xll.qlSimpleQuoteSetValue(F10,Y10/100,Trigger)</f>
        <v>0</v>
      </c>
      <c r="AA10" s="77"/>
      <c r="AC10" s="226"/>
    </row>
    <row r="11" spans="1:29" x14ac:dyDescent="0.2">
      <c r="A11" s="76"/>
      <c r="B11" s="257"/>
      <c r="C11" s="234" t="str">
        <f t="shared" si="2"/>
        <v>1S</v>
      </c>
      <c r="D11" s="234">
        <f t="shared" si="3"/>
        <v>24</v>
      </c>
      <c r="E11" s="235" t="str">
        <f t="shared" si="0"/>
        <v>USD1S24_Quote</v>
      </c>
      <c r="F11" s="235" t="str">
        <f>_xll.qlSimpleQuote(Currency&amp;$C11&amp;$D11&amp;QuoteSuffix,,RateTickValue,Permanent,Trigger,ObjectOverwrite)</f>
        <v>USD1S24_Quote#0000</v>
      </c>
      <c r="G11" s="269" t="str">
        <f>_xll.ohRangeRetrieveError(F11)</f>
        <v/>
      </c>
      <c r="H11" s="171" t="s">
        <v>234</v>
      </c>
      <c r="J11" s="76"/>
      <c r="K11" s="275"/>
      <c r="L11" s="270" t="s">
        <v>149</v>
      </c>
      <c r="M11" s="270">
        <v>24</v>
      </c>
      <c r="N11" s="271" t="str">
        <f t="shared" si="1"/>
        <v>USD1S24</v>
      </c>
      <c r="O11" s="271" t="str">
        <v>USD1S24=ICAP</v>
      </c>
      <c r="P11" s="192" t="s">
        <v>163</v>
      </c>
      <c r="Q11" s="192" t="s">
        <v>163</v>
      </c>
      <c r="R11" s="192" t="s">
        <v>163</v>
      </c>
      <c r="S11" s="192" t="s">
        <v>163</v>
      </c>
      <c r="T11" s="192" t="e">
        <f t="shared" si="4"/>
        <v>#NUM!</v>
      </c>
      <c r="U11" s="192" t="e">
        <f t="shared" si="5"/>
        <v>#VALUE!</v>
      </c>
      <c r="V11" s="193"/>
      <c r="W11" s="192" t="e">
        <v>#NUM!</v>
      </c>
      <c r="X11" s="193"/>
      <c r="Y11" s="192" t="e">
        <v>#NUM!</v>
      </c>
      <c r="Z11" s="273">
        <f>_xll.qlSimpleQuoteSetValue(F11,Y11/100,Trigger)</f>
        <v>0</v>
      </c>
      <c r="AA11" s="77"/>
      <c r="AC11" s="226"/>
    </row>
    <row r="12" spans="1:29" x14ac:dyDescent="0.2">
      <c r="A12" s="172"/>
      <c r="B12" s="173"/>
      <c r="C12" s="173"/>
      <c r="D12" s="173"/>
      <c r="E12" s="173"/>
      <c r="F12" s="174"/>
      <c r="G12" s="174"/>
      <c r="H12" s="175"/>
      <c r="J12" s="172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239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2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obj_00514#0000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274"/>
      <c r="K4" s="243"/>
      <c r="L4" s="103"/>
      <c r="M4" s="103"/>
      <c r="N4" s="103" t="s">
        <v>282</v>
      </c>
      <c r="O4" s="106" t="str">
        <f>_xll.RData(O5:O42,P4:S4,"RTFEED:IDN",ReutersRtMode,,P5)</f>
        <v>Paused at 11:15:03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285</v>
      </c>
      <c r="V4" s="87" t="s">
        <v>284</v>
      </c>
      <c r="W4" s="88" t="s">
        <v>283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3" t="str">
        <f>K5</f>
        <v>6M</v>
      </c>
      <c r="C5" s="221" t="str">
        <f>L5</f>
        <v>3L</v>
      </c>
      <c r="D5" s="222" t="str">
        <f>M5</f>
        <v>1L</v>
      </c>
      <c r="E5" s="223" t="str">
        <f t="shared" ref="E5:E42" si="0">IF(ISBLANK(C5),"#",Currency&amp;$C5&amp;$D5&amp;$B5&amp;QuoteSuffix)</f>
        <v>USD3L1L6M_Quote</v>
      </c>
      <c r="F5" s="223" t="str">
        <f>_xll.qlSimpleQuote(E5,,RateTickValue,Permanent,Trigger,ObjectOverwrite)</f>
        <v>USD3L1L6M_Quote#0000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93</v>
      </c>
      <c r="M5" s="183" t="s">
        <v>92</v>
      </c>
      <c r="N5" s="184" t="str">
        <f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8">
        <v>8.9</v>
      </c>
      <c r="Q5" s="278">
        <v>0</v>
      </c>
      <c r="R5" s="294">
        <v>0</v>
      </c>
      <c r="S5" s="291">
        <v>0</v>
      </c>
      <c r="T5" s="278">
        <f>_xll.qlMidEquivalent(P5,Q5)</f>
        <v>8.9</v>
      </c>
      <c r="U5" s="288">
        <v>0.5</v>
      </c>
      <c r="V5" s="85" t="b">
        <f t="shared" ref="V5:V42" si="1">IF(ISNUMBER(T5),TRUE,FALSE)</f>
        <v>1</v>
      </c>
      <c r="W5" s="278">
        <f t="array" ref="W5:W38">_xll.qlInterpolationInterpolate(U3,U5:U42)</f>
        <v>8.9</v>
      </c>
      <c r="X5" s="195"/>
      <c r="Y5" s="284">
        <v>7.9</v>
      </c>
      <c r="Z5" s="195"/>
      <c r="AA5" s="285">
        <f t="array" ref="AA5:AA42">QuoteLive</f>
        <v>8.9</v>
      </c>
      <c r="AB5" s="187">
        <f>_xll.qlSimpleQuoteSetValue(F5,AA5/10000,Trigger)</f>
        <v>3.0000000000000079E-5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2">K6</f>
        <v>1Y</v>
      </c>
      <c r="C6" s="228" t="str">
        <f t="shared" ref="C6:C42" si="3">L6</f>
        <v>3L</v>
      </c>
      <c r="D6" s="229" t="str">
        <f t="shared" ref="D6:D42" si="4">M6</f>
        <v>1L</v>
      </c>
      <c r="E6" s="230" t="str">
        <f t="shared" si="0"/>
        <v>USD3L1L1Y_Quote</v>
      </c>
      <c r="F6" s="230" t="str">
        <f>_xll.qlSimpleQuote(E6,,RateTickValue,Permanent,Trigger,ObjectOverwrite)</f>
        <v>USD3L1L1Y_Quote#0000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93</v>
      </c>
      <c r="M6" s="183" t="s">
        <v>92</v>
      </c>
      <c r="N6" s="184" t="str">
        <f>IF(Contributor="ICAP LN",Currency&amp;$L6&amp;$M6&amp;$K6,Currency&amp;$M6&amp;$L6&amp;$K6)</f>
        <v>USD3L1L1Y</v>
      </c>
      <c r="O6" s="82" t="str">
        <v>USD3L1L1Y=ICAP</v>
      </c>
      <c r="P6" s="278">
        <v>9.4</v>
      </c>
      <c r="Q6" s="278">
        <v>0</v>
      </c>
      <c r="R6" s="292">
        <v>0</v>
      </c>
      <c r="S6" s="291">
        <v>0</v>
      </c>
      <c r="T6" s="278">
        <f>_xll.qlMidEquivalent(P6,Q6)</f>
        <v>9.4</v>
      </c>
      <c r="U6" s="288">
        <v>1</v>
      </c>
      <c r="V6" s="85" t="b">
        <f t="shared" si="1"/>
        <v>1</v>
      </c>
      <c r="W6" s="278">
        <v>9.4</v>
      </c>
      <c r="X6" s="195"/>
      <c r="Y6" s="284">
        <v>8.6</v>
      </c>
      <c r="Z6" s="195"/>
      <c r="AA6" s="278">
        <v>9.4</v>
      </c>
      <c r="AB6" s="188">
        <f>_xll.qlSimpleQuoteSetValue(F6,AA6/10000,Trigger)</f>
        <v>3.0000000000000079E-5</v>
      </c>
      <c r="AC6" s="77"/>
      <c r="AD6" s="199"/>
    </row>
    <row r="7" spans="1:30" s="216" customFormat="1" ht="11.25" customHeight="1" x14ac:dyDescent="0.25">
      <c r="A7" s="76"/>
      <c r="B7" s="279" t="str">
        <f t="shared" si="2"/>
        <v>15M</v>
      </c>
      <c r="C7" s="228" t="str">
        <f t="shared" si="3"/>
        <v>3L</v>
      </c>
      <c r="D7" s="229" t="str">
        <f t="shared" si="4"/>
        <v>1L</v>
      </c>
      <c r="E7" s="230" t="str">
        <f t="shared" si="0"/>
        <v>USD3L1L15M_Quote</v>
      </c>
      <c r="F7" s="230" t="str">
        <f>_xll.qlSimpleQuote(E7,,RateTickValue,Permanent,Trigger,ObjectOverwrite)</f>
        <v>USD3L1L15M_Quote#0000</v>
      </c>
      <c r="G7" s="280" t="str">
        <f>_xll.ohRangeRetrieveError(F7)</f>
        <v/>
      </c>
      <c r="H7" s="171"/>
      <c r="J7" s="286"/>
      <c r="K7" s="183" t="s">
        <v>97</v>
      </c>
      <c r="L7" s="183" t="s">
        <v>93</v>
      </c>
      <c r="M7" s="183" t="s">
        <v>92</v>
      </c>
      <c r="N7" s="184" t="str">
        <f>IF(Contributor="ICAP LN",Currency&amp;$L7&amp;$M7&amp;$K7,Currency&amp;$M7&amp;$L7&amp;$K7)</f>
        <v>USD3L1L15M</v>
      </c>
      <c r="O7" s="82" t="str">
        <v>USD3L1L15M=ICAP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1"/>
        <v>0</v>
      </c>
      <c r="W7" s="278">
        <v>9.6259600433144321</v>
      </c>
      <c r="X7" s="195"/>
      <c r="Y7" s="284">
        <v>8.9010816116263882</v>
      </c>
      <c r="Z7" s="195"/>
      <c r="AA7" s="278">
        <v>9.6259600433144321</v>
      </c>
      <c r="AB7" s="188">
        <f>_xll.qlSimpleQuoteSetValue(F7,AA7/10000,Trigger)</f>
        <v>2.6382647445921345E-5</v>
      </c>
      <c r="AC7" s="77"/>
      <c r="AD7" s="199"/>
    </row>
    <row r="8" spans="1:30" ht="11.25" customHeight="1" x14ac:dyDescent="0.25">
      <c r="A8" s="76"/>
      <c r="B8" s="279" t="str">
        <f t="shared" si="2"/>
        <v>18M</v>
      </c>
      <c r="C8" s="228" t="str">
        <f t="shared" si="3"/>
        <v>3L</v>
      </c>
      <c r="D8" s="229" t="str">
        <f t="shared" si="4"/>
        <v>1L</v>
      </c>
      <c r="E8" s="230" t="str">
        <f t="shared" si="0"/>
        <v>USD3L1L18M_Quote</v>
      </c>
      <c r="F8" s="230" t="str">
        <f>_xll.qlSimpleQuote(E8,,RateTickValue,Permanent,Trigger,ObjectOverwrite)</f>
        <v>USD3L1L18M_Quote#0000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93</v>
      </c>
      <c r="M8" s="183" t="s">
        <v>92</v>
      </c>
      <c r="N8" s="184" t="str">
        <f>IF(Contributor="ICAP LN",Currency&amp;$L8&amp;$M8&amp;$K8,Currency&amp;$M8&amp;$L8&amp;$K8)</f>
        <v>USD3L1L18M</v>
      </c>
      <c r="O8" s="82" t="str">
        <v>USD3L1L18M=ICAP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1"/>
        <v>0</v>
      </c>
      <c r="W8" s="278">
        <v>9.8425450866288653</v>
      </c>
      <c r="X8" s="195"/>
      <c r="Y8" s="284">
        <v>9.1740382232527775</v>
      </c>
      <c r="Z8" s="195"/>
      <c r="AA8" s="278">
        <v>9.8425450866288653</v>
      </c>
      <c r="AB8" s="188">
        <f>_xll.qlSimpleQuoteSetValue(F8,AA8/10000,Trigger)</f>
        <v>2.0890294891842795E-5</v>
      </c>
      <c r="AC8" s="77"/>
    </row>
    <row r="9" spans="1:30" ht="11.25" customHeight="1" x14ac:dyDescent="0.25">
      <c r="A9" s="76"/>
      <c r="B9" s="279" t="str">
        <f t="shared" si="2"/>
        <v>21M</v>
      </c>
      <c r="C9" s="228" t="str">
        <f t="shared" si="3"/>
        <v>3L</v>
      </c>
      <c r="D9" s="229" t="str">
        <f t="shared" si="4"/>
        <v>1L</v>
      </c>
      <c r="E9" s="230" t="str">
        <f t="shared" si="0"/>
        <v>USD3L1L21M_Quote</v>
      </c>
      <c r="F9" s="230" t="str">
        <f>_xll.qlSimpleQuote(E9,,RateTickValue,Permanent,Trigger,ObjectOverwrite)</f>
        <v>USD3L1L21M_Quote#0000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93</v>
      </c>
      <c r="M9" s="183" t="s">
        <v>92</v>
      </c>
      <c r="N9" s="184" t="str">
        <f>IF(Contributor="ICAP LN",Currency&amp;$L9&amp;$M9&amp;$K9,Currency&amp;$M9&amp;$L9&amp;$K9)</f>
        <v>USD3L1L21M</v>
      </c>
      <c r="O9" s="82" t="str">
        <v>USD3L1L21M=ICAP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1"/>
        <v>0</v>
      </c>
      <c r="W9" s="278">
        <v>10.062857586628866</v>
      </c>
      <c r="X9" s="195"/>
      <c r="Y9" s="284">
        <v>9.4349757232527782</v>
      </c>
      <c r="Z9" s="195"/>
      <c r="AA9" s="278">
        <v>10.062857586628866</v>
      </c>
      <c r="AB9" s="188">
        <f>_xll.qlSimpleQuoteSetValue(F9,AA9/10000,Trigger)</f>
        <v>1.4952794891843037E-5</v>
      </c>
      <c r="AC9" s="77"/>
    </row>
    <row r="10" spans="1:30" ht="11.25" customHeight="1" x14ac:dyDescent="0.2">
      <c r="A10" s="76"/>
      <c r="B10" s="279" t="str">
        <f t="shared" si="2"/>
        <v>2Y</v>
      </c>
      <c r="C10" s="228" t="str">
        <f t="shared" si="3"/>
        <v>3L</v>
      </c>
      <c r="D10" s="229" t="str">
        <f t="shared" si="4"/>
        <v>1L</v>
      </c>
      <c r="E10" s="230" t="str">
        <f t="shared" si="0"/>
        <v>USD3L1L2Y_Quote</v>
      </c>
      <c r="F10" s="230" t="str">
        <f>_xll.qlSimpleQuote(E10,,RateTickValue,Permanent,Trigger,ObjectOverwrite)</f>
        <v>USD3L1L2Y_Quote#0000</v>
      </c>
      <c r="G10" s="280" t="str">
        <f>_xll.ohRangeRetrieveError(F10)</f>
        <v/>
      </c>
      <c r="H10" s="171"/>
      <c r="J10" s="287"/>
      <c r="K10" s="183" t="s">
        <v>84</v>
      </c>
      <c r="L10" s="183" t="s">
        <v>93</v>
      </c>
      <c r="M10" s="183" t="s">
        <v>92</v>
      </c>
      <c r="N10" s="184" t="str">
        <f>IF(Contributor="ICAP LN",Currency&amp;$L10&amp;$M10&amp;$K10,Currency&amp;$M10&amp;$L10&amp;$K10)</f>
        <v>USD3L1L2Y</v>
      </c>
      <c r="O10" s="82" t="str">
        <v>USD3L1L2Y=ICAP</v>
      </c>
      <c r="P10" s="278">
        <v>10.3</v>
      </c>
      <c r="Q10" s="278">
        <v>0</v>
      </c>
      <c r="R10" s="292">
        <v>0</v>
      </c>
      <c r="S10" s="291">
        <v>0</v>
      </c>
      <c r="T10" s="278">
        <f>_xll.qlMidEquivalent(P10,Q10)</f>
        <v>10.3</v>
      </c>
      <c r="U10" s="289">
        <v>2</v>
      </c>
      <c r="V10" s="85" t="b">
        <f t="shared" si="1"/>
        <v>1</v>
      </c>
      <c r="W10" s="278">
        <v>10.3</v>
      </c>
      <c r="X10" s="195"/>
      <c r="Y10" s="284">
        <v>9.6999999999999993</v>
      </c>
      <c r="Z10" s="195"/>
      <c r="AA10" s="278">
        <v>10.3</v>
      </c>
      <c r="AB10" s="188">
        <f>_xll.qlSimpleQuoteSetValue(F10,AA10/10000,Trigger)</f>
        <v>1.0000000000000243E-5</v>
      </c>
      <c r="AC10" s="77"/>
    </row>
    <row r="11" spans="1:30" ht="11.25" customHeight="1" x14ac:dyDescent="0.2">
      <c r="A11" s="76"/>
      <c r="B11" s="279" t="str">
        <f t="shared" si="2"/>
        <v>3Y</v>
      </c>
      <c r="C11" s="228" t="str">
        <f t="shared" si="3"/>
        <v>3L</v>
      </c>
      <c r="D11" s="229" t="str">
        <f t="shared" si="4"/>
        <v>1L</v>
      </c>
      <c r="E11" s="230" t="str">
        <f t="shared" si="0"/>
        <v>USD3L1L3Y_Quote</v>
      </c>
      <c r="F11" s="230" t="str">
        <f>_xll.qlSimpleQuote(E11,,RateTickValue,Permanent,Trigger,ObjectOverwrite)</f>
        <v>USD3L1L3Y_Quote#0000</v>
      </c>
      <c r="G11" s="280" t="str">
        <f>_xll.ohRangeRetrieveError(F11)</f>
        <v/>
      </c>
      <c r="H11" s="171"/>
      <c r="J11" s="287"/>
      <c r="K11" s="183" t="s">
        <v>83</v>
      </c>
      <c r="L11" s="183" t="s">
        <v>93</v>
      </c>
      <c r="M11" s="183" t="s">
        <v>92</v>
      </c>
      <c r="N11" s="184" t="str">
        <f>IF(Contributor="ICAP LN",Currency&amp;$L11&amp;$M11&amp;$K11,Currency&amp;$M11&amp;$L11&amp;$K11)</f>
        <v>USD3L1L3Y</v>
      </c>
      <c r="O11" s="82" t="str">
        <v>USD3L1L3Y=ICAP</v>
      </c>
      <c r="P11" s="278">
        <v>11.4</v>
      </c>
      <c r="Q11" s="278">
        <v>0</v>
      </c>
      <c r="R11" s="292">
        <v>0</v>
      </c>
      <c r="S11" s="291">
        <v>0</v>
      </c>
      <c r="T11" s="278">
        <f>_xll.qlMidEquivalent(P11,Q11)</f>
        <v>11.4</v>
      </c>
      <c r="U11" s="289">
        <v>3</v>
      </c>
      <c r="V11" s="85" t="b">
        <f t="shared" si="1"/>
        <v>1</v>
      </c>
      <c r="W11" s="278">
        <v>11.4</v>
      </c>
      <c r="X11" s="195"/>
      <c r="Y11" s="284">
        <v>10.8</v>
      </c>
      <c r="Z11" s="195"/>
      <c r="AA11" s="278">
        <v>11.4</v>
      </c>
      <c r="AB11" s="188">
        <f>_xll.qlSimpleQuoteSetValue(F11,AA11/10000,Trigger)</f>
        <v>9.9999999999998094E-6</v>
      </c>
      <c r="AC11" s="77"/>
    </row>
    <row r="12" spans="1:30" ht="11.25" customHeight="1" x14ac:dyDescent="0.2">
      <c r="A12" s="76"/>
      <c r="B12" s="279" t="str">
        <f t="shared" si="2"/>
        <v>4Y</v>
      </c>
      <c r="C12" s="228" t="str">
        <f t="shared" si="3"/>
        <v>3L</v>
      </c>
      <c r="D12" s="229" t="str">
        <f t="shared" si="4"/>
        <v>1L</v>
      </c>
      <c r="E12" s="230" t="str">
        <f t="shared" si="0"/>
        <v>USD3L1L4Y_Quote</v>
      </c>
      <c r="F12" s="230" t="str">
        <f>_xll.qlSimpleQuote(E12,,RateTickValue,Permanent,Trigger,ObjectOverwrite)</f>
        <v>USD3L1L4Y_Quote#0000</v>
      </c>
      <c r="G12" s="280" t="str">
        <f>_xll.ohRangeRetrieveError(F12)</f>
        <v/>
      </c>
      <c r="H12" s="171"/>
      <c r="J12" s="287"/>
      <c r="K12" s="183" t="s">
        <v>82</v>
      </c>
      <c r="L12" s="183" t="s">
        <v>93</v>
      </c>
      <c r="M12" s="183" t="s">
        <v>92</v>
      </c>
      <c r="N12" s="184" t="str">
        <f>IF(Contributor="ICAP LN",Currency&amp;$L12&amp;$M12&amp;$K12,Currency&amp;$M12&amp;$L12&amp;$K12)</f>
        <v>USD3L1L4Y</v>
      </c>
      <c r="O12" s="82" t="str">
        <v>USD3L1L4Y=ICAP</v>
      </c>
      <c r="P12" s="278">
        <v>12.2</v>
      </c>
      <c r="Q12" s="278">
        <v>0</v>
      </c>
      <c r="R12" s="292">
        <v>0</v>
      </c>
      <c r="S12" s="291">
        <v>0</v>
      </c>
      <c r="T12" s="278">
        <f>_xll.qlMidEquivalent(P12,Q12)</f>
        <v>12.2</v>
      </c>
      <c r="U12" s="289">
        <v>4</v>
      </c>
      <c r="V12" s="85" t="b">
        <f t="shared" si="1"/>
        <v>1</v>
      </c>
      <c r="W12" s="278">
        <v>12.2</v>
      </c>
      <c r="X12" s="195"/>
      <c r="Y12" s="284">
        <v>11.5</v>
      </c>
      <c r="Z12" s="195"/>
      <c r="AA12" s="278">
        <v>12.2</v>
      </c>
      <c r="AB12" s="188">
        <f>_xll.qlSimpleQuoteSetValue(F12,AA12/10000,Trigger)</f>
        <v>2.0000000000000052E-5</v>
      </c>
      <c r="AC12" s="77"/>
    </row>
    <row r="13" spans="1:30" ht="11.25" customHeight="1" x14ac:dyDescent="0.2">
      <c r="A13" s="76"/>
      <c r="B13" s="279" t="str">
        <f t="shared" si="2"/>
        <v>5Y</v>
      </c>
      <c r="C13" s="228" t="str">
        <f t="shared" si="3"/>
        <v>3L</v>
      </c>
      <c r="D13" s="229" t="str">
        <f t="shared" si="4"/>
        <v>1L</v>
      </c>
      <c r="E13" s="230" t="str">
        <f t="shared" si="0"/>
        <v>USD3L1L5Y_Quote</v>
      </c>
      <c r="F13" s="230" t="str">
        <f>_xll.qlSimpleQuote(E13,,RateTickValue,Permanent,Trigger,ObjectOverwrite)</f>
        <v>USD3L1L5Y_Quote#0000</v>
      </c>
      <c r="G13" s="280" t="str">
        <f>_xll.ohRangeRetrieveError(F13)</f>
        <v/>
      </c>
      <c r="H13" s="171"/>
      <c r="J13" s="287"/>
      <c r="K13" s="183" t="s">
        <v>81</v>
      </c>
      <c r="L13" s="183" t="s">
        <v>93</v>
      </c>
      <c r="M13" s="183" t="s">
        <v>92</v>
      </c>
      <c r="N13" s="184" t="str">
        <f>IF(Contributor="ICAP LN",Currency&amp;$L13&amp;$M13&amp;$K13,Currency&amp;$M13&amp;$L13&amp;$K13)</f>
        <v>USD3L1L5Y</v>
      </c>
      <c r="O13" s="82" t="str">
        <v>USD3L1L5Y=ICAP</v>
      </c>
      <c r="P13" s="278">
        <v>12.4</v>
      </c>
      <c r="Q13" s="278">
        <v>0</v>
      </c>
      <c r="R13" s="292">
        <v>0</v>
      </c>
      <c r="S13" s="291">
        <v>0</v>
      </c>
      <c r="T13" s="278">
        <f>_xll.qlMidEquivalent(P13,Q13)</f>
        <v>12.4</v>
      </c>
      <c r="U13" s="289">
        <v>5</v>
      </c>
      <c r="V13" s="85" t="b">
        <f t="shared" si="1"/>
        <v>1</v>
      </c>
      <c r="W13" s="278">
        <v>12.4</v>
      </c>
      <c r="X13" s="195"/>
      <c r="Y13" s="284">
        <v>11.8</v>
      </c>
      <c r="Z13" s="195"/>
      <c r="AA13" s="278">
        <v>12.4</v>
      </c>
      <c r="AB13" s="188">
        <f>_xll.qlSimpleQuoteSetValue(F13,AA13/10000,Trigger)</f>
        <v>1.0000000000000026E-5</v>
      </c>
      <c r="AC13" s="77"/>
    </row>
    <row r="14" spans="1:30" ht="11.25" customHeight="1" x14ac:dyDescent="0.2">
      <c r="A14" s="76"/>
      <c r="B14" s="279" t="str">
        <f t="shared" si="2"/>
        <v>6Y</v>
      </c>
      <c r="C14" s="228" t="str">
        <f t="shared" si="3"/>
        <v>3L</v>
      </c>
      <c r="D14" s="229" t="str">
        <f t="shared" si="4"/>
        <v>1L</v>
      </c>
      <c r="E14" s="230" t="str">
        <f t="shared" si="0"/>
        <v>USD3L1L6Y_Quote</v>
      </c>
      <c r="F14" s="230" t="str">
        <f>_xll.qlSimpleQuote(E14,,RateTickValue,Permanent,Trigger,ObjectOverwrite)</f>
        <v>USD3L1L6Y_Quote#0000</v>
      </c>
      <c r="G14" s="280" t="str">
        <f>_xll.ohRangeRetrieveError(F14)</f>
        <v/>
      </c>
      <c r="H14" s="171"/>
      <c r="J14" s="287"/>
      <c r="K14" s="183" t="s">
        <v>80</v>
      </c>
      <c r="L14" s="183" t="s">
        <v>93</v>
      </c>
      <c r="M14" s="183" t="s">
        <v>92</v>
      </c>
      <c r="N14" s="184" t="str">
        <f>IF(Contributor="ICAP LN",Currency&amp;$L14&amp;$M14&amp;$K14,Currency&amp;$M14&amp;$L14&amp;$K14)</f>
        <v>USD3L1L6Y</v>
      </c>
      <c r="O14" s="82" t="str">
        <v>USD3L1L6Y=ICAP</v>
      </c>
      <c r="P14" s="278">
        <v>12.5</v>
      </c>
      <c r="Q14" s="278">
        <v>0</v>
      </c>
      <c r="R14" s="292">
        <v>0</v>
      </c>
      <c r="S14" s="291">
        <v>0</v>
      </c>
      <c r="T14" s="278">
        <f>_xll.qlMidEquivalent(P14,Q14)</f>
        <v>12.5</v>
      </c>
      <c r="U14" s="289">
        <v>6</v>
      </c>
      <c r="V14" s="85" t="b">
        <f t="shared" si="1"/>
        <v>1</v>
      </c>
      <c r="W14" s="278">
        <v>12.5</v>
      </c>
      <c r="X14" s="195"/>
      <c r="Y14" s="284">
        <v>11.8</v>
      </c>
      <c r="Z14" s="195"/>
      <c r="AA14" s="278">
        <v>12.5</v>
      </c>
      <c r="AB14" s="188">
        <f>_xll.qlSimpleQuoteSetValue(F14,AA14/10000,Trigger)</f>
        <v>3.0000000000000079E-5</v>
      </c>
      <c r="AC14" s="77"/>
    </row>
    <row r="15" spans="1:30" ht="11.25" customHeight="1" x14ac:dyDescent="0.2">
      <c r="A15" s="76"/>
      <c r="B15" s="279" t="str">
        <f t="shared" si="2"/>
        <v>7Y</v>
      </c>
      <c r="C15" s="228" t="str">
        <f t="shared" si="3"/>
        <v>3L</v>
      </c>
      <c r="D15" s="229" t="str">
        <f t="shared" si="4"/>
        <v>1L</v>
      </c>
      <c r="E15" s="230" t="str">
        <f t="shared" si="0"/>
        <v>USD3L1L7Y_Quote</v>
      </c>
      <c r="F15" s="230" t="str">
        <f>_xll.qlSimpleQuote(E15,,RateTickValue,Permanent,Trigger,ObjectOverwrite)</f>
        <v>USD3L1L7Y_Quote#0000</v>
      </c>
      <c r="G15" s="280" t="str">
        <f>_xll.ohRangeRetrieveError(F15)</f>
        <v/>
      </c>
      <c r="H15" s="171"/>
      <c r="J15" s="287"/>
      <c r="K15" s="183" t="s">
        <v>79</v>
      </c>
      <c r="L15" s="183" t="s">
        <v>93</v>
      </c>
      <c r="M15" s="183" t="s">
        <v>92</v>
      </c>
      <c r="N15" s="184" t="str">
        <f>IF(Contributor="ICAP LN",Currency&amp;$L15&amp;$M15&amp;$K15,Currency&amp;$M15&amp;$L15&amp;$K15)</f>
        <v>USD3L1L7Y</v>
      </c>
      <c r="O15" s="82" t="str">
        <v>USD3L1L7Y=ICAP</v>
      </c>
      <c r="P15" s="278">
        <v>12.3</v>
      </c>
      <c r="Q15" s="278">
        <v>0</v>
      </c>
      <c r="R15" s="292">
        <v>0</v>
      </c>
      <c r="S15" s="291">
        <v>0</v>
      </c>
      <c r="T15" s="278">
        <f>_xll.qlMidEquivalent(P15,Q15)</f>
        <v>12.3</v>
      </c>
      <c r="U15" s="289">
        <v>7</v>
      </c>
      <c r="V15" s="85" t="b">
        <f t="shared" si="1"/>
        <v>1</v>
      </c>
      <c r="W15" s="278">
        <v>12.3</v>
      </c>
      <c r="X15" s="195"/>
      <c r="Y15" s="284">
        <v>11.5</v>
      </c>
      <c r="Z15" s="195"/>
      <c r="AA15" s="278">
        <v>12.3</v>
      </c>
      <c r="AB15" s="188">
        <f>_xll.qlSimpleQuoteSetValue(F15,AA15/10000,Trigger)</f>
        <v>3.0000000000000079E-5</v>
      </c>
      <c r="AC15" s="77"/>
    </row>
    <row r="16" spans="1:30" ht="11.25" customHeight="1" x14ac:dyDescent="0.2">
      <c r="A16" s="76"/>
      <c r="B16" s="279" t="str">
        <f t="shared" si="2"/>
        <v>8Y</v>
      </c>
      <c r="C16" s="228" t="str">
        <f t="shared" si="3"/>
        <v>3L</v>
      </c>
      <c r="D16" s="229" t="str">
        <f t="shared" si="4"/>
        <v>1L</v>
      </c>
      <c r="E16" s="230" t="str">
        <f t="shared" si="0"/>
        <v>USD3L1L8Y_Quote</v>
      </c>
      <c r="F16" s="230" t="str">
        <f>_xll.qlSimpleQuote(E16,,RateTickValue,Permanent,Trigger,ObjectOverwrite)</f>
        <v>USD3L1L8Y_Quote#0000</v>
      </c>
      <c r="G16" s="280" t="str">
        <f>_xll.ohRangeRetrieveError(F16)</f>
        <v/>
      </c>
      <c r="H16" s="171"/>
      <c r="J16" s="287"/>
      <c r="K16" s="183" t="s">
        <v>78</v>
      </c>
      <c r="L16" s="183" t="s">
        <v>93</v>
      </c>
      <c r="M16" s="183" t="s">
        <v>92</v>
      </c>
      <c r="N16" s="184" t="str">
        <f>IF(Contributor="ICAP LN",Currency&amp;$L16&amp;$M16&amp;$K16,Currency&amp;$M16&amp;$L16&amp;$K16)</f>
        <v>USD3L1L8Y</v>
      </c>
      <c r="O16" s="82" t="str">
        <v>USD3L1L8Y=ICAP</v>
      </c>
      <c r="P16" s="278">
        <v>11.9</v>
      </c>
      <c r="Q16" s="278">
        <v>0</v>
      </c>
      <c r="R16" s="292">
        <v>0</v>
      </c>
      <c r="S16" s="291">
        <v>0</v>
      </c>
      <c r="T16" s="278">
        <f>_xll.qlMidEquivalent(P16,Q16)</f>
        <v>11.9</v>
      </c>
      <c r="U16" s="289">
        <v>8</v>
      </c>
      <c r="V16" s="85" t="b">
        <f t="shared" si="1"/>
        <v>1</v>
      </c>
      <c r="W16" s="278">
        <v>11.9</v>
      </c>
      <c r="X16" s="195"/>
      <c r="Y16" s="284">
        <v>11</v>
      </c>
      <c r="Z16" s="195"/>
      <c r="AA16" s="278">
        <v>11.9</v>
      </c>
      <c r="AB16" s="188">
        <f>_xll.qlSimpleQuoteSetValue(F16,AA16/10000,Trigger)</f>
        <v>2.0000000000000052E-5</v>
      </c>
      <c r="AC16" s="77"/>
    </row>
    <row r="17" spans="1:29" ht="11.25" customHeight="1" x14ac:dyDescent="0.2">
      <c r="A17" s="76"/>
      <c r="B17" s="279" t="str">
        <f t="shared" si="2"/>
        <v>9Y</v>
      </c>
      <c r="C17" s="228" t="str">
        <f t="shared" si="3"/>
        <v>3L</v>
      </c>
      <c r="D17" s="229" t="str">
        <f t="shared" si="4"/>
        <v>1L</v>
      </c>
      <c r="E17" s="230" t="str">
        <f t="shared" si="0"/>
        <v>USD3L1L9Y_Quote</v>
      </c>
      <c r="F17" s="230" t="str">
        <f>_xll.qlSimpleQuote(E17,,RateTickValue,Permanent,Trigger,ObjectOverwrite)</f>
        <v>USD3L1L9Y_Quote#0000</v>
      </c>
      <c r="G17" s="280" t="str">
        <f>_xll.ohRangeRetrieveError(F17)</f>
        <v/>
      </c>
      <c r="H17" s="171"/>
      <c r="J17" s="287"/>
      <c r="K17" s="183" t="s">
        <v>77</v>
      </c>
      <c r="L17" s="183" t="s">
        <v>93</v>
      </c>
      <c r="M17" s="183" t="s">
        <v>92</v>
      </c>
      <c r="N17" s="184" t="str">
        <f>IF(Contributor="ICAP LN",Currency&amp;$L17&amp;$M17&amp;$K17,Currency&amp;$M17&amp;$L17&amp;$K17)</f>
        <v>USD3L1L9Y</v>
      </c>
      <c r="O17" s="82" t="str">
        <v>USD3L1L9Y=ICAP</v>
      </c>
      <c r="P17" s="278">
        <v>11.5</v>
      </c>
      <c r="Q17" s="278">
        <v>0</v>
      </c>
      <c r="R17" s="292">
        <v>0</v>
      </c>
      <c r="S17" s="291">
        <v>0</v>
      </c>
      <c r="T17" s="278">
        <f>_xll.qlMidEquivalent(P17,Q17)</f>
        <v>11.5</v>
      </c>
      <c r="U17" s="289">
        <v>9</v>
      </c>
      <c r="V17" s="85" t="b">
        <f t="shared" si="1"/>
        <v>1</v>
      </c>
      <c r="W17" s="278">
        <v>11.5</v>
      </c>
      <c r="X17" s="195"/>
      <c r="Y17" s="284">
        <v>10.6</v>
      </c>
      <c r="Z17" s="195"/>
      <c r="AA17" s="278">
        <v>11.5</v>
      </c>
      <c r="AB17" s="188">
        <f>_xll.qlSimpleQuoteSetValue(F17,AA17/10000,Trigger)</f>
        <v>1.0000000000000026E-5</v>
      </c>
      <c r="AC17" s="77"/>
    </row>
    <row r="18" spans="1:29" ht="11.25" customHeight="1" x14ac:dyDescent="0.2">
      <c r="A18" s="76"/>
      <c r="B18" s="279" t="str">
        <f t="shared" si="2"/>
        <v>10Y</v>
      </c>
      <c r="C18" s="228" t="str">
        <f t="shared" si="3"/>
        <v>3L</v>
      </c>
      <c r="D18" s="229" t="str">
        <f t="shared" si="4"/>
        <v>1L</v>
      </c>
      <c r="E18" s="230" t="str">
        <f t="shared" si="0"/>
        <v>USD3L1L10Y_Quote</v>
      </c>
      <c r="F18" s="230" t="str">
        <f>_xll.qlSimpleQuote(E18,,RateTickValue,Permanent,Trigger,ObjectOverwrite)</f>
        <v>USD3L1L10Y_Quote#0000</v>
      </c>
      <c r="G18" s="280" t="str">
        <f>_xll.ohRangeRetrieveError(F18)</f>
        <v/>
      </c>
      <c r="H18" s="171"/>
      <c r="J18" s="287"/>
      <c r="K18" s="183" t="s">
        <v>76</v>
      </c>
      <c r="L18" s="183" t="s">
        <v>93</v>
      </c>
      <c r="M18" s="183" t="s">
        <v>92</v>
      </c>
      <c r="N18" s="184" t="str">
        <f>IF(Contributor="ICAP LN",Currency&amp;$L18&amp;$M18&amp;$K18,Currency&amp;$M18&amp;$L18&amp;$K18)</f>
        <v>USD3L1L10Y</v>
      </c>
      <c r="O18" s="82" t="str">
        <v>USD3L1L10Y=ICAP</v>
      </c>
      <c r="P18" s="278">
        <v>11.2</v>
      </c>
      <c r="Q18" s="278">
        <v>0</v>
      </c>
      <c r="R18" s="292">
        <v>0</v>
      </c>
      <c r="S18" s="291">
        <v>0</v>
      </c>
      <c r="T18" s="278">
        <f>_xll.qlMidEquivalent(P18,Q18)</f>
        <v>11.2</v>
      </c>
      <c r="U18" s="289">
        <v>10</v>
      </c>
      <c r="V18" s="85" t="b">
        <f t="shared" si="1"/>
        <v>1</v>
      </c>
      <c r="W18" s="278">
        <v>11.2</v>
      </c>
      <c r="X18" s="195"/>
      <c r="Y18" s="284">
        <v>10.1</v>
      </c>
      <c r="Z18" s="195"/>
      <c r="AA18" s="278">
        <v>11.2</v>
      </c>
      <c r="AB18" s="188">
        <f>_xll.qlSimpleQuoteSetValue(F18,AA18/10000,Trigger)</f>
        <v>1.0000000000000026E-5</v>
      </c>
      <c r="AC18" s="77"/>
    </row>
    <row r="19" spans="1:29" ht="11.25" customHeight="1" x14ac:dyDescent="0.2">
      <c r="A19" s="76"/>
      <c r="B19" s="279" t="str">
        <f t="shared" si="2"/>
        <v>11Y</v>
      </c>
      <c r="C19" s="228" t="str">
        <f t="shared" si="3"/>
        <v>3L</v>
      </c>
      <c r="D19" s="229" t="str">
        <f t="shared" si="4"/>
        <v>1L</v>
      </c>
      <c r="E19" s="230" t="str">
        <f t="shared" si="0"/>
        <v>USD3L1L11Y_Quote</v>
      </c>
      <c r="F19" s="230" t="str">
        <f>_xll.qlSimpleQuote(E19,,RateTickValue,Permanent,Trigger,ObjectOverwrite)</f>
        <v>USD3L1L11Y_Quote#0000</v>
      </c>
      <c r="G19" s="280" t="str">
        <f>_xll.ohRangeRetrieveError(F19)</f>
        <v/>
      </c>
      <c r="H19" s="171"/>
      <c r="J19" s="287"/>
      <c r="K19" s="183" t="s">
        <v>75</v>
      </c>
      <c r="L19" s="183" t="s">
        <v>93</v>
      </c>
      <c r="M19" s="183" t="s">
        <v>92</v>
      </c>
      <c r="N19" s="184" t="str">
        <f>IF(Contributor="ICAP LN",Currency&amp;$L19&amp;$M19&amp;$K19,Currency&amp;$M19&amp;$L19&amp;$K19)</f>
        <v>USD3L1L11Y</v>
      </c>
      <c r="O19" s="82" t="str">
        <v>USD3L1L11Y=ICAP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1"/>
        <v>0</v>
      </c>
      <c r="W19" s="278">
        <v>10.93355236766139</v>
      </c>
      <c r="X19" s="195"/>
      <c r="Y19" s="284">
        <v>9.7013926315039392</v>
      </c>
      <c r="Z19" s="195"/>
      <c r="AA19" s="278">
        <v>10.93355236766139</v>
      </c>
      <c r="AB19" s="188">
        <f>_xll.qlSimpleQuoteSetValue(F19,AA19/10000,Trigger)</f>
        <v>5.6708275879249932E-6</v>
      </c>
      <c r="AC19" s="77"/>
    </row>
    <row r="20" spans="1:29" ht="11.25" customHeight="1" x14ac:dyDescent="0.2">
      <c r="A20" s="76"/>
      <c r="B20" s="279" t="str">
        <f t="shared" si="2"/>
        <v>12Y</v>
      </c>
      <c r="C20" s="228" t="str">
        <f t="shared" si="3"/>
        <v>3L</v>
      </c>
      <c r="D20" s="229" t="str">
        <f t="shared" si="4"/>
        <v>1L</v>
      </c>
      <c r="E20" s="230" t="str">
        <f t="shared" si="0"/>
        <v>USD3L1L12Y_Quote</v>
      </c>
      <c r="F20" s="230" t="str">
        <f>_xll.qlSimpleQuote(E20,,RateTickValue,Permanent,Trigger,ObjectOverwrite)</f>
        <v>USD3L1L12Y_Quote#0000</v>
      </c>
      <c r="G20" s="280" t="str">
        <f>_xll.ohRangeRetrieveError(F20)</f>
        <v/>
      </c>
      <c r="H20" s="171"/>
      <c r="J20" s="287"/>
      <c r="K20" s="183" t="s">
        <v>74</v>
      </c>
      <c r="L20" s="183" t="s">
        <v>93</v>
      </c>
      <c r="M20" s="183" t="s">
        <v>92</v>
      </c>
      <c r="N20" s="184" t="str">
        <f>IF(Contributor="ICAP LN",Currency&amp;$L20&amp;$M20&amp;$K20,Currency&amp;$M20&amp;$L20&amp;$K20)</f>
        <v>USD3L1L12Y</v>
      </c>
      <c r="O20" s="82" t="str">
        <v>USD3L1L12Y=ICAP</v>
      </c>
      <c r="P20" s="278">
        <v>10.7</v>
      </c>
      <c r="Q20" s="278">
        <v>0</v>
      </c>
      <c r="R20" s="292">
        <v>0</v>
      </c>
      <c r="S20" s="291">
        <v>0</v>
      </c>
      <c r="T20" s="278">
        <f>_xll.qlMidEquivalent(P20,Q20)</f>
        <v>10.7</v>
      </c>
      <c r="U20" s="289">
        <v>12</v>
      </c>
      <c r="V20" s="85" t="b">
        <f t="shared" si="1"/>
        <v>1</v>
      </c>
      <c r="W20" s="278">
        <v>10.7</v>
      </c>
      <c r="X20" s="195"/>
      <c r="Y20" s="284">
        <v>9.4</v>
      </c>
      <c r="Z20" s="195"/>
      <c r="AA20" s="278">
        <v>10.7</v>
      </c>
      <c r="AB20" s="188">
        <f>_xll.qlSimpleQuoteSetValue(F20,AA20/10000,Trigger)</f>
        <v>0</v>
      </c>
      <c r="AC20" s="77"/>
    </row>
    <row r="21" spans="1:29" ht="11.25" customHeight="1" x14ac:dyDescent="0.2">
      <c r="A21" s="76"/>
      <c r="B21" s="279" t="str">
        <f t="shared" si="2"/>
        <v>13Y</v>
      </c>
      <c r="C21" s="228" t="str">
        <f t="shared" si="3"/>
        <v>3L</v>
      </c>
      <c r="D21" s="229" t="str">
        <f t="shared" si="4"/>
        <v>1L</v>
      </c>
      <c r="E21" s="230" t="str">
        <f t="shared" si="0"/>
        <v>USD3L1L13Y_Quote</v>
      </c>
      <c r="F21" s="230" t="str">
        <f>_xll.qlSimpleQuote(E21,,RateTickValue,Permanent,Trigger,ObjectOverwrite)</f>
        <v>USD3L1L13Y_Quote#0000</v>
      </c>
      <c r="G21" s="280" t="str">
        <f>_xll.ohRangeRetrieveError(F21)</f>
        <v/>
      </c>
      <c r="H21" s="171"/>
      <c r="J21" s="287"/>
      <c r="K21" s="183" t="s">
        <v>73</v>
      </c>
      <c r="L21" s="183" t="s">
        <v>93</v>
      </c>
      <c r="M21" s="183" t="s">
        <v>92</v>
      </c>
      <c r="N21" s="184" t="str">
        <f>IF(Contributor="ICAP LN",Currency&amp;$L21&amp;$M21&amp;$K21,Currency&amp;$M21&amp;$L21&amp;$K21)</f>
        <v>USD3L1L13Y</v>
      </c>
      <c r="O21" s="82" t="str">
        <v>USD3L1L13Y=ICAP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1"/>
        <v>0</v>
      </c>
      <c r="W21" s="278">
        <v>10.517171672003192</v>
      </c>
      <c r="X21" s="195"/>
      <c r="Y21" s="284">
        <v>9.1160198449320351</v>
      </c>
      <c r="Z21" s="195"/>
      <c r="AA21" s="278">
        <v>10.517171672003192</v>
      </c>
      <c r="AB21" s="188">
        <f>_xll.qlSimpleQuoteSetValue(F21,AA21/10000,Trigger)</f>
        <v>1.1817916565912481E-6</v>
      </c>
      <c r="AC21" s="77"/>
    </row>
    <row r="22" spans="1:29" ht="11.25" customHeight="1" x14ac:dyDescent="0.2">
      <c r="A22" s="76"/>
      <c r="B22" s="279" t="str">
        <f t="shared" si="2"/>
        <v>14Y</v>
      </c>
      <c r="C22" s="228" t="str">
        <f t="shared" si="3"/>
        <v>3L</v>
      </c>
      <c r="D22" s="229" t="str">
        <f t="shared" si="4"/>
        <v>1L</v>
      </c>
      <c r="E22" s="230" t="str">
        <f t="shared" si="0"/>
        <v>USD3L1L14Y_Quote</v>
      </c>
      <c r="F22" s="230" t="str">
        <f>_xll.qlSimpleQuote(E22,,RateTickValue,Permanent,Trigger,ObjectOverwrite)</f>
        <v>USD3L1L14Y_Quote#0000</v>
      </c>
      <c r="G22" s="280" t="str">
        <f>_xll.ohRangeRetrieveError(F22)</f>
        <v/>
      </c>
      <c r="H22" s="171"/>
      <c r="J22" s="287"/>
      <c r="K22" s="183" t="s">
        <v>72</v>
      </c>
      <c r="L22" s="183" t="s">
        <v>93</v>
      </c>
      <c r="M22" s="183" t="s">
        <v>92</v>
      </c>
      <c r="N22" s="184" t="str">
        <f>IF(Contributor="ICAP LN",Currency&amp;$L22&amp;$M22&amp;$K22,Currency&amp;$M22&amp;$L22&amp;$K22)</f>
        <v>USD3L1L14Y</v>
      </c>
      <c r="O22" s="82" t="str">
        <v>USD3L1L14Y=ICAP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1"/>
        <v>0</v>
      </c>
      <c r="W22" s="278">
        <v>10.384141391557153</v>
      </c>
      <c r="X22" s="195"/>
      <c r="Y22" s="284">
        <v>8.8446880417722635</v>
      </c>
      <c r="Z22" s="195"/>
      <c r="AA22" s="278">
        <v>10.384141391557153</v>
      </c>
      <c r="AB22" s="188">
        <f>_xll.qlSimpleQuoteSetValue(F22,AA22/10000,Trigger)</f>
        <v>6.7020069394070885E-6</v>
      </c>
      <c r="AC22" s="77"/>
    </row>
    <row r="23" spans="1:29" ht="11.25" customHeight="1" x14ac:dyDescent="0.2">
      <c r="A23" s="76"/>
      <c r="B23" s="279" t="str">
        <f t="shared" si="2"/>
        <v>15Y</v>
      </c>
      <c r="C23" s="228" t="str">
        <f t="shared" si="3"/>
        <v>3L</v>
      </c>
      <c r="D23" s="229" t="str">
        <f t="shared" si="4"/>
        <v>1L</v>
      </c>
      <c r="E23" s="230" t="str">
        <f t="shared" si="0"/>
        <v>USD3L1L15Y_Quote</v>
      </c>
      <c r="F23" s="230" t="str">
        <f>_xll.qlSimpleQuote(E23,,RateTickValue,Permanent,Trigger,ObjectOverwrite)</f>
        <v>USD3L1L15Y_Quote#0000</v>
      </c>
      <c r="G23" s="280" t="str">
        <f>_xll.ohRangeRetrieveError(F23)</f>
        <v/>
      </c>
      <c r="H23" s="171"/>
      <c r="J23" s="287"/>
      <c r="K23" s="183" t="s">
        <v>71</v>
      </c>
      <c r="L23" s="183" t="s">
        <v>93</v>
      </c>
      <c r="M23" s="183" t="s">
        <v>92</v>
      </c>
      <c r="N23" s="184" t="str">
        <f>IF(Contributor="ICAP LN",Currency&amp;$L23&amp;$M23&amp;$K23,Currency&amp;$M23&amp;$L23&amp;$K23)</f>
        <v>USD3L1L15Y</v>
      </c>
      <c r="O23" s="82" t="str">
        <v>USD3L1L15Y=ICAP</v>
      </c>
      <c r="P23" s="278">
        <v>10.3</v>
      </c>
      <c r="Q23" s="278">
        <v>0</v>
      </c>
      <c r="R23" s="292">
        <v>0</v>
      </c>
      <c r="S23" s="291">
        <v>0</v>
      </c>
      <c r="T23" s="278">
        <f>_xll.qlMidEquivalent(P23,Q23)</f>
        <v>10.3</v>
      </c>
      <c r="U23" s="289">
        <v>15</v>
      </c>
      <c r="V23" s="85" t="b">
        <f t="shared" si="1"/>
        <v>1</v>
      </c>
      <c r="W23" s="278">
        <v>10.3</v>
      </c>
      <c r="X23" s="195"/>
      <c r="Y23" s="284">
        <v>8.6</v>
      </c>
      <c r="Z23" s="195"/>
      <c r="AA23" s="278">
        <v>10.3</v>
      </c>
      <c r="AB23" s="188">
        <f>_xll.qlSimpleQuoteSetValue(F23,AA23/10000,Trigger)</f>
        <v>1.0000000000000243E-5</v>
      </c>
      <c r="AC23" s="77"/>
    </row>
    <row r="24" spans="1:29" ht="11.25" customHeight="1" x14ac:dyDescent="0.2">
      <c r="A24" s="76"/>
      <c r="B24" s="279" t="str">
        <f t="shared" si="2"/>
        <v>16Y</v>
      </c>
      <c r="C24" s="228" t="str">
        <f t="shared" si="3"/>
        <v>3L</v>
      </c>
      <c r="D24" s="229" t="str">
        <f t="shared" si="4"/>
        <v>1L</v>
      </c>
      <c r="E24" s="230" t="str">
        <f t="shared" si="0"/>
        <v>USD3L1L16Y_Quote</v>
      </c>
      <c r="F24" s="230" t="str">
        <f>_xll.qlSimpleQuote(E24,,RateTickValue,Permanent,Trigger,ObjectOverwrite)</f>
        <v>USD3L1L16Y_Quote#0000</v>
      </c>
      <c r="G24" s="280" t="str">
        <f>_xll.ohRangeRetrieveError(F24)</f>
        <v/>
      </c>
      <c r="H24" s="171"/>
      <c r="J24" s="287"/>
      <c r="K24" s="183" t="s">
        <v>70</v>
      </c>
      <c r="L24" s="183" t="s">
        <v>93</v>
      </c>
      <c r="M24" s="183" t="s">
        <v>92</v>
      </c>
      <c r="N24" s="184" t="str">
        <f>IF(Contributor="ICAP LN",Currency&amp;$L24&amp;$M24&amp;$K24,Currency&amp;$M24&amp;$L24&amp;$K24)</f>
        <v>USD3L1L16Y</v>
      </c>
      <c r="O24" s="82" t="str">
        <v>USD3L1L16Y=ICAP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1"/>
        <v>0</v>
      </c>
      <c r="W24" s="278">
        <v>10.251200000000001</v>
      </c>
      <c r="X24" s="195"/>
      <c r="Y24" s="284">
        <v>8.3922226847447376</v>
      </c>
      <c r="Z24" s="195"/>
      <c r="AA24" s="278">
        <v>10.251200000000001</v>
      </c>
      <c r="AB24" s="188">
        <f>_xll.qlSimpleQuoteSetValue(F24,AA24/10000,Trigger)</f>
        <v>1.0000000000000026E-5</v>
      </c>
      <c r="AC24" s="77"/>
    </row>
    <row r="25" spans="1:29" ht="11.25" customHeight="1" x14ac:dyDescent="0.2">
      <c r="A25" s="76"/>
      <c r="B25" s="279" t="str">
        <f t="shared" si="2"/>
        <v>17Y</v>
      </c>
      <c r="C25" s="228" t="str">
        <f t="shared" si="3"/>
        <v>3L</v>
      </c>
      <c r="D25" s="229" t="str">
        <f t="shared" si="4"/>
        <v>1L</v>
      </c>
      <c r="E25" s="230" t="str">
        <f t="shared" si="0"/>
        <v>USD3L1L17Y_Quote</v>
      </c>
      <c r="F25" s="230" t="str">
        <f>_xll.qlSimpleQuote(E25,,RateTickValue,Permanent,Trigger,ObjectOverwrite)</f>
        <v>USD3L1L17Y_Quote#0000</v>
      </c>
      <c r="G25" s="280" t="str">
        <f>_xll.ohRangeRetrieveError(F25)</f>
        <v/>
      </c>
      <c r="H25" s="171"/>
      <c r="J25" s="287"/>
      <c r="K25" s="183" t="s">
        <v>69</v>
      </c>
      <c r="L25" s="183" t="s">
        <v>93</v>
      </c>
      <c r="M25" s="183" t="s">
        <v>92</v>
      </c>
      <c r="N25" s="184" t="str">
        <f>IF(Contributor="ICAP LN",Currency&amp;$L25&amp;$M25&amp;$K25,Currency&amp;$M25&amp;$L25&amp;$K25)</f>
        <v>USD3L1L17Y</v>
      </c>
      <c r="O25" s="82" t="str">
        <v>USD3L1L17Y=ICAP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1"/>
        <v>0</v>
      </c>
      <c r="W25" s="278">
        <v>10.2216</v>
      </c>
      <c r="X25" s="195"/>
      <c r="Y25" s="284">
        <v>8.2167092837366997</v>
      </c>
      <c r="Z25" s="195"/>
      <c r="AA25" s="278">
        <v>10.2216</v>
      </c>
      <c r="AB25" s="188">
        <f>_xll.qlSimpleQuoteSetValue(F25,AA25/10000,Trigger)</f>
        <v>1.0000000000000243E-5</v>
      </c>
      <c r="AC25" s="77"/>
    </row>
    <row r="26" spans="1:29" ht="11.25" customHeight="1" x14ac:dyDescent="0.2">
      <c r="A26" s="76"/>
      <c r="B26" s="279" t="str">
        <f t="shared" si="2"/>
        <v>18Y</v>
      </c>
      <c r="C26" s="228" t="str">
        <f t="shared" si="3"/>
        <v>3L</v>
      </c>
      <c r="D26" s="229" t="str">
        <f t="shared" si="4"/>
        <v>1L</v>
      </c>
      <c r="E26" s="230" t="str">
        <f t="shared" si="0"/>
        <v>USD3L1L18Y_Quote</v>
      </c>
      <c r="F26" s="230" t="str">
        <f>_xll.qlSimpleQuote(E26,,RateTickValue,Permanent,Trigger,ObjectOverwrite)</f>
        <v>USD3L1L18Y_Quote#0000</v>
      </c>
      <c r="G26" s="280" t="str">
        <f>_xll.ohRangeRetrieveError(F26)</f>
        <v/>
      </c>
      <c r="H26" s="171"/>
      <c r="J26" s="287"/>
      <c r="K26" s="183" t="s">
        <v>68</v>
      </c>
      <c r="L26" s="183" t="s">
        <v>93</v>
      </c>
      <c r="M26" s="183" t="s">
        <v>92</v>
      </c>
      <c r="N26" s="184" t="str">
        <f>IF(Contributor="ICAP LN",Currency&amp;$L26&amp;$M26&amp;$K26,Currency&amp;$M26&amp;$L26&amp;$K26)</f>
        <v>USD3L1L18Y</v>
      </c>
      <c r="O26" s="82" t="str">
        <v>USD3L1L18Y=ICAP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1"/>
        <v>0</v>
      </c>
      <c r="W26" s="278">
        <v>10.206399999999999</v>
      </c>
      <c r="X26" s="195"/>
      <c r="Y26" s="284">
        <v>8.0650845403562954</v>
      </c>
      <c r="Z26" s="195"/>
      <c r="AA26" s="278">
        <v>10.206399999999999</v>
      </c>
      <c r="AB26" s="188">
        <f>_xll.qlSimpleQuoteSetValue(F26,AA26/10000,Trigger)</f>
        <v>1.0000000000000026E-5</v>
      </c>
      <c r="AC26" s="77"/>
    </row>
    <row r="27" spans="1:29" ht="11.25" customHeight="1" x14ac:dyDescent="0.2">
      <c r="A27" s="76"/>
      <c r="B27" s="279" t="str">
        <f t="shared" si="2"/>
        <v>19Y</v>
      </c>
      <c r="C27" s="228" t="str">
        <f t="shared" si="3"/>
        <v>3L</v>
      </c>
      <c r="D27" s="229" t="str">
        <f t="shared" si="4"/>
        <v>1L</v>
      </c>
      <c r="E27" s="230" t="str">
        <f t="shared" si="0"/>
        <v>USD3L1L19Y_Quote</v>
      </c>
      <c r="F27" s="230" t="str">
        <f>_xll.qlSimpleQuote(E27,,RateTickValue,Permanent,Trigger,ObjectOverwrite)</f>
        <v>USD3L1L19Y_Quote#0000</v>
      </c>
      <c r="G27" s="280" t="str">
        <f>_xll.ohRangeRetrieveError(F27)</f>
        <v/>
      </c>
      <c r="H27" s="171"/>
      <c r="J27" s="287"/>
      <c r="K27" s="183" t="s">
        <v>67</v>
      </c>
      <c r="L27" s="183" t="s">
        <v>93</v>
      </c>
      <c r="M27" s="183" t="s">
        <v>92</v>
      </c>
      <c r="N27" s="184" t="str">
        <f>IF(Contributor="ICAP LN",Currency&amp;$L27&amp;$M27&amp;$K27,Currency&amp;$M27&amp;$L27&amp;$K27)</f>
        <v>USD3L1L19Y</v>
      </c>
      <c r="O27" s="82" t="str">
        <v>USD3L1L19Y=ICAP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1"/>
        <v>0</v>
      </c>
      <c r="W27" s="278">
        <v>10.200799999999999</v>
      </c>
      <c r="X27" s="195"/>
      <c r="Y27" s="284">
        <v>7.9289731979839262</v>
      </c>
      <c r="Z27" s="195"/>
      <c r="AA27" s="278">
        <v>10.200799999999999</v>
      </c>
      <c r="AB27" s="188">
        <f>_xll.qlSimpleQuoteSetValue(F27,AA27/10000,Trigger)</f>
        <v>9.9999999999998094E-6</v>
      </c>
      <c r="AC27" s="77"/>
    </row>
    <row r="28" spans="1:29" ht="11.25" customHeight="1" x14ac:dyDescent="0.2">
      <c r="A28" s="76"/>
      <c r="B28" s="279" t="str">
        <f t="shared" si="2"/>
        <v>20Y</v>
      </c>
      <c r="C28" s="228" t="str">
        <f t="shared" si="3"/>
        <v>3L</v>
      </c>
      <c r="D28" s="229" t="str">
        <f t="shared" si="4"/>
        <v>1L</v>
      </c>
      <c r="E28" s="230" t="str">
        <f t="shared" si="0"/>
        <v>USD3L1L20Y_Quote</v>
      </c>
      <c r="F28" s="230" t="str">
        <f>_xll.qlSimpleQuote(E28,,RateTickValue,Permanent,Trigger,ObjectOverwrite)</f>
        <v>USD3L1L20Y_Quote#0000</v>
      </c>
      <c r="G28" s="280" t="str">
        <f>_xll.ohRangeRetrieveError(F28)</f>
        <v/>
      </c>
      <c r="H28" s="171"/>
      <c r="J28" s="287"/>
      <c r="K28" s="183" t="s">
        <v>66</v>
      </c>
      <c r="L28" s="183" t="s">
        <v>93</v>
      </c>
      <c r="M28" s="183" t="s">
        <v>92</v>
      </c>
      <c r="N28" s="184" t="str">
        <f>IF(Contributor="ICAP LN",Currency&amp;$L28&amp;$M28&amp;$K28,Currency&amp;$M28&amp;$L28&amp;$K28)</f>
        <v>USD3L1L20Y</v>
      </c>
      <c r="O28" s="82" t="str">
        <v>USD3L1L20Y=ICAP</v>
      </c>
      <c r="P28" s="278">
        <v>10.199999999999999</v>
      </c>
      <c r="Q28" s="278">
        <v>0</v>
      </c>
      <c r="R28" s="292">
        <v>0</v>
      </c>
      <c r="S28" s="291">
        <v>0</v>
      </c>
      <c r="T28" s="278">
        <f>_xll.qlMidEquivalent(P28,Q28)</f>
        <v>10.199999999999999</v>
      </c>
      <c r="U28" s="289">
        <v>20</v>
      </c>
      <c r="V28" s="85" t="b">
        <f t="shared" si="1"/>
        <v>1</v>
      </c>
      <c r="W28" s="278">
        <v>10.199999999999999</v>
      </c>
      <c r="X28" s="195"/>
      <c r="Y28" s="284">
        <v>7.8</v>
      </c>
      <c r="Z28" s="195"/>
      <c r="AA28" s="278">
        <v>10.199999999999999</v>
      </c>
      <c r="AB28" s="188">
        <f>_xll.qlSimpleQuoteSetValue(F28,AA28/10000,Trigger)</f>
        <v>9.9999999999998094E-6</v>
      </c>
      <c r="AC28" s="77"/>
    </row>
    <row r="29" spans="1:29" ht="11.25" customHeight="1" x14ac:dyDescent="0.2">
      <c r="A29" s="76"/>
      <c r="B29" s="279" t="str">
        <f t="shared" si="2"/>
        <v>21Y</v>
      </c>
      <c r="C29" s="228" t="str">
        <f t="shared" si="3"/>
        <v>3L</v>
      </c>
      <c r="D29" s="229" t="str">
        <f t="shared" si="4"/>
        <v>1L</v>
      </c>
      <c r="E29" s="230" t="str">
        <f t="shared" si="0"/>
        <v>USD3L1L21Y_Quote</v>
      </c>
      <c r="F29" s="230" t="str">
        <f>_xll.qlSimpleQuote(E29,,RateTickValue,Permanent,Trigger,ObjectOverwrite)</f>
        <v>USD3L1L21Y_Quote#0000</v>
      </c>
      <c r="G29" s="280" t="str">
        <f>_xll.ohRangeRetrieveError(F29)</f>
        <v/>
      </c>
      <c r="H29" s="171"/>
      <c r="J29" s="287"/>
      <c r="K29" s="183" t="s">
        <v>65</v>
      </c>
      <c r="L29" s="183" t="s">
        <v>93</v>
      </c>
      <c r="M29" s="183" t="s">
        <v>92</v>
      </c>
      <c r="N29" s="184" t="str">
        <f>IF(Contributor="ICAP LN",Currency&amp;$L29&amp;$M29&amp;$K29,Currency&amp;$M29&amp;$L29&amp;$K29)</f>
        <v>USD3L1L21Y</v>
      </c>
      <c r="O29" s="82" t="str">
        <v>USD3L1L21Y=ICAP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1"/>
        <v>0</v>
      </c>
      <c r="W29" s="278">
        <v>10.2104</v>
      </c>
      <c r="X29" s="195"/>
      <c r="Y29" s="284">
        <v>7.671637112231152</v>
      </c>
      <c r="Z29" s="195"/>
      <c r="AA29" s="278">
        <v>10.2104</v>
      </c>
      <c r="AB29" s="188">
        <f>_xll.qlSimpleQuoteSetValue(F29,AA29/10000,Trigger)</f>
        <v>1.1039999999999921E-5</v>
      </c>
      <c r="AC29" s="77"/>
    </row>
    <row r="30" spans="1:29" ht="11.25" customHeight="1" x14ac:dyDescent="0.2">
      <c r="A30" s="76"/>
      <c r="B30" s="279" t="str">
        <f t="shared" si="2"/>
        <v>22Y</v>
      </c>
      <c r="C30" s="228" t="str">
        <f t="shared" si="3"/>
        <v>3L</v>
      </c>
      <c r="D30" s="229" t="str">
        <f t="shared" si="4"/>
        <v>1L</v>
      </c>
      <c r="E30" s="230" t="str">
        <f t="shared" si="0"/>
        <v>USD3L1L22Y_Quote</v>
      </c>
      <c r="F30" s="230" t="str">
        <f>_xll.qlSimpleQuote(E30,,RateTickValue,Permanent,Trigger,ObjectOverwrite)</f>
        <v>USD3L1L22Y_Quote#0000</v>
      </c>
      <c r="G30" s="280" t="str">
        <f>_xll.ohRangeRetrieveError(F30)</f>
        <v/>
      </c>
      <c r="H30" s="171"/>
      <c r="J30" s="287"/>
      <c r="K30" s="183" t="s">
        <v>64</v>
      </c>
      <c r="L30" s="183" t="s">
        <v>93</v>
      </c>
      <c r="M30" s="183" t="s">
        <v>92</v>
      </c>
      <c r="N30" s="184" t="str">
        <f>IF(Contributor="ICAP LN",Currency&amp;$L30&amp;$M30&amp;$K30,Currency&amp;$M30&amp;$L30&amp;$K30)</f>
        <v>USD3L1L22Y</v>
      </c>
      <c r="O30" s="82" t="str">
        <v>USD3L1L22Y=ICAP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1"/>
        <v>0</v>
      </c>
      <c r="W30" s="278">
        <v>10.235199999999999</v>
      </c>
      <c r="X30" s="195"/>
      <c r="Y30" s="284">
        <v>7.5447463902889398</v>
      </c>
      <c r="Z30" s="195"/>
      <c r="AA30" s="278">
        <v>10.235199999999999</v>
      </c>
      <c r="AB30" s="188">
        <f>_xll.qlSimpleQuoteSetValue(F30,AA30/10000,Trigger)</f>
        <v>1.3519999999999938E-5</v>
      </c>
      <c r="AC30" s="77"/>
    </row>
    <row r="31" spans="1:29" ht="11.25" customHeight="1" x14ac:dyDescent="0.2">
      <c r="A31" s="76"/>
      <c r="B31" s="279" t="str">
        <f t="shared" si="2"/>
        <v>23Y</v>
      </c>
      <c r="C31" s="228" t="str">
        <f t="shared" si="3"/>
        <v>3L</v>
      </c>
      <c r="D31" s="229" t="str">
        <f t="shared" si="4"/>
        <v>1L</v>
      </c>
      <c r="E31" s="230" t="str">
        <f t="shared" si="0"/>
        <v>USD3L1L23Y_Quote</v>
      </c>
      <c r="F31" s="230" t="str">
        <f>_xll.qlSimpleQuote(E31,,RateTickValue,Permanent,Trigger,ObjectOverwrite)</f>
        <v>USD3L1L23Y_Quote#0000</v>
      </c>
      <c r="G31" s="280" t="str">
        <f>_xll.ohRangeRetrieveError(F31)</f>
        <v/>
      </c>
      <c r="H31" s="171"/>
      <c r="J31" s="287"/>
      <c r="K31" s="183" t="s">
        <v>63</v>
      </c>
      <c r="L31" s="183" t="s">
        <v>93</v>
      </c>
      <c r="M31" s="183" t="s">
        <v>92</v>
      </c>
      <c r="N31" s="184" t="str">
        <f>IF(Contributor="ICAP LN",Currency&amp;$L31&amp;$M31&amp;$K31,Currency&amp;$M31&amp;$L31&amp;$K31)</f>
        <v>USD3L1L23Y</v>
      </c>
      <c r="O31" s="82" t="str">
        <v>USD3L1L23Y=ICAP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1"/>
        <v>0</v>
      </c>
      <c r="W31" s="278">
        <v>10.264800000000001</v>
      </c>
      <c r="X31" s="195"/>
      <c r="Y31" s="284">
        <v>7.4220371122311519</v>
      </c>
      <c r="Z31" s="195"/>
      <c r="AA31" s="278">
        <v>10.264800000000001</v>
      </c>
      <c r="AB31" s="188">
        <f>_xll.qlSimpleQuoteSetValue(F31,AA31/10000,Trigger)</f>
        <v>1.648000000000014E-5</v>
      </c>
      <c r="AC31" s="77"/>
    </row>
    <row r="32" spans="1:29" ht="11.25" customHeight="1" x14ac:dyDescent="0.2">
      <c r="A32" s="76"/>
      <c r="B32" s="279" t="str">
        <f t="shared" si="2"/>
        <v>24Y</v>
      </c>
      <c r="C32" s="228" t="str">
        <f t="shared" si="3"/>
        <v>3L</v>
      </c>
      <c r="D32" s="229" t="str">
        <f t="shared" si="4"/>
        <v>1L</v>
      </c>
      <c r="E32" s="230" t="str">
        <f t="shared" si="0"/>
        <v>USD3L1L24Y_Quote</v>
      </c>
      <c r="F32" s="230" t="str">
        <f>_xll.qlSimpleQuote(E32,,RateTickValue,Permanent,Trigger,ObjectOverwrite)</f>
        <v>USD3L1L24Y_Quote#0000</v>
      </c>
      <c r="G32" s="280" t="str">
        <f>_xll.ohRangeRetrieveError(F32)</f>
        <v/>
      </c>
      <c r="H32" s="171"/>
      <c r="J32" s="287"/>
      <c r="K32" s="183" t="s">
        <v>62</v>
      </c>
      <c r="L32" s="183" t="s">
        <v>93</v>
      </c>
      <c r="M32" s="183" t="s">
        <v>92</v>
      </c>
      <c r="N32" s="184" t="str">
        <f>IF(Contributor="ICAP LN",Currency&amp;$L32&amp;$M32&amp;$K32,Currency&amp;$M32&amp;$L32&amp;$K32)</f>
        <v>USD3L1L24Y</v>
      </c>
      <c r="O32" s="82" t="str">
        <v>USD3L1L24Y=ICAP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1"/>
        <v>0</v>
      </c>
      <c r="W32" s="278">
        <v>10.2896</v>
      </c>
      <c r="X32" s="195"/>
      <c r="Y32" s="284">
        <v>7.3062185561155761</v>
      </c>
      <c r="Z32" s="195"/>
      <c r="AA32" s="278">
        <v>10.2896</v>
      </c>
      <c r="AB32" s="188">
        <f>_xll.qlSimpleQuoteSetValue(F32,AA32/10000,Trigger)</f>
        <v>1.895999999999994E-5</v>
      </c>
      <c r="AC32" s="77"/>
    </row>
    <row r="33" spans="1:29" ht="11.25" customHeight="1" x14ac:dyDescent="0.2">
      <c r="A33" s="76"/>
      <c r="B33" s="279" t="str">
        <f t="shared" si="2"/>
        <v>25Y</v>
      </c>
      <c r="C33" s="228" t="str">
        <f t="shared" si="3"/>
        <v>3L</v>
      </c>
      <c r="D33" s="229" t="str">
        <f t="shared" si="4"/>
        <v>1L</v>
      </c>
      <c r="E33" s="230" t="str">
        <f t="shared" si="0"/>
        <v>USD3L1L25Y_Quote</v>
      </c>
      <c r="F33" s="230" t="str">
        <f>_xll.qlSimpleQuote(E33,,RateTickValue,Permanent,Trigger,ObjectOverwrite)</f>
        <v>USD3L1L25Y_Quote#0000</v>
      </c>
      <c r="G33" s="280" t="str">
        <f>_xll.ohRangeRetrieveError(F33)</f>
        <v/>
      </c>
      <c r="H33" s="171"/>
      <c r="J33" s="287"/>
      <c r="K33" s="183" t="s">
        <v>61</v>
      </c>
      <c r="L33" s="183" t="s">
        <v>93</v>
      </c>
      <c r="M33" s="183" t="s">
        <v>92</v>
      </c>
      <c r="N33" s="184" t="str">
        <f>IF(Contributor="ICAP LN",Currency&amp;$L33&amp;$M33&amp;$K33,Currency&amp;$M33&amp;$L33&amp;$K33)</f>
        <v>USD3L1L25Y</v>
      </c>
      <c r="O33" s="82" t="str">
        <v>USD3L1L25Y=ICAP</v>
      </c>
      <c r="P33" s="278">
        <v>10.3</v>
      </c>
      <c r="Q33" s="278">
        <v>0</v>
      </c>
      <c r="R33" s="292">
        <v>0</v>
      </c>
      <c r="S33" s="291">
        <v>0</v>
      </c>
      <c r="T33" s="278">
        <f>_xll.qlMidEquivalent(P33,Q33)</f>
        <v>10.3</v>
      </c>
      <c r="U33" s="289">
        <v>25</v>
      </c>
      <c r="V33" s="85" t="b">
        <f t="shared" si="1"/>
        <v>1</v>
      </c>
      <c r="W33" s="278">
        <v>10.3</v>
      </c>
      <c r="X33" s="195"/>
      <c r="Y33" s="284">
        <v>7.2</v>
      </c>
      <c r="Z33" s="195"/>
      <c r="AA33" s="278">
        <v>10.3</v>
      </c>
      <c r="AB33" s="188">
        <f>_xll.qlSimpleQuoteSetValue(F33,AA33/10000,Trigger)</f>
        <v>2.0000000000000052E-5</v>
      </c>
      <c r="AC33" s="77"/>
    </row>
    <row r="34" spans="1:29" ht="11.25" customHeight="1" x14ac:dyDescent="0.2">
      <c r="A34" s="76"/>
      <c r="B34" s="279" t="str">
        <f t="shared" si="2"/>
        <v>26Y</v>
      </c>
      <c r="C34" s="228" t="str">
        <f t="shared" si="3"/>
        <v>3L</v>
      </c>
      <c r="D34" s="229" t="str">
        <f t="shared" si="4"/>
        <v>1L</v>
      </c>
      <c r="E34" s="230" t="str">
        <f t="shared" si="0"/>
        <v>USD3L1L26Y_Quote</v>
      </c>
      <c r="F34" s="230" t="str">
        <f>_xll.qlSimpleQuote(E34,,RateTickValue,Permanent,Trigger,ObjectOverwrite)</f>
        <v>USD3L1L26Y_Quote#0000</v>
      </c>
      <c r="G34" s="280" t="str">
        <f>_xll.ohRangeRetrieveError(F34)</f>
        <v/>
      </c>
      <c r="H34" s="171"/>
      <c r="J34" s="287"/>
      <c r="K34" s="183" t="s">
        <v>60</v>
      </c>
      <c r="L34" s="183" t="s">
        <v>93</v>
      </c>
      <c r="M34" s="183" t="s">
        <v>92</v>
      </c>
      <c r="N34" s="184" t="str">
        <f>IF(Contributor="ICAP LN",Currency&amp;$L34&amp;$M34&amp;$K34,Currency&amp;$M34&amp;$L34&amp;$K34)</f>
        <v>USD3L1L26Y</v>
      </c>
      <c r="O34" s="82" t="str">
        <v>USD3L1L26Y=ICAP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1"/>
        <v>0</v>
      </c>
      <c r="W34" s="278">
        <v>10.3</v>
      </c>
      <c r="X34" s="195"/>
      <c r="Y34" s="284">
        <v>7.1052288663306546</v>
      </c>
      <c r="Z34" s="195"/>
      <c r="AA34" s="278">
        <v>10.3</v>
      </c>
      <c r="AB34" s="188">
        <f>_xll.qlSimpleQuoteSetValue(F34,AA34/10000,Trigger)</f>
        <v>2.0000000000000052E-5</v>
      </c>
      <c r="AC34" s="77"/>
    </row>
    <row r="35" spans="1:29" ht="11.25" customHeight="1" x14ac:dyDescent="0.2">
      <c r="A35" s="76"/>
      <c r="B35" s="279" t="str">
        <f t="shared" si="2"/>
        <v>27Y</v>
      </c>
      <c r="C35" s="228" t="str">
        <f t="shared" si="3"/>
        <v>3L</v>
      </c>
      <c r="D35" s="229" t="str">
        <f t="shared" si="4"/>
        <v>1L</v>
      </c>
      <c r="E35" s="230" t="str">
        <f t="shared" si="0"/>
        <v>USD3L1L27Y_Quote</v>
      </c>
      <c r="F35" s="230" t="str">
        <f>_xll.qlSimpleQuote(E35,,RateTickValue,Permanent,Trigger,ObjectOverwrite)</f>
        <v>USD3L1L27Y_Quote#0000</v>
      </c>
      <c r="G35" s="280" t="str">
        <f>_xll.ohRangeRetrieveError(F35)</f>
        <v/>
      </c>
      <c r="H35" s="171"/>
      <c r="J35" s="287"/>
      <c r="K35" s="183" t="s">
        <v>59</v>
      </c>
      <c r="L35" s="183" t="s">
        <v>93</v>
      </c>
      <c r="M35" s="183" t="s">
        <v>92</v>
      </c>
      <c r="N35" s="184" t="str">
        <f>IF(Contributor="ICAP LN",Currency&amp;$L35&amp;$M35&amp;$K35,Currency&amp;$M35&amp;$L35&amp;$K35)</f>
        <v>USD3L1L27Y</v>
      </c>
      <c r="O35" s="82" t="str">
        <v>USD3L1L27Y=ICAP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1"/>
        <v>0</v>
      </c>
      <c r="W35" s="278">
        <v>10.3</v>
      </c>
      <c r="X35" s="195"/>
      <c r="Y35" s="284">
        <v>7.0203051551075397</v>
      </c>
      <c r="Z35" s="195"/>
      <c r="AA35" s="278">
        <v>10.3</v>
      </c>
      <c r="AB35" s="188">
        <f>_xll.qlSimpleQuoteSetValue(F35,AA35/10000,Trigger)</f>
        <v>2.0000000000000052E-5</v>
      </c>
      <c r="AC35" s="77"/>
    </row>
    <row r="36" spans="1:29" ht="11.25" customHeight="1" x14ac:dyDescent="0.2">
      <c r="A36" s="76"/>
      <c r="B36" s="279" t="str">
        <f t="shared" si="2"/>
        <v>28Y</v>
      </c>
      <c r="C36" s="228" t="str">
        <f t="shared" si="3"/>
        <v>3L</v>
      </c>
      <c r="D36" s="229" t="str">
        <f t="shared" si="4"/>
        <v>1L</v>
      </c>
      <c r="E36" s="230" t="str">
        <f t="shared" si="0"/>
        <v>USD3L1L28Y_Quote</v>
      </c>
      <c r="F36" s="230" t="str">
        <f>_xll.qlSimpleQuote(E36,,RateTickValue,Permanent,Trigger,ObjectOverwrite)</f>
        <v>USD3L1L28Y_Quote#0000</v>
      </c>
      <c r="G36" s="280" t="str">
        <f>_xll.ohRangeRetrieveError(F36)</f>
        <v/>
      </c>
      <c r="H36" s="171"/>
      <c r="J36" s="287"/>
      <c r="K36" s="183" t="s">
        <v>58</v>
      </c>
      <c r="L36" s="183" t="s">
        <v>93</v>
      </c>
      <c r="M36" s="183" t="s">
        <v>92</v>
      </c>
      <c r="N36" s="184" t="str">
        <f>IF(Contributor="ICAP LN",Currency&amp;$L36&amp;$M36&amp;$K36,Currency&amp;$M36&amp;$L36&amp;$K36)</f>
        <v>USD3L1L28Y</v>
      </c>
      <c r="O36" s="82" t="str">
        <v>USD3L1L28Y=ICAP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1"/>
        <v>0</v>
      </c>
      <c r="W36" s="278">
        <v>10.3</v>
      </c>
      <c r="X36" s="195"/>
      <c r="Y36" s="284">
        <v>6.9427670107190966</v>
      </c>
      <c r="Z36" s="195"/>
      <c r="AA36" s="278">
        <v>10.3</v>
      </c>
      <c r="AB36" s="188">
        <f>_xll.qlSimpleQuoteSetValue(F36,AA36/10000,Trigger)</f>
        <v>2.0000000000000052E-5</v>
      </c>
      <c r="AC36" s="77"/>
    </row>
    <row r="37" spans="1:29" ht="11.25" customHeight="1" x14ac:dyDescent="0.2">
      <c r="A37" s="76"/>
      <c r="B37" s="279" t="str">
        <f t="shared" si="2"/>
        <v>29Y</v>
      </c>
      <c r="C37" s="228" t="str">
        <f t="shared" si="3"/>
        <v>3L</v>
      </c>
      <c r="D37" s="229" t="str">
        <f t="shared" si="4"/>
        <v>1L</v>
      </c>
      <c r="E37" s="230" t="str">
        <f t="shared" si="0"/>
        <v>USD3L1L29Y_Quote</v>
      </c>
      <c r="F37" s="230" t="str">
        <f>_xll.qlSimpleQuote(E37,,RateTickValue,Permanent,Trigger,ObjectOverwrite)</f>
        <v>USD3L1L29Y_Quote#0000</v>
      </c>
      <c r="G37" s="280" t="str">
        <f>_xll.ohRangeRetrieveError(F37)</f>
        <v/>
      </c>
      <c r="H37" s="171"/>
      <c r="J37" s="287"/>
      <c r="K37" s="183" t="s">
        <v>57</v>
      </c>
      <c r="L37" s="183" t="s">
        <v>93</v>
      </c>
      <c r="M37" s="183" t="s">
        <v>92</v>
      </c>
      <c r="N37" s="184" t="str">
        <f>IF(Contributor="ICAP LN",Currency&amp;$L37&amp;$M37&amp;$K37,Currency&amp;$M37&amp;$L37&amp;$K37)</f>
        <v>USD3L1L29Y</v>
      </c>
      <c r="O37" s="82" t="str">
        <v>USD3L1L29Y=ICAP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1"/>
        <v>0</v>
      </c>
      <c r="W37" s="278">
        <v>10.3</v>
      </c>
      <c r="X37" s="195"/>
      <c r="Y37" s="284">
        <v>6.8701525775537693</v>
      </c>
      <c r="Z37" s="195"/>
      <c r="AA37" s="278">
        <v>10.3</v>
      </c>
      <c r="AB37" s="188">
        <f>_xll.qlSimpleQuoteSetValue(F37,AA37/10000,Trigger)</f>
        <v>2.0000000000000052E-5</v>
      </c>
      <c r="AC37" s="77"/>
    </row>
    <row r="38" spans="1:29" ht="11.25" customHeight="1" x14ac:dyDescent="0.2">
      <c r="A38" s="76"/>
      <c r="B38" s="279" t="str">
        <f t="shared" si="2"/>
        <v>30Y</v>
      </c>
      <c r="C38" s="228" t="str">
        <f t="shared" si="3"/>
        <v>3L</v>
      </c>
      <c r="D38" s="229" t="str">
        <f t="shared" si="4"/>
        <v>1L</v>
      </c>
      <c r="E38" s="230" t="str">
        <f t="shared" si="0"/>
        <v>USD3L1L30Y_Quote</v>
      </c>
      <c r="F38" s="230" t="str">
        <f>_xll.qlSimpleQuote(E38,,RateTickValue,Permanent,Trigger,ObjectOverwrite)</f>
        <v>USD3L1L30Y_Quote#0000</v>
      </c>
      <c r="G38" s="280" t="str">
        <f>_xll.ohRangeRetrieveError(F38)</f>
        <v/>
      </c>
      <c r="H38" s="171"/>
      <c r="J38" s="287"/>
      <c r="K38" s="183" t="s">
        <v>56</v>
      </c>
      <c r="L38" s="183" t="s">
        <v>93</v>
      </c>
      <c r="M38" s="183" t="s">
        <v>92</v>
      </c>
      <c r="N38" s="184" t="str">
        <f>IF(Contributor="ICAP LN",Currency&amp;$L38&amp;$M38&amp;$K38,Currency&amp;$M38&amp;$L38&amp;$K38)</f>
        <v>USD3L1L30Y</v>
      </c>
      <c r="O38" s="82" t="str">
        <v>USD3L1L30Y=ICAP</v>
      </c>
      <c r="P38" s="278">
        <v>10.3</v>
      </c>
      <c r="Q38" s="278">
        <v>0</v>
      </c>
      <c r="R38" s="292">
        <v>0</v>
      </c>
      <c r="S38" s="291">
        <v>0</v>
      </c>
      <c r="T38" s="278">
        <f>_xll.qlMidEquivalent(P38,Q38)</f>
        <v>10.3</v>
      </c>
      <c r="U38" s="289">
        <v>30</v>
      </c>
      <c r="V38" s="85" t="b">
        <f t="shared" si="1"/>
        <v>1</v>
      </c>
      <c r="W38" s="278">
        <v>10.3</v>
      </c>
      <c r="X38" s="195"/>
      <c r="Y38" s="284">
        <v>6.8</v>
      </c>
      <c r="Z38" s="195"/>
      <c r="AA38" s="278">
        <v>10.3</v>
      </c>
      <c r="AB38" s="188">
        <f>_xll.qlSimpleQuoteSetValue(F38,AA38/10000,Trigger)</f>
        <v>2.0000000000000052E-5</v>
      </c>
      <c r="AC38" s="77"/>
    </row>
    <row r="39" spans="1:29" ht="11.25" customHeight="1" x14ac:dyDescent="0.2">
      <c r="A39" s="76"/>
      <c r="B39" s="279" t="str">
        <f t="shared" si="2"/>
        <v>35Y</v>
      </c>
      <c r="C39" s="228" t="str">
        <f t="shared" si="3"/>
        <v>3L</v>
      </c>
      <c r="D39" s="229" t="str">
        <f t="shared" si="4"/>
        <v>1L</v>
      </c>
      <c r="E39" s="230" t="str">
        <f t="shared" si="0"/>
        <v>USD3L1L35Y_Quote</v>
      </c>
      <c r="F39" s="230" t="str">
        <f>_xll.qlSimpleQuote(E39,,RateTickValue,Permanent,Trigger,ObjectOverwrite)</f>
        <v>USD3L1L35Y_Quote#0000</v>
      </c>
      <c r="G39" s="280" t="str">
        <f>_xll.ohRangeRetrieveError(F39)</f>
        <v/>
      </c>
      <c r="H39" s="171"/>
      <c r="J39" s="287"/>
      <c r="K39" s="183" t="s">
        <v>51</v>
      </c>
      <c r="L39" s="183" t="s">
        <v>93</v>
      </c>
      <c r="M39" s="183" t="s">
        <v>92</v>
      </c>
      <c r="N39" s="184" t="str">
        <f>IF(Contributor="ICAP LN",Currency&amp;$L39&amp;$M39&amp;$K39,Currency&amp;$M39&amp;$L39&amp;$K39)</f>
        <v>USD3L1L35Y</v>
      </c>
      <c r="O39" s="82" t="str">
        <v>USD3L1L35Y=ICAP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1"/>
        <v>0</v>
      </c>
      <c r="W39" s="297">
        <f>W38</f>
        <v>10.3</v>
      </c>
      <c r="X39" s="195"/>
      <c r="Y39" s="297">
        <v>6.8</v>
      </c>
      <c r="Z39" s="195"/>
      <c r="AA39" s="297">
        <v>10.3</v>
      </c>
      <c r="AB39" s="188">
        <f>_xll.qlSimpleQuoteSetValue(F39,AA39/10000,Trigger)</f>
        <v>2.0000000000000052E-5</v>
      </c>
      <c r="AC39" s="77"/>
    </row>
    <row r="40" spans="1:29" ht="11.25" customHeight="1" x14ac:dyDescent="0.2">
      <c r="A40" s="76"/>
      <c r="B40" s="279" t="str">
        <f t="shared" si="2"/>
        <v>40Y</v>
      </c>
      <c r="C40" s="228" t="str">
        <f t="shared" si="3"/>
        <v>3L</v>
      </c>
      <c r="D40" s="229" t="str">
        <f t="shared" si="4"/>
        <v>1L</v>
      </c>
      <c r="E40" s="230" t="str">
        <f t="shared" si="0"/>
        <v>USD3L1L40Y_Quote</v>
      </c>
      <c r="F40" s="230" t="str">
        <f>_xll.qlSimpleQuote(E40,,RateTickValue,Permanent,Trigger,ObjectOverwrite)</f>
        <v>USD3L1L40Y_Quote#0000</v>
      </c>
      <c r="G40" s="280" t="str">
        <f>_xll.ohRangeRetrieveError(F40)</f>
        <v/>
      </c>
      <c r="H40" s="171"/>
      <c r="J40" s="287"/>
      <c r="K40" s="183" t="s">
        <v>46</v>
      </c>
      <c r="L40" s="183" t="s">
        <v>93</v>
      </c>
      <c r="M40" s="183" t="s">
        <v>92</v>
      </c>
      <c r="N40" s="184" t="str">
        <f>IF(Contributor="ICAP LN",Currency&amp;$L40&amp;$M40&amp;$K40,Currency&amp;$M40&amp;$L40&amp;$K40)</f>
        <v>USD3L1L40Y</v>
      </c>
      <c r="O40" s="82" t="str">
        <v>USD3L1L40Y=ICAP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1"/>
        <v>0</v>
      </c>
      <c r="W40" s="297">
        <f>W39</f>
        <v>10.3</v>
      </c>
      <c r="X40" s="195"/>
      <c r="Y40" s="297">
        <v>6.8</v>
      </c>
      <c r="Z40" s="195"/>
      <c r="AA40" s="297">
        <v>10.3</v>
      </c>
      <c r="AB40" s="188">
        <f>_xll.qlSimpleQuoteSetValue(F40,AA40/10000,Trigger)</f>
        <v>2.0000000000000052E-5</v>
      </c>
      <c r="AC40" s="77"/>
    </row>
    <row r="41" spans="1:29" ht="11.25" customHeight="1" x14ac:dyDescent="0.2">
      <c r="A41" s="76"/>
      <c r="B41" s="279" t="str">
        <f t="shared" si="2"/>
        <v>50Y</v>
      </c>
      <c r="C41" s="228" t="str">
        <f t="shared" si="3"/>
        <v>3L</v>
      </c>
      <c r="D41" s="229" t="str">
        <f t="shared" si="4"/>
        <v>1L</v>
      </c>
      <c r="E41" s="230" t="str">
        <f t="shared" si="0"/>
        <v>USD3L1L50Y_Quote</v>
      </c>
      <c r="F41" s="230" t="str">
        <f>_xll.qlSimpleQuote(E41,,RateTickValue,Permanent,Trigger,ObjectOverwrite)</f>
        <v>USD3L1L50Y_Quote#0000</v>
      </c>
      <c r="G41" s="280" t="str">
        <f>_xll.ohRangeRetrieveError(F41)</f>
        <v/>
      </c>
      <c r="H41" s="171"/>
      <c r="J41" s="287"/>
      <c r="K41" s="183" t="s">
        <v>36</v>
      </c>
      <c r="L41" s="183" t="s">
        <v>93</v>
      </c>
      <c r="M41" s="183" t="s">
        <v>92</v>
      </c>
      <c r="N41" s="184" t="str">
        <f>IF(Contributor="ICAP LN",Currency&amp;$L41&amp;$M41&amp;$K41,Currency&amp;$M41&amp;$L41&amp;$K41)</f>
        <v>USD3L1L50Y</v>
      </c>
      <c r="O41" s="82" t="str">
        <v>USD3L1L50Y=ICAP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1"/>
        <v>0</v>
      </c>
      <c r="W41" s="297">
        <f>W40</f>
        <v>10.3</v>
      </c>
      <c r="X41" s="195"/>
      <c r="Y41" s="297">
        <v>6.8</v>
      </c>
      <c r="Z41" s="195"/>
      <c r="AA41" s="297">
        <v>10.3</v>
      </c>
      <c r="AB41" s="188">
        <f>_xll.qlSimpleQuoteSetValue(F41,AA41/10000,Trigger)</f>
        <v>2.0000000000000052E-5</v>
      </c>
      <c r="AC41" s="77"/>
    </row>
    <row r="42" spans="1:29" ht="11.25" customHeight="1" x14ac:dyDescent="0.2">
      <c r="A42" s="76"/>
      <c r="B42" s="281" t="str">
        <f t="shared" si="2"/>
        <v>60Y</v>
      </c>
      <c r="C42" s="233" t="str">
        <f t="shared" si="3"/>
        <v>3L</v>
      </c>
      <c r="D42" s="234" t="str">
        <f t="shared" si="4"/>
        <v>1L</v>
      </c>
      <c r="E42" s="235" t="str">
        <f t="shared" si="0"/>
        <v>USD3L1L60Y_Quote</v>
      </c>
      <c r="F42" s="235" t="str">
        <f>_xll.qlSimpleQuote(E42,,RateTickValue,Permanent,Trigger,ObjectOverwrite)</f>
        <v>USD3L1L60Y_Quote#0000</v>
      </c>
      <c r="G42" s="282" t="str">
        <f>_xll.ohRangeRetrieveError(F42)</f>
        <v/>
      </c>
      <c r="H42" s="171"/>
      <c r="J42" s="287"/>
      <c r="K42" s="185" t="s">
        <v>26</v>
      </c>
      <c r="L42" s="185" t="s">
        <v>93</v>
      </c>
      <c r="M42" s="185" t="s">
        <v>92</v>
      </c>
      <c r="N42" s="186" t="str">
        <f>IF(Contributor="ICAP LN",Currency&amp;$L42&amp;$M42&amp;$K42,Currency&amp;$M42&amp;$L42&amp;$K42)</f>
        <v>USD3L1L60Y</v>
      </c>
      <c r="O42" s="83" t="str">
        <v>USD3L1L60Y=ICAP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1"/>
        <v>0</v>
      </c>
      <c r="W42" s="298">
        <f>W41</f>
        <v>10.3</v>
      </c>
      <c r="X42" s="195"/>
      <c r="Y42" s="298">
        <v>6.8</v>
      </c>
      <c r="Z42" s="195"/>
      <c r="AA42" s="298">
        <v>10.3</v>
      </c>
      <c r="AB42" s="189">
        <f>_xll.qlSimpleQuoteSetValue(F42,AA42/10000,Trigger)</f>
        <v>2.0000000000000052E-5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5">
        <f>_xll.ohTrigger(AB5:AB42)</f>
        <v>3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obj_00513#0001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274"/>
      <c r="K4" s="243"/>
      <c r="L4" s="103"/>
      <c r="M4" s="103"/>
      <c r="N4" s="103" t="s">
        <v>282</v>
      </c>
      <c r="O4" s="106" t="str">
        <f>_xll.RData(O5:O42,P4:S4,"RTFEED:IDN",ReutersRtMode,,P5)</f>
        <v>Paused at 11:15:03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285</v>
      </c>
      <c r="V4" s="87" t="s">
        <v>284</v>
      </c>
      <c r="W4" s="88" t="s">
        <v>283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1" t="str">
        <f>K5</f>
        <v>6M</v>
      </c>
      <c r="C5" s="221" t="str">
        <f>L5</f>
        <v>6L</v>
      </c>
      <c r="D5" s="222" t="str">
        <f>M5</f>
        <v>3L</v>
      </c>
      <c r="E5" s="223" t="str">
        <f t="shared" ref="E5:E42" si="0">IF(ISBLANK(C5),"#",Currency&amp;$C5&amp;$D5&amp;$B5&amp;QuoteSuffix)</f>
        <v>USD6L3L6M_Quote</v>
      </c>
      <c r="F5" s="223" t="str">
        <f>_xll.qlSimpleQuote(E5,,RateTickValue,Permanent,Trigger,ObjectOverwrite)</f>
        <v>USD6L3L6M_Quote#0000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94</v>
      </c>
      <c r="M5" s="183" t="s">
        <v>93</v>
      </c>
      <c r="N5" s="184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8">
        <v>8.1999999999999993</v>
      </c>
      <c r="Q5" s="278">
        <v>0</v>
      </c>
      <c r="R5" s="294">
        <v>0</v>
      </c>
      <c r="S5" s="291">
        <v>0</v>
      </c>
      <c r="T5" s="278">
        <f>_xll.qlMidEquivalent(P5,Q5)</f>
        <v>8.1999999999999993</v>
      </c>
      <c r="U5" s="288">
        <v>0.5</v>
      </c>
      <c r="V5" s="85" t="b">
        <f t="shared" ref="V5:V42" si="2">IF(ISNUMBER(T5),TRUE,FALSE)</f>
        <v>1</v>
      </c>
      <c r="W5" s="278">
        <f t="array" ref="W5:W38">_xll.qlInterpolationInterpolate(U3,U5:U42)</f>
        <v>8.1999999999999993</v>
      </c>
      <c r="X5" s="195"/>
      <c r="Y5" s="284">
        <v>8.5</v>
      </c>
      <c r="Z5" s="195"/>
      <c r="AA5" s="285">
        <f t="array" ref="AA5:AA42">QuoteLive</f>
        <v>8.1999999999999993</v>
      </c>
      <c r="AB5" s="187">
        <f>_xll.qlSimpleQuoteSetValue(F5,AA5/10000,Trigger)</f>
        <v>0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6L</v>
      </c>
      <c r="D6" s="229" t="str">
        <f t="shared" ref="D6:D42" si="5">M6</f>
        <v>3L</v>
      </c>
      <c r="E6" s="230" t="str">
        <f t="shared" si="0"/>
        <v>USD6L3L1Y_Quote</v>
      </c>
      <c r="F6" s="230" t="str">
        <f>_xll.qlSimpleQuote(E6,,RateTickValue,Permanent,Trigger,ObjectOverwrite)</f>
        <v>USD6L3L1Y_Quote#0000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94</v>
      </c>
      <c r="M6" s="183" t="s">
        <v>93</v>
      </c>
      <c r="N6" s="184" t="str">
        <f t="shared" si="1"/>
        <v>USD6L3L1Y</v>
      </c>
      <c r="O6" s="82" t="str">
        <v>USD6L3L1Y=ICAP</v>
      </c>
      <c r="P6" s="278">
        <v>7.6</v>
      </c>
      <c r="Q6" s="278">
        <v>0</v>
      </c>
      <c r="R6" s="292">
        <v>0</v>
      </c>
      <c r="S6" s="291">
        <v>0</v>
      </c>
      <c r="T6" s="278">
        <f>_xll.qlMidEquivalent(P6,Q6)</f>
        <v>7.6</v>
      </c>
      <c r="U6" s="288">
        <v>1</v>
      </c>
      <c r="V6" s="85" t="b">
        <f t="shared" si="2"/>
        <v>1</v>
      </c>
      <c r="W6" s="278">
        <v>7.6</v>
      </c>
      <c r="X6" s="195"/>
      <c r="Y6" s="284">
        <v>8.6</v>
      </c>
      <c r="Z6" s="195"/>
      <c r="AA6" s="278">
        <v>7.6</v>
      </c>
      <c r="AB6" s="188">
        <f>_xll.qlSimpleQuoteSetValue(F6,AA6/10000,Trigger)</f>
        <v>9.9999999999999178E-6</v>
      </c>
      <c r="AC6" s="77"/>
      <c r="AD6" s="199"/>
    </row>
    <row r="7" spans="1:30" s="216" customFormat="1" ht="11.25" customHeight="1" x14ac:dyDescent="0.25">
      <c r="A7" s="76"/>
      <c r="B7" s="183" t="str">
        <f t="shared" si="3"/>
        <v>15M</v>
      </c>
      <c r="C7" s="228" t="str">
        <f t="shared" si="4"/>
        <v>6L</v>
      </c>
      <c r="D7" s="229" t="str">
        <f t="shared" si="5"/>
        <v>3L</v>
      </c>
      <c r="E7" s="230" t="str">
        <f t="shared" si="0"/>
        <v>USD6L3L15M_Quote</v>
      </c>
      <c r="F7" s="230" t="str">
        <f>_xll.qlSimpleQuote(E7,,RateTickValue,Permanent,Trigger,ObjectOverwrite)</f>
        <v>USD6L3L15M_Quote#0000</v>
      </c>
      <c r="G7" s="280" t="str">
        <f>_xll.ohRangeRetrieveError(F7)</f>
        <v/>
      </c>
      <c r="H7" s="171"/>
      <c r="J7" s="286"/>
      <c r="K7" s="183" t="s">
        <v>97</v>
      </c>
      <c r="L7" s="183" t="s">
        <v>94</v>
      </c>
      <c r="M7" s="183" t="s">
        <v>93</v>
      </c>
      <c r="N7" s="184" t="str">
        <f t="shared" si="1"/>
        <v>USD6L3L15M</v>
      </c>
      <c r="O7" s="82" t="str">
        <v>USD6L3L15M=ICAP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7.4037491166175196</v>
      </c>
      <c r="X7" s="195"/>
      <c r="Y7" s="284">
        <v>8.6403417164991403</v>
      </c>
      <c r="Z7" s="195"/>
      <c r="AA7" s="278">
        <v>7.4037491166175196</v>
      </c>
      <c r="AB7" s="188">
        <f>_xll.qlSimpleQuoteSetValue(F7,AA7/10000,Trigger)</f>
        <v>7.7186616617519552E-6</v>
      </c>
      <c r="AC7" s="77"/>
      <c r="AD7" s="199"/>
    </row>
    <row r="8" spans="1:30" ht="11.25" customHeight="1" x14ac:dyDescent="0.25">
      <c r="A8" s="76"/>
      <c r="B8" s="183" t="str">
        <f t="shared" si="3"/>
        <v>18M</v>
      </c>
      <c r="C8" s="228" t="str">
        <f t="shared" si="4"/>
        <v>6L</v>
      </c>
      <c r="D8" s="229" t="str">
        <f t="shared" si="5"/>
        <v>3L</v>
      </c>
      <c r="E8" s="230" t="str">
        <f t="shared" si="0"/>
        <v>USD6L3L18M_Quote</v>
      </c>
      <c r="F8" s="230" t="str">
        <f>_xll.qlSimpleQuote(E8,,RateTickValue,Permanent,Trigger,ObjectOverwrite)</f>
        <v>USD6L3L18M_Quote#0000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94</v>
      </c>
      <c r="M8" s="183" t="s">
        <v>93</v>
      </c>
      <c r="N8" s="184" t="str">
        <f t="shared" si="1"/>
        <v>USD6L3L18M</v>
      </c>
      <c r="O8" s="82" t="str">
        <v>USD6L3L18M=ICAP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7.2824982332350396</v>
      </c>
      <c r="X8" s="195"/>
      <c r="Y8" s="284">
        <v>8.6719704146659016</v>
      </c>
      <c r="Z8" s="195"/>
      <c r="AA8" s="278">
        <v>7.2824982332350396</v>
      </c>
      <c r="AB8" s="188">
        <f>_xll.qlSimpleQuoteSetValue(F8,AA8/10000,Trigger)</f>
        <v>4.4998233235039225E-6</v>
      </c>
      <c r="AC8" s="77"/>
    </row>
    <row r="9" spans="1:30" ht="11.25" customHeight="1" x14ac:dyDescent="0.25">
      <c r="A9" s="76"/>
      <c r="B9" s="183" t="str">
        <f t="shared" si="3"/>
        <v>21M</v>
      </c>
      <c r="C9" s="228" t="str">
        <f t="shared" si="4"/>
        <v>6L</v>
      </c>
      <c r="D9" s="229" t="str">
        <f t="shared" si="5"/>
        <v>3L</v>
      </c>
      <c r="E9" s="230" t="str">
        <f t="shared" si="0"/>
        <v>USD6L3L21M_Quote</v>
      </c>
      <c r="F9" s="230" t="str">
        <f>_xll.qlSimpleQuote(E9,,RateTickValue,Permanent,Trigger,ObjectOverwrite)</f>
        <v>USD6L3L21M_Quote#0000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94</v>
      </c>
      <c r="M9" s="183" t="s">
        <v>93</v>
      </c>
      <c r="N9" s="184" t="str">
        <f t="shared" si="1"/>
        <v>USD6L3L21M</v>
      </c>
      <c r="O9" s="82" t="str">
        <v>USD6L3L21M=ICAP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7.2199982332350396</v>
      </c>
      <c r="X9" s="195"/>
      <c r="Y9" s="284">
        <v>8.6926139054997122</v>
      </c>
      <c r="Z9" s="195"/>
      <c r="AA9" s="278">
        <v>7.2199982332350396</v>
      </c>
      <c r="AB9" s="188">
        <f>_xll.qlSimpleQuoteSetValue(F9,AA9/10000,Trigger)</f>
        <v>1.5310733235038808E-6</v>
      </c>
      <c r="AC9" s="77"/>
    </row>
    <row r="10" spans="1:30" ht="11.25" customHeight="1" x14ac:dyDescent="0.2">
      <c r="A10" s="76"/>
      <c r="B10" s="183" t="str">
        <f t="shared" si="3"/>
        <v>2Y</v>
      </c>
      <c r="C10" s="228" t="str">
        <f t="shared" si="4"/>
        <v>6L</v>
      </c>
      <c r="D10" s="229" t="str">
        <f t="shared" si="5"/>
        <v>3L</v>
      </c>
      <c r="E10" s="230" t="str">
        <f t="shared" si="0"/>
        <v>USD6L3L2Y_Quote</v>
      </c>
      <c r="F10" s="230" t="str">
        <f>_xll.qlSimpleQuote(E10,,RateTickValue,Permanent,Trigger,ObjectOverwrite)</f>
        <v>USD6L3L2Y_Quote#0000</v>
      </c>
      <c r="G10" s="280" t="str">
        <f>_xll.ohRangeRetrieveError(F10)</f>
        <v/>
      </c>
      <c r="H10" s="171"/>
      <c r="J10" s="287"/>
      <c r="K10" s="183" t="s">
        <v>84</v>
      </c>
      <c r="L10" s="183" t="s">
        <v>94</v>
      </c>
      <c r="M10" s="183" t="s">
        <v>93</v>
      </c>
      <c r="N10" s="184" t="str">
        <f t="shared" si="1"/>
        <v>USD6L3L2Y</v>
      </c>
      <c r="O10" s="82" t="str">
        <v>USD6L3L2Y=ICAP</v>
      </c>
      <c r="P10" s="278">
        <v>7.2</v>
      </c>
      <c r="Q10" s="278">
        <v>0</v>
      </c>
      <c r="R10" s="292">
        <v>0</v>
      </c>
      <c r="S10" s="291">
        <v>0</v>
      </c>
      <c r="T10" s="278">
        <f>_xll.qlMidEquivalent(P10,Q10)</f>
        <v>7.2</v>
      </c>
      <c r="U10" s="289">
        <v>2</v>
      </c>
      <c r="V10" s="85" t="b">
        <f t="shared" si="2"/>
        <v>1</v>
      </c>
      <c r="W10" s="278">
        <v>7.2</v>
      </c>
      <c r="X10" s="195"/>
      <c r="Y10" s="284">
        <v>8.6999999999999993</v>
      </c>
      <c r="Z10" s="195"/>
      <c r="AA10" s="278">
        <v>7.2</v>
      </c>
      <c r="AB10" s="188">
        <f>_xll.qlSimpleQuoteSetValue(F10,AA10/10000,Trigger)</f>
        <v>0</v>
      </c>
      <c r="AC10" s="77"/>
    </row>
    <row r="11" spans="1:30" ht="11.25" customHeight="1" x14ac:dyDescent="0.2">
      <c r="A11" s="76"/>
      <c r="B11" s="183" t="str">
        <f t="shared" si="3"/>
        <v>3Y</v>
      </c>
      <c r="C11" s="228" t="str">
        <f t="shared" si="4"/>
        <v>6L</v>
      </c>
      <c r="D11" s="229" t="str">
        <f t="shared" si="5"/>
        <v>3L</v>
      </c>
      <c r="E11" s="230" t="str">
        <f t="shared" si="0"/>
        <v>USD6L3L3Y_Quote</v>
      </c>
      <c r="F11" s="230" t="str">
        <f>_xll.qlSimpleQuote(E11,,RateTickValue,Permanent,Trigger,ObjectOverwrite)</f>
        <v>USD6L3L3Y_Quote#0000</v>
      </c>
      <c r="G11" s="280" t="str">
        <f>_xll.ohRangeRetrieveError(F11)</f>
        <v/>
      </c>
      <c r="H11" s="171"/>
      <c r="J11" s="287"/>
      <c r="K11" s="183" t="s">
        <v>83</v>
      </c>
      <c r="L11" s="183" t="s">
        <v>94</v>
      </c>
      <c r="M11" s="183" t="s">
        <v>93</v>
      </c>
      <c r="N11" s="184" t="str">
        <f t="shared" si="1"/>
        <v>USD6L3L3Y</v>
      </c>
      <c r="O11" s="82" t="str">
        <v>USD6L3L3Y=ICAP</v>
      </c>
      <c r="P11" s="278">
        <v>7.3</v>
      </c>
      <c r="Q11" s="278">
        <v>0</v>
      </c>
      <c r="R11" s="292">
        <v>0</v>
      </c>
      <c r="S11" s="291">
        <v>0</v>
      </c>
      <c r="T11" s="278">
        <f>_xll.qlMidEquivalent(P11,Q11)</f>
        <v>7.3</v>
      </c>
      <c r="U11" s="289">
        <v>3</v>
      </c>
      <c r="V11" s="85" t="b">
        <f t="shared" si="2"/>
        <v>1</v>
      </c>
      <c r="W11" s="278">
        <v>7.3</v>
      </c>
      <c r="X11" s="195"/>
      <c r="Y11" s="284">
        <v>8.6999999999999993</v>
      </c>
      <c r="Z11" s="195"/>
      <c r="AA11" s="278">
        <v>7.3</v>
      </c>
      <c r="AB11" s="188">
        <f>_xll.qlSimpleQuoteSetValue(F11,AA11/10000,Trigger)</f>
        <v>0</v>
      </c>
      <c r="AC11" s="77"/>
    </row>
    <row r="12" spans="1:30" ht="11.25" customHeight="1" x14ac:dyDescent="0.2">
      <c r="A12" s="76"/>
      <c r="B12" s="183" t="str">
        <f t="shared" si="3"/>
        <v>4Y</v>
      </c>
      <c r="C12" s="228" t="str">
        <f t="shared" si="4"/>
        <v>6L</v>
      </c>
      <c r="D12" s="229" t="str">
        <f t="shared" si="5"/>
        <v>3L</v>
      </c>
      <c r="E12" s="230" t="str">
        <f t="shared" si="0"/>
        <v>USD6L3L4Y_Quote</v>
      </c>
      <c r="F12" s="230" t="str">
        <f>_xll.qlSimpleQuote(E12,,RateTickValue,Permanent,Trigger,ObjectOverwrite)</f>
        <v>USD6L3L4Y_Quote#0000</v>
      </c>
      <c r="G12" s="280" t="str">
        <f>_xll.ohRangeRetrieveError(F12)</f>
        <v/>
      </c>
      <c r="H12" s="171"/>
      <c r="J12" s="287"/>
      <c r="K12" s="183" t="s">
        <v>82</v>
      </c>
      <c r="L12" s="183" t="s">
        <v>94</v>
      </c>
      <c r="M12" s="183" t="s">
        <v>93</v>
      </c>
      <c r="N12" s="184" t="str">
        <f t="shared" si="1"/>
        <v>USD6L3L4Y</v>
      </c>
      <c r="O12" s="82" t="str">
        <v>USD6L3L4Y=ICAP</v>
      </c>
      <c r="P12" s="278">
        <v>7.4</v>
      </c>
      <c r="Q12" s="278">
        <v>0</v>
      </c>
      <c r="R12" s="292">
        <v>0</v>
      </c>
      <c r="S12" s="291">
        <v>0</v>
      </c>
      <c r="T12" s="278">
        <f>_xll.qlMidEquivalent(P12,Q12)</f>
        <v>7.4</v>
      </c>
      <c r="U12" s="289">
        <v>4</v>
      </c>
      <c r="V12" s="85" t="b">
        <f t="shared" si="2"/>
        <v>1</v>
      </c>
      <c r="W12" s="278">
        <v>7.4</v>
      </c>
      <c r="X12" s="195"/>
      <c r="Y12" s="284">
        <v>8.8000000000000007</v>
      </c>
      <c r="Z12" s="195"/>
      <c r="AA12" s="278">
        <v>7.4</v>
      </c>
      <c r="AB12" s="188">
        <f>_xll.qlSimpleQuoteSetValue(F12,AA12/10000,Trigger)</f>
        <v>0</v>
      </c>
      <c r="AC12" s="77"/>
    </row>
    <row r="13" spans="1:30" ht="11.25" customHeight="1" x14ac:dyDescent="0.2">
      <c r="A13" s="76"/>
      <c r="B13" s="183" t="str">
        <f t="shared" si="3"/>
        <v>5Y</v>
      </c>
      <c r="C13" s="228" t="str">
        <f t="shared" si="4"/>
        <v>6L</v>
      </c>
      <c r="D13" s="229" t="str">
        <f t="shared" si="5"/>
        <v>3L</v>
      </c>
      <c r="E13" s="230" t="str">
        <f t="shared" si="0"/>
        <v>USD6L3L5Y_Quote</v>
      </c>
      <c r="F13" s="230" t="str">
        <f>_xll.qlSimpleQuote(E13,,RateTickValue,Permanent,Trigger,ObjectOverwrite)</f>
        <v>USD6L3L5Y_Quote#0000</v>
      </c>
      <c r="G13" s="280" t="str">
        <f>_xll.ohRangeRetrieveError(F13)</f>
        <v/>
      </c>
      <c r="H13" s="171"/>
      <c r="J13" s="287"/>
      <c r="K13" s="183" t="s">
        <v>81</v>
      </c>
      <c r="L13" s="183" t="s">
        <v>94</v>
      </c>
      <c r="M13" s="183" t="s">
        <v>93</v>
      </c>
      <c r="N13" s="184" t="str">
        <f t="shared" si="1"/>
        <v>USD6L3L5Y</v>
      </c>
      <c r="O13" s="82" t="str">
        <v>USD6L3L5Y=ICAP</v>
      </c>
      <c r="P13" s="278">
        <v>7.6</v>
      </c>
      <c r="Q13" s="278">
        <v>0</v>
      </c>
      <c r="R13" s="292">
        <v>0</v>
      </c>
      <c r="S13" s="291">
        <v>0</v>
      </c>
      <c r="T13" s="278">
        <f>_xll.qlMidEquivalent(P13,Q13)</f>
        <v>7.6</v>
      </c>
      <c r="U13" s="289">
        <v>5</v>
      </c>
      <c r="V13" s="85" t="b">
        <f t="shared" si="2"/>
        <v>1</v>
      </c>
      <c r="W13" s="278">
        <v>7.6</v>
      </c>
      <c r="X13" s="195"/>
      <c r="Y13" s="284">
        <v>8.9</v>
      </c>
      <c r="Z13" s="195"/>
      <c r="AA13" s="278">
        <v>7.6</v>
      </c>
      <c r="AB13" s="188">
        <f>_xll.qlSimpleQuoteSetValue(F13,AA13/10000,Trigger)</f>
        <v>0</v>
      </c>
      <c r="AC13" s="77"/>
    </row>
    <row r="14" spans="1:30" ht="11.25" customHeight="1" x14ac:dyDescent="0.2">
      <c r="A14" s="76"/>
      <c r="B14" s="183" t="str">
        <f t="shared" si="3"/>
        <v>6Y</v>
      </c>
      <c r="C14" s="228" t="str">
        <f t="shared" si="4"/>
        <v>6L</v>
      </c>
      <c r="D14" s="229" t="str">
        <f t="shared" si="5"/>
        <v>3L</v>
      </c>
      <c r="E14" s="230" t="str">
        <f t="shared" si="0"/>
        <v>USD6L3L6Y_Quote</v>
      </c>
      <c r="F14" s="230" t="str">
        <f>_xll.qlSimpleQuote(E14,,RateTickValue,Permanent,Trigger,ObjectOverwrite)</f>
        <v>USD6L3L6Y_Quote#0000</v>
      </c>
      <c r="G14" s="280" t="str">
        <f>_xll.ohRangeRetrieveError(F14)</f>
        <v/>
      </c>
      <c r="H14" s="171"/>
      <c r="J14" s="287"/>
      <c r="K14" s="183" t="s">
        <v>80</v>
      </c>
      <c r="L14" s="183" t="s">
        <v>94</v>
      </c>
      <c r="M14" s="183" t="s">
        <v>93</v>
      </c>
      <c r="N14" s="184" t="str">
        <f t="shared" si="1"/>
        <v>USD6L3L6Y</v>
      </c>
      <c r="O14" s="82" t="str">
        <v>USD6L3L6Y=ICAP</v>
      </c>
      <c r="P14" s="278">
        <v>7.9</v>
      </c>
      <c r="Q14" s="278">
        <v>0</v>
      </c>
      <c r="R14" s="292">
        <v>0</v>
      </c>
      <c r="S14" s="291">
        <v>0</v>
      </c>
      <c r="T14" s="278">
        <f>_xll.qlMidEquivalent(P14,Q14)</f>
        <v>7.9</v>
      </c>
      <c r="U14" s="289">
        <v>6</v>
      </c>
      <c r="V14" s="85" t="b">
        <f t="shared" si="2"/>
        <v>1</v>
      </c>
      <c r="W14" s="278">
        <v>7.9</v>
      </c>
      <c r="X14" s="195"/>
      <c r="Y14" s="284">
        <v>9</v>
      </c>
      <c r="Z14" s="195"/>
      <c r="AA14" s="278">
        <v>7.9</v>
      </c>
      <c r="AB14" s="188">
        <f>_xll.qlSimpleQuoteSetValue(F14,AA14/10000,Trigger)</f>
        <v>0</v>
      </c>
      <c r="AC14" s="77"/>
    </row>
    <row r="15" spans="1:30" ht="11.25" customHeight="1" x14ac:dyDescent="0.2">
      <c r="A15" s="76"/>
      <c r="B15" s="183" t="str">
        <f t="shared" si="3"/>
        <v>7Y</v>
      </c>
      <c r="C15" s="228" t="str">
        <f t="shared" si="4"/>
        <v>6L</v>
      </c>
      <c r="D15" s="229" t="str">
        <f t="shared" si="5"/>
        <v>3L</v>
      </c>
      <c r="E15" s="230" t="str">
        <f t="shared" si="0"/>
        <v>USD6L3L7Y_Quote</v>
      </c>
      <c r="F15" s="230" t="str">
        <f>_xll.qlSimpleQuote(E15,,RateTickValue,Permanent,Trigger,ObjectOverwrite)</f>
        <v>USD6L3L7Y_Quote#0000</v>
      </c>
      <c r="G15" s="280" t="str">
        <f>_xll.ohRangeRetrieveError(F15)</f>
        <v/>
      </c>
      <c r="H15" s="171"/>
      <c r="J15" s="287"/>
      <c r="K15" s="183" t="s">
        <v>79</v>
      </c>
      <c r="L15" s="183" t="s">
        <v>94</v>
      </c>
      <c r="M15" s="183" t="s">
        <v>93</v>
      </c>
      <c r="N15" s="184" t="str">
        <f t="shared" si="1"/>
        <v>USD6L3L7Y</v>
      </c>
      <c r="O15" s="82" t="str">
        <v>USD6L3L7Y=ICAP</v>
      </c>
      <c r="P15" s="278">
        <v>8.1</v>
      </c>
      <c r="Q15" s="278">
        <v>0</v>
      </c>
      <c r="R15" s="292">
        <v>0</v>
      </c>
      <c r="S15" s="291">
        <v>0</v>
      </c>
      <c r="T15" s="278">
        <f>_xll.qlMidEquivalent(P15,Q15)</f>
        <v>8.1</v>
      </c>
      <c r="U15" s="289">
        <v>7</v>
      </c>
      <c r="V15" s="85" t="b">
        <f t="shared" si="2"/>
        <v>1</v>
      </c>
      <c r="W15" s="278">
        <v>8.1</v>
      </c>
      <c r="X15" s="195"/>
      <c r="Y15" s="284">
        <v>9.1999999999999993</v>
      </c>
      <c r="Z15" s="195"/>
      <c r="AA15" s="278">
        <v>8.1</v>
      </c>
      <c r="AB15" s="188">
        <f>_xll.qlSimpleQuoteSetValue(F15,AA15/10000,Trigger)</f>
        <v>0</v>
      </c>
      <c r="AC15" s="77"/>
    </row>
    <row r="16" spans="1:30" ht="11.25" customHeight="1" x14ac:dyDescent="0.2">
      <c r="A16" s="76"/>
      <c r="B16" s="183" t="str">
        <f t="shared" si="3"/>
        <v>8Y</v>
      </c>
      <c r="C16" s="228" t="str">
        <f t="shared" si="4"/>
        <v>6L</v>
      </c>
      <c r="D16" s="229" t="str">
        <f t="shared" si="5"/>
        <v>3L</v>
      </c>
      <c r="E16" s="230" t="str">
        <f t="shared" si="0"/>
        <v>USD6L3L8Y_Quote</v>
      </c>
      <c r="F16" s="230" t="str">
        <f>_xll.qlSimpleQuote(E16,,RateTickValue,Permanent,Trigger,ObjectOverwrite)</f>
        <v>USD6L3L8Y_Quote#0000</v>
      </c>
      <c r="G16" s="280" t="str">
        <f>_xll.ohRangeRetrieveError(F16)</f>
        <v/>
      </c>
      <c r="H16" s="171"/>
      <c r="J16" s="287"/>
      <c r="K16" s="183" t="s">
        <v>78</v>
      </c>
      <c r="L16" s="183" t="s">
        <v>94</v>
      </c>
      <c r="M16" s="183" t="s">
        <v>93</v>
      </c>
      <c r="N16" s="184" t="str">
        <f t="shared" si="1"/>
        <v>USD6L3L8Y</v>
      </c>
      <c r="O16" s="82" t="str">
        <v>USD6L3L8Y=ICAP</v>
      </c>
      <c r="P16" s="278">
        <v>8.4</v>
      </c>
      <c r="Q16" s="278">
        <v>0</v>
      </c>
      <c r="R16" s="292">
        <v>0</v>
      </c>
      <c r="S16" s="291">
        <v>0</v>
      </c>
      <c r="T16" s="278">
        <f>_xll.qlMidEquivalent(P16,Q16)</f>
        <v>8.4</v>
      </c>
      <c r="U16" s="289">
        <v>8</v>
      </c>
      <c r="V16" s="85" t="b">
        <f t="shared" si="2"/>
        <v>1</v>
      </c>
      <c r="W16" s="278">
        <v>8.4</v>
      </c>
      <c r="X16" s="195"/>
      <c r="Y16" s="284">
        <v>9.3000000000000007</v>
      </c>
      <c r="Z16" s="195"/>
      <c r="AA16" s="278">
        <v>8.4</v>
      </c>
      <c r="AB16" s="188">
        <f>_xll.qlSimpleQuoteSetValue(F16,AA16/10000,Trigger)</f>
        <v>0</v>
      </c>
      <c r="AC16" s="77"/>
    </row>
    <row r="17" spans="1:29" ht="11.25" customHeight="1" x14ac:dyDescent="0.2">
      <c r="A17" s="76"/>
      <c r="B17" s="183" t="str">
        <f t="shared" si="3"/>
        <v>9Y</v>
      </c>
      <c r="C17" s="228" t="str">
        <f t="shared" si="4"/>
        <v>6L</v>
      </c>
      <c r="D17" s="229" t="str">
        <f t="shared" si="5"/>
        <v>3L</v>
      </c>
      <c r="E17" s="230" t="str">
        <f t="shared" si="0"/>
        <v>USD6L3L9Y_Quote</v>
      </c>
      <c r="F17" s="230" t="str">
        <f>_xll.qlSimpleQuote(E17,,RateTickValue,Permanent,Trigger,ObjectOverwrite)</f>
        <v>USD6L3L9Y_Quote#0000</v>
      </c>
      <c r="G17" s="280" t="str">
        <f>_xll.ohRangeRetrieveError(F17)</f>
        <v/>
      </c>
      <c r="H17" s="171"/>
      <c r="J17" s="287"/>
      <c r="K17" s="183" t="s">
        <v>77</v>
      </c>
      <c r="L17" s="183" t="s">
        <v>94</v>
      </c>
      <c r="M17" s="183" t="s">
        <v>93</v>
      </c>
      <c r="N17" s="184" t="str">
        <f t="shared" si="1"/>
        <v>USD6L3L9Y</v>
      </c>
      <c r="O17" s="82" t="str">
        <v>USD6L3L9Y=ICAP</v>
      </c>
      <c r="P17" s="278">
        <v>8.6999999999999993</v>
      </c>
      <c r="Q17" s="278">
        <v>0</v>
      </c>
      <c r="R17" s="292">
        <v>0</v>
      </c>
      <c r="S17" s="291">
        <v>0</v>
      </c>
      <c r="T17" s="278">
        <f>_xll.qlMidEquivalent(P17,Q17)</f>
        <v>8.6999999999999993</v>
      </c>
      <c r="U17" s="289">
        <v>9</v>
      </c>
      <c r="V17" s="85" t="b">
        <f t="shared" si="2"/>
        <v>1</v>
      </c>
      <c r="W17" s="278">
        <v>8.6999999999999993</v>
      </c>
      <c r="X17" s="195"/>
      <c r="Y17" s="284">
        <v>9.5</v>
      </c>
      <c r="Z17" s="195"/>
      <c r="AA17" s="278">
        <v>8.6999999999999993</v>
      </c>
      <c r="AB17" s="188">
        <f>_xll.qlSimpleQuoteSetValue(F17,AA17/10000,Trigger)</f>
        <v>0</v>
      </c>
      <c r="AC17" s="77"/>
    </row>
    <row r="18" spans="1:29" ht="11.25" customHeight="1" x14ac:dyDescent="0.2">
      <c r="A18" s="76"/>
      <c r="B18" s="183" t="str">
        <f t="shared" si="3"/>
        <v>10Y</v>
      </c>
      <c r="C18" s="228" t="str">
        <f t="shared" si="4"/>
        <v>6L</v>
      </c>
      <c r="D18" s="229" t="str">
        <f t="shared" si="5"/>
        <v>3L</v>
      </c>
      <c r="E18" s="230" t="str">
        <f t="shared" si="0"/>
        <v>USD6L3L10Y_Quote</v>
      </c>
      <c r="F18" s="230" t="str">
        <f>_xll.qlSimpleQuote(E18,,RateTickValue,Permanent,Trigger,ObjectOverwrite)</f>
        <v>USD6L3L10Y_Quote#0000</v>
      </c>
      <c r="G18" s="280" t="str">
        <f>_xll.ohRangeRetrieveError(F18)</f>
        <v/>
      </c>
      <c r="H18" s="171"/>
      <c r="J18" s="287"/>
      <c r="K18" s="183" t="s">
        <v>76</v>
      </c>
      <c r="L18" s="183" t="s">
        <v>94</v>
      </c>
      <c r="M18" s="183" t="s">
        <v>93</v>
      </c>
      <c r="N18" s="184" t="str">
        <f t="shared" si="1"/>
        <v>USD6L3L10Y</v>
      </c>
      <c r="O18" s="82" t="str">
        <v>USD6L3L10Y=ICAP</v>
      </c>
      <c r="P18" s="278">
        <v>9</v>
      </c>
      <c r="Q18" s="278">
        <v>0</v>
      </c>
      <c r="R18" s="292">
        <v>0</v>
      </c>
      <c r="S18" s="291">
        <v>0</v>
      </c>
      <c r="T18" s="278">
        <f>_xll.qlMidEquivalent(P18,Q18)</f>
        <v>9</v>
      </c>
      <c r="U18" s="289">
        <v>10</v>
      </c>
      <c r="V18" s="85" t="b">
        <f t="shared" si="2"/>
        <v>1</v>
      </c>
      <c r="W18" s="278">
        <v>9</v>
      </c>
      <c r="X18" s="195"/>
      <c r="Y18" s="284">
        <v>9.5</v>
      </c>
      <c r="Z18" s="195"/>
      <c r="AA18" s="278">
        <v>9</v>
      </c>
      <c r="AB18" s="188">
        <f>_xll.qlSimpleQuoteSetValue(F18,AA18/10000,Trigger)</f>
        <v>0</v>
      </c>
      <c r="AC18" s="77"/>
    </row>
    <row r="19" spans="1:29" ht="11.25" customHeight="1" x14ac:dyDescent="0.2">
      <c r="A19" s="76"/>
      <c r="B19" s="183" t="str">
        <f t="shared" si="3"/>
        <v>11Y</v>
      </c>
      <c r="C19" s="228" t="str">
        <f t="shared" si="4"/>
        <v>6L</v>
      </c>
      <c r="D19" s="229" t="str">
        <f t="shared" si="5"/>
        <v>3L</v>
      </c>
      <c r="E19" s="230" t="str">
        <f t="shared" si="0"/>
        <v>USD6L3L11Y_Quote</v>
      </c>
      <c r="F19" s="230" t="str">
        <f>_xll.qlSimpleQuote(E19,,RateTickValue,Permanent,Trigger,ObjectOverwrite)</f>
        <v>USD6L3L11Y_Quote#0000</v>
      </c>
      <c r="G19" s="280" t="str">
        <f>_xll.ohRangeRetrieveError(F19)</f>
        <v/>
      </c>
      <c r="H19" s="171"/>
      <c r="J19" s="287"/>
      <c r="K19" s="183" t="s">
        <v>75</v>
      </c>
      <c r="L19" s="183" t="s">
        <v>94</v>
      </c>
      <c r="M19" s="183" t="s">
        <v>93</v>
      </c>
      <c r="N19" s="184" t="str">
        <f t="shared" si="1"/>
        <v>USD6L3L11Y</v>
      </c>
      <c r="O19" s="82" t="str">
        <v>USD6L3L11Y=ICAP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9.2328859348353127</v>
      </c>
      <c r="X19" s="195"/>
      <c r="Y19" s="284">
        <v>9.5319516615897015</v>
      </c>
      <c r="Z19" s="195"/>
      <c r="AA19" s="278">
        <v>9.2328859348353127</v>
      </c>
      <c r="AB19" s="188">
        <f>_xll.qlSimpleQuoteSetValue(F19,AA19/10000,Trigger)</f>
        <v>-1.2050099297295641E-10</v>
      </c>
      <c r="AC19" s="77"/>
    </row>
    <row r="20" spans="1:29" ht="11.25" customHeight="1" x14ac:dyDescent="0.2">
      <c r="A20" s="76"/>
      <c r="B20" s="183" t="str">
        <f t="shared" si="3"/>
        <v>12Y</v>
      </c>
      <c r="C20" s="228" t="str">
        <f t="shared" si="4"/>
        <v>6L</v>
      </c>
      <c r="D20" s="229" t="str">
        <f t="shared" si="5"/>
        <v>3L</v>
      </c>
      <c r="E20" s="230" t="str">
        <f t="shared" si="0"/>
        <v>USD6L3L12Y_Quote</v>
      </c>
      <c r="F20" s="230" t="str">
        <f>_xll.qlSimpleQuote(E20,,RateTickValue,Permanent,Trigger,ObjectOverwrite)</f>
        <v>USD6L3L12Y_Quote#0000</v>
      </c>
      <c r="G20" s="280" t="str">
        <f>_xll.ohRangeRetrieveError(F20)</f>
        <v/>
      </c>
      <c r="H20" s="171"/>
      <c r="J20" s="287"/>
      <c r="K20" s="183" t="s">
        <v>74</v>
      </c>
      <c r="L20" s="183" t="s">
        <v>94</v>
      </c>
      <c r="M20" s="183" t="s">
        <v>93</v>
      </c>
      <c r="N20" s="184" t="str">
        <f t="shared" si="1"/>
        <v>USD6L3L12Y</v>
      </c>
      <c r="O20" s="82" t="str">
        <v>USD6L3L12Y=ICAP</v>
      </c>
      <c r="P20" s="278">
        <v>9.4</v>
      </c>
      <c r="Q20" s="278">
        <v>0</v>
      </c>
      <c r="R20" s="292">
        <v>0</v>
      </c>
      <c r="S20" s="291">
        <v>0</v>
      </c>
      <c r="T20" s="278">
        <f>_xll.qlMidEquivalent(P20,Q20)</f>
        <v>9.4</v>
      </c>
      <c r="U20" s="289">
        <v>12</v>
      </c>
      <c r="V20" s="85" t="b">
        <f t="shared" si="2"/>
        <v>1</v>
      </c>
      <c r="W20" s="278">
        <v>9.4</v>
      </c>
      <c r="X20" s="195"/>
      <c r="Y20" s="284">
        <v>9.6</v>
      </c>
      <c r="Z20" s="195"/>
      <c r="AA20" s="278">
        <v>9.4</v>
      </c>
      <c r="AB20" s="188">
        <f>_xll.qlSimpleQuoteSetValue(F20,AA20/10000,Trigger)</f>
        <v>0</v>
      </c>
      <c r="AC20" s="77"/>
    </row>
    <row r="21" spans="1:29" ht="11.25" customHeight="1" x14ac:dyDescent="0.2">
      <c r="A21" s="76"/>
      <c r="B21" s="183" t="str">
        <f t="shared" si="3"/>
        <v>13Y</v>
      </c>
      <c r="C21" s="228" t="str">
        <f t="shared" si="4"/>
        <v>6L</v>
      </c>
      <c r="D21" s="229" t="str">
        <f t="shared" si="5"/>
        <v>3L</v>
      </c>
      <c r="E21" s="230" t="str">
        <f t="shared" si="0"/>
        <v>USD6L3L13Y_Quote</v>
      </c>
      <c r="F21" s="230" t="str">
        <f>_xll.qlSimpleQuote(E21,,RateTickValue,Permanent,Trigger,ObjectOverwrite)</f>
        <v>USD6L3L13Y_Quote#0000</v>
      </c>
      <c r="G21" s="280" t="str">
        <f>_xll.ohRangeRetrieveError(F21)</f>
        <v/>
      </c>
      <c r="H21" s="171"/>
      <c r="J21" s="287"/>
      <c r="K21" s="183" t="s">
        <v>73</v>
      </c>
      <c r="L21" s="183" t="s">
        <v>94</v>
      </c>
      <c r="M21" s="183" t="s">
        <v>93</v>
      </c>
      <c r="N21" s="184" t="str">
        <f t="shared" si="1"/>
        <v>USD6L3L13Y</v>
      </c>
      <c r="O21" s="82" t="str">
        <v>USD6L3L13Y=ICAP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9.5264943261273238</v>
      </c>
      <c r="X21" s="195"/>
      <c r="Y21" s="284">
        <v>9.6573959036192569</v>
      </c>
      <c r="Z21" s="195"/>
      <c r="AA21" s="278">
        <v>9.5264943261273238</v>
      </c>
      <c r="AB21" s="188">
        <f>_xll.qlSimpleQuoteSetValue(F21,AA21/10000,Trigger)</f>
        <v>6.0641867395683224E-11</v>
      </c>
      <c r="AC21" s="77"/>
    </row>
    <row r="22" spans="1:29" ht="11.25" customHeight="1" x14ac:dyDescent="0.2">
      <c r="A22" s="76"/>
      <c r="B22" s="183" t="str">
        <f t="shared" si="3"/>
        <v>14Y</v>
      </c>
      <c r="C22" s="228" t="str">
        <f t="shared" si="4"/>
        <v>6L</v>
      </c>
      <c r="D22" s="229" t="str">
        <f t="shared" si="5"/>
        <v>3L</v>
      </c>
      <c r="E22" s="230" t="str">
        <f t="shared" si="0"/>
        <v>USD6L3L14Y_Quote</v>
      </c>
      <c r="F22" s="230" t="str">
        <f>_xll.qlSimpleQuote(E22,,RateTickValue,Permanent,Trigger,ObjectOverwrite)</f>
        <v>USD6L3L14Y_Quote#0000</v>
      </c>
      <c r="G22" s="280" t="str">
        <f>_xll.ohRangeRetrieveError(F22)</f>
        <v/>
      </c>
      <c r="H22" s="171"/>
      <c r="J22" s="287"/>
      <c r="K22" s="183" t="s">
        <v>72</v>
      </c>
      <c r="L22" s="183" t="s">
        <v>94</v>
      </c>
      <c r="M22" s="183" t="s">
        <v>93</v>
      </c>
      <c r="N22" s="184" t="str">
        <f t="shared" si="1"/>
        <v>USD6L3L14Y</v>
      </c>
      <c r="O22" s="82" t="str">
        <v>USD6L3L14Y=ICAP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9.6238193300145607</v>
      </c>
      <c r="X22" s="195"/>
      <c r="Y22" s="284">
        <v>9.6888851270332736</v>
      </c>
      <c r="Z22" s="195"/>
      <c r="AA22" s="278">
        <v>9.6238193300145607</v>
      </c>
      <c r="AB22" s="188">
        <f>_xll.qlSimpleQuoteSetValue(F22,AA22/10000,Trigger)</f>
        <v>4.3174372822522844E-11</v>
      </c>
      <c r="AC22" s="77"/>
    </row>
    <row r="23" spans="1:29" ht="11.25" customHeight="1" x14ac:dyDescent="0.2">
      <c r="A23" s="76"/>
      <c r="B23" s="183" t="str">
        <f t="shared" si="3"/>
        <v>15Y</v>
      </c>
      <c r="C23" s="228" t="str">
        <f t="shared" si="4"/>
        <v>6L</v>
      </c>
      <c r="D23" s="229" t="str">
        <f t="shared" si="5"/>
        <v>3L</v>
      </c>
      <c r="E23" s="230" t="str">
        <f t="shared" si="0"/>
        <v>USD6L3L15Y_Quote</v>
      </c>
      <c r="F23" s="230" t="str">
        <f>_xll.qlSimpleQuote(E23,,RateTickValue,Permanent,Trigger,ObjectOverwrite)</f>
        <v>USD6L3L15Y_Quote#0000</v>
      </c>
      <c r="G23" s="280" t="str">
        <f>_xll.ohRangeRetrieveError(F23)</f>
        <v/>
      </c>
      <c r="H23" s="171"/>
      <c r="J23" s="287"/>
      <c r="K23" s="183" t="s">
        <v>71</v>
      </c>
      <c r="L23" s="183" t="s">
        <v>94</v>
      </c>
      <c r="M23" s="183" t="s">
        <v>93</v>
      </c>
      <c r="N23" s="184" t="str">
        <f t="shared" si="1"/>
        <v>USD6L3L15Y</v>
      </c>
      <c r="O23" s="82" t="str">
        <v>USD6L3L15Y=ICAP</v>
      </c>
      <c r="P23" s="278">
        <v>9.6999999999999993</v>
      </c>
      <c r="Q23" s="278">
        <v>0</v>
      </c>
      <c r="R23" s="292">
        <v>0</v>
      </c>
      <c r="S23" s="291">
        <v>0</v>
      </c>
      <c r="T23" s="278">
        <f>_xll.qlMidEquivalent(P23,Q23)</f>
        <v>9.6999999999999993</v>
      </c>
      <c r="U23" s="289">
        <v>15</v>
      </c>
      <c r="V23" s="85" t="b">
        <f t="shared" si="2"/>
        <v>1</v>
      </c>
      <c r="W23" s="278">
        <v>9.6999999999999993</v>
      </c>
      <c r="X23" s="195"/>
      <c r="Y23" s="284">
        <v>9.6999999999999993</v>
      </c>
      <c r="Z23" s="195"/>
      <c r="AA23" s="278">
        <v>9.6999999999999993</v>
      </c>
      <c r="AB23" s="188">
        <f>_xll.qlSimpleQuoteSetValue(F23,AA23/10000,Trigger)</f>
        <v>0</v>
      </c>
      <c r="AC23" s="77"/>
    </row>
    <row r="24" spans="1:29" ht="11.25" customHeight="1" x14ac:dyDescent="0.2">
      <c r="A24" s="76"/>
      <c r="B24" s="183" t="str">
        <f t="shared" si="3"/>
        <v>16Y</v>
      </c>
      <c r="C24" s="228" t="str">
        <f t="shared" si="4"/>
        <v>6L</v>
      </c>
      <c r="D24" s="229" t="str">
        <f t="shared" si="5"/>
        <v>3L</v>
      </c>
      <c r="E24" s="230" t="str">
        <f t="shared" si="0"/>
        <v>USD6L3L16Y_Quote</v>
      </c>
      <c r="F24" s="230" t="str">
        <f>_xll.qlSimpleQuote(E24,,RateTickValue,Permanent,Trigger,ObjectOverwrite)</f>
        <v>USD6L3L16Y_Quote#0000</v>
      </c>
      <c r="G24" s="280" t="str">
        <f>_xll.ohRangeRetrieveError(F24)</f>
        <v/>
      </c>
      <c r="H24" s="171"/>
      <c r="J24" s="287"/>
      <c r="K24" s="183" t="s">
        <v>70</v>
      </c>
      <c r="L24" s="183" t="s">
        <v>94</v>
      </c>
      <c r="M24" s="183" t="s">
        <v>93</v>
      </c>
      <c r="N24" s="184" t="str">
        <f t="shared" si="1"/>
        <v>USD6L3L16Y</v>
      </c>
      <c r="O24" s="82" t="str">
        <v>USD6L3L16Y=ICAP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9.7621014394542716</v>
      </c>
      <c r="X24" s="195"/>
      <c r="Y24" s="284">
        <v>9.6959241270801577</v>
      </c>
      <c r="Z24" s="195"/>
      <c r="AA24" s="278">
        <v>9.7621014394542716</v>
      </c>
      <c r="AB24" s="188">
        <f>_xll.qlSimpleQuoteSetValue(F24,AA24/10000,Trigger)</f>
        <v>-2.4678603344902017E-11</v>
      </c>
      <c r="AC24" s="77"/>
    </row>
    <row r="25" spans="1:29" ht="11.25" customHeight="1" x14ac:dyDescent="0.2">
      <c r="A25" s="76"/>
      <c r="B25" s="183" t="str">
        <f t="shared" si="3"/>
        <v>17Y</v>
      </c>
      <c r="C25" s="228" t="str">
        <f t="shared" si="4"/>
        <v>6L</v>
      </c>
      <c r="D25" s="229" t="str">
        <f t="shared" si="5"/>
        <v>3L</v>
      </c>
      <c r="E25" s="230" t="str">
        <f t="shared" si="0"/>
        <v>USD6L3L17Y_Quote</v>
      </c>
      <c r="F25" s="230" t="str">
        <f>_xll.qlSimpleQuote(E25,,RateTickValue,Permanent,Trigger,ObjectOverwrite)</f>
        <v>USD6L3L17Y_Quote#0000</v>
      </c>
      <c r="G25" s="280" t="str">
        <f>_xll.ohRangeRetrieveError(F25)</f>
        <v/>
      </c>
      <c r="H25" s="171"/>
      <c r="J25" s="287"/>
      <c r="K25" s="183" t="s">
        <v>69</v>
      </c>
      <c r="L25" s="183" t="s">
        <v>94</v>
      </c>
      <c r="M25" s="183" t="s">
        <v>93</v>
      </c>
      <c r="N25" s="184" t="str">
        <f t="shared" si="1"/>
        <v>USD6L3L17Y</v>
      </c>
      <c r="O25" s="82" t="str">
        <v>USD6L3L17Y=ICAP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9.8123641193860553</v>
      </c>
      <c r="X25" s="195"/>
      <c r="Y25" s="284">
        <v>9.6804462120456005</v>
      </c>
      <c r="Z25" s="195"/>
      <c r="AA25" s="278">
        <v>9.8123641193860553</v>
      </c>
      <c r="AB25" s="188">
        <f>_xll.qlSimpleQuoteSetValue(F25,AA25/10000,Trigger)</f>
        <v>-2.7763428708804661E-11</v>
      </c>
      <c r="AC25" s="77"/>
    </row>
    <row r="26" spans="1:29" ht="11.25" customHeight="1" x14ac:dyDescent="0.2">
      <c r="A26" s="76"/>
      <c r="B26" s="183" t="str">
        <f t="shared" si="3"/>
        <v>18Y</v>
      </c>
      <c r="C26" s="228" t="str">
        <f t="shared" si="4"/>
        <v>6L</v>
      </c>
      <c r="D26" s="229" t="str">
        <f t="shared" si="5"/>
        <v>3L</v>
      </c>
      <c r="E26" s="230" t="str">
        <f t="shared" si="0"/>
        <v>USD6L3L18Y_Quote</v>
      </c>
      <c r="F26" s="230" t="str">
        <f>_xll.qlSimpleQuote(E26,,RateTickValue,Permanent,Trigger,ObjectOverwrite)</f>
        <v>USD6L3L18Y_Quote#0000</v>
      </c>
      <c r="G26" s="280" t="str">
        <f>_xll.ohRangeRetrieveError(F26)</f>
        <v/>
      </c>
      <c r="H26" s="171"/>
      <c r="J26" s="287"/>
      <c r="K26" s="183" t="s">
        <v>68</v>
      </c>
      <c r="L26" s="183" t="s">
        <v>94</v>
      </c>
      <c r="M26" s="183" t="s">
        <v>93</v>
      </c>
      <c r="N26" s="184" t="str">
        <f t="shared" si="1"/>
        <v>USD6L3L18Y</v>
      </c>
      <c r="O26" s="82" t="str">
        <v>USD6L3L18Y=ICAP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9.8515760795907035</v>
      </c>
      <c r="X26" s="195"/>
      <c r="Y26" s="284">
        <v>9.6570062334709661</v>
      </c>
      <c r="Z26" s="195"/>
      <c r="AA26" s="278">
        <v>9.8515760795907035</v>
      </c>
      <c r="AB26" s="188">
        <f>_xll.qlSimpleQuoteSetValue(F26,AA26/10000,Trigger)</f>
        <v>-1.850895261709673E-11</v>
      </c>
      <c r="AC26" s="77"/>
    </row>
    <row r="27" spans="1:29" ht="11.25" customHeight="1" x14ac:dyDescent="0.2">
      <c r="A27" s="76"/>
      <c r="B27" s="183" t="str">
        <f t="shared" si="3"/>
        <v>19Y</v>
      </c>
      <c r="C27" s="228" t="str">
        <f t="shared" si="4"/>
        <v>6L</v>
      </c>
      <c r="D27" s="229" t="str">
        <f t="shared" si="5"/>
        <v>3L</v>
      </c>
      <c r="E27" s="230" t="str">
        <f t="shared" si="0"/>
        <v>USD6L3L19Y_Quote</v>
      </c>
      <c r="F27" s="230" t="str">
        <f>_xll.qlSimpleQuote(E27,,RateTickValue,Permanent,Trigger,ObjectOverwrite)</f>
        <v>USD6L3L19Y_Quote#0000</v>
      </c>
      <c r="G27" s="280" t="str">
        <f>_xll.ohRangeRetrieveError(F27)</f>
        <v/>
      </c>
      <c r="H27" s="171"/>
      <c r="J27" s="287"/>
      <c r="K27" s="183" t="s">
        <v>67</v>
      </c>
      <c r="L27" s="183" t="s">
        <v>94</v>
      </c>
      <c r="M27" s="183" t="s">
        <v>93</v>
      </c>
      <c r="N27" s="184" t="str">
        <f t="shared" si="1"/>
        <v>USD6L3L19Y</v>
      </c>
      <c r="O27" s="82" t="str">
        <v>USD6L3L19Y=ICAP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9.8805253598635687</v>
      </c>
      <c r="X27" s="195"/>
      <c r="Y27" s="284">
        <v>9.6290441699308875</v>
      </c>
      <c r="Z27" s="195"/>
      <c r="AA27" s="278">
        <v>9.8805253598635687</v>
      </c>
      <c r="AB27" s="188">
        <f>_xll.qlSimpleQuoteSetValue(F27,AA27/10000,Trigger)</f>
        <v>-6.169650727805287E-12</v>
      </c>
      <c r="AC27" s="77"/>
    </row>
    <row r="28" spans="1:29" ht="11.25" customHeight="1" x14ac:dyDescent="0.2">
      <c r="A28" s="76"/>
      <c r="B28" s="183" t="str">
        <f t="shared" si="3"/>
        <v>20Y</v>
      </c>
      <c r="C28" s="228" t="str">
        <f t="shared" si="4"/>
        <v>6L</v>
      </c>
      <c r="D28" s="229" t="str">
        <f t="shared" si="5"/>
        <v>3L</v>
      </c>
      <c r="E28" s="230" t="str">
        <f t="shared" si="0"/>
        <v>USD6L3L20Y_Quote</v>
      </c>
      <c r="F28" s="230" t="str">
        <f>_xll.qlSimpleQuote(E28,,RateTickValue,Permanent,Trigger,ObjectOverwrite)</f>
        <v>USD6L3L20Y_Quote#0000</v>
      </c>
      <c r="G28" s="280" t="str">
        <f>_xll.ohRangeRetrieveError(F28)</f>
        <v/>
      </c>
      <c r="H28" s="171"/>
      <c r="J28" s="287"/>
      <c r="K28" s="183" t="s">
        <v>66</v>
      </c>
      <c r="L28" s="183" t="s">
        <v>94</v>
      </c>
      <c r="M28" s="183" t="s">
        <v>93</v>
      </c>
      <c r="N28" s="184" t="str">
        <f t="shared" si="1"/>
        <v>USD6L3L20Y</v>
      </c>
      <c r="O28" s="82" t="str">
        <v>USD6L3L20Y=ICAP</v>
      </c>
      <c r="P28" s="278">
        <v>9.9</v>
      </c>
      <c r="Q28" s="278">
        <v>0</v>
      </c>
      <c r="R28" s="292">
        <v>0</v>
      </c>
      <c r="S28" s="291">
        <v>0</v>
      </c>
      <c r="T28" s="278">
        <f>_xll.qlMidEquivalent(P28,Q28)</f>
        <v>9.9</v>
      </c>
      <c r="U28" s="289">
        <v>20</v>
      </c>
      <c r="V28" s="85" t="b">
        <f t="shared" si="2"/>
        <v>1</v>
      </c>
      <c r="W28" s="278">
        <v>9.9</v>
      </c>
      <c r="X28" s="195"/>
      <c r="Y28" s="284">
        <v>9.6</v>
      </c>
      <c r="Z28" s="195"/>
      <c r="AA28" s="278">
        <v>9.9</v>
      </c>
      <c r="AB28" s="188">
        <f>_xll.qlSimpleQuoteSetValue(F28,AA28/10000,Trigger)</f>
        <v>0</v>
      </c>
      <c r="AC28" s="77"/>
    </row>
    <row r="29" spans="1:29" ht="11.25" customHeight="1" x14ac:dyDescent="0.2">
      <c r="A29" s="76"/>
      <c r="B29" s="183" t="str">
        <f t="shared" si="3"/>
        <v>21Y</v>
      </c>
      <c r="C29" s="228" t="str">
        <f t="shared" si="4"/>
        <v>6L</v>
      </c>
      <c r="D29" s="229" t="str">
        <f t="shared" si="5"/>
        <v>3L</v>
      </c>
      <c r="E29" s="230" t="str">
        <f t="shared" si="0"/>
        <v>USD6L3L21Y_Quote</v>
      </c>
      <c r="F29" s="230" t="str">
        <f>_xll.qlSimpleQuote(E29,,RateTickValue,Permanent,Trigger,ObjectOverwrite)</f>
        <v>USD6L3L21Y_Quote#0000</v>
      </c>
      <c r="G29" s="280" t="str">
        <f>_xll.ohRangeRetrieveError(F29)</f>
        <v/>
      </c>
      <c r="H29" s="171"/>
      <c r="J29" s="287"/>
      <c r="K29" s="183" t="s">
        <v>65</v>
      </c>
      <c r="L29" s="183" t="s">
        <v>94</v>
      </c>
      <c r="M29" s="183" t="s">
        <v>93</v>
      </c>
      <c r="N29" s="184" t="str">
        <f t="shared" si="1"/>
        <v>USD6L3L21Y</v>
      </c>
      <c r="O29" s="82" t="str">
        <v>USD6L3L21Y=ICAP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9.911713433856649</v>
      </c>
      <c r="X29" s="195"/>
      <c r="Y29" s="284">
        <v>9.5713993192950948</v>
      </c>
      <c r="Z29" s="195"/>
      <c r="AA29" s="278">
        <v>9.911713433856649</v>
      </c>
      <c r="AB29" s="188">
        <f>_xll.qlSimpleQuoteSetValue(F29,AA29/10000,Trigger)</f>
        <v>4.7458846748338335E-13</v>
      </c>
      <c r="AC29" s="77"/>
    </row>
    <row r="30" spans="1:29" ht="11.25" customHeight="1" x14ac:dyDescent="0.2">
      <c r="A30" s="76"/>
      <c r="B30" s="183" t="str">
        <f t="shared" si="3"/>
        <v>22Y</v>
      </c>
      <c r="C30" s="228" t="str">
        <f t="shared" si="4"/>
        <v>6L</v>
      </c>
      <c r="D30" s="229" t="str">
        <f t="shared" si="5"/>
        <v>3L</v>
      </c>
      <c r="E30" s="230" t="str">
        <f t="shared" si="0"/>
        <v>USD6L3L22Y_Quote</v>
      </c>
      <c r="F30" s="230" t="str">
        <f>_xll.qlSimpleQuote(E30,,RateTickValue,Permanent,Trigger,ObjectOverwrite)</f>
        <v>USD6L3L22Y_Quote#0000</v>
      </c>
      <c r="G30" s="280" t="str">
        <f>_xll.ohRangeRetrieveError(F30)</f>
        <v/>
      </c>
      <c r="H30" s="171"/>
      <c r="J30" s="287"/>
      <c r="K30" s="183" t="s">
        <v>64</v>
      </c>
      <c r="L30" s="183" t="s">
        <v>94</v>
      </c>
      <c r="M30" s="183" t="s">
        <v>93</v>
      </c>
      <c r="N30" s="184" t="str">
        <f t="shared" si="1"/>
        <v>USD6L3L22Y</v>
      </c>
      <c r="O30" s="82" t="str">
        <v>USD6L3L22Y=ICAP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9.9171403015699457</v>
      </c>
      <c r="X30" s="195"/>
      <c r="Y30" s="284">
        <v>9.5443242342069823</v>
      </c>
      <c r="Z30" s="195"/>
      <c r="AA30" s="278">
        <v>9.9171403015699457</v>
      </c>
      <c r="AB30" s="188">
        <f>_xll.qlSimpleQuoteSetValue(F30,AA30/10000,Trigger)</f>
        <v>1.42376540245015E-12</v>
      </c>
      <c r="AC30" s="77"/>
    </row>
    <row r="31" spans="1:29" ht="11.25" customHeight="1" x14ac:dyDescent="0.2">
      <c r="A31" s="76"/>
      <c r="B31" s="183" t="str">
        <f t="shared" si="3"/>
        <v>23Y</v>
      </c>
      <c r="C31" s="228" t="str">
        <f t="shared" si="4"/>
        <v>6L</v>
      </c>
      <c r="D31" s="229" t="str">
        <f t="shared" si="5"/>
        <v>3L</v>
      </c>
      <c r="E31" s="230" t="str">
        <f t="shared" si="0"/>
        <v>USD6L3L23Y_Quote</v>
      </c>
      <c r="F31" s="230" t="str">
        <f>_xll.qlSimpleQuote(E31,,RateTickValue,Permanent,Trigger,ObjectOverwrite)</f>
        <v>USD6L3L23Y_Quote#0000</v>
      </c>
      <c r="G31" s="280" t="str">
        <f>_xll.ohRangeRetrieveError(F31)</f>
        <v/>
      </c>
      <c r="H31" s="171"/>
      <c r="J31" s="287"/>
      <c r="K31" s="183" t="s">
        <v>63</v>
      </c>
      <c r="L31" s="183" t="s">
        <v>94</v>
      </c>
      <c r="M31" s="183" t="s">
        <v>93</v>
      </c>
      <c r="N31" s="184" t="str">
        <f t="shared" si="1"/>
        <v>USD6L3L23Y</v>
      </c>
      <c r="O31" s="82" t="str">
        <v>USD6L3L23Y=ICAP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9.9167104523549199</v>
      </c>
      <c r="X31" s="195"/>
      <c r="Y31" s="284">
        <v>9.5215494894713206</v>
      </c>
      <c r="Z31" s="195"/>
      <c r="AA31" s="278">
        <v>9.9167104523549199</v>
      </c>
      <c r="AB31" s="188">
        <f>_xll.qlSimpleQuoteSetValue(F31,AA31/10000,Trigger)</f>
        <v>2.1356484289358768E-12</v>
      </c>
      <c r="AC31" s="77"/>
    </row>
    <row r="32" spans="1:29" ht="11.25" customHeight="1" x14ac:dyDescent="0.2">
      <c r="A32" s="76"/>
      <c r="B32" s="183" t="str">
        <f t="shared" si="3"/>
        <v>24Y</v>
      </c>
      <c r="C32" s="228" t="str">
        <f t="shared" si="4"/>
        <v>6L</v>
      </c>
      <c r="D32" s="229" t="str">
        <f t="shared" si="5"/>
        <v>3L</v>
      </c>
      <c r="E32" s="230" t="str">
        <f t="shared" si="0"/>
        <v>USD6L3L24Y_Quote</v>
      </c>
      <c r="F32" s="230" t="str">
        <f>_xll.qlSimpleQuote(E32,,RateTickValue,Permanent,Trigger,ObjectOverwrite)</f>
        <v>USD6L3L24Y_Quote#0000</v>
      </c>
      <c r="G32" s="280" t="str">
        <f>_xll.ohRangeRetrieveError(F32)</f>
        <v/>
      </c>
      <c r="H32" s="171"/>
      <c r="J32" s="287"/>
      <c r="K32" s="183" t="s">
        <v>62</v>
      </c>
      <c r="L32" s="183" t="s">
        <v>94</v>
      </c>
      <c r="M32" s="183" t="s">
        <v>93</v>
      </c>
      <c r="N32" s="184" t="str">
        <f t="shared" si="1"/>
        <v>USD6L3L24Y</v>
      </c>
      <c r="O32" s="82" t="str">
        <v>USD6L3L24Y=ICAP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9.9108537354265955</v>
      </c>
      <c r="X32" s="195"/>
      <c r="Y32" s="284">
        <v>9.5058498298237737</v>
      </c>
      <c r="Z32" s="195"/>
      <c r="AA32" s="278">
        <v>9.9108537354265955</v>
      </c>
      <c r="AB32" s="188">
        <f>_xll.qlSimpleQuoteSetValue(F32,AA32/10000,Trigger)</f>
        <v>1.8983540867739679E-12</v>
      </c>
      <c r="AC32" s="77"/>
    </row>
    <row r="33" spans="1:29" ht="11.25" customHeight="1" x14ac:dyDescent="0.2">
      <c r="A33" s="76"/>
      <c r="B33" s="183" t="str">
        <f t="shared" si="3"/>
        <v>25Y</v>
      </c>
      <c r="C33" s="228" t="str">
        <f t="shared" si="4"/>
        <v>6L</v>
      </c>
      <c r="D33" s="229" t="str">
        <f t="shared" si="5"/>
        <v>3L</v>
      </c>
      <c r="E33" s="230" t="str">
        <f t="shared" si="0"/>
        <v>USD6L3L25Y_Quote</v>
      </c>
      <c r="F33" s="230" t="str">
        <f>_xll.qlSimpleQuote(E33,,RateTickValue,Permanent,Trigger,ObjectOverwrite)</f>
        <v>USD6L3L25Y_Quote#0000</v>
      </c>
      <c r="G33" s="280" t="str">
        <f>_xll.ohRangeRetrieveError(F33)</f>
        <v/>
      </c>
      <c r="H33" s="171"/>
      <c r="J33" s="287"/>
      <c r="K33" s="183" t="s">
        <v>61</v>
      </c>
      <c r="L33" s="183" t="s">
        <v>94</v>
      </c>
      <c r="M33" s="183" t="s">
        <v>93</v>
      </c>
      <c r="N33" s="184" t="str">
        <f t="shared" si="1"/>
        <v>USD6L3L25Y</v>
      </c>
      <c r="O33" s="82" t="str">
        <v>USD6L3L25Y=ICAP</v>
      </c>
      <c r="P33" s="278">
        <v>9.9</v>
      </c>
      <c r="Q33" s="278">
        <v>0</v>
      </c>
      <c r="R33" s="292">
        <v>0</v>
      </c>
      <c r="S33" s="291">
        <v>0</v>
      </c>
      <c r="T33" s="278">
        <f>_xll.qlMidEquivalent(P33,Q33)</f>
        <v>9.9</v>
      </c>
      <c r="U33" s="289">
        <v>25</v>
      </c>
      <c r="V33" s="85" t="b">
        <f t="shared" si="2"/>
        <v>1</v>
      </c>
      <c r="W33" s="278">
        <v>9.9</v>
      </c>
      <c r="X33" s="195"/>
      <c r="Y33" s="284">
        <v>9.5</v>
      </c>
      <c r="Z33" s="195"/>
      <c r="AA33" s="278">
        <v>9.9</v>
      </c>
      <c r="AB33" s="188">
        <f>_xll.qlSimpleQuoteSetValue(F33,AA33/10000,Trigger)</f>
        <v>0</v>
      </c>
      <c r="AC33" s="77"/>
    </row>
    <row r="34" spans="1:29" ht="11.25" customHeight="1" x14ac:dyDescent="0.2">
      <c r="A34" s="76"/>
      <c r="B34" s="183" t="str">
        <f t="shared" si="3"/>
        <v>26Y</v>
      </c>
      <c r="C34" s="228" t="str">
        <f t="shared" si="4"/>
        <v>6L</v>
      </c>
      <c r="D34" s="229" t="str">
        <f t="shared" si="5"/>
        <v>3L</v>
      </c>
      <c r="E34" s="230" t="str">
        <f t="shared" si="0"/>
        <v>USD6L3L26Y_Quote</v>
      </c>
      <c r="F34" s="230" t="str">
        <f>_xll.qlSimpleQuote(E34,,RateTickValue,Permanent,Trigger,ObjectOverwrite)</f>
        <v>USD6L3L26Y_Quote#0000</v>
      </c>
      <c r="G34" s="280" t="str">
        <f>_xll.ohRangeRetrieveError(F34)</f>
        <v/>
      </c>
      <c r="H34" s="171"/>
      <c r="J34" s="287"/>
      <c r="K34" s="183" t="s">
        <v>60</v>
      </c>
      <c r="L34" s="183" t="s">
        <v>94</v>
      </c>
      <c r="M34" s="183" t="s">
        <v>93</v>
      </c>
      <c r="N34" s="184" t="str">
        <f t="shared" si="1"/>
        <v>USD6L3L26Y</v>
      </c>
      <c r="O34" s="82" t="str">
        <v>USD6L3L26Y=ICAP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9.8848895476450824</v>
      </c>
      <c r="X34" s="195"/>
      <c r="Y34" s="284">
        <v>9.5</v>
      </c>
      <c r="Z34" s="195"/>
      <c r="AA34" s="278">
        <v>9.8848895476450824</v>
      </c>
      <c r="AB34" s="188">
        <f>_xll.qlSimpleQuoteSetValue(F34,AA34/10000,Trigger)</f>
        <v>-2.1356484289358768E-12</v>
      </c>
      <c r="AC34" s="77"/>
    </row>
    <row r="35" spans="1:29" ht="11.25" customHeight="1" x14ac:dyDescent="0.2">
      <c r="A35" s="76"/>
      <c r="B35" s="183" t="str">
        <f t="shared" si="3"/>
        <v>27Y</v>
      </c>
      <c r="C35" s="228" t="str">
        <f t="shared" si="4"/>
        <v>6L</v>
      </c>
      <c r="D35" s="229" t="str">
        <f t="shared" si="5"/>
        <v>3L</v>
      </c>
      <c r="E35" s="230" t="str">
        <f t="shared" si="0"/>
        <v>USD6L3L27Y_Quote</v>
      </c>
      <c r="F35" s="230" t="str">
        <f>_xll.qlSimpleQuote(E35,,RateTickValue,Permanent,Trigger,ObjectOverwrite)</f>
        <v>USD6L3L27Y_Quote#0000</v>
      </c>
      <c r="G35" s="280" t="str">
        <f>_xll.ohRangeRetrieveError(F35)</f>
        <v/>
      </c>
      <c r="H35" s="171"/>
      <c r="J35" s="287"/>
      <c r="K35" s="183" t="s">
        <v>59</v>
      </c>
      <c r="L35" s="183" t="s">
        <v>94</v>
      </c>
      <c r="M35" s="183" t="s">
        <v>93</v>
      </c>
      <c r="N35" s="184" t="str">
        <f t="shared" si="1"/>
        <v>USD6L3L27Y</v>
      </c>
      <c r="O35" s="82" t="str">
        <v>USD6L3L27Y=ICAP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9.8665193968601095</v>
      </c>
      <c r="X35" s="195"/>
      <c r="Y35" s="284">
        <v>9.5</v>
      </c>
      <c r="Z35" s="195"/>
      <c r="AA35" s="278">
        <v>9.8665193968601095</v>
      </c>
      <c r="AB35" s="188">
        <f>_xll.qlSimpleQuoteSetValue(F35,AA35/10000,Trigger)</f>
        <v>-2.8475310217407346E-12</v>
      </c>
      <c r="AC35" s="77"/>
    </row>
    <row r="36" spans="1:29" ht="11.25" customHeight="1" x14ac:dyDescent="0.2">
      <c r="A36" s="76"/>
      <c r="B36" s="183" t="str">
        <f t="shared" si="3"/>
        <v>28Y</v>
      </c>
      <c r="C36" s="228" t="str">
        <f t="shared" si="4"/>
        <v>6L</v>
      </c>
      <c r="D36" s="229" t="str">
        <f t="shared" si="5"/>
        <v>3L</v>
      </c>
      <c r="E36" s="230" t="str">
        <f t="shared" si="0"/>
        <v>USD6L3L28Y_Quote</v>
      </c>
      <c r="F36" s="230" t="str">
        <f>_xll.qlSimpleQuote(E36,,RateTickValue,Permanent,Trigger,ObjectOverwrite)</f>
        <v>USD6L3L28Y_Quote#0000</v>
      </c>
      <c r="G36" s="280" t="str">
        <f>_xll.ohRangeRetrieveError(F36)</f>
        <v/>
      </c>
      <c r="H36" s="171"/>
      <c r="J36" s="287"/>
      <c r="K36" s="183" t="s">
        <v>58</v>
      </c>
      <c r="L36" s="183" t="s">
        <v>94</v>
      </c>
      <c r="M36" s="183" t="s">
        <v>93</v>
      </c>
      <c r="N36" s="184" t="str">
        <f t="shared" si="1"/>
        <v>USD6L3L28Y</v>
      </c>
      <c r="O36" s="82" t="str">
        <v>USD6L3L28Y=ICAP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9.8457044722525957</v>
      </c>
      <c r="X36" s="195"/>
      <c r="Y36" s="284">
        <v>9.5</v>
      </c>
      <c r="Z36" s="195"/>
      <c r="AA36" s="278">
        <v>9.8457044722525957</v>
      </c>
      <c r="AB36" s="188">
        <f>_xll.qlSimpleQuoteSetValue(F36,AA36/10000,Trigger)</f>
        <v>-2.4915896169180884E-12</v>
      </c>
      <c r="AC36" s="77"/>
    </row>
    <row r="37" spans="1:29" ht="11.25" customHeight="1" x14ac:dyDescent="0.2">
      <c r="A37" s="76"/>
      <c r="B37" s="183" t="str">
        <f t="shared" si="3"/>
        <v>29Y</v>
      </c>
      <c r="C37" s="228" t="str">
        <f t="shared" si="4"/>
        <v>6L</v>
      </c>
      <c r="D37" s="229" t="str">
        <f t="shared" si="5"/>
        <v>3L</v>
      </c>
      <c r="E37" s="230" t="str">
        <f t="shared" si="0"/>
        <v>USD6L3L29Y_Quote</v>
      </c>
      <c r="F37" s="230" t="str">
        <f>_xll.qlSimpleQuote(E37,,RateTickValue,Permanent,Trigger,ObjectOverwrite)</f>
        <v>USD6L3L29Y_Quote#0000</v>
      </c>
      <c r="G37" s="280" t="str">
        <f>_xll.ohRangeRetrieveError(F37)</f>
        <v/>
      </c>
      <c r="H37" s="171"/>
      <c r="J37" s="287"/>
      <c r="K37" s="183" t="s">
        <v>57</v>
      </c>
      <c r="L37" s="183" t="s">
        <v>94</v>
      </c>
      <c r="M37" s="183" t="s">
        <v>93</v>
      </c>
      <c r="N37" s="184" t="str">
        <f t="shared" si="1"/>
        <v>USD6L3L29Y</v>
      </c>
      <c r="O37" s="82" t="str">
        <v>USD6L3L29Y=ICAP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9.8232596984300553</v>
      </c>
      <c r="X37" s="195"/>
      <c r="Y37" s="284">
        <v>9.5</v>
      </c>
      <c r="Z37" s="195"/>
      <c r="AA37" s="278">
        <v>9.8232596984300553</v>
      </c>
      <c r="AB37" s="188">
        <f>_xll.qlSimpleQuoteSetValue(F37,AA37/10000,Trigger)</f>
        <v>-1.4237656192905845E-12</v>
      </c>
      <c r="AC37" s="77"/>
    </row>
    <row r="38" spans="1:29" ht="11.25" customHeight="1" x14ac:dyDescent="0.2">
      <c r="A38" s="76"/>
      <c r="B38" s="183" t="str">
        <f t="shared" si="3"/>
        <v>30Y</v>
      </c>
      <c r="C38" s="228" t="str">
        <f t="shared" si="4"/>
        <v>6L</v>
      </c>
      <c r="D38" s="229" t="str">
        <f t="shared" si="5"/>
        <v>3L</v>
      </c>
      <c r="E38" s="230" t="str">
        <f t="shared" si="0"/>
        <v>USD6L3L30Y_Quote</v>
      </c>
      <c r="F38" s="230" t="str">
        <f>_xll.qlSimpleQuote(E38,,RateTickValue,Permanent,Trigger,ObjectOverwrite)</f>
        <v>USD6L3L30Y_Quote#0000</v>
      </c>
      <c r="G38" s="280" t="str">
        <f>_xll.ohRangeRetrieveError(F38)</f>
        <v/>
      </c>
      <c r="H38" s="171"/>
      <c r="J38" s="287"/>
      <c r="K38" s="183" t="s">
        <v>56</v>
      </c>
      <c r="L38" s="183" t="s">
        <v>94</v>
      </c>
      <c r="M38" s="183" t="s">
        <v>93</v>
      </c>
      <c r="N38" s="184" t="str">
        <f t="shared" si="1"/>
        <v>USD6L3L30Y</v>
      </c>
      <c r="O38" s="82" t="str">
        <v>USD6L3L30Y=ICAP</v>
      </c>
      <c r="P38" s="278">
        <v>9.8000000000000007</v>
      </c>
      <c r="Q38" s="278">
        <v>0</v>
      </c>
      <c r="R38" s="292">
        <v>0</v>
      </c>
      <c r="S38" s="291">
        <v>0</v>
      </c>
      <c r="T38" s="278">
        <f>_xll.qlMidEquivalent(P38,Q38)</f>
        <v>9.8000000000000007</v>
      </c>
      <c r="U38" s="289">
        <v>30</v>
      </c>
      <c r="V38" s="85" t="b">
        <f t="shared" si="2"/>
        <v>1</v>
      </c>
      <c r="W38" s="278">
        <v>9.8000000000000007</v>
      </c>
      <c r="X38" s="195"/>
      <c r="Y38" s="284">
        <v>9.5</v>
      </c>
      <c r="Z38" s="195"/>
      <c r="AA38" s="278">
        <v>9.8000000000000007</v>
      </c>
      <c r="AB38" s="188">
        <f>_xll.qlSimpleQuoteSetValue(F38,AA38/10000,Trigger)</f>
        <v>0</v>
      </c>
      <c r="AC38" s="77"/>
    </row>
    <row r="39" spans="1:29" ht="11.25" customHeight="1" x14ac:dyDescent="0.2">
      <c r="A39" s="76"/>
      <c r="B39" s="183" t="str">
        <f t="shared" si="3"/>
        <v>35Y</v>
      </c>
      <c r="C39" s="228" t="str">
        <f t="shared" si="4"/>
        <v>6L</v>
      </c>
      <c r="D39" s="229" t="str">
        <f t="shared" si="5"/>
        <v>3L</v>
      </c>
      <c r="E39" s="230" t="str">
        <f t="shared" si="0"/>
        <v>USD6L3L35Y_Quote</v>
      </c>
      <c r="F39" s="230" t="str">
        <f>_xll.qlSimpleQuote(E39,,RateTickValue,Permanent,Trigger,ObjectOverwrite)</f>
        <v>USD6L3L35Y_Quote#0000</v>
      </c>
      <c r="G39" s="280" t="str">
        <f>_xll.ohRangeRetrieveError(F39)</f>
        <v/>
      </c>
      <c r="H39" s="171"/>
      <c r="J39" s="287"/>
      <c r="K39" s="183" t="s">
        <v>51</v>
      </c>
      <c r="L39" s="183" t="s">
        <v>94</v>
      </c>
      <c r="M39" s="183" t="s">
        <v>93</v>
      </c>
      <c r="N39" s="184" t="str">
        <f t="shared" si="1"/>
        <v>USD6L3L35Y</v>
      </c>
      <c r="O39" s="82" t="str">
        <v>USD6L3L35Y=ICAP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9.8000000000000007</v>
      </c>
      <c r="X39" s="195"/>
      <c r="Y39" s="297">
        <v>9.5</v>
      </c>
      <c r="Z39" s="195"/>
      <c r="AA39" s="297">
        <v>9.8000000000000007</v>
      </c>
      <c r="AB39" s="188">
        <f>_xll.qlSimpleQuoteSetValue(F39,AA39/10000,Trigger)</f>
        <v>0</v>
      </c>
      <c r="AC39" s="77"/>
    </row>
    <row r="40" spans="1:29" ht="11.25" customHeight="1" x14ac:dyDescent="0.2">
      <c r="A40" s="76"/>
      <c r="B40" s="183" t="str">
        <f t="shared" si="3"/>
        <v>40Y</v>
      </c>
      <c r="C40" s="228" t="str">
        <f t="shared" si="4"/>
        <v>6L</v>
      </c>
      <c r="D40" s="229" t="str">
        <f t="shared" si="5"/>
        <v>3L</v>
      </c>
      <c r="E40" s="230" t="str">
        <f t="shared" si="0"/>
        <v>USD6L3L40Y_Quote</v>
      </c>
      <c r="F40" s="230" t="str">
        <f>_xll.qlSimpleQuote(E40,,RateTickValue,Permanent,Trigger,ObjectOverwrite)</f>
        <v>USD6L3L40Y_Quote#0000</v>
      </c>
      <c r="G40" s="280" t="str">
        <f>_xll.ohRangeRetrieveError(F40)</f>
        <v/>
      </c>
      <c r="H40" s="171"/>
      <c r="J40" s="287"/>
      <c r="K40" s="183" t="s">
        <v>46</v>
      </c>
      <c r="L40" s="183" t="s">
        <v>94</v>
      </c>
      <c r="M40" s="183" t="s">
        <v>93</v>
      </c>
      <c r="N40" s="184" t="str">
        <f t="shared" si="1"/>
        <v>USD6L3L40Y</v>
      </c>
      <c r="O40" s="82" t="str">
        <v>USD6L3L40Y=ICAP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>W39</f>
        <v>9.8000000000000007</v>
      </c>
      <c r="X40" s="195"/>
      <c r="Y40" s="297">
        <v>9.5</v>
      </c>
      <c r="Z40" s="195"/>
      <c r="AA40" s="297">
        <v>9.8000000000000007</v>
      </c>
      <c r="AB40" s="188">
        <f>_xll.qlSimpleQuoteSetValue(F40,AA40/10000,Trigger)</f>
        <v>0</v>
      </c>
      <c r="AC40" s="77"/>
    </row>
    <row r="41" spans="1:29" ht="11.25" customHeight="1" x14ac:dyDescent="0.2">
      <c r="A41" s="76"/>
      <c r="B41" s="183" t="str">
        <f t="shared" si="3"/>
        <v>50Y</v>
      </c>
      <c r="C41" s="228" t="str">
        <f t="shared" si="4"/>
        <v>6L</v>
      </c>
      <c r="D41" s="229" t="str">
        <f t="shared" si="5"/>
        <v>3L</v>
      </c>
      <c r="E41" s="230" t="str">
        <f t="shared" si="0"/>
        <v>USD6L3L50Y_Quote</v>
      </c>
      <c r="F41" s="230" t="str">
        <f>_xll.qlSimpleQuote(E41,,RateTickValue,Permanent,Trigger,ObjectOverwrite)</f>
        <v>USD6L3L50Y_Quote#0000</v>
      </c>
      <c r="G41" s="280" t="str">
        <f>_xll.ohRangeRetrieveError(F41)</f>
        <v/>
      </c>
      <c r="H41" s="171"/>
      <c r="J41" s="287"/>
      <c r="K41" s="183" t="s">
        <v>36</v>
      </c>
      <c r="L41" s="183" t="s">
        <v>94</v>
      </c>
      <c r="M41" s="183" t="s">
        <v>93</v>
      </c>
      <c r="N41" s="184" t="str">
        <f t="shared" si="1"/>
        <v>USD6L3L50Y</v>
      </c>
      <c r="O41" s="82" t="str">
        <v>USD6L3L50Y=ICAP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>W40</f>
        <v>9.8000000000000007</v>
      </c>
      <c r="X41" s="195"/>
      <c r="Y41" s="297">
        <v>9.5</v>
      </c>
      <c r="Z41" s="195"/>
      <c r="AA41" s="297">
        <v>9.8000000000000007</v>
      </c>
      <c r="AB41" s="188">
        <f>_xll.qlSimpleQuoteSetValue(F41,AA41/10000,Trigger)</f>
        <v>0</v>
      </c>
      <c r="AC41" s="77"/>
    </row>
    <row r="42" spans="1:29" ht="11.25" customHeight="1" x14ac:dyDescent="0.2">
      <c r="A42" s="76"/>
      <c r="B42" s="185" t="str">
        <f t="shared" si="3"/>
        <v>60Y</v>
      </c>
      <c r="C42" s="233" t="str">
        <f t="shared" si="4"/>
        <v>6L</v>
      </c>
      <c r="D42" s="234" t="str">
        <f t="shared" si="5"/>
        <v>3L</v>
      </c>
      <c r="E42" s="235" t="str">
        <f t="shared" si="0"/>
        <v>USD6L3L60Y_Quote</v>
      </c>
      <c r="F42" s="235" t="str">
        <f>_xll.qlSimpleQuote(E42,,RateTickValue,Permanent,Trigger,ObjectOverwrite)</f>
        <v>USD6L3L60Y_Quote#0000</v>
      </c>
      <c r="G42" s="282" t="str">
        <f>_xll.ohRangeRetrieveError(F42)</f>
        <v/>
      </c>
      <c r="H42" s="171"/>
      <c r="J42" s="287"/>
      <c r="K42" s="185" t="s">
        <v>26</v>
      </c>
      <c r="L42" s="185" t="s">
        <v>94</v>
      </c>
      <c r="M42" s="185" t="s">
        <v>93</v>
      </c>
      <c r="N42" s="186" t="str">
        <f t="shared" si="1"/>
        <v>USD6L3L60Y</v>
      </c>
      <c r="O42" s="83" t="str">
        <v>USD6L3L60Y=ICAP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>W41</f>
        <v>9.8000000000000007</v>
      </c>
      <c r="X42" s="195"/>
      <c r="Y42" s="298">
        <v>9.5</v>
      </c>
      <c r="Z42" s="195"/>
      <c r="AA42" s="298">
        <v>9.8000000000000007</v>
      </c>
      <c r="AB42" s="189">
        <f>_xll.qlSimpleQuoteSetValue(F42,AA42/10000,Trigger)</f>
        <v>0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6">
        <f>_xll.ohTrigger(AB5:AB42)</f>
        <v>2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obj_00512#0000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262</v>
      </c>
      <c r="F4" s="102" t="s">
        <v>263</v>
      </c>
      <c r="G4" s="167" t="s">
        <v>280</v>
      </c>
      <c r="H4" s="171"/>
      <c r="J4" s="274"/>
      <c r="K4" s="243"/>
      <c r="L4" s="103"/>
      <c r="M4" s="103"/>
      <c r="N4" s="103" t="s">
        <v>282</v>
      </c>
      <c r="O4" s="106" t="str">
        <f>_xll.RData(O5:O42,P4:S4,"RTFEED:IDN",ReutersRtMode,,P5)</f>
        <v>Paused at 11:14:16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285</v>
      </c>
      <c r="V4" s="87" t="s">
        <v>284</v>
      </c>
      <c r="W4" s="88" t="s">
        <v>283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1" t="str">
        <f>K5</f>
        <v>6M</v>
      </c>
      <c r="C5" s="221" t="str">
        <f>L5</f>
        <v>12L</v>
      </c>
      <c r="D5" s="222" t="str">
        <f>M5</f>
        <v>3L</v>
      </c>
      <c r="E5" s="223" t="str">
        <f t="shared" ref="E5:E42" si="0">IF(ISBLANK(C5),"#",Currency&amp;$C5&amp;$D5&amp;$B5&amp;QuoteSuffix)</f>
        <v>USD12L3L6M_Quote</v>
      </c>
      <c r="F5" s="223" t="str">
        <f>_xll.qlSimpleQuote(E5,,RateTickValue,Permanent,Trigger,ObjectOverwrite)</f>
        <v>USD12L3L6M_Quote#0000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98</v>
      </c>
      <c r="M5" s="183" t="s">
        <v>93</v>
      </c>
      <c r="N5" s="184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8" t="s">
        <v>163</v>
      </c>
      <c r="Q5" s="278" t="s">
        <v>163</v>
      </c>
      <c r="R5" s="294" t="s">
        <v>163</v>
      </c>
      <c r="S5" s="291" t="s">
        <v>163</v>
      </c>
      <c r="T5" s="278" t="e">
        <f>_xll.qlMidEquivalent(P5,Q5)</f>
        <v>#NUM!</v>
      </c>
      <c r="U5" s="288">
        <v>0.5</v>
      </c>
      <c r="V5" s="85" t="b">
        <f t="shared" ref="V5:V42" si="2">IF(ISNUMBER(T5),TRUE,FALSE)</f>
        <v>0</v>
      </c>
      <c r="W5" s="278" t="e">
        <f t="array" ref="W5:W38">_xll.qlInterpolationInterpolate(U3,U5:U42)</f>
        <v>#NUM!</v>
      </c>
      <c r="X5" s="195"/>
      <c r="Y5" s="284" t="e">
        <v>#NUM!</v>
      </c>
      <c r="Z5" s="195"/>
      <c r="AA5" s="285" t="e">
        <f t="array" ref="AA5:AA42">QuoteLive</f>
        <v>#NUM!</v>
      </c>
      <c r="AB5" s="187">
        <f>_xll.qlSimpleQuoteSetValue(F5,AA5/10000,Trigger)</f>
        <v>0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12L</v>
      </c>
      <c r="D6" s="229" t="str">
        <f t="shared" ref="D6:D42" si="5">M6</f>
        <v>3L</v>
      </c>
      <c r="E6" s="230" t="str">
        <f t="shared" si="0"/>
        <v>USD12L3L1Y_Quote</v>
      </c>
      <c r="F6" s="230" t="str">
        <f>_xll.qlSimpleQuote(E6,,RateTickValue,Permanent,Trigger,ObjectOverwrite)</f>
        <v>USD12L3L1Y_Quote#0000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98</v>
      </c>
      <c r="M6" s="183" t="s">
        <v>93</v>
      </c>
      <c r="N6" s="184" t="str">
        <f t="shared" si="1"/>
        <v>USD3L12L1Y</v>
      </c>
      <c r="O6" s="82" t="str">
        <v>USD3L12L1Y=SMKR</v>
      </c>
      <c r="P6" s="278">
        <v>15.75</v>
      </c>
      <c r="Q6" s="278">
        <v>25.75</v>
      </c>
      <c r="R6" s="292">
        <v>0</v>
      </c>
      <c r="S6" s="291">
        <v>0</v>
      </c>
      <c r="T6" s="278">
        <f>_xll.qlMidEquivalent(P6,Q6)</f>
        <v>20.75</v>
      </c>
      <c r="U6" s="288">
        <v>1</v>
      </c>
      <c r="V6" s="85" t="b">
        <f t="shared" si="2"/>
        <v>1</v>
      </c>
      <c r="W6" s="278">
        <v>20.75</v>
      </c>
      <c r="X6" s="195"/>
      <c r="Y6" s="284">
        <v>23.6</v>
      </c>
      <c r="Z6" s="195"/>
      <c r="AA6" s="278">
        <v>20.75</v>
      </c>
      <c r="AB6" s="188">
        <f>_xll.qlSimpleQuoteSetValue(F6,AA6/10000,Trigger)</f>
        <v>-2.1250000000000002E-4</v>
      </c>
      <c r="AC6" s="77"/>
      <c r="AD6" s="199"/>
    </row>
    <row r="7" spans="1:30" s="216" customFormat="1" ht="11.25" customHeight="1" x14ac:dyDescent="0.25">
      <c r="A7" s="76"/>
      <c r="B7" s="183" t="str">
        <f t="shared" si="3"/>
        <v>15M</v>
      </c>
      <c r="C7" s="228" t="str">
        <f t="shared" si="4"/>
        <v>12L</v>
      </c>
      <c r="D7" s="229" t="str">
        <f t="shared" si="5"/>
        <v>3L</v>
      </c>
      <c r="E7" s="230" t="str">
        <f t="shared" si="0"/>
        <v>USD12L3L15M_Quote</v>
      </c>
      <c r="F7" s="230" t="str">
        <f>_xll.qlSimpleQuote(E7,,RateTickValue,Permanent,Trigger,ObjectOverwrite)</f>
        <v>USD12L3L15M_Quote#0000</v>
      </c>
      <c r="G7" s="280" t="str">
        <f>_xll.ohRangeRetrieveError(F7)</f>
        <v/>
      </c>
      <c r="H7" s="171"/>
      <c r="J7" s="286"/>
      <c r="K7" s="183" t="s">
        <v>97</v>
      </c>
      <c r="L7" s="183" t="s">
        <v>98</v>
      </c>
      <c r="M7" s="183" t="s">
        <v>93</v>
      </c>
      <c r="N7" s="184" t="str">
        <f t="shared" si="1"/>
        <v>USD3L12L15M</v>
      </c>
      <c r="O7" s="82" t="str">
        <v>USD3L12L15M=SMKR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20.123187757601926</v>
      </c>
      <c r="X7" s="195"/>
      <c r="Y7" s="284">
        <v>23.526228802936565</v>
      </c>
      <c r="Z7" s="195"/>
      <c r="AA7" s="278">
        <v>20.123187757601926</v>
      </c>
      <c r="AB7" s="188">
        <f>_xll.qlSimpleQuoteSetValue(F7,AA7/10000,Trigger)</f>
        <v>-1.8778423851622704E-4</v>
      </c>
      <c r="AC7" s="77"/>
      <c r="AD7" s="199"/>
    </row>
    <row r="8" spans="1:30" ht="11.25" customHeight="1" x14ac:dyDescent="0.25">
      <c r="A8" s="76"/>
      <c r="B8" s="183" t="str">
        <f t="shared" si="3"/>
        <v>18M</v>
      </c>
      <c r="C8" s="228" t="str">
        <f t="shared" si="4"/>
        <v>12L</v>
      </c>
      <c r="D8" s="229" t="str">
        <f t="shared" si="5"/>
        <v>3L</v>
      </c>
      <c r="E8" s="230" t="str">
        <f t="shared" si="0"/>
        <v>USD12L3L18M_Quote</v>
      </c>
      <c r="F8" s="230" t="str">
        <f>_xll.qlSimpleQuote(E8,,RateTickValue,Permanent,Trigger,ObjectOverwrite)</f>
        <v>USD12L3L18M_Quote#0000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98</v>
      </c>
      <c r="M8" s="183" t="s">
        <v>93</v>
      </c>
      <c r="N8" s="184" t="str">
        <f t="shared" si="1"/>
        <v>USD3L12L18M</v>
      </c>
      <c r="O8" s="82" t="str">
        <v>USD3L12L18M=SMKR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19.53460041216308</v>
      </c>
      <c r="X8" s="195"/>
      <c r="Y8" s="284">
        <v>23.451966084698505</v>
      </c>
      <c r="Z8" s="195"/>
      <c r="AA8" s="278">
        <v>19.53460041216308</v>
      </c>
      <c r="AB8" s="188">
        <f>_xll.qlSimpleQuoteSetValue(F8,AA8/10000,Trigger)</f>
        <v>-1.6420478162596343E-4</v>
      </c>
      <c r="AC8" s="77"/>
    </row>
    <row r="9" spans="1:30" ht="11.25" customHeight="1" x14ac:dyDescent="0.25">
      <c r="A9" s="76"/>
      <c r="B9" s="183" t="str">
        <f t="shared" si="3"/>
        <v>21M</v>
      </c>
      <c r="C9" s="228" t="str">
        <f t="shared" si="4"/>
        <v>12L</v>
      </c>
      <c r="D9" s="229" t="str">
        <f t="shared" si="5"/>
        <v>3L</v>
      </c>
      <c r="E9" s="230" t="str">
        <f t="shared" si="0"/>
        <v>USD12L3L21M_Quote</v>
      </c>
      <c r="F9" s="230" t="str">
        <f>_xll.qlSimpleQuote(E9,,RateTickValue,Permanent,Trigger,ObjectOverwrite)</f>
        <v>USD12L3L21M_Quote#0000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98</v>
      </c>
      <c r="M9" s="183" t="s">
        <v>93</v>
      </c>
      <c r="N9" s="184" t="str">
        <f t="shared" si="1"/>
        <v>USD3L12L21M</v>
      </c>
      <c r="O9" s="82" t="str">
        <v>USD3L12L21M=SMKR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19.022462860642698</v>
      </c>
      <c r="X9" s="195"/>
      <c r="Y9" s="284">
        <v>23.37672032411119</v>
      </c>
      <c r="Z9" s="195"/>
      <c r="AA9" s="278">
        <v>19.022462860642698</v>
      </c>
      <c r="AB9" s="188">
        <f>_xll.qlSimpleQuoteSetValue(F9,AA9/10000,Trigger)</f>
        <v>-1.4289793392271771E-4</v>
      </c>
      <c r="AC9" s="77"/>
    </row>
    <row r="10" spans="1:30" ht="11.25" customHeight="1" x14ac:dyDescent="0.2">
      <c r="A10" s="76"/>
      <c r="B10" s="183" t="str">
        <f t="shared" si="3"/>
        <v>2Y</v>
      </c>
      <c r="C10" s="228" t="str">
        <f t="shared" si="4"/>
        <v>12L</v>
      </c>
      <c r="D10" s="229" t="str">
        <f t="shared" si="5"/>
        <v>3L</v>
      </c>
      <c r="E10" s="230" t="str">
        <f t="shared" si="0"/>
        <v>USD12L3L2Y_Quote</v>
      </c>
      <c r="F10" s="230" t="str">
        <f>_xll.qlSimpleQuote(E10,,RateTickValue,Permanent,Trigger,ObjectOverwrite)</f>
        <v>USD12L3L2Y_Quote#0000</v>
      </c>
      <c r="G10" s="280" t="str">
        <f>_xll.ohRangeRetrieveError(F10)</f>
        <v/>
      </c>
      <c r="H10" s="171"/>
      <c r="J10" s="287"/>
      <c r="K10" s="183" t="s">
        <v>84</v>
      </c>
      <c r="L10" s="183" t="s">
        <v>98</v>
      </c>
      <c r="M10" s="183" t="s">
        <v>93</v>
      </c>
      <c r="N10" s="184" t="str">
        <f t="shared" si="1"/>
        <v>USD3L12L2Y</v>
      </c>
      <c r="O10" s="82" t="str">
        <v>USD3L12L2Y=SMKR</v>
      </c>
      <c r="P10" s="278">
        <v>13.625</v>
      </c>
      <c r="Q10" s="278">
        <v>23.625</v>
      </c>
      <c r="R10" s="292">
        <v>0</v>
      </c>
      <c r="S10" s="291">
        <v>0</v>
      </c>
      <c r="T10" s="278">
        <f>_xll.qlMidEquivalent(P10,Q10)</f>
        <v>18.625</v>
      </c>
      <c r="U10" s="289">
        <v>2</v>
      </c>
      <c r="V10" s="85" t="b">
        <f t="shared" si="2"/>
        <v>1</v>
      </c>
      <c r="W10" s="278">
        <v>18.625</v>
      </c>
      <c r="X10" s="195"/>
      <c r="Y10" s="284">
        <v>23.3</v>
      </c>
      <c r="Z10" s="195"/>
      <c r="AA10" s="278">
        <v>18.625</v>
      </c>
      <c r="AB10" s="188">
        <f>_xll.qlSimpleQuoteSetValue(F10,AA10/10000,Trigger)</f>
        <v>-1.2500000000000011E-4</v>
      </c>
      <c r="AC10" s="77"/>
    </row>
    <row r="11" spans="1:30" ht="11.25" customHeight="1" x14ac:dyDescent="0.2">
      <c r="A11" s="76"/>
      <c r="B11" s="183" t="str">
        <f t="shared" si="3"/>
        <v>3Y</v>
      </c>
      <c r="C11" s="228" t="str">
        <f t="shared" si="4"/>
        <v>12L</v>
      </c>
      <c r="D11" s="229" t="str">
        <f t="shared" si="5"/>
        <v>3L</v>
      </c>
      <c r="E11" s="230" t="str">
        <f t="shared" si="0"/>
        <v>USD12L3L3Y_Quote</v>
      </c>
      <c r="F11" s="230" t="str">
        <f>_xll.qlSimpleQuote(E11,,RateTickValue,Permanent,Trigger,ObjectOverwrite)</f>
        <v>USD12L3L3Y_Quote#0000</v>
      </c>
      <c r="G11" s="280" t="str">
        <f>_xll.ohRangeRetrieveError(F11)</f>
        <v/>
      </c>
      <c r="H11" s="171"/>
      <c r="J11" s="287"/>
      <c r="K11" s="183" t="s">
        <v>83</v>
      </c>
      <c r="L11" s="183" t="s">
        <v>98</v>
      </c>
      <c r="M11" s="183" t="s">
        <v>93</v>
      </c>
      <c r="N11" s="184" t="str">
        <f t="shared" si="1"/>
        <v>USD3L12L3Y</v>
      </c>
      <c r="O11" s="82" t="str">
        <v>USD3L12L3Y=SMKR</v>
      </c>
      <c r="P11" s="278">
        <v>13.125</v>
      </c>
      <c r="Q11" s="278">
        <v>23.125</v>
      </c>
      <c r="R11" s="292">
        <v>0</v>
      </c>
      <c r="S11" s="291">
        <v>0</v>
      </c>
      <c r="T11" s="278">
        <f>_xll.qlMidEquivalent(P11,Q11)</f>
        <v>18.125</v>
      </c>
      <c r="U11" s="289">
        <v>3</v>
      </c>
      <c r="V11" s="85" t="b">
        <f t="shared" si="2"/>
        <v>1</v>
      </c>
      <c r="W11" s="278">
        <v>18.125</v>
      </c>
      <c r="X11" s="195"/>
      <c r="Y11" s="284">
        <v>23</v>
      </c>
      <c r="Z11" s="195"/>
      <c r="AA11" s="278">
        <v>18.125</v>
      </c>
      <c r="AB11" s="188">
        <f>_xll.qlSimpleQuoteSetValue(F11,AA11/10000,Trigger)</f>
        <v>-8.7499999999999904E-5</v>
      </c>
      <c r="AC11" s="77"/>
    </row>
    <row r="12" spans="1:30" ht="11.25" customHeight="1" x14ac:dyDescent="0.2">
      <c r="A12" s="76"/>
      <c r="B12" s="183" t="str">
        <f t="shared" si="3"/>
        <v>4Y</v>
      </c>
      <c r="C12" s="228" t="str">
        <f t="shared" si="4"/>
        <v>12L</v>
      </c>
      <c r="D12" s="229" t="str">
        <f t="shared" si="5"/>
        <v>3L</v>
      </c>
      <c r="E12" s="230" t="str">
        <f t="shared" si="0"/>
        <v>USD12L3L4Y_Quote</v>
      </c>
      <c r="F12" s="230" t="str">
        <f>_xll.qlSimpleQuote(E12,,RateTickValue,Permanent,Trigger,ObjectOverwrite)</f>
        <v>USD12L3L4Y_Quote#0000</v>
      </c>
      <c r="G12" s="280" t="str">
        <f>_xll.ohRangeRetrieveError(F12)</f>
        <v/>
      </c>
      <c r="H12" s="171"/>
      <c r="J12" s="287"/>
      <c r="K12" s="183" t="s">
        <v>82</v>
      </c>
      <c r="L12" s="183" t="s">
        <v>98</v>
      </c>
      <c r="M12" s="183" t="s">
        <v>93</v>
      </c>
      <c r="N12" s="184" t="str">
        <f t="shared" si="1"/>
        <v>USD3L12L4Y</v>
      </c>
      <c r="O12" s="82" t="str">
        <v>USD3L12L4Y=SMKR</v>
      </c>
      <c r="P12" s="278">
        <v>13.125</v>
      </c>
      <c r="Q12" s="278">
        <v>23.125</v>
      </c>
      <c r="R12" s="292">
        <v>0</v>
      </c>
      <c r="S12" s="291">
        <v>0</v>
      </c>
      <c r="T12" s="278">
        <f>_xll.qlMidEquivalent(P12,Q12)</f>
        <v>18.125</v>
      </c>
      <c r="U12" s="289">
        <v>4</v>
      </c>
      <c r="V12" s="85" t="b">
        <f t="shared" si="2"/>
        <v>1</v>
      </c>
      <c r="W12" s="278">
        <v>18.125</v>
      </c>
      <c r="X12" s="195"/>
      <c r="Y12" s="284">
        <v>22.8</v>
      </c>
      <c r="Z12" s="195"/>
      <c r="AA12" s="278">
        <v>18.125</v>
      </c>
      <c r="AB12" s="188">
        <f>_xll.qlSimpleQuoteSetValue(F12,AA12/10000,Trigger)</f>
        <v>-7.499999999999998E-5</v>
      </c>
      <c r="AC12" s="77"/>
    </row>
    <row r="13" spans="1:30" ht="11.25" customHeight="1" x14ac:dyDescent="0.2">
      <c r="A13" s="76"/>
      <c r="B13" s="183" t="str">
        <f t="shared" si="3"/>
        <v>5Y</v>
      </c>
      <c r="C13" s="228" t="str">
        <f t="shared" si="4"/>
        <v>12L</v>
      </c>
      <c r="D13" s="229" t="str">
        <f t="shared" si="5"/>
        <v>3L</v>
      </c>
      <c r="E13" s="230" t="str">
        <f t="shared" si="0"/>
        <v>USD12L3L5Y_Quote</v>
      </c>
      <c r="F13" s="230" t="str">
        <f>_xll.qlSimpleQuote(E13,,RateTickValue,Permanent,Trigger,ObjectOverwrite)</f>
        <v>USD12L3L5Y_Quote#0000</v>
      </c>
      <c r="G13" s="280" t="str">
        <f>_xll.ohRangeRetrieveError(F13)</f>
        <v/>
      </c>
      <c r="H13" s="171"/>
      <c r="J13" s="287"/>
      <c r="K13" s="183" t="s">
        <v>81</v>
      </c>
      <c r="L13" s="183" t="s">
        <v>98</v>
      </c>
      <c r="M13" s="183" t="s">
        <v>93</v>
      </c>
      <c r="N13" s="184" t="str">
        <f t="shared" si="1"/>
        <v>USD3L12L5Y</v>
      </c>
      <c r="O13" s="82" t="str">
        <v>USD3L12L5Y=SMKR</v>
      </c>
      <c r="P13" s="278">
        <v>13.5</v>
      </c>
      <c r="Q13" s="278">
        <v>23.5</v>
      </c>
      <c r="R13" s="292">
        <v>0</v>
      </c>
      <c r="S13" s="291">
        <v>0</v>
      </c>
      <c r="T13" s="278">
        <f>_xll.qlMidEquivalent(P13,Q13)</f>
        <v>18.5</v>
      </c>
      <c r="U13" s="289">
        <v>5</v>
      </c>
      <c r="V13" s="85" t="b">
        <f t="shared" si="2"/>
        <v>1</v>
      </c>
      <c r="W13" s="278">
        <v>18.5</v>
      </c>
      <c r="X13" s="195"/>
      <c r="Y13" s="284">
        <v>22.7</v>
      </c>
      <c r="Z13" s="195"/>
      <c r="AA13" s="278">
        <v>18.5</v>
      </c>
      <c r="AB13" s="188">
        <f>_xll.qlSimpleQuoteSetValue(F13,AA13/10000,Trigger)</f>
        <v>-8.7499999999999904E-5</v>
      </c>
      <c r="AC13" s="77"/>
    </row>
    <row r="14" spans="1:30" ht="11.25" customHeight="1" x14ac:dyDescent="0.2">
      <c r="A14" s="76"/>
      <c r="B14" s="183" t="str">
        <f t="shared" si="3"/>
        <v>6Y</v>
      </c>
      <c r="C14" s="228" t="str">
        <f t="shared" si="4"/>
        <v>12L</v>
      </c>
      <c r="D14" s="229" t="str">
        <f t="shared" si="5"/>
        <v>3L</v>
      </c>
      <c r="E14" s="230" t="str">
        <f t="shared" si="0"/>
        <v>USD12L3L6Y_Quote</v>
      </c>
      <c r="F14" s="230" t="str">
        <f>_xll.qlSimpleQuote(E14,,RateTickValue,Permanent,Trigger,ObjectOverwrite)</f>
        <v>USD12L3L6Y_Quote#0000</v>
      </c>
      <c r="G14" s="280" t="str">
        <f>_xll.ohRangeRetrieveError(F14)</f>
        <v/>
      </c>
      <c r="H14" s="171"/>
      <c r="J14" s="287"/>
      <c r="K14" s="183" t="s">
        <v>80</v>
      </c>
      <c r="L14" s="183" t="s">
        <v>98</v>
      </c>
      <c r="M14" s="183" t="s">
        <v>93</v>
      </c>
      <c r="N14" s="184" t="str">
        <f t="shared" si="1"/>
        <v>USD3L12L6Y</v>
      </c>
      <c r="O14" s="82" t="str">
        <v>USD3L12L6Y=SMKR</v>
      </c>
      <c r="P14" s="278" t="s">
        <v>163</v>
      </c>
      <c r="Q14" s="278" t="s">
        <v>163</v>
      </c>
      <c r="R14" s="292" t="s">
        <v>163</v>
      </c>
      <c r="S14" s="291" t="s">
        <v>163</v>
      </c>
      <c r="T14" s="278" t="e">
        <f>_xll.qlMidEquivalent(P14,Q14)</f>
        <v>#NUM!</v>
      </c>
      <c r="U14" s="289">
        <v>6</v>
      </c>
      <c r="V14" s="85" t="b">
        <f t="shared" si="2"/>
        <v>0</v>
      </c>
      <c r="W14" s="278">
        <v>18.600478964288552</v>
      </c>
      <c r="X14" s="195"/>
      <c r="Y14" s="284">
        <v>22.6</v>
      </c>
      <c r="Z14" s="195"/>
      <c r="AA14" s="278">
        <v>18.600478964288552</v>
      </c>
      <c r="AB14" s="188">
        <f>_xll.qlSimpleQuoteSetValue(F14,AA14/10000,Trigger)</f>
        <v>-8.7772841173687412E-5</v>
      </c>
      <c r="AC14" s="77"/>
    </row>
    <row r="15" spans="1:30" ht="11.25" customHeight="1" x14ac:dyDescent="0.2">
      <c r="A15" s="76"/>
      <c r="B15" s="183" t="str">
        <f t="shared" si="3"/>
        <v>7Y</v>
      </c>
      <c r="C15" s="228" t="str">
        <f t="shared" si="4"/>
        <v>12L</v>
      </c>
      <c r="D15" s="229" t="str">
        <f t="shared" si="5"/>
        <v>3L</v>
      </c>
      <c r="E15" s="230" t="str">
        <f t="shared" si="0"/>
        <v>USD12L3L7Y_Quote</v>
      </c>
      <c r="F15" s="230" t="str">
        <f>_xll.qlSimpleQuote(E15,,RateTickValue,Permanent,Trigger,ObjectOverwrite)</f>
        <v>USD12L3L7Y_Quote#0000</v>
      </c>
      <c r="G15" s="280" t="str">
        <f>_xll.ohRangeRetrieveError(F15)</f>
        <v/>
      </c>
      <c r="H15" s="171"/>
      <c r="J15" s="287"/>
      <c r="K15" s="183" t="s">
        <v>79</v>
      </c>
      <c r="L15" s="183" t="s">
        <v>98</v>
      </c>
      <c r="M15" s="183" t="s">
        <v>93</v>
      </c>
      <c r="N15" s="184" t="str">
        <f t="shared" si="1"/>
        <v>USD3L12L7Y</v>
      </c>
      <c r="O15" s="82" t="str">
        <v>USD3L12L7Y=SMKR</v>
      </c>
      <c r="P15" s="278">
        <v>13.625</v>
      </c>
      <c r="Q15" s="278">
        <v>23.625</v>
      </c>
      <c r="R15" s="292">
        <v>0</v>
      </c>
      <c r="S15" s="291">
        <v>0</v>
      </c>
      <c r="T15" s="278">
        <f>_xll.qlMidEquivalent(P15,Q15)</f>
        <v>18.625</v>
      </c>
      <c r="U15" s="289">
        <v>7</v>
      </c>
      <c r="V15" s="85" t="b">
        <f t="shared" si="2"/>
        <v>1</v>
      </c>
      <c r="W15" s="278">
        <v>18.625</v>
      </c>
      <c r="X15" s="195"/>
      <c r="Y15" s="284">
        <v>22.5</v>
      </c>
      <c r="Z15" s="195"/>
      <c r="AA15" s="278">
        <v>18.625</v>
      </c>
      <c r="AB15" s="188">
        <f>_xll.qlSimpleQuoteSetValue(F15,AA15/10000,Trigger)</f>
        <v>-8.7499999999999904E-5</v>
      </c>
      <c r="AC15" s="77"/>
    </row>
    <row r="16" spans="1:30" ht="11.25" customHeight="1" x14ac:dyDescent="0.2">
      <c r="A16" s="76"/>
      <c r="B16" s="183" t="str">
        <f t="shared" si="3"/>
        <v>8Y</v>
      </c>
      <c r="C16" s="228" t="str">
        <f t="shared" si="4"/>
        <v>12L</v>
      </c>
      <c r="D16" s="229" t="str">
        <f t="shared" si="5"/>
        <v>3L</v>
      </c>
      <c r="E16" s="230" t="str">
        <f t="shared" si="0"/>
        <v>USD12L3L8Y_Quote</v>
      </c>
      <c r="F16" s="230" t="str">
        <f>_xll.qlSimpleQuote(E16,,RateTickValue,Permanent,Trigger,ObjectOverwrite)</f>
        <v>USD12L3L8Y_Quote#0000</v>
      </c>
      <c r="G16" s="280" t="str">
        <f>_xll.ohRangeRetrieveError(F16)</f>
        <v/>
      </c>
      <c r="H16" s="171"/>
      <c r="J16" s="287"/>
      <c r="K16" s="183" t="s">
        <v>78</v>
      </c>
      <c r="L16" s="183" t="s">
        <v>98</v>
      </c>
      <c r="M16" s="183" t="s">
        <v>93</v>
      </c>
      <c r="N16" s="184" t="str">
        <f t="shared" si="1"/>
        <v>USD3L12L8Y</v>
      </c>
      <c r="O16" s="82" t="str">
        <v>USD3L12L8Y=SMKR</v>
      </c>
      <c r="P16" s="278" t="s">
        <v>163</v>
      </c>
      <c r="Q16" s="278" t="s">
        <v>163</v>
      </c>
      <c r="R16" s="292" t="s">
        <v>163</v>
      </c>
      <c r="S16" s="291" t="s">
        <v>163</v>
      </c>
      <c r="T16" s="278" t="e">
        <f>_xll.qlMidEquivalent(P16,Q16)</f>
        <v>#NUM!</v>
      </c>
      <c r="U16" s="289">
        <v>8</v>
      </c>
      <c r="V16" s="85" t="b">
        <f t="shared" si="2"/>
        <v>0</v>
      </c>
      <c r="W16" s="278">
        <v>18.758584945006501</v>
      </c>
      <c r="X16" s="195"/>
      <c r="Y16" s="284">
        <v>22.4</v>
      </c>
      <c r="Z16" s="195"/>
      <c r="AA16" s="278">
        <v>18.758584945006501</v>
      </c>
      <c r="AB16" s="188">
        <f>_xll.qlSimpleQuoteSetValue(F16,AA16/10000,Trigger)</f>
        <v>-8.9273863261590423E-5</v>
      </c>
      <c r="AC16" s="77"/>
    </row>
    <row r="17" spans="1:29" ht="11.25" customHeight="1" x14ac:dyDescent="0.2">
      <c r="A17" s="76"/>
      <c r="B17" s="183" t="str">
        <f t="shared" si="3"/>
        <v>9Y</v>
      </c>
      <c r="C17" s="228" t="str">
        <f t="shared" si="4"/>
        <v>12L</v>
      </c>
      <c r="D17" s="229" t="str">
        <f t="shared" si="5"/>
        <v>3L</v>
      </c>
      <c r="E17" s="230" t="str">
        <f t="shared" si="0"/>
        <v>USD12L3L9Y_Quote</v>
      </c>
      <c r="F17" s="230" t="str">
        <f>_xll.qlSimpleQuote(E17,,RateTickValue,Permanent,Trigger,ObjectOverwrite)</f>
        <v>USD12L3L9Y_Quote#0000</v>
      </c>
      <c r="G17" s="280" t="str">
        <f>_xll.ohRangeRetrieveError(F17)</f>
        <v/>
      </c>
      <c r="H17" s="171"/>
      <c r="J17" s="287"/>
      <c r="K17" s="183" t="s">
        <v>77</v>
      </c>
      <c r="L17" s="183" t="s">
        <v>98</v>
      </c>
      <c r="M17" s="183" t="s">
        <v>93</v>
      </c>
      <c r="N17" s="184" t="str">
        <f t="shared" si="1"/>
        <v>USD3L12L9Y</v>
      </c>
      <c r="O17" s="82" t="str">
        <v>USD3L12L9Y=SMKR</v>
      </c>
      <c r="P17" s="278" t="s">
        <v>163</v>
      </c>
      <c r="Q17" s="278" t="s">
        <v>163</v>
      </c>
      <c r="R17" s="292" t="s">
        <v>163</v>
      </c>
      <c r="S17" s="291" t="s">
        <v>163</v>
      </c>
      <c r="T17" s="278" t="e">
        <f>_xll.qlMidEquivalent(P17,Q17)</f>
        <v>#NUM!</v>
      </c>
      <c r="U17" s="289">
        <v>9</v>
      </c>
      <c r="V17" s="85" t="b">
        <f t="shared" si="2"/>
        <v>0</v>
      </c>
      <c r="W17" s="278">
        <v>19.06289157256025</v>
      </c>
      <c r="X17" s="195"/>
      <c r="Y17" s="284">
        <v>22.4</v>
      </c>
      <c r="Z17" s="195"/>
      <c r="AA17" s="278">
        <v>19.06289157256025</v>
      </c>
      <c r="AB17" s="188">
        <f>_xll.qlSimpleQuoteSetValue(F17,AA17/10000,Trigger)</f>
        <v>-8.8997525208570375E-5</v>
      </c>
      <c r="AC17" s="77"/>
    </row>
    <row r="18" spans="1:29" ht="11.25" customHeight="1" x14ac:dyDescent="0.2">
      <c r="A18" s="76"/>
      <c r="B18" s="183" t="str">
        <f t="shared" si="3"/>
        <v>10Y</v>
      </c>
      <c r="C18" s="228" t="str">
        <f t="shared" si="4"/>
        <v>12L</v>
      </c>
      <c r="D18" s="229" t="str">
        <f t="shared" si="5"/>
        <v>3L</v>
      </c>
      <c r="E18" s="230" t="str">
        <f t="shared" si="0"/>
        <v>USD12L3L10Y_Quote</v>
      </c>
      <c r="F18" s="230" t="str">
        <f>_xll.qlSimpleQuote(E18,,RateTickValue,Permanent,Trigger,ObjectOverwrite)</f>
        <v>USD12L3L10Y_Quote#0000</v>
      </c>
      <c r="G18" s="280" t="str">
        <f>_xll.ohRangeRetrieveError(F18)</f>
        <v/>
      </c>
      <c r="H18" s="171"/>
      <c r="J18" s="287"/>
      <c r="K18" s="183" t="s">
        <v>76</v>
      </c>
      <c r="L18" s="183" t="s">
        <v>98</v>
      </c>
      <c r="M18" s="183" t="s">
        <v>93</v>
      </c>
      <c r="N18" s="184" t="str">
        <f t="shared" si="1"/>
        <v>USD3L12L10Y</v>
      </c>
      <c r="O18" s="82" t="str">
        <v>USD3L12L10Y=SMKR</v>
      </c>
      <c r="P18" s="278">
        <v>14.5</v>
      </c>
      <c r="Q18" s="278">
        <v>24.5</v>
      </c>
      <c r="R18" s="292">
        <v>0</v>
      </c>
      <c r="S18" s="291">
        <v>0</v>
      </c>
      <c r="T18" s="278">
        <f>_xll.qlMidEquivalent(P18,Q18)</f>
        <v>19.5</v>
      </c>
      <c r="U18" s="289">
        <v>10</v>
      </c>
      <c r="V18" s="85" t="b">
        <f t="shared" si="2"/>
        <v>1</v>
      </c>
      <c r="W18" s="278">
        <v>19.5</v>
      </c>
      <c r="X18" s="195"/>
      <c r="Y18" s="284">
        <v>22.3</v>
      </c>
      <c r="Z18" s="195"/>
      <c r="AA18" s="278">
        <v>19.5</v>
      </c>
      <c r="AB18" s="188">
        <f>_xll.qlSimpleQuoteSetValue(F18,AA18/10000,Trigger)</f>
        <v>-7.499999999999998E-5</v>
      </c>
      <c r="AC18" s="77"/>
    </row>
    <row r="19" spans="1:29" ht="11.25" customHeight="1" x14ac:dyDescent="0.2">
      <c r="A19" s="76"/>
      <c r="B19" s="183" t="str">
        <f t="shared" si="3"/>
        <v>11Y</v>
      </c>
      <c r="C19" s="228" t="str">
        <f t="shared" si="4"/>
        <v>12L</v>
      </c>
      <c r="D19" s="229" t="str">
        <f t="shared" si="5"/>
        <v>3L</v>
      </c>
      <c r="E19" s="230" t="str">
        <f t="shared" si="0"/>
        <v>USD12L3L11Y_Quote</v>
      </c>
      <c r="F19" s="230" t="str">
        <f>_xll.qlSimpleQuote(E19,,RateTickValue,Permanent,Trigger,ObjectOverwrite)</f>
        <v>USD12L3L11Y_Quote#0000</v>
      </c>
      <c r="G19" s="280" t="str">
        <f>_xll.ohRangeRetrieveError(F19)</f>
        <v/>
      </c>
      <c r="H19" s="171"/>
      <c r="J19" s="287"/>
      <c r="K19" s="183" t="s">
        <v>75</v>
      </c>
      <c r="L19" s="183" t="s">
        <v>98</v>
      </c>
      <c r="M19" s="183" t="s">
        <v>93</v>
      </c>
      <c r="N19" s="184" t="str">
        <f t="shared" si="1"/>
        <v>USD3L12L11Y</v>
      </c>
      <c r="O19" s="82" t="str">
        <v>USD3L12L11Y=SMKR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20.01687250417794</v>
      </c>
      <c r="X19" s="195"/>
      <c r="Y19" s="284">
        <v>22.3</v>
      </c>
      <c r="Z19" s="195"/>
      <c r="AA19" s="278">
        <v>20.01687250417794</v>
      </c>
      <c r="AB19" s="188">
        <f>_xll.qlSimpleQuoteSetValue(F19,AA19/10000,Trigger)</f>
        <v>-4.2278121200883291E-5</v>
      </c>
      <c r="AC19" s="77"/>
    </row>
    <row r="20" spans="1:29" ht="11.25" customHeight="1" x14ac:dyDescent="0.2">
      <c r="A20" s="76"/>
      <c r="B20" s="183" t="str">
        <f t="shared" si="3"/>
        <v>12Y</v>
      </c>
      <c r="C20" s="228" t="str">
        <f t="shared" si="4"/>
        <v>12L</v>
      </c>
      <c r="D20" s="229" t="str">
        <f t="shared" si="5"/>
        <v>3L</v>
      </c>
      <c r="E20" s="230" t="str">
        <f t="shared" si="0"/>
        <v>USD12L3L12Y_Quote</v>
      </c>
      <c r="F20" s="230" t="str">
        <f>_xll.qlSimpleQuote(E20,,RateTickValue,Permanent,Trigger,ObjectOverwrite)</f>
        <v>USD12L3L12Y_Quote#0000</v>
      </c>
      <c r="G20" s="280" t="str">
        <f>_xll.ohRangeRetrieveError(F20)</f>
        <v/>
      </c>
      <c r="H20" s="171"/>
      <c r="J20" s="287"/>
      <c r="K20" s="183" t="s">
        <v>74</v>
      </c>
      <c r="L20" s="183" t="s">
        <v>98</v>
      </c>
      <c r="M20" s="183" t="s">
        <v>93</v>
      </c>
      <c r="N20" s="184" t="str">
        <f t="shared" si="1"/>
        <v>USD3L12L12Y</v>
      </c>
      <c r="O20" s="82" t="str">
        <v>USD3L12L12Y=SMKR</v>
      </c>
      <c r="P20" s="278">
        <v>15.5</v>
      </c>
      <c r="Q20" s="278">
        <v>25.5</v>
      </c>
      <c r="R20" s="292">
        <v>0</v>
      </c>
      <c r="S20" s="291">
        <v>0</v>
      </c>
      <c r="T20" s="278">
        <f>_xll.qlMidEquivalent(P20,Q20)</f>
        <v>20.5</v>
      </c>
      <c r="U20" s="289">
        <v>12</v>
      </c>
      <c r="V20" s="85" t="b">
        <f t="shared" si="2"/>
        <v>1</v>
      </c>
      <c r="W20" s="278">
        <v>20.5</v>
      </c>
      <c r="X20" s="195"/>
      <c r="Y20" s="284">
        <v>22.3</v>
      </c>
      <c r="Z20" s="195"/>
      <c r="AA20" s="278">
        <v>20.5</v>
      </c>
      <c r="AB20" s="188">
        <f>_xll.qlSimpleQuoteSetValue(F20,AA20/10000,Trigger)</f>
        <v>-1.2499999999999924E-5</v>
      </c>
      <c r="AC20" s="77"/>
    </row>
    <row r="21" spans="1:29" ht="11.25" customHeight="1" x14ac:dyDescent="0.2">
      <c r="A21" s="76"/>
      <c r="B21" s="183" t="str">
        <f t="shared" si="3"/>
        <v>13Y</v>
      </c>
      <c r="C21" s="228" t="str">
        <f t="shared" si="4"/>
        <v>12L</v>
      </c>
      <c r="D21" s="229" t="str">
        <f t="shared" si="5"/>
        <v>3L</v>
      </c>
      <c r="E21" s="230" t="str">
        <f t="shared" si="0"/>
        <v>USD12L3L13Y_Quote</v>
      </c>
      <c r="F21" s="230" t="str">
        <f>_xll.qlSimpleQuote(E21,,RateTickValue,Permanent,Trigger,ObjectOverwrite)</f>
        <v>USD12L3L13Y_Quote#0000</v>
      </c>
      <c r="G21" s="280" t="str">
        <f>_xll.ohRangeRetrieveError(F21)</f>
        <v/>
      </c>
      <c r="H21" s="171"/>
      <c r="J21" s="287"/>
      <c r="K21" s="183" t="s">
        <v>73</v>
      </c>
      <c r="L21" s="183" t="s">
        <v>98</v>
      </c>
      <c r="M21" s="183" t="s">
        <v>93</v>
      </c>
      <c r="N21" s="184" t="str">
        <f t="shared" si="1"/>
        <v>USD3L12L13Y</v>
      </c>
      <c r="O21" s="82" t="str">
        <v>USD3L12L13Y=SMKR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20.849990999606863</v>
      </c>
      <c r="X21" s="195"/>
      <c r="Y21" s="284">
        <v>22.274074074074075</v>
      </c>
      <c r="Z21" s="195"/>
      <c r="AA21" s="278">
        <v>20.849990999606863</v>
      </c>
      <c r="AB21" s="188">
        <f>_xll.qlSimpleQuoteSetValue(F21,AA21/10000,Trigger)</f>
        <v>-7.0872155871113361E-6</v>
      </c>
      <c r="AC21" s="77"/>
    </row>
    <row r="22" spans="1:29" ht="11.25" customHeight="1" x14ac:dyDescent="0.2">
      <c r="A22" s="76"/>
      <c r="B22" s="183" t="str">
        <f t="shared" si="3"/>
        <v>14Y</v>
      </c>
      <c r="C22" s="228" t="str">
        <f t="shared" si="4"/>
        <v>12L</v>
      </c>
      <c r="D22" s="229" t="str">
        <f t="shared" si="5"/>
        <v>3L</v>
      </c>
      <c r="E22" s="230" t="str">
        <f t="shared" si="0"/>
        <v>USD12L3L14Y_Quote</v>
      </c>
      <c r="F22" s="230" t="str">
        <f>_xll.qlSimpleQuote(E22,,RateTickValue,Permanent,Trigger,ObjectOverwrite)</f>
        <v>USD12L3L14Y_Quote#0000</v>
      </c>
      <c r="G22" s="280" t="str">
        <f>_xll.ohRangeRetrieveError(F22)</f>
        <v/>
      </c>
      <c r="H22" s="171"/>
      <c r="J22" s="287"/>
      <c r="K22" s="183" t="s">
        <v>72</v>
      </c>
      <c r="L22" s="183" t="s">
        <v>98</v>
      </c>
      <c r="M22" s="183" t="s">
        <v>93</v>
      </c>
      <c r="N22" s="184" t="str">
        <f t="shared" si="1"/>
        <v>USD3L12L14Y</v>
      </c>
      <c r="O22" s="82" t="str">
        <v>USD3L12L14Y=SMKR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21.08439576602445</v>
      </c>
      <c r="X22" s="195"/>
      <c r="Y22" s="284">
        <v>22.225925925925925</v>
      </c>
      <c r="Z22" s="195"/>
      <c r="AA22" s="278">
        <v>21.08439576602445</v>
      </c>
      <c r="AB22" s="188">
        <f>_xll.qlSimpleQuoteSetValue(F22,AA22/10000,Trigger)</f>
        <v>-1.9803941532127532E-5</v>
      </c>
      <c r="AC22" s="77"/>
    </row>
    <row r="23" spans="1:29" ht="11.25" customHeight="1" x14ac:dyDescent="0.2">
      <c r="A23" s="76"/>
      <c r="B23" s="183" t="str">
        <f t="shared" si="3"/>
        <v>15Y</v>
      </c>
      <c r="C23" s="228" t="str">
        <f t="shared" si="4"/>
        <v>12L</v>
      </c>
      <c r="D23" s="229" t="str">
        <f t="shared" si="5"/>
        <v>3L</v>
      </c>
      <c r="E23" s="230" t="str">
        <f t="shared" si="0"/>
        <v>USD12L3L15Y_Quote</v>
      </c>
      <c r="F23" s="230" t="str">
        <f>_xll.qlSimpleQuote(E23,,RateTickValue,Permanent,Trigger,ObjectOverwrite)</f>
        <v>USD12L3L15Y_Quote#0000</v>
      </c>
      <c r="G23" s="280" t="str">
        <f>_xll.ohRangeRetrieveError(F23)</f>
        <v/>
      </c>
      <c r="H23" s="171"/>
      <c r="J23" s="287"/>
      <c r="K23" s="183" t="s">
        <v>71</v>
      </c>
      <c r="L23" s="183" t="s">
        <v>98</v>
      </c>
      <c r="M23" s="183" t="s">
        <v>93</v>
      </c>
      <c r="N23" s="184" t="str">
        <f t="shared" si="1"/>
        <v>USD3L12L15Y</v>
      </c>
      <c r="O23" s="82" t="str">
        <v>USD3L12L15Y=SMKR</v>
      </c>
      <c r="P23" s="278">
        <v>16.25</v>
      </c>
      <c r="Q23" s="278">
        <v>26.25</v>
      </c>
      <c r="R23" s="292">
        <v>0</v>
      </c>
      <c r="S23" s="291">
        <v>0</v>
      </c>
      <c r="T23" s="278">
        <f>_xll.qlMidEquivalent(P23,Q23)</f>
        <v>21.25</v>
      </c>
      <c r="U23" s="289">
        <v>15</v>
      </c>
      <c r="V23" s="85" t="b">
        <f t="shared" si="2"/>
        <v>1</v>
      </c>
      <c r="W23" s="278">
        <v>21.25</v>
      </c>
      <c r="X23" s="195"/>
      <c r="Y23" s="284">
        <v>22.2</v>
      </c>
      <c r="Z23" s="195"/>
      <c r="AA23" s="278">
        <v>21.25</v>
      </c>
      <c r="AB23" s="188">
        <f>_xll.qlSimpleQuoteSetValue(F23,AA23/10000,Trigger)</f>
        <v>-3.7499999999999773E-5</v>
      </c>
      <c r="AC23" s="77"/>
    </row>
    <row r="24" spans="1:29" ht="11.25" customHeight="1" x14ac:dyDescent="0.2">
      <c r="A24" s="76"/>
      <c r="B24" s="183" t="str">
        <f t="shared" si="3"/>
        <v>16Y</v>
      </c>
      <c r="C24" s="228" t="str">
        <f t="shared" si="4"/>
        <v>12L</v>
      </c>
      <c r="D24" s="229" t="str">
        <f t="shared" si="5"/>
        <v>3L</v>
      </c>
      <c r="E24" s="230" t="str">
        <f t="shared" si="0"/>
        <v>USD12L3L16Y_Quote</v>
      </c>
      <c r="F24" s="230" t="str">
        <f>_xll.qlSimpleQuote(E24,,RateTickValue,Permanent,Trigger,ObjectOverwrite)</f>
        <v>USD12L3L16Y_Quote#0000</v>
      </c>
      <c r="G24" s="280" t="str">
        <f>_xll.ohRangeRetrieveError(F24)</f>
        <v/>
      </c>
      <c r="H24" s="171"/>
      <c r="J24" s="287"/>
      <c r="K24" s="183" t="s">
        <v>70</v>
      </c>
      <c r="L24" s="183" t="s">
        <v>98</v>
      </c>
      <c r="M24" s="183" t="s">
        <v>93</v>
      </c>
      <c r="N24" s="184" t="str">
        <f t="shared" si="1"/>
        <v>USD3L12L16Y</v>
      </c>
      <c r="O24" s="82" t="str">
        <v>USD3L12L16Y=SMKR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21.387121300605539</v>
      </c>
      <c r="X24" s="195"/>
      <c r="Y24" s="284">
        <v>22.2</v>
      </c>
      <c r="Z24" s="195"/>
      <c r="AA24" s="278">
        <v>21.387121300605539</v>
      </c>
      <c r="AB24" s="188">
        <f>_xll.qlSimpleQuoteSetValue(F24,AA24/10000,Trigger)</f>
        <v>-4.940190070803303E-5</v>
      </c>
      <c r="AC24" s="77"/>
    </row>
    <row r="25" spans="1:29" ht="11.25" customHeight="1" x14ac:dyDescent="0.2">
      <c r="A25" s="76"/>
      <c r="B25" s="183" t="str">
        <f t="shared" si="3"/>
        <v>17Y</v>
      </c>
      <c r="C25" s="228" t="str">
        <f t="shared" si="4"/>
        <v>12L</v>
      </c>
      <c r="D25" s="229" t="str">
        <f t="shared" si="5"/>
        <v>3L</v>
      </c>
      <c r="E25" s="230" t="str">
        <f t="shared" si="0"/>
        <v>USD12L3L17Y_Quote</v>
      </c>
      <c r="F25" s="230" t="str">
        <f>_xll.qlSimpleQuote(E25,,RateTickValue,Permanent,Trigger,ObjectOverwrite)</f>
        <v>USD12L3L17Y_Quote#0000</v>
      </c>
      <c r="G25" s="280" t="str">
        <f>_xll.ohRangeRetrieveError(F25)</f>
        <v/>
      </c>
      <c r="H25" s="171"/>
      <c r="J25" s="287"/>
      <c r="K25" s="183" t="s">
        <v>69</v>
      </c>
      <c r="L25" s="183" t="s">
        <v>98</v>
      </c>
      <c r="M25" s="183" t="s">
        <v>93</v>
      </c>
      <c r="N25" s="184" t="str">
        <f t="shared" si="1"/>
        <v>USD3L12L17Y</v>
      </c>
      <c r="O25" s="82" t="str">
        <v>USD3L12L17Y=SMKR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21.510204860212294</v>
      </c>
      <c r="X25" s="195"/>
      <c r="Y25" s="284">
        <v>22.2</v>
      </c>
      <c r="Z25" s="195"/>
      <c r="AA25" s="278">
        <v>21.510204860212294</v>
      </c>
      <c r="AB25" s="188">
        <f>_xll.qlSimpleQuoteSetValue(F25,AA25/10000,Trigger)</f>
        <v>-5.4242903582960109E-5</v>
      </c>
      <c r="AC25" s="77"/>
    </row>
    <row r="26" spans="1:29" ht="11.25" customHeight="1" x14ac:dyDescent="0.2">
      <c r="A26" s="76"/>
      <c r="B26" s="183" t="str">
        <f t="shared" si="3"/>
        <v>18Y</v>
      </c>
      <c r="C26" s="228" t="str">
        <f t="shared" si="4"/>
        <v>12L</v>
      </c>
      <c r="D26" s="229" t="str">
        <f t="shared" si="5"/>
        <v>3L</v>
      </c>
      <c r="E26" s="230" t="str">
        <f t="shared" si="0"/>
        <v>USD12L3L18Y_Quote</v>
      </c>
      <c r="F26" s="230" t="str">
        <f>_xll.qlSimpleQuote(E26,,RateTickValue,Permanent,Trigger,ObjectOverwrite)</f>
        <v>USD12L3L18Y_Quote#0000</v>
      </c>
      <c r="G26" s="280" t="str">
        <f>_xll.ohRangeRetrieveError(F26)</f>
        <v/>
      </c>
      <c r="H26" s="171"/>
      <c r="J26" s="287"/>
      <c r="K26" s="183" t="s">
        <v>68</v>
      </c>
      <c r="L26" s="183" t="s">
        <v>98</v>
      </c>
      <c r="M26" s="183" t="s">
        <v>93</v>
      </c>
      <c r="N26" s="184" t="str">
        <f t="shared" si="1"/>
        <v>USD3L12L18Y</v>
      </c>
      <c r="O26" s="82" t="str">
        <v>USD3L12L18Y=SMKR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21.627227769516278</v>
      </c>
      <c r="X26" s="195"/>
      <c r="Y26" s="284">
        <v>22.2</v>
      </c>
      <c r="Z26" s="195"/>
      <c r="AA26" s="278">
        <v>21.627227769516278</v>
      </c>
      <c r="AB26" s="188">
        <f>_xll.qlSimpleQuoteSetValue(F26,AA26/10000,Trigger)</f>
        <v>-5.3132956103870126E-5</v>
      </c>
      <c r="AC26" s="77"/>
    </row>
    <row r="27" spans="1:29" ht="11.25" customHeight="1" x14ac:dyDescent="0.2">
      <c r="A27" s="76"/>
      <c r="B27" s="183" t="str">
        <f t="shared" si="3"/>
        <v>19Y</v>
      </c>
      <c r="C27" s="228" t="str">
        <f t="shared" si="4"/>
        <v>12L</v>
      </c>
      <c r="D27" s="229" t="str">
        <f t="shared" si="5"/>
        <v>3L</v>
      </c>
      <c r="E27" s="230" t="str">
        <f t="shared" si="0"/>
        <v>USD12L3L19Y_Quote</v>
      </c>
      <c r="F27" s="230" t="str">
        <f>_xll.qlSimpleQuote(E27,,RateTickValue,Permanent,Trigger,ObjectOverwrite)</f>
        <v>USD12L3L19Y_Quote#0000</v>
      </c>
      <c r="G27" s="280" t="str">
        <f>_xll.ohRangeRetrieveError(F27)</f>
        <v/>
      </c>
      <c r="H27" s="171"/>
      <c r="J27" s="287"/>
      <c r="K27" s="183" t="s">
        <v>67</v>
      </c>
      <c r="L27" s="183" t="s">
        <v>98</v>
      </c>
      <c r="M27" s="183" t="s">
        <v>93</v>
      </c>
      <c r="N27" s="184" t="str">
        <f t="shared" si="1"/>
        <v>USD3L12L19Y</v>
      </c>
      <c r="O27" s="82" t="str">
        <v>USD3L12L19Y=SMKR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21.746167119213506</v>
      </c>
      <c r="X27" s="195"/>
      <c r="Y27" s="284">
        <v>22.2</v>
      </c>
      <c r="Z27" s="195"/>
      <c r="AA27" s="278">
        <v>21.746167119213506</v>
      </c>
      <c r="AB27" s="188">
        <f>_xll.qlSimpleQuoteSetValue(F27,AA27/10000,Trigger)</f>
        <v>-4.7182005749853932E-5</v>
      </c>
      <c r="AC27" s="77"/>
    </row>
    <row r="28" spans="1:29" ht="11.25" customHeight="1" x14ac:dyDescent="0.2">
      <c r="A28" s="76"/>
      <c r="B28" s="183" t="str">
        <f t="shared" si="3"/>
        <v>20Y</v>
      </c>
      <c r="C28" s="228" t="str">
        <f t="shared" si="4"/>
        <v>12L</v>
      </c>
      <c r="D28" s="229" t="str">
        <f t="shared" si="5"/>
        <v>3L</v>
      </c>
      <c r="E28" s="230" t="str">
        <f t="shared" si="0"/>
        <v>USD12L3L20Y_Quote</v>
      </c>
      <c r="F28" s="230" t="str">
        <f>_xll.qlSimpleQuote(E28,,RateTickValue,Permanent,Trigger,ObjectOverwrite)</f>
        <v>USD12L3L20Y_Quote#0000</v>
      </c>
      <c r="G28" s="280" t="str">
        <f>_xll.ohRangeRetrieveError(F28)</f>
        <v/>
      </c>
      <c r="H28" s="171"/>
      <c r="J28" s="287"/>
      <c r="K28" s="183" t="s">
        <v>66</v>
      </c>
      <c r="L28" s="183" t="s">
        <v>98</v>
      </c>
      <c r="M28" s="183" t="s">
        <v>93</v>
      </c>
      <c r="N28" s="184" t="str">
        <f t="shared" si="1"/>
        <v>USD3L12L20Y</v>
      </c>
      <c r="O28" s="82" t="str">
        <v>USD3L12L20Y=SMKR</v>
      </c>
      <c r="P28" s="278">
        <v>16.875</v>
      </c>
      <c r="Q28" s="278">
        <v>26.875</v>
      </c>
      <c r="R28" s="292">
        <v>0</v>
      </c>
      <c r="S28" s="291">
        <v>0</v>
      </c>
      <c r="T28" s="278">
        <f>_xll.qlMidEquivalent(P28,Q28)</f>
        <v>21.875</v>
      </c>
      <c r="U28" s="289">
        <v>20</v>
      </c>
      <c r="V28" s="85" t="b">
        <f t="shared" si="2"/>
        <v>1</v>
      </c>
      <c r="W28" s="278">
        <v>21.875</v>
      </c>
      <c r="X28" s="195"/>
      <c r="Y28" s="284">
        <v>22.2</v>
      </c>
      <c r="Z28" s="195"/>
      <c r="AA28" s="278">
        <v>21.875</v>
      </c>
      <c r="AB28" s="188">
        <f>_xll.qlSimpleQuoteSetValue(F28,AA28/10000,Trigger)</f>
        <v>-3.7499999999999773E-5</v>
      </c>
      <c r="AC28" s="77"/>
    </row>
    <row r="29" spans="1:29" ht="11.25" customHeight="1" x14ac:dyDescent="0.2">
      <c r="A29" s="76"/>
      <c r="B29" s="183" t="str">
        <f t="shared" si="3"/>
        <v>21Y</v>
      </c>
      <c r="C29" s="228" t="str">
        <f t="shared" si="4"/>
        <v>12L</v>
      </c>
      <c r="D29" s="229" t="str">
        <f t="shared" si="5"/>
        <v>3L</v>
      </c>
      <c r="E29" s="230" t="str">
        <f t="shared" si="0"/>
        <v>USD12L3L21Y_Quote</v>
      </c>
      <c r="F29" s="230" t="str">
        <f>_xll.qlSimpleQuote(E29,,RateTickValue,Permanent,Trigger,ObjectOverwrite)</f>
        <v>USD12L3L21Y_Quote#0000</v>
      </c>
      <c r="G29" s="280" t="str">
        <f>_xll.ohRangeRetrieveError(F29)</f>
        <v/>
      </c>
      <c r="H29" s="171"/>
      <c r="J29" s="287"/>
      <c r="K29" s="183" t="s">
        <v>65</v>
      </c>
      <c r="L29" s="183" t="s">
        <v>98</v>
      </c>
      <c r="M29" s="183" t="s">
        <v>93</v>
      </c>
      <c r="N29" s="184" t="str">
        <f t="shared" si="1"/>
        <v>USD3L12L21Y</v>
      </c>
      <c r="O29" s="82" t="str">
        <v>USD3L12L21Y=SMKR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22.01812937821472</v>
      </c>
      <c r="X29" s="195"/>
      <c r="Y29" s="284">
        <v>22.189599999999999</v>
      </c>
      <c r="Z29" s="195"/>
      <c r="AA29" s="278">
        <v>22.01812937821472</v>
      </c>
      <c r="AB29" s="188">
        <f>_xll.qlSimpleQuoteSetValue(F29,AA29/10000,Trigger)</f>
        <v>-2.5321107916748044E-5</v>
      </c>
      <c r="AC29" s="77"/>
    </row>
    <row r="30" spans="1:29" ht="11.25" customHeight="1" x14ac:dyDescent="0.2">
      <c r="A30" s="76"/>
      <c r="B30" s="183" t="str">
        <f t="shared" si="3"/>
        <v>22Y</v>
      </c>
      <c r="C30" s="228" t="str">
        <f t="shared" si="4"/>
        <v>12L</v>
      </c>
      <c r="D30" s="229" t="str">
        <f t="shared" si="5"/>
        <v>3L</v>
      </c>
      <c r="E30" s="230" t="str">
        <f t="shared" si="0"/>
        <v>USD12L3L22Y_Quote</v>
      </c>
      <c r="F30" s="230" t="str">
        <f>_xll.qlSimpleQuote(E30,,RateTickValue,Permanent,Trigger,ObjectOverwrite)</f>
        <v>USD12L3L22Y_Quote#0000</v>
      </c>
      <c r="G30" s="280" t="str">
        <f>_xll.ohRangeRetrieveError(F30)</f>
        <v/>
      </c>
      <c r="H30" s="171"/>
      <c r="J30" s="287"/>
      <c r="K30" s="183" t="s">
        <v>64</v>
      </c>
      <c r="L30" s="183" t="s">
        <v>98</v>
      </c>
      <c r="M30" s="183" t="s">
        <v>93</v>
      </c>
      <c r="N30" s="184" t="str">
        <f t="shared" si="1"/>
        <v>USD3L12L22Y</v>
      </c>
      <c r="O30" s="82" t="str">
        <v>USD3L12L22Y=SMKR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22.165661722768398</v>
      </c>
      <c r="X30" s="195"/>
      <c r="Y30" s="284">
        <v>22.1648</v>
      </c>
      <c r="Z30" s="195"/>
      <c r="AA30" s="278">
        <v>22.165661722768398</v>
      </c>
      <c r="AB30" s="188">
        <f>_xll.qlSimpleQuoteSetValue(F30,AA30/10000,Trigger)</f>
        <v>-1.2376384895935143E-5</v>
      </c>
      <c r="AC30" s="77"/>
    </row>
    <row r="31" spans="1:29" ht="11.25" customHeight="1" x14ac:dyDescent="0.2">
      <c r="A31" s="76"/>
      <c r="B31" s="183" t="str">
        <f t="shared" si="3"/>
        <v>23Y</v>
      </c>
      <c r="C31" s="228" t="str">
        <f t="shared" si="4"/>
        <v>12L</v>
      </c>
      <c r="D31" s="229" t="str">
        <f t="shared" si="5"/>
        <v>3L</v>
      </c>
      <c r="E31" s="230" t="str">
        <f t="shared" si="0"/>
        <v>USD12L3L23Y_Quote</v>
      </c>
      <c r="F31" s="230" t="str">
        <f>_xll.qlSimpleQuote(E31,,RateTickValue,Permanent,Trigger,ObjectOverwrite)</f>
        <v>USD12L3L23Y_Quote#0000</v>
      </c>
      <c r="G31" s="280" t="str">
        <f>_xll.ohRangeRetrieveError(F31)</f>
        <v/>
      </c>
      <c r="H31" s="171"/>
      <c r="J31" s="287"/>
      <c r="K31" s="183" t="s">
        <v>63</v>
      </c>
      <c r="L31" s="183" t="s">
        <v>98</v>
      </c>
      <c r="M31" s="183" t="s">
        <v>93</v>
      </c>
      <c r="N31" s="184" t="str">
        <f t="shared" si="1"/>
        <v>USD3L12L23Y</v>
      </c>
      <c r="O31" s="82" t="str">
        <v>USD3L12L23Y=SMKR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22.304129378214718</v>
      </c>
      <c r="X31" s="195"/>
      <c r="Y31" s="284">
        <v>22.135200000000001</v>
      </c>
      <c r="Z31" s="195"/>
      <c r="AA31" s="278">
        <v>22.304129378214718</v>
      </c>
      <c r="AB31" s="188">
        <f>_xll.qlSimpleQuoteSetValue(F31,AA31/10000,Trigger)</f>
        <v>-5.2110791674830903E-7</v>
      </c>
      <c r="AC31" s="77"/>
    </row>
    <row r="32" spans="1:29" ht="11.25" customHeight="1" x14ac:dyDescent="0.2">
      <c r="A32" s="76"/>
      <c r="B32" s="183" t="str">
        <f t="shared" si="3"/>
        <v>24Y</v>
      </c>
      <c r="C32" s="228" t="str">
        <f t="shared" si="4"/>
        <v>12L</v>
      </c>
      <c r="D32" s="229" t="str">
        <f t="shared" si="5"/>
        <v>3L</v>
      </c>
      <c r="E32" s="230" t="str">
        <f t="shared" si="0"/>
        <v>USD12L3L24Y_Quote</v>
      </c>
      <c r="F32" s="230" t="str">
        <f>_xll.qlSimpleQuote(E32,,RateTickValue,Permanent,Trigger,ObjectOverwrite)</f>
        <v>USD12L3L24Y_Quote#0000</v>
      </c>
      <c r="G32" s="280" t="str">
        <f>_xll.ohRangeRetrieveError(F32)</f>
        <v/>
      </c>
      <c r="H32" s="171"/>
      <c r="J32" s="287"/>
      <c r="K32" s="183" t="s">
        <v>62</v>
      </c>
      <c r="L32" s="183" t="s">
        <v>98</v>
      </c>
      <c r="M32" s="183" t="s">
        <v>93</v>
      </c>
      <c r="N32" s="184" t="str">
        <f t="shared" si="1"/>
        <v>USD3L12L24Y</v>
      </c>
      <c r="O32" s="82" t="str">
        <v>USD3L12L24Y=SMKR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22.42006468910736</v>
      </c>
      <c r="X32" s="195"/>
      <c r="Y32" s="284">
        <v>22.110400000000002</v>
      </c>
      <c r="Z32" s="195"/>
      <c r="AA32" s="278">
        <v>22.42006468910736</v>
      </c>
      <c r="AB32" s="188">
        <f>_xll.qlSimpleQuoteSetValue(F32,AA32/10000,Trigger)</f>
        <v>8.3894460416260828E-6</v>
      </c>
      <c r="AC32" s="77"/>
    </row>
    <row r="33" spans="1:29" ht="11.25" customHeight="1" x14ac:dyDescent="0.2">
      <c r="A33" s="76"/>
      <c r="B33" s="183" t="str">
        <f t="shared" si="3"/>
        <v>25Y</v>
      </c>
      <c r="C33" s="228" t="str">
        <f t="shared" si="4"/>
        <v>12L</v>
      </c>
      <c r="D33" s="229" t="str">
        <f t="shared" si="5"/>
        <v>3L</v>
      </c>
      <c r="E33" s="230" t="str">
        <f t="shared" si="0"/>
        <v>USD12L3L25Y_Quote</v>
      </c>
      <c r="F33" s="230" t="str">
        <f>_xll.qlSimpleQuote(E33,,RateTickValue,Permanent,Trigger,ObjectOverwrite)</f>
        <v>USD12L3L25Y_Quote#0000</v>
      </c>
      <c r="G33" s="280" t="str">
        <f>_xll.ohRangeRetrieveError(F33)</f>
        <v/>
      </c>
      <c r="H33" s="171"/>
      <c r="J33" s="287"/>
      <c r="K33" s="183" t="s">
        <v>61</v>
      </c>
      <c r="L33" s="183" t="s">
        <v>98</v>
      </c>
      <c r="M33" s="183" t="s">
        <v>93</v>
      </c>
      <c r="N33" s="184" t="str">
        <f t="shared" si="1"/>
        <v>USD3L12L25Y</v>
      </c>
      <c r="O33" s="82" t="str">
        <v>USD3L12L25Y=SMKR</v>
      </c>
      <c r="P33" s="278">
        <v>17.5</v>
      </c>
      <c r="Q33" s="278">
        <v>27.5</v>
      </c>
      <c r="R33" s="292">
        <v>0</v>
      </c>
      <c r="S33" s="291">
        <v>0</v>
      </c>
      <c r="T33" s="278">
        <f>_xll.qlMidEquivalent(P33,Q33)</f>
        <v>22.5</v>
      </c>
      <c r="U33" s="289">
        <v>25</v>
      </c>
      <c r="V33" s="85" t="b">
        <f t="shared" si="2"/>
        <v>1</v>
      </c>
      <c r="W33" s="278">
        <v>22.5</v>
      </c>
      <c r="X33" s="195"/>
      <c r="Y33" s="284">
        <v>22.1</v>
      </c>
      <c r="Z33" s="195"/>
      <c r="AA33" s="278">
        <v>22.5</v>
      </c>
      <c r="AB33" s="188">
        <f>_xll.qlSimpleQuoteSetValue(F33,AA33/10000,Trigger)</f>
        <v>1.2499999999999924E-5</v>
      </c>
      <c r="AC33" s="77"/>
    </row>
    <row r="34" spans="1:29" ht="11.25" customHeight="1" x14ac:dyDescent="0.2">
      <c r="A34" s="76"/>
      <c r="B34" s="183" t="str">
        <f t="shared" si="3"/>
        <v>26Y</v>
      </c>
      <c r="C34" s="228" t="str">
        <f t="shared" si="4"/>
        <v>12L</v>
      </c>
      <c r="D34" s="229" t="str">
        <f t="shared" si="5"/>
        <v>3L</v>
      </c>
      <c r="E34" s="230" t="str">
        <f t="shared" si="0"/>
        <v>USD12L3L26Y_Quote</v>
      </c>
      <c r="F34" s="230" t="str">
        <f>_xll.qlSimpleQuote(E34,,RateTickValue,Permanent,Trigger,ObjectOverwrite)</f>
        <v>USD12L3L26Y_Quote#0000</v>
      </c>
      <c r="G34" s="280" t="str">
        <f>_xll.ohRangeRetrieveError(F34)</f>
        <v/>
      </c>
      <c r="H34" s="171"/>
      <c r="J34" s="287"/>
      <c r="K34" s="183" t="s">
        <v>60</v>
      </c>
      <c r="L34" s="183" t="s">
        <v>98</v>
      </c>
      <c r="M34" s="183" t="s">
        <v>93</v>
      </c>
      <c r="N34" s="184" t="str">
        <f t="shared" si="1"/>
        <v>USD3L12L26Y</v>
      </c>
      <c r="O34" s="82" t="str">
        <v>USD3L12L26Y=SMKR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22.534361186535584</v>
      </c>
      <c r="X34" s="195"/>
      <c r="Y34" s="284">
        <v>22.1</v>
      </c>
      <c r="Z34" s="195"/>
      <c r="AA34" s="278">
        <v>22.534361186535584</v>
      </c>
      <c r="AB34" s="188">
        <f>_xll.qlSimpleQuoteSetValue(F34,AA34/10000,Trigger)</f>
        <v>1.0486332375024728E-5</v>
      </c>
      <c r="AC34" s="77"/>
    </row>
    <row r="35" spans="1:29" ht="11.25" customHeight="1" x14ac:dyDescent="0.2">
      <c r="A35" s="76"/>
      <c r="B35" s="183" t="str">
        <f t="shared" si="3"/>
        <v>27Y</v>
      </c>
      <c r="C35" s="228" t="str">
        <f t="shared" si="4"/>
        <v>12L</v>
      </c>
      <c r="D35" s="229" t="str">
        <f t="shared" si="5"/>
        <v>3L</v>
      </c>
      <c r="E35" s="230" t="str">
        <f t="shared" si="0"/>
        <v>USD12L3L27Y_Quote</v>
      </c>
      <c r="F35" s="230" t="str">
        <f>_xll.qlSimpleQuote(E35,,RateTickValue,Permanent,Trigger,ObjectOverwrite)</f>
        <v>USD12L3L27Y_Quote#0000</v>
      </c>
      <c r="G35" s="280" t="str">
        <f>_xll.ohRangeRetrieveError(F35)</f>
        <v/>
      </c>
      <c r="H35" s="171"/>
      <c r="J35" s="287"/>
      <c r="K35" s="183" t="s">
        <v>59</v>
      </c>
      <c r="L35" s="183" t="s">
        <v>98</v>
      </c>
      <c r="M35" s="183" t="s">
        <v>93</v>
      </c>
      <c r="N35" s="184" t="str">
        <f t="shared" si="1"/>
        <v>USD3L12L27Y</v>
      </c>
      <c r="O35" s="82" t="str">
        <v>USD3L12L27Y=SMKR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22.529148248714112</v>
      </c>
      <c r="X35" s="195"/>
      <c r="Y35" s="284">
        <v>22.1</v>
      </c>
      <c r="Z35" s="195"/>
      <c r="AA35" s="278">
        <v>22.529148248714112</v>
      </c>
      <c r="AB35" s="188">
        <f>_xll.qlSimpleQuoteSetValue(F35,AA35/10000,Trigger)</f>
        <v>3.1484431666987771E-6</v>
      </c>
      <c r="AC35" s="77"/>
    </row>
    <row r="36" spans="1:29" ht="11.25" customHeight="1" x14ac:dyDescent="0.2">
      <c r="A36" s="76"/>
      <c r="B36" s="183" t="str">
        <f t="shared" si="3"/>
        <v>28Y</v>
      </c>
      <c r="C36" s="228" t="str">
        <f t="shared" si="4"/>
        <v>12L</v>
      </c>
      <c r="D36" s="229" t="str">
        <f t="shared" si="5"/>
        <v>3L</v>
      </c>
      <c r="E36" s="230" t="str">
        <f t="shared" si="0"/>
        <v>USD12L3L28Y_Quote</v>
      </c>
      <c r="F36" s="230" t="str">
        <f>_xll.qlSimpleQuote(E36,,RateTickValue,Permanent,Trigger,ObjectOverwrite)</f>
        <v>USD12L3L28Y_Quote#0000</v>
      </c>
      <c r="G36" s="280" t="str">
        <f>_xll.ohRangeRetrieveError(F36)</f>
        <v/>
      </c>
      <c r="H36" s="171"/>
      <c r="J36" s="287"/>
      <c r="K36" s="183" t="s">
        <v>58</v>
      </c>
      <c r="L36" s="183" t="s">
        <v>98</v>
      </c>
      <c r="M36" s="183" t="s">
        <v>93</v>
      </c>
      <c r="N36" s="184" t="str">
        <f t="shared" si="1"/>
        <v>USD3L12L28Y</v>
      </c>
      <c r="O36" s="82" t="str">
        <v>USD3L12L28Y=SMKR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22.494254717624848</v>
      </c>
      <c r="X36" s="195"/>
      <c r="Y36" s="284">
        <v>22.1</v>
      </c>
      <c r="Z36" s="195"/>
      <c r="AA36" s="278">
        <v>22.494254717624848</v>
      </c>
      <c r="AB36" s="188">
        <f>_xll.qlSimpleQuoteSetValue(F36,AA36/10000,Trigger)</f>
        <v>-8.182612229138287E-6</v>
      </c>
      <c r="AC36" s="77"/>
    </row>
    <row r="37" spans="1:29" ht="11.25" customHeight="1" x14ac:dyDescent="0.2">
      <c r="A37" s="76"/>
      <c r="B37" s="183" t="str">
        <f t="shared" si="3"/>
        <v>29Y</v>
      </c>
      <c r="C37" s="228" t="str">
        <f t="shared" si="4"/>
        <v>12L</v>
      </c>
      <c r="D37" s="229" t="str">
        <f t="shared" si="5"/>
        <v>3L</v>
      </c>
      <c r="E37" s="230" t="str">
        <f t="shared" si="0"/>
        <v>USD12L3L29Y_Quote</v>
      </c>
      <c r="F37" s="230" t="str">
        <f>_xll.qlSimpleQuote(E37,,RateTickValue,Permanent,Trigger,ObjectOverwrite)</f>
        <v>USD12L3L29Y_Quote#0000</v>
      </c>
      <c r="G37" s="280" t="str">
        <f>_xll.ohRangeRetrieveError(F37)</f>
        <v/>
      </c>
      <c r="H37" s="171"/>
      <c r="J37" s="287"/>
      <c r="K37" s="183" t="s">
        <v>57</v>
      </c>
      <c r="L37" s="183" t="s">
        <v>98</v>
      </c>
      <c r="M37" s="183" t="s">
        <v>93</v>
      </c>
      <c r="N37" s="184" t="str">
        <f t="shared" si="1"/>
        <v>USD3L12L29Y</v>
      </c>
      <c r="O37" s="82" t="str">
        <v>USD3L12L29Y=SMKR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22.439574124357055</v>
      </c>
      <c r="X37" s="195"/>
      <c r="Y37" s="284">
        <v>22.1</v>
      </c>
      <c r="Z37" s="195"/>
      <c r="AA37" s="278">
        <v>22.439574124357055</v>
      </c>
      <c r="AB37" s="188">
        <f>_xll.qlSimpleQuoteSetValue(F37,AA37/10000,Trigger)</f>
        <v>-2.2175778416650728E-5</v>
      </c>
      <c r="AC37" s="77"/>
    </row>
    <row r="38" spans="1:29" ht="11.25" customHeight="1" x14ac:dyDescent="0.2">
      <c r="A38" s="76"/>
      <c r="B38" s="183" t="str">
        <f t="shared" si="3"/>
        <v>30Y</v>
      </c>
      <c r="C38" s="228" t="str">
        <f t="shared" si="4"/>
        <v>12L</v>
      </c>
      <c r="D38" s="229" t="str">
        <f t="shared" si="5"/>
        <v>3L</v>
      </c>
      <c r="E38" s="230" t="str">
        <f t="shared" si="0"/>
        <v>USD12L3L30Y_Quote</v>
      </c>
      <c r="F38" s="230" t="str">
        <f>_xll.qlSimpleQuote(E38,,RateTickValue,Permanent,Trigger,ObjectOverwrite)</f>
        <v>USD12L3L30Y_Quote#0000</v>
      </c>
      <c r="G38" s="280" t="str">
        <f>_xll.ohRangeRetrieveError(F38)</f>
        <v/>
      </c>
      <c r="H38" s="171"/>
      <c r="J38" s="287"/>
      <c r="K38" s="183" t="s">
        <v>56</v>
      </c>
      <c r="L38" s="183" t="s">
        <v>98</v>
      </c>
      <c r="M38" s="183" t="s">
        <v>93</v>
      </c>
      <c r="N38" s="184" t="str">
        <f t="shared" si="1"/>
        <v>USD3L12L30Y</v>
      </c>
      <c r="O38" s="82" t="str">
        <v>USD3L12L30Y=SMKR</v>
      </c>
      <c r="P38" s="278">
        <v>17.375</v>
      </c>
      <c r="Q38" s="278">
        <v>27.375</v>
      </c>
      <c r="R38" s="292">
        <v>0</v>
      </c>
      <c r="S38" s="291">
        <v>0</v>
      </c>
      <c r="T38" s="278">
        <f>_xll.qlMidEquivalent(P38,Q38)</f>
        <v>22.375</v>
      </c>
      <c r="U38" s="289">
        <v>30</v>
      </c>
      <c r="V38" s="85" t="b">
        <f t="shared" si="2"/>
        <v>1</v>
      </c>
      <c r="W38" s="278">
        <v>22.375</v>
      </c>
      <c r="X38" s="195"/>
      <c r="Y38" s="284">
        <v>22.1</v>
      </c>
      <c r="Z38" s="195"/>
      <c r="AA38" s="278">
        <v>22.375</v>
      </c>
      <c r="AB38" s="188">
        <f>_xll.qlSimpleQuoteSetValue(F38,AA38/10000,Trigger)</f>
        <v>-3.7500000000000207E-5</v>
      </c>
      <c r="AC38" s="77"/>
    </row>
    <row r="39" spans="1:29" ht="11.25" customHeight="1" x14ac:dyDescent="0.2">
      <c r="A39" s="76"/>
      <c r="B39" s="183" t="str">
        <f t="shared" si="3"/>
        <v>35Y</v>
      </c>
      <c r="C39" s="228" t="str">
        <f t="shared" si="4"/>
        <v>12L</v>
      </c>
      <c r="D39" s="229" t="str">
        <f t="shared" si="5"/>
        <v>3L</v>
      </c>
      <c r="E39" s="230" t="str">
        <f t="shared" si="0"/>
        <v>USD12L3L35Y_Quote</v>
      </c>
      <c r="F39" s="230" t="str">
        <f>_xll.qlSimpleQuote(E39,,RateTickValue,Permanent,Trigger,ObjectOverwrite)</f>
        <v>USD12L3L35Y_Quote#0000</v>
      </c>
      <c r="G39" s="280" t="str">
        <f>_xll.ohRangeRetrieveError(F39)</f>
        <v/>
      </c>
      <c r="H39" s="171"/>
      <c r="J39" s="287"/>
      <c r="K39" s="183" t="s">
        <v>51</v>
      </c>
      <c r="L39" s="183" t="s">
        <v>98</v>
      </c>
      <c r="M39" s="183" t="s">
        <v>93</v>
      </c>
      <c r="N39" s="184" t="str">
        <f t="shared" si="1"/>
        <v>USD3L12L35Y</v>
      </c>
      <c r="O39" s="82" t="str">
        <v>USD3L12L35Y=SMKR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22.375</v>
      </c>
      <c r="X39" s="195"/>
      <c r="Y39" s="297">
        <v>22.1</v>
      </c>
      <c r="Z39" s="195"/>
      <c r="AA39" s="297">
        <v>22.375</v>
      </c>
      <c r="AB39" s="188">
        <f>_xll.qlSimpleQuoteSetValue(F39,AA39/10000,Trigger)</f>
        <v>-3.7500000000000207E-5</v>
      </c>
      <c r="AC39" s="77"/>
    </row>
    <row r="40" spans="1:29" ht="11.25" customHeight="1" x14ac:dyDescent="0.2">
      <c r="A40" s="76"/>
      <c r="B40" s="183" t="str">
        <f t="shared" si="3"/>
        <v>40Y</v>
      </c>
      <c r="C40" s="228" t="str">
        <f t="shared" si="4"/>
        <v>12L</v>
      </c>
      <c r="D40" s="229" t="str">
        <f t="shared" si="5"/>
        <v>3L</v>
      </c>
      <c r="E40" s="230" t="str">
        <f t="shared" si="0"/>
        <v>USD12L3L40Y_Quote</v>
      </c>
      <c r="F40" s="230" t="str">
        <f>_xll.qlSimpleQuote(E40,,RateTickValue,Permanent,Trigger,ObjectOverwrite)</f>
        <v>USD12L3L40Y_Quote#0000</v>
      </c>
      <c r="G40" s="280" t="str">
        <f>_xll.ohRangeRetrieveError(F40)</f>
        <v/>
      </c>
      <c r="H40" s="171"/>
      <c r="J40" s="287"/>
      <c r="K40" s="183" t="s">
        <v>46</v>
      </c>
      <c r="L40" s="183" t="s">
        <v>98</v>
      </c>
      <c r="M40" s="183" t="s">
        <v>93</v>
      </c>
      <c r="N40" s="184" t="str">
        <f t="shared" si="1"/>
        <v>USD3L12L40Y</v>
      </c>
      <c r="O40" s="82" t="str">
        <v>USD3L12L40Y=SMKR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 t="shared" ref="W40:W42" si="6">W39</f>
        <v>22.375</v>
      </c>
      <c r="X40" s="195"/>
      <c r="Y40" s="297">
        <v>22.1</v>
      </c>
      <c r="Z40" s="195"/>
      <c r="AA40" s="297">
        <v>22.375</v>
      </c>
      <c r="AB40" s="188">
        <f>_xll.qlSimpleQuoteSetValue(F40,AA40/10000,Trigger)</f>
        <v>-3.7500000000000207E-5</v>
      </c>
      <c r="AC40" s="77"/>
    </row>
    <row r="41" spans="1:29" ht="11.25" customHeight="1" x14ac:dyDescent="0.2">
      <c r="A41" s="76"/>
      <c r="B41" s="183" t="str">
        <f t="shared" si="3"/>
        <v>50Y</v>
      </c>
      <c r="C41" s="228" t="str">
        <f t="shared" si="4"/>
        <v>12L</v>
      </c>
      <c r="D41" s="229" t="str">
        <f t="shared" si="5"/>
        <v>3L</v>
      </c>
      <c r="E41" s="230" t="str">
        <f t="shared" si="0"/>
        <v>USD12L3L50Y_Quote</v>
      </c>
      <c r="F41" s="230" t="str">
        <f>_xll.qlSimpleQuote(E41,,RateTickValue,Permanent,Trigger,ObjectOverwrite)</f>
        <v>USD12L3L50Y_Quote#0000</v>
      </c>
      <c r="G41" s="280" t="str">
        <f>_xll.ohRangeRetrieveError(F41)</f>
        <v/>
      </c>
      <c r="H41" s="171"/>
      <c r="J41" s="287"/>
      <c r="K41" s="183" t="s">
        <v>36</v>
      </c>
      <c r="L41" s="183" t="s">
        <v>98</v>
      </c>
      <c r="M41" s="183" t="s">
        <v>93</v>
      </c>
      <c r="N41" s="184" t="str">
        <f t="shared" si="1"/>
        <v>USD3L12L50Y</v>
      </c>
      <c r="O41" s="82" t="str">
        <v>USD3L12L50Y=SMKR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 t="shared" si="6"/>
        <v>22.375</v>
      </c>
      <c r="X41" s="195"/>
      <c r="Y41" s="297">
        <v>22.1</v>
      </c>
      <c r="Z41" s="195"/>
      <c r="AA41" s="297">
        <v>22.375</v>
      </c>
      <c r="AB41" s="188">
        <f>_xll.qlSimpleQuoteSetValue(F41,AA41/10000,Trigger)</f>
        <v>-3.7500000000000207E-5</v>
      </c>
      <c r="AC41" s="77"/>
    </row>
    <row r="42" spans="1:29" ht="11.25" customHeight="1" x14ac:dyDescent="0.2">
      <c r="A42" s="76"/>
      <c r="B42" s="185" t="str">
        <f t="shared" si="3"/>
        <v>60Y</v>
      </c>
      <c r="C42" s="233" t="str">
        <f t="shared" si="4"/>
        <v>12L</v>
      </c>
      <c r="D42" s="234" t="str">
        <f t="shared" si="5"/>
        <v>3L</v>
      </c>
      <c r="E42" s="235" t="str">
        <f t="shared" si="0"/>
        <v>USD12L3L60Y_Quote</v>
      </c>
      <c r="F42" s="235" t="str">
        <f>_xll.qlSimpleQuote(E42,,RateTickValue,Permanent,Trigger,ObjectOverwrite)</f>
        <v>USD12L3L60Y_Quote#0000</v>
      </c>
      <c r="G42" s="282" t="str">
        <f>_xll.ohRangeRetrieveError(F42)</f>
        <v/>
      </c>
      <c r="H42" s="171"/>
      <c r="J42" s="287"/>
      <c r="K42" s="185" t="s">
        <v>26</v>
      </c>
      <c r="L42" s="185" t="s">
        <v>98</v>
      </c>
      <c r="M42" s="185" t="s">
        <v>93</v>
      </c>
      <c r="N42" s="186" t="str">
        <f t="shared" si="1"/>
        <v>USD3L12L60Y</v>
      </c>
      <c r="O42" s="83" t="str">
        <v>USD3L12L60Y=SMKR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 t="shared" si="6"/>
        <v>22.375</v>
      </c>
      <c r="X42" s="195"/>
      <c r="Y42" s="298">
        <v>22.1</v>
      </c>
      <c r="Z42" s="195"/>
      <c r="AA42" s="298">
        <v>22.375</v>
      </c>
      <c r="AB42" s="189">
        <f>_xll.qlSimpleQuoteSetValue(F42,AA42/10000,Trigger)</f>
        <v>-3.7500000000000207E-5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300" customWidth="1"/>
    <col min="3" max="3" width="4" style="300" bestFit="1" customWidth="1"/>
    <col min="4" max="4" width="10" style="300" bestFit="1" customWidth="1"/>
    <col min="5" max="5" width="30.28515625" style="300" bestFit="1" customWidth="1"/>
    <col min="6" max="6" width="33.85546875" style="300" bestFit="1" customWidth="1"/>
    <col min="7" max="7" width="20.7109375" style="300" customWidth="1"/>
    <col min="8" max="8" width="2.7109375" style="300" customWidth="1"/>
    <col min="9" max="9" width="22.7109375" style="300" customWidth="1"/>
    <col min="10" max="16384" width="9.140625" style="300"/>
  </cols>
  <sheetData>
    <row r="1" spans="2:8" s="299" customFormat="1" ht="12" thickBot="1" x14ac:dyDescent="0.25"/>
    <row r="2" spans="2:8" s="299" customFormat="1" x14ac:dyDescent="0.2">
      <c r="B2" s="23"/>
      <c r="C2" s="4"/>
      <c r="D2" s="4"/>
      <c r="E2" s="24"/>
      <c r="F2" s="4"/>
      <c r="G2" s="4"/>
      <c r="H2" s="5"/>
    </row>
    <row r="3" spans="2:8" s="299" customFormat="1" x14ac:dyDescent="0.2">
      <c r="B3" s="25"/>
      <c r="C3" s="8"/>
      <c r="D3" s="8"/>
      <c r="E3" s="301" t="s">
        <v>25</v>
      </c>
      <c r="F3" s="311" t="s">
        <v>87</v>
      </c>
      <c r="G3" s="8"/>
      <c r="H3" s="9"/>
    </row>
    <row r="4" spans="2:8" s="299" customFormat="1" x14ac:dyDescent="0.2">
      <c r="B4" s="25"/>
      <c r="C4" s="8"/>
      <c r="D4" s="8"/>
      <c r="E4" s="301" t="s">
        <v>86</v>
      </c>
      <c r="F4" s="311" t="s">
        <v>89</v>
      </c>
      <c r="G4" s="8"/>
      <c r="H4" s="9"/>
    </row>
    <row r="5" spans="2:8" s="299" customFormat="1" x14ac:dyDescent="0.2">
      <c r="B5" s="25"/>
      <c r="C5" s="8"/>
      <c r="D5" s="8"/>
      <c r="E5" s="301" t="s">
        <v>88</v>
      </c>
      <c r="F5" s="322" t="str">
        <f>PROPER(Currency)&amp;FamilyName&amp;"3M"</f>
        <v>UsdLibor3M</v>
      </c>
      <c r="G5" s="8"/>
      <c r="H5" s="9"/>
    </row>
    <row r="6" spans="2:8" s="299" customFormat="1" x14ac:dyDescent="0.2">
      <c r="B6" s="25"/>
      <c r="C6" s="8"/>
      <c r="D6" s="8"/>
      <c r="E6" s="301" t="s">
        <v>217</v>
      </c>
      <c r="F6" s="322" t="str">
        <f>IF(HolidayCheck,LocalCalendar,Calendar)</f>
        <v>UnitedKingdom::Exchange</v>
      </c>
      <c r="G6" s="8"/>
      <c r="H6" s="9"/>
    </row>
    <row r="7" spans="2:8" s="299" customFormat="1" x14ac:dyDescent="0.2">
      <c r="B7" s="25"/>
      <c r="C7" s="8"/>
      <c r="D7" s="8"/>
      <c r="E7" s="8"/>
      <c r="F7" s="8"/>
      <c r="G7" s="8"/>
      <c r="H7" s="9"/>
    </row>
    <row r="8" spans="2:8" s="299" customFormat="1" ht="12" x14ac:dyDescent="0.25">
      <c r="B8" s="25"/>
      <c r="C8" s="8"/>
      <c r="D8" s="312" t="s">
        <v>85</v>
      </c>
      <c r="E8" s="313" t="str">
        <f>PROPER(Currency)&amp;FamilyName2&amp;FixingType&amp;".xml"</f>
        <v>UsdLiborSwapForBasisCalc.xml</v>
      </c>
      <c r="F8" s="314" t="str">
        <f>IF(Serialize,_xll.ohObjectSave(F9:F68,SerializationPath&amp;FileName,FileOverwrite,,Serialize),"---")</f>
        <v>---</v>
      </c>
      <c r="G8" s="315" t="s">
        <v>280</v>
      </c>
      <c r="H8" s="9"/>
    </row>
    <row r="9" spans="2:8" s="299" customFormat="1" x14ac:dyDescent="0.2">
      <c r="B9" s="25"/>
      <c r="C9" s="302" t="s">
        <v>8</v>
      </c>
      <c r="D9" s="316" t="s">
        <v>17</v>
      </c>
      <c r="E9" s="317" t="str">
        <f t="shared" ref="E9:E40" si="0">PROPER(Currency)&amp;FamilyName2&amp;FixingType&amp;$C9</f>
        <v>UsdLiborSwapForBasisCalc1Y</v>
      </c>
      <c r="F9" s="305" t="str">
        <f>_xll.qlSwapIndex($E9,FixingType,C9,2,Currency,$F$6,"1Y","f",MoneyMarketDayCounter,Libor!$E$10,Discounting,Permanent,Trigger,ObjectOverwrite)</f>
        <v>UsdLiborSwapForBasisCalc1Y#0000</v>
      </c>
      <c r="G9" s="308" t="str">
        <f>_xll.ohRangeRetrieveError(F9)</f>
        <v/>
      </c>
      <c r="H9" s="26"/>
    </row>
    <row r="10" spans="2:8" s="299" customFormat="1" x14ac:dyDescent="0.2">
      <c r="B10" s="25"/>
      <c r="C10" s="303" t="s">
        <v>84</v>
      </c>
      <c r="D10" s="318" t="s">
        <v>17</v>
      </c>
      <c r="E10" s="319" t="str">
        <f t="shared" si="0"/>
        <v>UsdLiborSwapForBasisCalc2Y</v>
      </c>
      <c r="F10" s="306" t="str">
        <f>_xll.qlSwapIndex($E10,FixingType,C10,2,Currency,$F$6,"1Y","f",MoneyMarketDayCounter,Libor!$E$10,Discounting,Permanent,Trigger,ObjectOverwrite)</f>
        <v>UsdLiborSwapForBasisCalc2Y#0000</v>
      </c>
      <c r="G10" s="309" t="str">
        <f>_xll.ohRangeRetrieveError(F10)</f>
        <v/>
      </c>
      <c r="H10" s="26"/>
    </row>
    <row r="11" spans="2:8" s="299" customFormat="1" x14ac:dyDescent="0.2">
      <c r="B11" s="25"/>
      <c r="C11" s="303" t="s">
        <v>83</v>
      </c>
      <c r="D11" s="318" t="s">
        <v>17</v>
      </c>
      <c r="E11" s="319" t="str">
        <f t="shared" si="0"/>
        <v>UsdLiborSwapForBasisCalc3Y</v>
      </c>
      <c r="F11" s="306" t="str">
        <f>_xll.qlSwapIndex($E11,FixingType,C11,2,Currency,$F$6,"1Y","f",MoneyMarketDayCounter,Libor!$E$10,Discounting,Permanent,Trigger,ObjectOverwrite)</f>
        <v>UsdLiborSwapForBasisCalc3Y#0000</v>
      </c>
      <c r="G11" s="309" t="str">
        <f>_xll.ohRangeRetrieveError(F11)</f>
        <v/>
      </c>
      <c r="H11" s="26"/>
    </row>
    <row r="12" spans="2:8" s="299" customFormat="1" x14ac:dyDescent="0.2">
      <c r="B12" s="25"/>
      <c r="C12" s="303" t="s">
        <v>82</v>
      </c>
      <c r="D12" s="318" t="s">
        <v>17</v>
      </c>
      <c r="E12" s="319" t="str">
        <f t="shared" si="0"/>
        <v>UsdLiborSwapForBasisCalc4Y</v>
      </c>
      <c r="F12" s="306" t="str">
        <f>_xll.qlSwapIndex($E12,FixingType,C12,2,Currency,$F$6,"1Y","f",MoneyMarketDayCounter,Libor!$E$10,Discounting,Permanent,Trigger,ObjectOverwrite)</f>
        <v>UsdLiborSwapForBasisCalc4Y#0000</v>
      </c>
      <c r="G12" s="309" t="str">
        <f>_xll.ohRangeRetrieveError(F12)</f>
        <v/>
      </c>
      <c r="H12" s="26"/>
    </row>
    <row r="13" spans="2:8" s="299" customFormat="1" x14ac:dyDescent="0.2">
      <c r="B13" s="25"/>
      <c r="C13" s="303" t="s">
        <v>81</v>
      </c>
      <c r="D13" s="318" t="s">
        <v>17</v>
      </c>
      <c r="E13" s="319" t="str">
        <f t="shared" si="0"/>
        <v>UsdLiborSwapForBasisCalc5Y</v>
      </c>
      <c r="F13" s="306" t="str">
        <f>_xll.qlSwapIndex($E13,FixingType,C13,2,Currency,$F$6,"1Y","f",MoneyMarketDayCounter,Libor!$E$10,Discounting,Permanent,Trigger,ObjectOverwrite)</f>
        <v>UsdLiborSwapForBasisCalc5Y#0000</v>
      </c>
      <c r="G13" s="309" t="str">
        <f>_xll.ohRangeRetrieveError(F13)</f>
        <v/>
      </c>
      <c r="H13" s="26"/>
    </row>
    <row r="14" spans="2:8" s="299" customFormat="1" x14ac:dyDescent="0.2">
      <c r="B14" s="25"/>
      <c r="C14" s="303" t="s">
        <v>80</v>
      </c>
      <c r="D14" s="318" t="s">
        <v>17</v>
      </c>
      <c r="E14" s="319" t="str">
        <f t="shared" si="0"/>
        <v>UsdLiborSwapForBasisCalc6Y</v>
      </c>
      <c r="F14" s="306" t="str">
        <f>_xll.qlSwapIndex($E14,FixingType,C14,2,Currency,$F$6,"1Y","f",MoneyMarketDayCounter,Libor!$E$10,Discounting,Permanent,Trigger,ObjectOverwrite)</f>
        <v>UsdLiborSwapForBasisCalc6Y#0000</v>
      </c>
      <c r="G14" s="309" t="str">
        <f>_xll.ohRangeRetrieveError(F14)</f>
        <v/>
      </c>
      <c r="H14" s="26"/>
    </row>
    <row r="15" spans="2:8" s="299" customFormat="1" x14ac:dyDescent="0.2">
      <c r="B15" s="25"/>
      <c r="C15" s="303" t="s">
        <v>79</v>
      </c>
      <c r="D15" s="318" t="s">
        <v>17</v>
      </c>
      <c r="E15" s="319" t="str">
        <f t="shared" si="0"/>
        <v>UsdLiborSwapForBasisCalc7Y</v>
      </c>
      <c r="F15" s="306" t="str">
        <f>_xll.qlSwapIndex($E15,FixingType,C15,2,Currency,$F$6,"1Y","f",MoneyMarketDayCounter,Libor!$E$10,Discounting,Permanent,Trigger,ObjectOverwrite)</f>
        <v>UsdLiborSwapForBasisCalc7Y#0000</v>
      </c>
      <c r="G15" s="309" t="str">
        <f>_xll.ohRangeRetrieveError(F15)</f>
        <v/>
      </c>
      <c r="H15" s="26"/>
    </row>
    <row r="16" spans="2:8" s="299" customFormat="1" x14ac:dyDescent="0.2">
      <c r="B16" s="25"/>
      <c r="C16" s="303" t="s">
        <v>78</v>
      </c>
      <c r="D16" s="318" t="s">
        <v>17</v>
      </c>
      <c r="E16" s="319" t="str">
        <f t="shared" si="0"/>
        <v>UsdLiborSwapForBasisCalc8Y</v>
      </c>
      <c r="F16" s="306" t="str">
        <f>_xll.qlSwapIndex($E16,FixingType,C16,2,Currency,$F$6,"1Y","f",MoneyMarketDayCounter,Libor!$E$10,Discounting,Permanent,Trigger,ObjectOverwrite)</f>
        <v>UsdLiborSwapForBasisCalc8Y#0000</v>
      </c>
      <c r="G16" s="309" t="str">
        <f>_xll.ohRangeRetrieveError(F16)</f>
        <v/>
      </c>
      <c r="H16" s="26"/>
    </row>
    <row r="17" spans="2:8" s="299" customFormat="1" x14ac:dyDescent="0.2">
      <c r="B17" s="25"/>
      <c r="C17" s="303" t="s">
        <v>77</v>
      </c>
      <c r="D17" s="318" t="s">
        <v>17</v>
      </c>
      <c r="E17" s="319" t="str">
        <f t="shared" si="0"/>
        <v>UsdLiborSwapForBasisCalc9Y</v>
      </c>
      <c r="F17" s="306" t="str">
        <f>_xll.qlSwapIndex($E17,FixingType,C17,2,Currency,$F$6,"1Y","f",MoneyMarketDayCounter,Libor!$E$10,Discounting,Permanent,Trigger,ObjectOverwrite)</f>
        <v>UsdLiborSwapForBasisCalc9Y#0000</v>
      </c>
      <c r="G17" s="309" t="str">
        <f>_xll.ohRangeRetrieveError(F17)</f>
        <v/>
      </c>
      <c r="H17" s="26"/>
    </row>
    <row r="18" spans="2:8" s="299" customFormat="1" x14ac:dyDescent="0.2">
      <c r="B18" s="25"/>
      <c r="C18" s="303" t="s">
        <v>76</v>
      </c>
      <c r="D18" s="318" t="s">
        <v>17</v>
      </c>
      <c r="E18" s="319" t="str">
        <f t="shared" si="0"/>
        <v>UsdLiborSwapForBasisCalc10Y</v>
      </c>
      <c r="F18" s="306" t="str">
        <f>_xll.qlSwapIndex($E18,FixingType,C18,2,Currency,$F$6,"1Y","f",MoneyMarketDayCounter,Libor!$E$10,Discounting,Permanent,Trigger,ObjectOverwrite)</f>
        <v>UsdLiborSwapForBasisCalc10Y#0000</v>
      </c>
      <c r="G18" s="309" t="str">
        <f>_xll.ohRangeRetrieveError(F18)</f>
        <v/>
      </c>
      <c r="H18" s="26"/>
    </row>
    <row r="19" spans="2:8" s="299" customFormat="1" x14ac:dyDescent="0.2">
      <c r="B19" s="25"/>
      <c r="C19" s="303" t="s">
        <v>75</v>
      </c>
      <c r="D19" s="318" t="s">
        <v>17</v>
      </c>
      <c r="E19" s="319" t="str">
        <f t="shared" si="0"/>
        <v>UsdLiborSwapForBasisCalc11Y</v>
      </c>
      <c r="F19" s="306" t="str">
        <f>_xll.qlSwapIndex($E19,FixingType,C19,2,Currency,$F$6,"1Y","f",MoneyMarketDayCounter,Libor!$E$10,Discounting,Permanent,Trigger,ObjectOverwrite)</f>
        <v>UsdLiborSwapForBasisCalc11Y#0000</v>
      </c>
      <c r="G19" s="309" t="str">
        <f>_xll.ohRangeRetrieveError(F19)</f>
        <v/>
      </c>
      <c r="H19" s="26"/>
    </row>
    <row r="20" spans="2:8" s="299" customFormat="1" x14ac:dyDescent="0.2">
      <c r="B20" s="25"/>
      <c r="C20" s="303" t="s">
        <v>74</v>
      </c>
      <c r="D20" s="318" t="s">
        <v>17</v>
      </c>
      <c r="E20" s="319" t="str">
        <f t="shared" si="0"/>
        <v>UsdLiborSwapForBasisCalc12Y</v>
      </c>
      <c r="F20" s="306" t="str">
        <f>_xll.qlSwapIndex($E20,FixingType,C20,2,Currency,$F$6,"1Y","f",MoneyMarketDayCounter,Libor!$E$10,Discounting,Permanent,Trigger,ObjectOverwrite)</f>
        <v>UsdLiborSwapForBasisCalc12Y#0000</v>
      </c>
      <c r="G20" s="309" t="str">
        <f>_xll.ohRangeRetrieveError(F20)</f>
        <v/>
      </c>
      <c r="H20" s="26"/>
    </row>
    <row r="21" spans="2:8" s="299" customFormat="1" x14ac:dyDescent="0.2">
      <c r="B21" s="25"/>
      <c r="C21" s="303" t="s">
        <v>73</v>
      </c>
      <c r="D21" s="318" t="s">
        <v>17</v>
      </c>
      <c r="E21" s="319" t="str">
        <f t="shared" si="0"/>
        <v>UsdLiborSwapForBasisCalc13Y</v>
      </c>
      <c r="F21" s="306" t="str">
        <f>_xll.qlSwapIndex($E21,FixingType,C21,2,Currency,$F$6,"1Y","f",MoneyMarketDayCounter,Libor!$E$10,Discounting,Permanent,Trigger,ObjectOverwrite)</f>
        <v>UsdLiborSwapForBasisCalc13Y#0000</v>
      </c>
      <c r="G21" s="309" t="str">
        <f>_xll.ohRangeRetrieveError(F21)</f>
        <v/>
      </c>
      <c r="H21" s="26"/>
    </row>
    <row r="22" spans="2:8" s="299" customFormat="1" x14ac:dyDescent="0.2">
      <c r="B22" s="25"/>
      <c r="C22" s="303" t="s">
        <v>72</v>
      </c>
      <c r="D22" s="318" t="s">
        <v>17</v>
      </c>
      <c r="E22" s="319" t="str">
        <f t="shared" si="0"/>
        <v>UsdLiborSwapForBasisCalc14Y</v>
      </c>
      <c r="F22" s="306" t="str">
        <f>_xll.qlSwapIndex($E22,FixingType,C22,2,Currency,$F$6,"1Y","f",MoneyMarketDayCounter,Libor!$E$10,Discounting,Permanent,Trigger,ObjectOverwrite)</f>
        <v>UsdLiborSwapForBasisCalc14Y#0000</v>
      </c>
      <c r="G22" s="309" t="str">
        <f>_xll.ohRangeRetrieveError(F22)</f>
        <v/>
      </c>
      <c r="H22" s="26"/>
    </row>
    <row r="23" spans="2:8" s="299" customFormat="1" x14ac:dyDescent="0.2">
      <c r="B23" s="25"/>
      <c r="C23" s="303" t="s">
        <v>71</v>
      </c>
      <c r="D23" s="318" t="s">
        <v>17</v>
      </c>
      <c r="E23" s="319" t="str">
        <f t="shared" si="0"/>
        <v>UsdLiborSwapForBasisCalc15Y</v>
      </c>
      <c r="F23" s="306" t="str">
        <f>_xll.qlSwapIndex($E23,FixingType,C23,2,Currency,$F$6,"1Y","f",MoneyMarketDayCounter,Libor!$E$10,Discounting,Permanent,Trigger,ObjectOverwrite)</f>
        <v>UsdLiborSwapForBasisCalc15Y#0000</v>
      </c>
      <c r="G23" s="309" t="str">
        <f>_xll.ohRangeRetrieveError(F23)</f>
        <v/>
      </c>
      <c r="H23" s="26"/>
    </row>
    <row r="24" spans="2:8" s="299" customFormat="1" x14ac:dyDescent="0.2">
      <c r="B24" s="25"/>
      <c r="C24" s="303" t="s">
        <v>70</v>
      </c>
      <c r="D24" s="318" t="s">
        <v>17</v>
      </c>
      <c r="E24" s="319" t="str">
        <f t="shared" si="0"/>
        <v>UsdLiborSwapForBasisCalc16Y</v>
      </c>
      <c r="F24" s="306" t="str">
        <f>_xll.qlSwapIndex($E24,FixingType,C24,2,Currency,$F$6,"1Y","f",MoneyMarketDayCounter,Libor!$E$10,Discounting,Permanent,Trigger,ObjectOverwrite)</f>
        <v>UsdLiborSwapForBasisCalc16Y#0000</v>
      </c>
      <c r="G24" s="309" t="str">
        <f>_xll.ohRangeRetrieveError(F24)</f>
        <v/>
      </c>
      <c r="H24" s="26"/>
    </row>
    <row r="25" spans="2:8" s="299" customFormat="1" x14ac:dyDescent="0.2">
      <c r="B25" s="25"/>
      <c r="C25" s="303" t="s">
        <v>69</v>
      </c>
      <c r="D25" s="318" t="s">
        <v>17</v>
      </c>
      <c r="E25" s="319" t="str">
        <f t="shared" si="0"/>
        <v>UsdLiborSwapForBasisCalc17Y</v>
      </c>
      <c r="F25" s="306" t="str">
        <f>_xll.qlSwapIndex($E25,FixingType,C25,2,Currency,$F$6,"1Y","f",MoneyMarketDayCounter,Libor!$E$10,Discounting,Permanent,Trigger,ObjectOverwrite)</f>
        <v>UsdLiborSwapForBasisCalc17Y#0000</v>
      </c>
      <c r="G25" s="309" t="str">
        <f>_xll.ohRangeRetrieveError(F25)</f>
        <v/>
      </c>
      <c r="H25" s="26"/>
    </row>
    <row r="26" spans="2:8" s="299" customFormat="1" x14ac:dyDescent="0.2">
      <c r="B26" s="25"/>
      <c r="C26" s="303" t="s">
        <v>68</v>
      </c>
      <c r="D26" s="318" t="s">
        <v>17</v>
      </c>
      <c r="E26" s="319" t="str">
        <f t="shared" si="0"/>
        <v>UsdLiborSwapForBasisCalc18Y</v>
      </c>
      <c r="F26" s="306" t="str">
        <f>_xll.qlSwapIndex($E26,FixingType,C26,2,Currency,$F$6,"1Y","f",MoneyMarketDayCounter,Libor!$E$10,Discounting,Permanent,Trigger,ObjectOverwrite)</f>
        <v>UsdLiborSwapForBasisCalc18Y#0000</v>
      </c>
      <c r="G26" s="309" t="str">
        <f>_xll.ohRangeRetrieveError(F26)</f>
        <v/>
      </c>
      <c r="H26" s="26"/>
    </row>
    <row r="27" spans="2:8" s="299" customFormat="1" x14ac:dyDescent="0.2">
      <c r="B27" s="25"/>
      <c r="C27" s="303" t="s">
        <v>67</v>
      </c>
      <c r="D27" s="318" t="s">
        <v>17</v>
      </c>
      <c r="E27" s="319" t="str">
        <f t="shared" si="0"/>
        <v>UsdLiborSwapForBasisCalc19Y</v>
      </c>
      <c r="F27" s="306" t="str">
        <f>_xll.qlSwapIndex($E27,FixingType,C27,2,Currency,$F$6,"1Y","f",MoneyMarketDayCounter,Libor!$E$10,Discounting,Permanent,Trigger,ObjectOverwrite)</f>
        <v>UsdLiborSwapForBasisCalc19Y#0000</v>
      </c>
      <c r="G27" s="309" t="str">
        <f>_xll.ohRangeRetrieveError(F27)</f>
        <v/>
      </c>
      <c r="H27" s="26"/>
    </row>
    <row r="28" spans="2:8" s="299" customFormat="1" x14ac:dyDescent="0.2">
      <c r="B28" s="25"/>
      <c r="C28" s="303" t="s">
        <v>66</v>
      </c>
      <c r="D28" s="318" t="s">
        <v>17</v>
      </c>
      <c r="E28" s="319" t="str">
        <f t="shared" si="0"/>
        <v>UsdLiborSwapForBasisCalc20Y</v>
      </c>
      <c r="F28" s="306" t="str">
        <f>_xll.qlSwapIndex($E28,FixingType,C28,2,Currency,$F$6,"1Y","f",MoneyMarketDayCounter,Libor!$E$10,Discounting,Permanent,Trigger,ObjectOverwrite)</f>
        <v>UsdLiborSwapForBasisCalc20Y#0000</v>
      </c>
      <c r="G28" s="309" t="str">
        <f>_xll.ohRangeRetrieveError(F28)</f>
        <v/>
      </c>
      <c r="H28" s="26"/>
    </row>
    <row r="29" spans="2:8" s="299" customFormat="1" x14ac:dyDescent="0.2">
      <c r="B29" s="25"/>
      <c r="C29" s="303" t="s">
        <v>65</v>
      </c>
      <c r="D29" s="318" t="s">
        <v>17</v>
      </c>
      <c r="E29" s="319" t="str">
        <f t="shared" si="0"/>
        <v>UsdLiborSwapForBasisCalc21Y</v>
      </c>
      <c r="F29" s="306" t="str">
        <f>_xll.qlSwapIndex($E29,FixingType,C29,2,Currency,$F$6,"1Y","f",MoneyMarketDayCounter,Libor!$E$10,Discounting,Permanent,Trigger,ObjectOverwrite)</f>
        <v>UsdLiborSwapForBasisCalc21Y#0000</v>
      </c>
      <c r="G29" s="309" t="str">
        <f>_xll.ohRangeRetrieveError(F29)</f>
        <v/>
      </c>
      <c r="H29" s="26"/>
    </row>
    <row r="30" spans="2:8" s="299" customFormat="1" x14ac:dyDescent="0.2">
      <c r="B30" s="25"/>
      <c r="C30" s="303" t="s">
        <v>64</v>
      </c>
      <c r="D30" s="318" t="s">
        <v>17</v>
      </c>
      <c r="E30" s="319" t="str">
        <f t="shared" si="0"/>
        <v>UsdLiborSwapForBasisCalc22Y</v>
      </c>
      <c r="F30" s="306" t="str">
        <f>_xll.qlSwapIndex($E30,FixingType,C30,2,Currency,$F$6,"1Y","f",MoneyMarketDayCounter,Libor!$E$10,Discounting,Permanent,Trigger,ObjectOverwrite)</f>
        <v>UsdLiborSwapForBasisCalc22Y#0000</v>
      </c>
      <c r="G30" s="309" t="str">
        <f>_xll.ohRangeRetrieveError(F30)</f>
        <v/>
      </c>
      <c r="H30" s="26"/>
    </row>
    <row r="31" spans="2:8" s="299" customFormat="1" x14ac:dyDescent="0.2">
      <c r="B31" s="25"/>
      <c r="C31" s="303" t="s">
        <v>63</v>
      </c>
      <c r="D31" s="318" t="s">
        <v>17</v>
      </c>
      <c r="E31" s="319" t="str">
        <f t="shared" si="0"/>
        <v>UsdLiborSwapForBasisCalc23Y</v>
      </c>
      <c r="F31" s="306" t="str">
        <f>_xll.qlSwapIndex($E31,FixingType,C31,2,Currency,$F$6,"1Y","f",MoneyMarketDayCounter,Libor!$E$10,Discounting,Permanent,Trigger,ObjectOverwrite)</f>
        <v>UsdLiborSwapForBasisCalc23Y#0000</v>
      </c>
      <c r="G31" s="309" t="str">
        <f>_xll.ohRangeRetrieveError(F31)</f>
        <v/>
      </c>
      <c r="H31" s="26"/>
    </row>
    <row r="32" spans="2:8" s="299" customFormat="1" x14ac:dyDescent="0.2">
      <c r="B32" s="25"/>
      <c r="C32" s="303" t="s">
        <v>62</v>
      </c>
      <c r="D32" s="318" t="s">
        <v>17</v>
      </c>
      <c r="E32" s="319" t="str">
        <f t="shared" si="0"/>
        <v>UsdLiborSwapForBasisCalc24Y</v>
      </c>
      <c r="F32" s="306" t="str">
        <f>_xll.qlSwapIndex($E32,FixingType,C32,2,Currency,$F$6,"1Y","f",MoneyMarketDayCounter,Libor!$E$10,Discounting,Permanent,Trigger,ObjectOverwrite)</f>
        <v>UsdLiborSwapForBasisCalc24Y#0000</v>
      </c>
      <c r="G32" s="309" t="str">
        <f>_xll.ohRangeRetrieveError(F32)</f>
        <v/>
      </c>
      <c r="H32" s="26"/>
    </row>
    <row r="33" spans="2:8" s="299" customFormat="1" x14ac:dyDescent="0.2">
      <c r="B33" s="25"/>
      <c r="C33" s="303" t="s">
        <v>61</v>
      </c>
      <c r="D33" s="318" t="s">
        <v>17</v>
      </c>
      <c r="E33" s="319" t="str">
        <f t="shared" si="0"/>
        <v>UsdLiborSwapForBasisCalc25Y</v>
      </c>
      <c r="F33" s="306" t="str">
        <f>_xll.qlSwapIndex($E33,FixingType,C33,2,Currency,$F$6,"1Y","f",MoneyMarketDayCounter,Libor!$E$10,Discounting,Permanent,Trigger,ObjectOverwrite)</f>
        <v>UsdLiborSwapForBasisCalc25Y#0000</v>
      </c>
      <c r="G33" s="309" t="str">
        <f>_xll.ohRangeRetrieveError(F33)</f>
        <v/>
      </c>
      <c r="H33" s="26"/>
    </row>
    <row r="34" spans="2:8" s="299" customFormat="1" x14ac:dyDescent="0.2">
      <c r="B34" s="25"/>
      <c r="C34" s="303" t="s">
        <v>60</v>
      </c>
      <c r="D34" s="318" t="s">
        <v>17</v>
      </c>
      <c r="E34" s="319" t="str">
        <f t="shared" si="0"/>
        <v>UsdLiborSwapForBasisCalc26Y</v>
      </c>
      <c r="F34" s="306" t="str">
        <f>_xll.qlSwapIndex($E34,FixingType,C34,2,Currency,$F$6,"1Y","f",MoneyMarketDayCounter,Libor!$E$10,Discounting,Permanent,Trigger,ObjectOverwrite)</f>
        <v>UsdLiborSwapForBasisCalc26Y#0000</v>
      </c>
      <c r="G34" s="309" t="str">
        <f>_xll.ohRangeRetrieveError(F34)</f>
        <v/>
      </c>
      <c r="H34" s="26"/>
    </row>
    <row r="35" spans="2:8" s="299" customFormat="1" x14ac:dyDescent="0.2">
      <c r="B35" s="25"/>
      <c r="C35" s="303" t="s">
        <v>59</v>
      </c>
      <c r="D35" s="318" t="s">
        <v>17</v>
      </c>
      <c r="E35" s="319" t="str">
        <f t="shared" si="0"/>
        <v>UsdLiborSwapForBasisCalc27Y</v>
      </c>
      <c r="F35" s="306" t="str">
        <f>_xll.qlSwapIndex($E35,FixingType,C35,2,Currency,$F$6,"1Y","f",MoneyMarketDayCounter,Libor!$E$10,Discounting,Permanent,Trigger,ObjectOverwrite)</f>
        <v>UsdLiborSwapForBasisCalc27Y#0000</v>
      </c>
      <c r="G35" s="309" t="str">
        <f>_xll.ohRangeRetrieveError(F35)</f>
        <v/>
      </c>
      <c r="H35" s="26"/>
    </row>
    <row r="36" spans="2:8" s="299" customFormat="1" x14ac:dyDescent="0.2">
      <c r="B36" s="25"/>
      <c r="C36" s="303" t="s">
        <v>58</v>
      </c>
      <c r="D36" s="318" t="s">
        <v>17</v>
      </c>
      <c r="E36" s="319" t="str">
        <f t="shared" si="0"/>
        <v>UsdLiborSwapForBasisCalc28Y</v>
      </c>
      <c r="F36" s="306" t="str">
        <f>_xll.qlSwapIndex($E36,FixingType,C36,2,Currency,$F$6,"1Y","f",MoneyMarketDayCounter,Libor!$E$10,Discounting,Permanent,Trigger,ObjectOverwrite)</f>
        <v>UsdLiborSwapForBasisCalc28Y#0000</v>
      </c>
      <c r="G36" s="309" t="str">
        <f>_xll.ohRangeRetrieveError(F36)</f>
        <v/>
      </c>
      <c r="H36" s="26"/>
    </row>
    <row r="37" spans="2:8" s="299" customFormat="1" x14ac:dyDescent="0.2">
      <c r="B37" s="25"/>
      <c r="C37" s="303" t="s">
        <v>57</v>
      </c>
      <c r="D37" s="318" t="s">
        <v>17</v>
      </c>
      <c r="E37" s="319" t="str">
        <f t="shared" si="0"/>
        <v>UsdLiborSwapForBasisCalc29Y</v>
      </c>
      <c r="F37" s="306" t="str">
        <f>_xll.qlSwapIndex($E37,FixingType,C37,2,Currency,$F$6,"1Y","f",MoneyMarketDayCounter,Libor!$E$10,Discounting,Permanent,Trigger,ObjectOverwrite)</f>
        <v>UsdLiborSwapForBasisCalc29Y#0000</v>
      </c>
      <c r="G37" s="309" t="str">
        <f>_xll.ohRangeRetrieveError(F37)</f>
        <v/>
      </c>
      <c r="H37" s="26"/>
    </row>
    <row r="38" spans="2:8" s="299" customFormat="1" x14ac:dyDescent="0.2">
      <c r="B38" s="25"/>
      <c r="C38" s="303" t="s">
        <v>56</v>
      </c>
      <c r="D38" s="318" t="s">
        <v>17</v>
      </c>
      <c r="E38" s="319" t="str">
        <f t="shared" si="0"/>
        <v>UsdLiborSwapForBasisCalc30Y</v>
      </c>
      <c r="F38" s="306" t="str">
        <f>_xll.qlSwapIndex($E38,FixingType,C38,2,Currency,$F$6,"1Y","f",MoneyMarketDayCounter,Libor!$E$10,Discounting,Permanent,Trigger,ObjectOverwrite)</f>
        <v>UsdLiborSwapForBasisCalc30Y#0000</v>
      </c>
      <c r="G38" s="309" t="str">
        <f>_xll.ohRangeRetrieveError(F38)</f>
        <v/>
      </c>
      <c r="H38" s="26"/>
    </row>
    <row r="39" spans="2:8" s="299" customFormat="1" x14ac:dyDescent="0.2">
      <c r="B39" s="25"/>
      <c r="C39" s="303" t="s">
        <v>55</v>
      </c>
      <c r="D39" s="318" t="s">
        <v>17</v>
      </c>
      <c r="E39" s="319" t="str">
        <f t="shared" si="0"/>
        <v>UsdLiborSwapForBasisCalc31Y</v>
      </c>
      <c r="F39" s="306" t="str">
        <f>_xll.qlSwapIndex($E39,FixingType,C39,2,Currency,$F$6,"1Y","f",MoneyMarketDayCounter,Libor!$E$10,Discounting,Permanent,Trigger,ObjectOverwrite)</f>
        <v>UsdLiborSwapForBasisCalc31Y#0000</v>
      </c>
      <c r="G39" s="309" t="str">
        <f>_xll.ohRangeRetrieveError(F39)</f>
        <v/>
      </c>
      <c r="H39" s="26"/>
    </row>
    <row r="40" spans="2:8" s="299" customFormat="1" x14ac:dyDescent="0.2">
      <c r="B40" s="25"/>
      <c r="C40" s="303" t="s">
        <v>54</v>
      </c>
      <c r="D40" s="318" t="s">
        <v>17</v>
      </c>
      <c r="E40" s="319" t="str">
        <f t="shared" si="0"/>
        <v>UsdLiborSwapForBasisCalc32Y</v>
      </c>
      <c r="F40" s="306" t="str">
        <f>_xll.qlSwapIndex($E40,FixingType,C40,2,Currency,$F$6,"1Y","f",MoneyMarketDayCounter,Libor!$E$10,Discounting,Permanent,Trigger,ObjectOverwrite)</f>
        <v>UsdLiborSwapForBasisCalc32Y#0000</v>
      </c>
      <c r="G40" s="309" t="str">
        <f>_xll.ohRangeRetrieveError(F40)</f>
        <v/>
      </c>
      <c r="H40" s="26"/>
    </row>
    <row r="41" spans="2:8" s="299" customFormat="1" x14ac:dyDescent="0.2">
      <c r="B41" s="25"/>
      <c r="C41" s="303" t="s">
        <v>53</v>
      </c>
      <c r="D41" s="318" t="s">
        <v>17</v>
      </c>
      <c r="E41" s="319" t="str">
        <f t="shared" ref="E41:E68" si="1">PROPER(Currency)&amp;FamilyName2&amp;FixingType&amp;$C41</f>
        <v>UsdLiborSwapForBasisCalc33Y</v>
      </c>
      <c r="F41" s="306" t="str">
        <f>_xll.qlSwapIndex($E41,FixingType,C41,2,Currency,$F$6,"1Y","f",MoneyMarketDayCounter,Libor!$E$10,Discounting,Permanent,Trigger,ObjectOverwrite)</f>
        <v>UsdLiborSwapForBasisCalc33Y#0000</v>
      </c>
      <c r="G41" s="309" t="str">
        <f>_xll.ohRangeRetrieveError(F41)</f>
        <v/>
      </c>
      <c r="H41" s="26"/>
    </row>
    <row r="42" spans="2:8" s="299" customFormat="1" x14ac:dyDescent="0.2">
      <c r="B42" s="25"/>
      <c r="C42" s="303" t="s">
        <v>52</v>
      </c>
      <c r="D42" s="318" t="s">
        <v>17</v>
      </c>
      <c r="E42" s="319" t="str">
        <f t="shared" si="1"/>
        <v>UsdLiborSwapForBasisCalc34Y</v>
      </c>
      <c r="F42" s="306" t="str">
        <f>_xll.qlSwapIndex($E42,FixingType,C42,2,Currency,$F$6,"1Y","f",MoneyMarketDayCounter,Libor!$E$10,Discounting,Permanent,Trigger,ObjectOverwrite)</f>
        <v>UsdLiborSwapForBasisCalc34Y#0000</v>
      </c>
      <c r="G42" s="309" t="str">
        <f>_xll.ohRangeRetrieveError(F42)</f>
        <v/>
      </c>
      <c r="H42" s="26"/>
    </row>
    <row r="43" spans="2:8" s="299" customFormat="1" x14ac:dyDescent="0.2">
      <c r="B43" s="25"/>
      <c r="C43" s="303" t="s">
        <v>51</v>
      </c>
      <c r="D43" s="318" t="s">
        <v>17</v>
      </c>
      <c r="E43" s="319" t="str">
        <f t="shared" si="1"/>
        <v>UsdLiborSwapForBasisCalc35Y</v>
      </c>
      <c r="F43" s="306" t="str">
        <f>_xll.qlSwapIndex($E43,FixingType,C43,2,Currency,$F$6,"1Y","f",MoneyMarketDayCounter,Libor!$E$10,Discounting,Permanent,Trigger,ObjectOverwrite)</f>
        <v>UsdLiborSwapForBasisCalc35Y#0000</v>
      </c>
      <c r="G43" s="309" t="str">
        <f>_xll.ohRangeRetrieveError(F43)</f>
        <v/>
      </c>
      <c r="H43" s="26"/>
    </row>
    <row r="44" spans="2:8" s="299" customFormat="1" x14ac:dyDescent="0.2">
      <c r="B44" s="25"/>
      <c r="C44" s="303" t="s">
        <v>50</v>
      </c>
      <c r="D44" s="318" t="s">
        <v>17</v>
      </c>
      <c r="E44" s="319" t="str">
        <f t="shared" si="1"/>
        <v>UsdLiborSwapForBasisCalc36Y</v>
      </c>
      <c r="F44" s="306" t="str">
        <f>_xll.qlSwapIndex($E44,FixingType,C44,2,Currency,$F$6,"1Y","f",MoneyMarketDayCounter,Libor!$E$10,Discounting,Permanent,Trigger,ObjectOverwrite)</f>
        <v>UsdLiborSwapForBasisCalc36Y#0000</v>
      </c>
      <c r="G44" s="309" t="str">
        <f>_xll.ohRangeRetrieveError(F44)</f>
        <v/>
      </c>
      <c r="H44" s="26"/>
    </row>
    <row r="45" spans="2:8" s="299" customFormat="1" x14ac:dyDescent="0.2">
      <c r="B45" s="25"/>
      <c r="C45" s="303" t="s">
        <v>49</v>
      </c>
      <c r="D45" s="318" t="s">
        <v>17</v>
      </c>
      <c r="E45" s="319" t="str">
        <f t="shared" si="1"/>
        <v>UsdLiborSwapForBasisCalc37Y</v>
      </c>
      <c r="F45" s="306" t="str">
        <f>_xll.qlSwapIndex($E45,FixingType,C45,2,Currency,$F$6,"1Y","f",MoneyMarketDayCounter,Libor!$E$10,Discounting,Permanent,Trigger,ObjectOverwrite)</f>
        <v>UsdLiborSwapForBasisCalc37Y#0000</v>
      </c>
      <c r="G45" s="309" t="str">
        <f>_xll.ohRangeRetrieveError(F45)</f>
        <v/>
      </c>
      <c r="H45" s="26"/>
    </row>
    <row r="46" spans="2:8" s="299" customFormat="1" x14ac:dyDescent="0.2">
      <c r="B46" s="25"/>
      <c r="C46" s="303" t="s">
        <v>48</v>
      </c>
      <c r="D46" s="318" t="s">
        <v>17</v>
      </c>
      <c r="E46" s="319" t="str">
        <f t="shared" si="1"/>
        <v>UsdLiborSwapForBasisCalc38Y</v>
      </c>
      <c r="F46" s="306" t="str">
        <f>_xll.qlSwapIndex($E46,FixingType,C46,2,Currency,$F$6,"1Y","f",MoneyMarketDayCounter,Libor!$E$10,Discounting,Permanent,Trigger,ObjectOverwrite)</f>
        <v>UsdLiborSwapForBasisCalc38Y#0000</v>
      </c>
      <c r="G46" s="309" t="str">
        <f>_xll.ohRangeRetrieveError(F46)</f>
        <v/>
      </c>
      <c r="H46" s="26"/>
    </row>
    <row r="47" spans="2:8" s="299" customFormat="1" x14ac:dyDescent="0.2">
      <c r="B47" s="25"/>
      <c r="C47" s="303" t="s">
        <v>47</v>
      </c>
      <c r="D47" s="318" t="s">
        <v>17</v>
      </c>
      <c r="E47" s="319" t="str">
        <f t="shared" si="1"/>
        <v>UsdLiborSwapForBasisCalc39Y</v>
      </c>
      <c r="F47" s="306" t="str">
        <f>_xll.qlSwapIndex($E47,FixingType,C47,2,Currency,$F$6,"1Y","f",MoneyMarketDayCounter,Libor!$E$10,Discounting,Permanent,Trigger,ObjectOverwrite)</f>
        <v>UsdLiborSwapForBasisCalc39Y#0000</v>
      </c>
      <c r="G47" s="309" t="str">
        <f>_xll.ohRangeRetrieveError(F47)</f>
        <v/>
      </c>
      <c r="H47" s="26"/>
    </row>
    <row r="48" spans="2:8" s="299" customFormat="1" x14ac:dyDescent="0.2">
      <c r="B48" s="25"/>
      <c r="C48" s="303" t="s">
        <v>46</v>
      </c>
      <c r="D48" s="318" t="s">
        <v>17</v>
      </c>
      <c r="E48" s="319" t="str">
        <f t="shared" si="1"/>
        <v>UsdLiborSwapForBasisCalc40Y</v>
      </c>
      <c r="F48" s="306" t="str">
        <f>_xll.qlSwapIndex($E48,FixingType,C48,2,Currency,$F$6,"1Y","f",MoneyMarketDayCounter,Libor!$E$10,Discounting,Permanent,Trigger,ObjectOverwrite)</f>
        <v>UsdLiborSwapForBasisCalc40Y#0000</v>
      </c>
      <c r="G48" s="309" t="str">
        <f>_xll.ohRangeRetrieveError(F48)</f>
        <v/>
      </c>
      <c r="H48" s="26"/>
    </row>
    <row r="49" spans="2:8" s="299" customFormat="1" x14ac:dyDescent="0.2">
      <c r="B49" s="25"/>
      <c r="C49" s="303" t="s">
        <v>45</v>
      </c>
      <c r="D49" s="318" t="s">
        <v>17</v>
      </c>
      <c r="E49" s="319" t="str">
        <f t="shared" si="1"/>
        <v>UsdLiborSwapForBasisCalc41Y</v>
      </c>
      <c r="F49" s="306" t="str">
        <f>_xll.qlSwapIndex($E49,FixingType,C49,2,Currency,$F$6,"1Y","f",MoneyMarketDayCounter,Libor!$E$10,Discounting,Permanent,Trigger,ObjectOverwrite)</f>
        <v>UsdLiborSwapForBasisCalc41Y#0000</v>
      </c>
      <c r="G49" s="309" t="str">
        <f>_xll.ohRangeRetrieveError(F49)</f>
        <v/>
      </c>
      <c r="H49" s="26"/>
    </row>
    <row r="50" spans="2:8" s="299" customFormat="1" x14ac:dyDescent="0.2">
      <c r="B50" s="25"/>
      <c r="C50" s="303" t="s">
        <v>44</v>
      </c>
      <c r="D50" s="318" t="s">
        <v>17</v>
      </c>
      <c r="E50" s="319" t="str">
        <f t="shared" si="1"/>
        <v>UsdLiborSwapForBasisCalc42Y</v>
      </c>
      <c r="F50" s="306" t="str">
        <f>_xll.qlSwapIndex($E50,FixingType,C50,2,Currency,$F$6,"1Y","f",MoneyMarketDayCounter,Libor!$E$10,Discounting,Permanent,Trigger,ObjectOverwrite)</f>
        <v>UsdLiborSwapForBasisCalc42Y#0000</v>
      </c>
      <c r="G50" s="309" t="str">
        <f>_xll.ohRangeRetrieveError(F50)</f>
        <v/>
      </c>
      <c r="H50" s="26"/>
    </row>
    <row r="51" spans="2:8" s="299" customFormat="1" x14ac:dyDescent="0.2">
      <c r="B51" s="25"/>
      <c r="C51" s="303" t="s">
        <v>43</v>
      </c>
      <c r="D51" s="318" t="s">
        <v>17</v>
      </c>
      <c r="E51" s="319" t="str">
        <f t="shared" si="1"/>
        <v>UsdLiborSwapForBasisCalc43Y</v>
      </c>
      <c r="F51" s="306" t="str">
        <f>_xll.qlSwapIndex($E51,FixingType,C51,2,Currency,$F$6,"1Y","f",MoneyMarketDayCounter,Libor!$E$10,Discounting,Permanent,Trigger,ObjectOverwrite)</f>
        <v>UsdLiborSwapForBasisCalc43Y#0000</v>
      </c>
      <c r="G51" s="309" t="str">
        <f>_xll.ohRangeRetrieveError(F51)</f>
        <v/>
      </c>
      <c r="H51" s="26"/>
    </row>
    <row r="52" spans="2:8" s="299" customFormat="1" x14ac:dyDescent="0.2">
      <c r="B52" s="25"/>
      <c r="C52" s="303" t="s">
        <v>42</v>
      </c>
      <c r="D52" s="318" t="s">
        <v>17</v>
      </c>
      <c r="E52" s="319" t="str">
        <f t="shared" si="1"/>
        <v>UsdLiborSwapForBasisCalc44Y</v>
      </c>
      <c r="F52" s="306" t="str">
        <f>_xll.qlSwapIndex($E52,FixingType,C52,2,Currency,$F$6,"1Y","f",MoneyMarketDayCounter,Libor!$E$10,Discounting,Permanent,Trigger,ObjectOverwrite)</f>
        <v>UsdLiborSwapForBasisCalc44Y#0000</v>
      </c>
      <c r="G52" s="309" t="str">
        <f>_xll.ohRangeRetrieveError(F52)</f>
        <v/>
      </c>
      <c r="H52" s="26"/>
    </row>
    <row r="53" spans="2:8" s="299" customFormat="1" x14ac:dyDescent="0.2">
      <c r="B53" s="25"/>
      <c r="C53" s="303" t="s">
        <v>41</v>
      </c>
      <c r="D53" s="318" t="s">
        <v>17</v>
      </c>
      <c r="E53" s="319" t="str">
        <f t="shared" si="1"/>
        <v>UsdLiborSwapForBasisCalc45Y</v>
      </c>
      <c r="F53" s="306" t="str">
        <f>_xll.qlSwapIndex($E53,FixingType,C53,2,Currency,$F$6,"1Y","f",MoneyMarketDayCounter,Libor!$E$10,Discounting,Permanent,Trigger,ObjectOverwrite)</f>
        <v>UsdLiborSwapForBasisCalc45Y#0000</v>
      </c>
      <c r="G53" s="309" t="str">
        <f>_xll.ohRangeRetrieveError(F53)</f>
        <v/>
      </c>
      <c r="H53" s="26"/>
    </row>
    <row r="54" spans="2:8" s="299" customFormat="1" x14ac:dyDescent="0.2">
      <c r="B54" s="25"/>
      <c r="C54" s="303" t="s">
        <v>40</v>
      </c>
      <c r="D54" s="318" t="s">
        <v>17</v>
      </c>
      <c r="E54" s="319" t="str">
        <f t="shared" si="1"/>
        <v>UsdLiborSwapForBasisCalc46Y</v>
      </c>
      <c r="F54" s="306" t="str">
        <f>_xll.qlSwapIndex($E54,FixingType,C54,2,Currency,$F$6,"1Y","f",MoneyMarketDayCounter,Libor!$E$10,Discounting,Permanent,Trigger,ObjectOverwrite)</f>
        <v>UsdLiborSwapForBasisCalc46Y#0000</v>
      </c>
      <c r="G54" s="309" t="str">
        <f>_xll.ohRangeRetrieveError(F54)</f>
        <v/>
      </c>
      <c r="H54" s="26"/>
    </row>
    <row r="55" spans="2:8" s="299" customFormat="1" x14ac:dyDescent="0.2">
      <c r="B55" s="25"/>
      <c r="C55" s="303" t="s">
        <v>39</v>
      </c>
      <c r="D55" s="318" t="s">
        <v>17</v>
      </c>
      <c r="E55" s="319" t="str">
        <f t="shared" si="1"/>
        <v>UsdLiborSwapForBasisCalc47Y</v>
      </c>
      <c r="F55" s="306" t="str">
        <f>_xll.qlSwapIndex($E55,FixingType,C55,2,Currency,$F$6,"1Y","f",MoneyMarketDayCounter,Libor!$E$10,Discounting,Permanent,Trigger,ObjectOverwrite)</f>
        <v>UsdLiborSwapForBasisCalc47Y#0000</v>
      </c>
      <c r="G55" s="309" t="str">
        <f>_xll.ohRangeRetrieveError(F55)</f>
        <v/>
      </c>
      <c r="H55" s="26"/>
    </row>
    <row r="56" spans="2:8" s="299" customFormat="1" x14ac:dyDescent="0.2">
      <c r="B56" s="25"/>
      <c r="C56" s="303" t="s">
        <v>38</v>
      </c>
      <c r="D56" s="318" t="s">
        <v>17</v>
      </c>
      <c r="E56" s="319" t="str">
        <f t="shared" si="1"/>
        <v>UsdLiborSwapForBasisCalc48Y</v>
      </c>
      <c r="F56" s="306" t="str">
        <f>_xll.qlSwapIndex($E56,FixingType,C56,2,Currency,$F$6,"1Y","f",MoneyMarketDayCounter,Libor!$E$10,Discounting,Permanent,Trigger,ObjectOverwrite)</f>
        <v>UsdLiborSwapForBasisCalc48Y#0000</v>
      </c>
      <c r="G56" s="309" t="str">
        <f>_xll.ohRangeRetrieveError(F56)</f>
        <v/>
      </c>
      <c r="H56" s="26"/>
    </row>
    <row r="57" spans="2:8" s="299" customFormat="1" x14ac:dyDescent="0.2">
      <c r="B57" s="25"/>
      <c r="C57" s="303" t="s">
        <v>37</v>
      </c>
      <c r="D57" s="318" t="s">
        <v>17</v>
      </c>
      <c r="E57" s="319" t="str">
        <f t="shared" si="1"/>
        <v>UsdLiborSwapForBasisCalc49Y</v>
      </c>
      <c r="F57" s="306" t="str">
        <f>_xll.qlSwapIndex($E57,FixingType,C57,2,Currency,$F$6,"1Y","f",MoneyMarketDayCounter,Libor!$E$10,Discounting,Permanent,Trigger,ObjectOverwrite)</f>
        <v>UsdLiborSwapForBasisCalc49Y#0000</v>
      </c>
      <c r="G57" s="309" t="str">
        <f>_xll.ohRangeRetrieveError(F57)</f>
        <v/>
      </c>
      <c r="H57" s="26"/>
    </row>
    <row r="58" spans="2:8" s="299" customFormat="1" x14ac:dyDescent="0.2">
      <c r="B58" s="25"/>
      <c r="C58" s="303" t="s">
        <v>36</v>
      </c>
      <c r="D58" s="318" t="s">
        <v>17</v>
      </c>
      <c r="E58" s="319" t="str">
        <f t="shared" si="1"/>
        <v>UsdLiborSwapForBasisCalc50Y</v>
      </c>
      <c r="F58" s="306" t="str">
        <f>_xll.qlSwapIndex($E58,FixingType,C58,2,Currency,$F$6,"1Y","f",MoneyMarketDayCounter,Libor!$E$10,Discounting,Permanent,Trigger,ObjectOverwrite)</f>
        <v>UsdLiborSwapForBasisCalc50Y#0000</v>
      </c>
      <c r="G58" s="309" t="str">
        <f>_xll.ohRangeRetrieveError(F58)</f>
        <v/>
      </c>
      <c r="H58" s="26"/>
    </row>
    <row r="59" spans="2:8" s="299" customFormat="1" x14ac:dyDescent="0.2">
      <c r="B59" s="25"/>
      <c r="C59" s="303" t="s">
        <v>35</v>
      </c>
      <c r="D59" s="318" t="s">
        <v>17</v>
      </c>
      <c r="E59" s="319" t="str">
        <f t="shared" si="1"/>
        <v>UsdLiborSwapForBasisCalc51Y</v>
      </c>
      <c r="F59" s="306" t="str">
        <f>_xll.qlSwapIndex($E59,FixingType,C59,2,Currency,$F$6,"1Y","f",MoneyMarketDayCounter,Libor!$E$10,Discounting,Permanent,Trigger,ObjectOverwrite)</f>
        <v>UsdLiborSwapForBasisCalc51Y#0000</v>
      </c>
      <c r="G59" s="309" t="str">
        <f>_xll.ohRangeRetrieveError(F59)</f>
        <v/>
      </c>
      <c r="H59" s="26"/>
    </row>
    <row r="60" spans="2:8" s="299" customFormat="1" x14ac:dyDescent="0.2">
      <c r="B60" s="25"/>
      <c r="C60" s="303" t="s">
        <v>34</v>
      </c>
      <c r="D60" s="318" t="s">
        <v>17</v>
      </c>
      <c r="E60" s="319" t="str">
        <f t="shared" si="1"/>
        <v>UsdLiborSwapForBasisCalc52Y</v>
      </c>
      <c r="F60" s="306" t="str">
        <f>_xll.qlSwapIndex($E60,FixingType,C60,2,Currency,$F$6,"1Y","f",MoneyMarketDayCounter,Libor!$E$10,Discounting,Permanent,Trigger,ObjectOverwrite)</f>
        <v>UsdLiborSwapForBasisCalc52Y#0000</v>
      </c>
      <c r="G60" s="309" t="str">
        <f>_xll.ohRangeRetrieveError(F60)</f>
        <v/>
      </c>
      <c r="H60" s="26"/>
    </row>
    <row r="61" spans="2:8" s="299" customFormat="1" x14ac:dyDescent="0.2">
      <c r="B61" s="25"/>
      <c r="C61" s="303" t="s">
        <v>33</v>
      </c>
      <c r="D61" s="318" t="s">
        <v>17</v>
      </c>
      <c r="E61" s="319" t="str">
        <f t="shared" si="1"/>
        <v>UsdLiborSwapForBasisCalc53Y</v>
      </c>
      <c r="F61" s="306" t="str">
        <f>_xll.qlSwapIndex($E61,FixingType,C61,2,Currency,$F$6,"1Y","f",MoneyMarketDayCounter,Libor!$E$10,Discounting,Permanent,Trigger,ObjectOverwrite)</f>
        <v>UsdLiborSwapForBasisCalc53Y#0000</v>
      </c>
      <c r="G61" s="309" t="str">
        <f>_xll.ohRangeRetrieveError(F61)</f>
        <v/>
      </c>
      <c r="H61" s="26"/>
    </row>
    <row r="62" spans="2:8" s="299" customFormat="1" x14ac:dyDescent="0.2">
      <c r="B62" s="25"/>
      <c r="C62" s="303" t="s">
        <v>32</v>
      </c>
      <c r="D62" s="318" t="s">
        <v>17</v>
      </c>
      <c r="E62" s="319" t="str">
        <f t="shared" si="1"/>
        <v>UsdLiborSwapForBasisCalc54Y</v>
      </c>
      <c r="F62" s="306" t="str">
        <f>_xll.qlSwapIndex($E62,FixingType,C62,2,Currency,$F$6,"1Y","f",MoneyMarketDayCounter,Libor!$E$10,Discounting,Permanent,Trigger,ObjectOverwrite)</f>
        <v>UsdLiborSwapForBasisCalc54Y#0000</v>
      </c>
      <c r="G62" s="309" t="str">
        <f>_xll.ohRangeRetrieveError(F62)</f>
        <v/>
      </c>
      <c r="H62" s="26"/>
    </row>
    <row r="63" spans="2:8" s="299" customFormat="1" x14ac:dyDescent="0.2">
      <c r="B63" s="25"/>
      <c r="C63" s="303" t="s">
        <v>31</v>
      </c>
      <c r="D63" s="318" t="s">
        <v>17</v>
      </c>
      <c r="E63" s="319" t="str">
        <f t="shared" si="1"/>
        <v>UsdLiborSwapForBasisCalc55Y</v>
      </c>
      <c r="F63" s="306" t="str">
        <f>_xll.qlSwapIndex($E63,FixingType,C63,2,Currency,$F$6,"1Y","f",MoneyMarketDayCounter,Libor!$E$10,Discounting,Permanent,Trigger,ObjectOverwrite)</f>
        <v>UsdLiborSwapForBasisCalc55Y#0000</v>
      </c>
      <c r="G63" s="309" t="str">
        <f>_xll.ohRangeRetrieveError(F63)</f>
        <v/>
      </c>
      <c r="H63" s="26"/>
    </row>
    <row r="64" spans="2:8" s="299" customFormat="1" x14ac:dyDescent="0.2">
      <c r="B64" s="25"/>
      <c r="C64" s="303" t="s">
        <v>30</v>
      </c>
      <c r="D64" s="318" t="s">
        <v>17</v>
      </c>
      <c r="E64" s="319" t="str">
        <f t="shared" si="1"/>
        <v>UsdLiborSwapForBasisCalc56Y</v>
      </c>
      <c r="F64" s="306" t="str">
        <f>_xll.qlSwapIndex($E64,FixingType,C64,2,Currency,$F$6,"1Y","f",MoneyMarketDayCounter,Libor!$E$10,Discounting,Permanent,Trigger,ObjectOverwrite)</f>
        <v>UsdLiborSwapForBasisCalc56Y#0000</v>
      </c>
      <c r="G64" s="309" t="str">
        <f>_xll.ohRangeRetrieveError(F64)</f>
        <v/>
      </c>
      <c r="H64" s="26"/>
    </row>
    <row r="65" spans="2:8" s="299" customFormat="1" x14ac:dyDescent="0.2">
      <c r="B65" s="25"/>
      <c r="C65" s="303" t="s">
        <v>29</v>
      </c>
      <c r="D65" s="318" t="s">
        <v>17</v>
      </c>
      <c r="E65" s="319" t="str">
        <f t="shared" si="1"/>
        <v>UsdLiborSwapForBasisCalc57Y</v>
      </c>
      <c r="F65" s="306" t="str">
        <f>_xll.qlSwapIndex($E65,FixingType,C65,2,Currency,$F$6,"1Y","f",MoneyMarketDayCounter,Libor!$E$10,Discounting,Permanent,Trigger,ObjectOverwrite)</f>
        <v>UsdLiborSwapForBasisCalc57Y#0000</v>
      </c>
      <c r="G65" s="309" t="str">
        <f>_xll.ohRangeRetrieveError(F65)</f>
        <v/>
      </c>
      <c r="H65" s="26"/>
    </row>
    <row r="66" spans="2:8" s="299" customFormat="1" x14ac:dyDescent="0.2">
      <c r="B66" s="25"/>
      <c r="C66" s="303" t="s">
        <v>28</v>
      </c>
      <c r="D66" s="318" t="s">
        <v>17</v>
      </c>
      <c r="E66" s="319" t="str">
        <f t="shared" si="1"/>
        <v>UsdLiborSwapForBasisCalc58Y</v>
      </c>
      <c r="F66" s="306" t="str">
        <f>_xll.qlSwapIndex($E66,FixingType,C66,2,Currency,$F$6,"1Y","f",MoneyMarketDayCounter,Libor!$E$10,Discounting,Permanent,Trigger,ObjectOverwrite)</f>
        <v>UsdLiborSwapForBasisCalc58Y#0000</v>
      </c>
      <c r="G66" s="309" t="str">
        <f>_xll.ohRangeRetrieveError(F66)</f>
        <v/>
      </c>
      <c r="H66" s="26"/>
    </row>
    <row r="67" spans="2:8" s="299" customFormat="1" x14ac:dyDescent="0.2">
      <c r="B67" s="25"/>
      <c r="C67" s="303" t="s">
        <v>27</v>
      </c>
      <c r="D67" s="318" t="s">
        <v>17</v>
      </c>
      <c r="E67" s="319" t="str">
        <f t="shared" si="1"/>
        <v>UsdLiborSwapForBasisCalc59Y</v>
      </c>
      <c r="F67" s="306" t="str">
        <f>_xll.qlSwapIndex($E67,FixingType,C67,2,Currency,$F$6,"1Y","f",MoneyMarketDayCounter,Libor!$E$10,Discounting,Permanent,Trigger,ObjectOverwrite)</f>
        <v>UsdLiborSwapForBasisCalc59Y#0000</v>
      </c>
      <c r="G67" s="309" t="str">
        <f>_xll.ohRangeRetrieveError(F67)</f>
        <v/>
      </c>
      <c r="H67" s="26"/>
    </row>
    <row r="68" spans="2:8" s="299" customFormat="1" x14ac:dyDescent="0.2">
      <c r="B68" s="25"/>
      <c r="C68" s="304" t="s">
        <v>26</v>
      </c>
      <c r="D68" s="320" t="s">
        <v>17</v>
      </c>
      <c r="E68" s="321" t="str">
        <f t="shared" si="1"/>
        <v>UsdLiborSwapForBasisCalc60Y</v>
      </c>
      <c r="F68" s="307" t="str">
        <f>_xll.qlSwapIndex($E68,FixingType,C68,2,Currency,$F$6,"1Y","f",MoneyMarketDayCounter,Libor!$E$10,Discounting,Permanent,Trigger,ObjectOverwrite)</f>
        <v>UsdLiborSwapForBasisCalc60Y#0000</v>
      </c>
      <c r="G68" s="310" t="str">
        <f>_xll.ohRangeRetrieveError(F68)</f>
        <v/>
      </c>
      <c r="H68" s="26"/>
    </row>
    <row r="69" spans="2:8" s="299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9" customFormat="1" x14ac:dyDescent="0.2"/>
    <row r="71" spans="2:8" s="299" customFormat="1" x14ac:dyDescent="0.2">
      <c r="B71" s="300"/>
      <c r="C71" s="300"/>
      <c r="D71" s="300"/>
      <c r="E71" s="300"/>
      <c r="F71" s="300"/>
      <c r="G71" s="300"/>
      <c r="H71" s="30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9" hidden="1" customWidth="1" outlineLevel="1"/>
    <col min="2" max="2" width="26.5703125" style="199" hidden="1" customWidth="1" outlineLevel="1"/>
    <col min="3" max="3" width="31.7109375" style="199" hidden="1" customWidth="1" outlineLevel="1"/>
    <col min="4" max="4" width="20.7109375" style="199" hidden="1" customWidth="1" outlineLevel="1"/>
    <col min="5" max="5" width="2.7109375" style="199" hidden="1" customWidth="1" outlineLevel="1"/>
    <col min="6" max="6" width="2.7109375" style="199" customWidth="1" collapsed="1"/>
    <col min="7" max="10" width="2.7109375" style="199" customWidth="1"/>
    <col min="11" max="11" width="11.7109375" style="199" customWidth="1"/>
    <col min="12" max="12" width="15.140625" style="199" bestFit="1" customWidth="1"/>
    <col min="13" max="13" width="10.7109375" style="199" customWidth="1"/>
    <col min="14" max="14" width="2.7109375" style="199" customWidth="1"/>
    <col min="15" max="15" width="15.140625" style="199" bestFit="1" customWidth="1"/>
    <col min="16" max="16" width="10.7109375" style="199" customWidth="1"/>
    <col min="17" max="17" width="2.7109375" style="199" customWidth="1"/>
    <col min="18" max="18" width="10.7109375" style="199" customWidth="1"/>
    <col min="19" max="19" width="2.7109375" style="199" customWidth="1"/>
    <col min="20" max="21" width="10.7109375" style="199" customWidth="1"/>
    <col min="22" max="23" width="2.7109375" style="199" customWidth="1"/>
    <col min="24" max="16384" width="9.140625" style="199"/>
  </cols>
  <sheetData>
    <row r="1" spans="1:22" x14ac:dyDescent="0.2">
      <c r="A1" s="143"/>
      <c r="B1" s="134"/>
      <c r="C1" s="134"/>
      <c r="D1" s="134"/>
      <c r="E1" s="135"/>
      <c r="G1" s="373" t="s">
        <v>289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9"/>
    </row>
    <row r="2" spans="1:22" x14ac:dyDescent="0.2">
      <c r="A2" s="136"/>
      <c r="B2" s="137"/>
      <c r="C2" s="137"/>
      <c r="D2" s="74"/>
      <c r="E2" s="138"/>
      <c r="G2" s="170"/>
      <c r="H2" s="7"/>
      <c r="I2" s="7"/>
      <c r="J2" s="7"/>
      <c r="K2" s="7"/>
      <c r="L2" s="243" t="s">
        <v>256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57</v>
      </c>
      <c r="V2" s="171"/>
    </row>
    <row r="3" spans="1:22" x14ac:dyDescent="0.2">
      <c r="A3" s="170"/>
      <c r="B3" s="7"/>
      <c r="C3" s="7"/>
      <c r="D3" s="7"/>
      <c r="E3" s="171"/>
      <c r="G3" s="17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1"/>
    </row>
    <row r="4" spans="1:22" ht="23.25" thickBot="1" x14ac:dyDescent="0.25">
      <c r="A4" s="170"/>
      <c r="B4" s="326" t="s">
        <v>262</v>
      </c>
      <c r="C4" s="363" t="s">
        <v>263</v>
      </c>
      <c r="D4" s="372" t="s">
        <v>280</v>
      </c>
      <c r="E4" s="171"/>
      <c r="G4" s="170"/>
      <c r="H4" s="176"/>
      <c r="I4" s="243"/>
      <c r="J4" s="103"/>
      <c r="K4" s="103" t="s">
        <v>290</v>
      </c>
      <c r="L4" s="364" t="str">
        <f>_xll.RData(L5,M4,"RTFEED:IDN",ReutersRtMode,,M5)</f>
        <v>Paused at 11:14:16</v>
      </c>
      <c r="M4" s="365" t="s">
        <v>158</v>
      </c>
      <c r="N4" s="366"/>
      <c r="O4" s="437" t="s">
        <v>182</v>
      </c>
      <c r="P4" s="438"/>
      <c r="Q4" s="366"/>
      <c r="R4" s="87" t="s">
        <v>173</v>
      </c>
      <c r="S4" s="367"/>
      <c r="T4" s="87" t="s">
        <v>172</v>
      </c>
      <c r="U4" s="87" t="s">
        <v>171</v>
      </c>
      <c r="V4" s="171"/>
    </row>
    <row r="5" spans="1:22" x14ac:dyDescent="0.2">
      <c r="A5" s="170"/>
      <c r="B5" s="296" t="str">
        <f>Currency&amp;"HW_Volatility"&amp;QuoteSuffix</f>
        <v>USDHW_Volatility_Quote</v>
      </c>
      <c r="C5" s="296" t="str">
        <f>_xll.qlSimpleQuote(B5,,,Permanent,Trigger,ObjectOverwrite)</f>
        <v>USDHW_Volatility_Quote#0000</v>
      </c>
      <c r="D5" s="368" t="str">
        <f>_xll.ohRangeRetrieveError(C5)</f>
        <v/>
      </c>
      <c r="E5" s="171"/>
      <c r="G5" s="170"/>
      <c r="H5" s="374" t="s">
        <v>84</v>
      </c>
      <c r="I5" s="252" t="s">
        <v>179</v>
      </c>
      <c r="J5" s="181" t="s">
        <v>93</v>
      </c>
      <c r="K5" s="181" t="str">
        <f>I5&amp;H5&amp;J5&amp;"ATM"</f>
        <v>US2Y3LATM</v>
      </c>
      <c r="L5" s="85" t="str">
        <f>K5&amp;"="&amp;VLOOKUP($L$2,ContributorTable,2,FALSE)</f>
        <v>US2Y3LATM=ICAP</v>
      </c>
      <c r="M5" s="278">
        <v>62.18</v>
      </c>
      <c r="N5" s="366"/>
      <c r="O5" s="182" t="s">
        <v>181</v>
      </c>
      <c r="P5" s="369">
        <f>M5/100*IF(ISNUMBER(Swap3M4Y),Swap3M4Y/100,Swap6M4Y/100)</f>
        <v>9.4389240000000013E-3</v>
      </c>
      <c r="Q5" s="366"/>
      <c r="R5" s="369">
        <v>1.0229024000000001E-2</v>
      </c>
      <c r="S5" s="367"/>
      <c r="T5" s="369">
        <f t="array" ref="T5:T6">QuoteLive</f>
        <v>9.4389240000000013E-3</v>
      </c>
      <c r="U5" s="369">
        <f>_xll.qlSimpleQuoteSetValue(C5,T5,Trigger)</f>
        <v>0</v>
      </c>
      <c r="V5" s="171"/>
    </row>
    <row r="6" spans="1:22" x14ac:dyDescent="0.2">
      <c r="A6" s="170"/>
      <c r="B6" s="296" t="str">
        <f>Currency&amp;"HW_MeanReversion"&amp;QuoteSuffix</f>
        <v>USDHW_MeanReversion_Quote</v>
      </c>
      <c r="C6" s="296" t="str">
        <f>_xll.qlSimpleQuote(B6,,,Permanent,Trigger,ObjectOverwrite)</f>
        <v>USDHW_MeanReversion_Quote#0000</v>
      </c>
      <c r="D6" s="368" t="str">
        <f>_xll.ohRangeRetrieveError(C6)</f>
        <v/>
      </c>
      <c r="E6" s="171"/>
      <c r="G6" s="170"/>
      <c r="H6" s="375"/>
      <c r="I6" s="375"/>
      <c r="J6" s="375"/>
      <c r="K6" s="375"/>
      <c r="L6" s="376"/>
      <c r="M6" s="377"/>
      <c r="N6" s="366"/>
      <c r="O6" s="370" t="s">
        <v>180</v>
      </c>
      <c r="P6" s="371">
        <v>0.03</v>
      </c>
      <c r="Q6" s="366"/>
      <c r="R6" s="371">
        <v>0.03</v>
      </c>
      <c r="S6" s="367"/>
      <c r="T6" s="371">
        <v>0.03</v>
      </c>
      <c r="U6" s="371">
        <f>_xll.qlSimpleQuoteSetValue(C6,T6,Trigger)</f>
        <v>0</v>
      </c>
      <c r="V6" s="171"/>
    </row>
    <row r="7" spans="1:22" x14ac:dyDescent="0.2">
      <c r="A7" s="172"/>
      <c r="B7" s="173"/>
      <c r="C7" s="173"/>
      <c r="D7" s="173"/>
      <c r="E7" s="175"/>
      <c r="G7" s="172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40" hidden="1" customWidth="1" outlineLevel="1"/>
    <col min="2" max="2" width="5.140625" style="240" hidden="1" customWidth="1" outlineLevel="1"/>
    <col min="3" max="3" width="17.28515625" style="240" hidden="1" customWidth="1" outlineLevel="1"/>
    <col min="4" max="4" width="22.42578125" style="240" hidden="1" customWidth="1" outlineLevel="1"/>
    <col min="5" max="5" width="66" style="240" hidden="1" customWidth="1" outlineLevel="1"/>
    <col min="6" max="6" width="2.7109375" style="240" hidden="1" customWidth="1" outlineLevel="1"/>
    <col min="7" max="7" width="2.7109375" style="240" customWidth="1" collapsed="1"/>
    <col min="8" max="8" width="2.7109375" style="240" customWidth="1"/>
    <col min="9" max="9" width="4" style="240" customWidth="1"/>
    <col min="10" max="10" width="17.28515625" style="240" customWidth="1"/>
    <col min="11" max="13" width="10.7109375" style="240" customWidth="1"/>
    <col min="14" max="14" width="2.7109375" style="240" customWidth="1"/>
    <col min="15" max="15" width="10.7109375" style="240" customWidth="1"/>
    <col min="16" max="16" width="2.7109375" style="240" customWidth="1"/>
    <col min="17" max="18" width="10.7109375" style="240" customWidth="1"/>
    <col min="19" max="19" width="2.7109375" style="240" customWidth="1"/>
    <col min="20" max="16384" width="9.140625" style="240"/>
  </cols>
  <sheetData>
    <row r="1" spans="1:19" ht="11.25" customHeight="1" x14ac:dyDescent="0.25">
      <c r="A1" s="143"/>
      <c r="B1" s="134"/>
      <c r="C1" s="134"/>
      <c r="D1" s="134"/>
      <c r="E1" s="134"/>
      <c r="F1" s="135"/>
      <c r="G1" s="199"/>
      <c r="H1" s="373"/>
      <c r="I1" s="378"/>
      <c r="J1" s="256"/>
      <c r="K1" s="256"/>
      <c r="L1" s="256"/>
      <c r="M1" s="256"/>
      <c r="N1" s="256"/>
      <c r="O1" s="256"/>
      <c r="P1" s="256"/>
      <c r="Q1" s="256"/>
      <c r="R1" s="109">
        <f>_xll.ohTrigger(R4:R22)</f>
        <v>2</v>
      </c>
      <c r="S1" s="169"/>
    </row>
    <row r="2" spans="1:19" ht="11.25" customHeight="1" x14ac:dyDescent="0.25">
      <c r="A2" s="139"/>
      <c r="B2" s="7"/>
      <c r="C2" s="7"/>
      <c r="D2" s="7"/>
      <c r="E2" s="7"/>
      <c r="F2" s="171"/>
      <c r="G2" s="199"/>
      <c r="H2" s="76"/>
      <c r="I2" s="56"/>
      <c r="J2" s="56"/>
      <c r="K2" s="56"/>
      <c r="L2" s="56"/>
      <c r="M2" s="56"/>
      <c r="N2" s="56"/>
      <c r="O2" s="56"/>
      <c r="P2" s="56"/>
      <c r="Q2" s="7"/>
      <c r="R2" s="379"/>
      <c r="S2" s="77"/>
    </row>
    <row r="3" spans="1:19" ht="22.5" customHeight="1" x14ac:dyDescent="0.25">
      <c r="A3" s="76"/>
      <c r="B3" s="101"/>
      <c r="C3" s="102" t="s">
        <v>262</v>
      </c>
      <c r="D3" s="102" t="s">
        <v>263</v>
      </c>
      <c r="E3" s="167" t="s">
        <v>280</v>
      </c>
      <c r="F3" s="77"/>
      <c r="G3" s="199"/>
      <c r="H3" s="76"/>
      <c r="I3" s="88"/>
      <c r="J3" s="106" t="str">
        <f>_xll.RData(J4:J22,K3:L3,"RTFEED:DTSIMI1",ReutersRtMode,,K4)</f>
        <v>Paused at 11:14:16</v>
      </c>
      <c r="K3" s="87" t="s">
        <v>158</v>
      </c>
      <c r="L3" s="87" t="s">
        <v>157</v>
      </c>
      <c r="M3" s="87" t="s">
        <v>204</v>
      </c>
      <c r="N3" s="56"/>
      <c r="O3" s="87" t="s">
        <v>173</v>
      </c>
      <c r="P3" s="56"/>
      <c r="Q3" s="88" t="s">
        <v>172</v>
      </c>
      <c r="R3" s="88" t="s">
        <v>171</v>
      </c>
      <c r="S3" s="77"/>
    </row>
    <row r="4" spans="1:19" ht="11.25" customHeight="1" x14ac:dyDescent="0.25">
      <c r="A4" s="76"/>
      <c r="B4" s="380" t="s">
        <v>120</v>
      </c>
      <c r="C4" s="381" t="str">
        <f t="shared" ref="C4:C21" si="0">Currency&amp;$B4&amp;"_Mx"&amp;QuoteSuffix</f>
        <v>USDOND_Mx_Quote</v>
      </c>
      <c r="D4" s="381" t="str">
        <f>_xll.qlSimpleQuote(C4,,RateTickValue,Permanent,Trigger,ObjectOverwrite)</f>
        <v>USDOND_Mx_Quote#0000</v>
      </c>
      <c r="E4" s="331" t="str">
        <f>_xll.ohRangeRetrieveError(D4)</f>
        <v/>
      </c>
      <c r="F4" s="77"/>
      <c r="G4" s="199"/>
      <c r="H4" s="76"/>
      <c r="I4" s="181" t="s">
        <v>154</v>
      </c>
      <c r="J4" s="82" t="str">
        <f t="shared" ref="J4:J21" si="1">Currency&amp;"X"&amp;I4&amp;"D="</f>
        <v>USDXOND=</v>
      </c>
      <c r="K4" s="84">
        <v>0.27999999999999997</v>
      </c>
      <c r="L4" s="84">
        <v>0.27999999999999997</v>
      </c>
      <c r="M4" s="84">
        <f>AVERAGE(K4:L4)</f>
        <v>0.27999999999999997</v>
      </c>
      <c r="N4" s="56"/>
      <c r="O4" s="382">
        <v>0.23</v>
      </c>
      <c r="P4" s="56"/>
      <c r="Q4" s="85">
        <f t="array" ref="Q4:Q22">QuoteLive</f>
        <v>0.27999999999999997</v>
      </c>
      <c r="R4" s="188">
        <f>_xll.qlSimpleQuoteSetValue(D4,Q4/100,Trigger)</f>
        <v>9.9999999999999395E-5</v>
      </c>
      <c r="S4" s="77"/>
    </row>
    <row r="5" spans="1:19" ht="11.25" customHeight="1" x14ac:dyDescent="0.25">
      <c r="A5" s="76"/>
      <c r="B5" s="383" t="s">
        <v>119</v>
      </c>
      <c r="C5" s="384" t="str">
        <f t="shared" si="0"/>
        <v>USDTND_Mx_Quote</v>
      </c>
      <c r="D5" s="384" t="str">
        <f>_xll.qlSimpleQuote(C5,,RateTickValue,Permanent,Trigger,ObjectOverwrite)</f>
        <v>USDTND_Mx_Quote#0000</v>
      </c>
      <c r="E5" s="342" t="str">
        <f>_xll.ohRangeRetrieveError(D5)</f>
        <v/>
      </c>
      <c r="F5" s="77"/>
      <c r="G5" s="199"/>
      <c r="H5" s="76"/>
      <c r="I5" s="183" t="s">
        <v>170</v>
      </c>
      <c r="J5" s="82" t="str">
        <f t="shared" si="1"/>
        <v>USDXTND=</v>
      </c>
      <c r="K5" s="85">
        <v>0.27999999999999997</v>
      </c>
      <c r="L5" s="85">
        <v>0.27999999999999997</v>
      </c>
      <c r="M5" s="85">
        <f t="shared" ref="M5:M22" si="2">AVERAGE(K5:L5)</f>
        <v>0.27999999999999997</v>
      </c>
      <c r="N5" s="56"/>
      <c r="O5" s="225">
        <v>0.23</v>
      </c>
      <c r="P5" s="56"/>
      <c r="Q5" s="85">
        <v>0.27999999999999997</v>
      </c>
      <c r="R5" s="188">
        <f>_xll.qlSimpleQuoteSetValue(D5,Q5/100,Trigger)</f>
        <v>9.9999999999999395E-5</v>
      </c>
      <c r="S5" s="77"/>
    </row>
    <row r="6" spans="1:19" ht="11.25" customHeight="1" x14ac:dyDescent="0.25">
      <c r="A6" s="76"/>
      <c r="B6" s="383" t="s">
        <v>118</v>
      </c>
      <c r="C6" s="384" t="str">
        <f t="shared" si="0"/>
        <v>USDSND_Mx_Quote</v>
      </c>
      <c r="D6" s="384" t="str">
        <f>_xll.qlSimpleQuote(C6,,RateTickValue,Permanent,Trigger,ObjectOverwrite)</f>
        <v>USDSND_Mx_Quote#0000</v>
      </c>
      <c r="E6" s="342" t="str">
        <f>_xll.ohRangeRetrieveError(D6)</f>
        <v/>
      </c>
      <c r="F6" s="77"/>
      <c r="G6" s="199"/>
      <c r="H6" s="76"/>
      <c r="I6" s="185" t="s">
        <v>167</v>
      </c>
      <c r="J6" s="83" t="str">
        <f t="shared" si="1"/>
        <v>USDXSND=</v>
      </c>
      <c r="K6" s="86">
        <v>0.27999999999999997</v>
      </c>
      <c r="L6" s="86">
        <v>0.27999999999999997</v>
      </c>
      <c r="M6" s="86">
        <f t="shared" si="2"/>
        <v>0.27999999999999997</v>
      </c>
      <c r="N6" s="56"/>
      <c r="O6" s="237">
        <v>0.23</v>
      </c>
      <c r="P6" s="56"/>
      <c r="Q6" s="85">
        <v>0.27999999999999997</v>
      </c>
      <c r="R6" s="188">
        <f>_xll.qlSimpleQuoteSetValue(D6,Q6/100,Trigger)</f>
        <v>9.9999999999999395E-5</v>
      </c>
      <c r="S6" s="77"/>
    </row>
    <row r="7" spans="1:19" ht="11.25" customHeight="1" x14ac:dyDescent="0.25">
      <c r="A7" s="76"/>
      <c r="B7" s="383" t="s">
        <v>117</v>
      </c>
      <c r="C7" s="384" t="str">
        <f t="shared" si="0"/>
        <v>USDSWD_Mx_Quote</v>
      </c>
      <c r="D7" s="384" t="str">
        <f>_xll.qlSimpleQuote(C7,,RateTickValue,Permanent,Trigger,ObjectOverwrite)</f>
        <v>USDSWD_Mx_Quote#0000</v>
      </c>
      <c r="E7" s="342" t="str">
        <f>_xll.ohRangeRetrieveError(D7)</f>
        <v/>
      </c>
      <c r="F7" s="77"/>
      <c r="G7" s="199"/>
      <c r="H7" s="76"/>
      <c r="I7" s="183" t="s">
        <v>22</v>
      </c>
      <c r="J7" s="82" t="str">
        <f t="shared" si="1"/>
        <v>USDXSWD=</v>
      </c>
      <c r="K7" s="85">
        <v>0.13399999999999998</v>
      </c>
      <c r="L7" s="85">
        <v>0.14399999999999999</v>
      </c>
      <c r="M7" s="85">
        <f t="shared" si="2"/>
        <v>0.13899999999999998</v>
      </c>
      <c r="N7" s="56"/>
      <c r="O7" s="225">
        <v>0.12</v>
      </c>
      <c r="P7" s="56"/>
      <c r="Q7" s="84">
        <v>0.13899999999999998</v>
      </c>
      <c r="R7" s="187">
        <f>_xll.qlSimpleQuoteSetValue(D7,Q7/100,Trigger)</f>
        <v>2.4999999999998981E-6</v>
      </c>
      <c r="S7" s="77"/>
    </row>
    <row r="8" spans="1:19" ht="11.25" customHeight="1" x14ac:dyDescent="0.25">
      <c r="A8" s="76"/>
      <c r="B8" s="383" t="s">
        <v>116</v>
      </c>
      <c r="C8" s="384" t="str">
        <f t="shared" si="0"/>
        <v>USD2WD_Mx_Quote</v>
      </c>
      <c r="D8" s="384" t="str">
        <f>_xll.qlSimpleQuote(C8,,RateTickValue,Permanent,Trigger,ObjectOverwrite)</f>
        <v>USD2WD_Mx_Quote#0000</v>
      </c>
      <c r="E8" s="342" t="str">
        <f>_xll.ohRangeRetrieveError(D8)</f>
        <v/>
      </c>
      <c r="F8" s="77"/>
      <c r="G8" s="199"/>
      <c r="H8" s="76"/>
      <c r="I8" s="183" t="s">
        <v>21</v>
      </c>
      <c r="J8" s="82" t="str">
        <f t="shared" si="1"/>
        <v>USDX2WD=</v>
      </c>
      <c r="K8" s="85">
        <v>0.14450000000000002</v>
      </c>
      <c r="L8" s="85">
        <v>0.1545</v>
      </c>
      <c r="M8" s="85">
        <f t="shared" si="2"/>
        <v>0.14950000000000002</v>
      </c>
      <c r="N8" s="56"/>
      <c r="O8" s="225">
        <v>0.128803846</v>
      </c>
      <c r="P8" s="56"/>
      <c r="Q8" s="85">
        <v>0.14950000000000002</v>
      </c>
      <c r="R8" s="188">
        <f>_xll.qlSimpleQuoteSetValue(D8,Q8/100,Trigger)</f>
        <v>1.5800000000000276E-5</v>
      </c>
      <c r="S8" s="77"/>
    </row>
    <row r="9" spans="1:19" ht="11.25" customHeight="1" x14ac:dyDescent="0.25">
      <c r="A9" s="76"/>
      <c r="B9" s="383" t="s">
        <v>115</v>
      </c>
      <c r="C9" s="384" t="str">
        <f t="shared" si="0"/>
        <v>USD3WD_Mx_Quote</v>
      </c>
      <c r="D9" s="384" t="str">
        <f>_xll.qlSimpleQuote(C9,,RateTickValue,Permanent,Trigger,ObjectOverwrite)</f>
        <v>USD3WD_Mx_Quote#0000</v>
      </c>
      <c r="E9" s="342" t="str">
        <f>_xll.ohRangeRetrieveError(D9)</f>
        <v/>
      </c>
      <c r="F9" s="77"/>
      <c r="G9" s="199"/>
      <c r="H9" s="76"/>
      <c r="I9" s="183" t="s">
        <v>20</v>
      </c>
      <c r="J9" s="82" t="str">
        <f t="shared" si="1"/>
        <v>USDX3WD=</v>
      </c>
      <c r="K9" s="85">
        <v>0.155</v>
      </c>
      <c r="L9" s="85">
        <v>0.16499999999999998</v>
      </c>
      <c r="M9" s="85">
        <f t="shared" si="2"/>
        <v>0.15999999999999998</v>
      </c>
      <c r="N9" s="56"/>
      <c r="O9" s="225">
        <v>0.137607692</v>
      </c>
      <c r="P9" s="56"/>
      <c r="Q9" s="85">
        <v>0.15999999999999998</v>
      </c>
      <c r="R9" s="188">
        <f>_xll.qlSimpleQuoteSetValue(D9,Q9/100,Trigger)</f>
        <v>2.9099999999999786E-5</v>
      </c>
      <c r="S9" s="77"/>
    </row>
    <row r="10" spans="1:19" ht="11.25" customHeight="1" x14ac:dyDescent="0.25">
      <c r="A10" s="76"/>
      <c r="B10" s="383" t="s">
        <v>114</v>
      </c>
      <c r="C10" s="384" t="str">
        <f t="shared" si="0"/>
        <v>USD1MD_Mx_Quote</v>
      </c>
      <c r="D10" s="384" t="str">
        <f>_xll.qlSimpleQuote(C10,,RateTickValue,Permanent,Trigger,ObjectOverwrite)</f>
        <v>USD1MD_Mx_Quote#0000</v>
      </c>
      <c r="E10" s="342" t="str">
        <f>_xll.ohRangeRetrieveError(D10)</f>
        <v/>
      </c>
      <c r="F10" s="77"/>
      <c r="G10" s="199"/>
      <c r="H10" s="76"/>
      <c r="I10" s="183" t="s">
        <v>19</v>
      </c>
      <c r="J10" s="82" t="str">
        <f t="shared" si="1"/>
        <v>USDX1MD=</v>
      </c>
      <c r="K10" s="85">
        <v>0.16999999999999998</v>
      </c>
      <c r="L10" s="85">
        <v>0.18</v>
      </c>
      <c r="M10" s="85">
        <f t="shared" si="2"/>
        <v>0.17499999999999999</v>
      </c>
      <c r="N10" s="56"/>
      <c r="O10" s="225">
        <v>0.1527</v>
      </c>
      <c r="P10" s="56"/>
      <c r="Q10" s="85">
        <v>0.17499999999999999</v>
      </c>
      <c r="R10" s="188">
        <f>_xll.qlSimpleQuoteSetValue(D10,Q10/100,Trigger)</f>
        <v>3.4999999999999658E-5</v>
      </c>
      <c r="S10" s="77"/>
    </row>
    <row r="11" spans="1:19" ht="11.25" customHeight="1" x14ac:dyDescent="0.25">
      <c r="A11" s="76"/>
      <c r="B11" s="383" t="s">
        <v>113</v>
      </c>
      <c r="C11" s="384" t="str">
        <f t="shared" si="0"/>
        <v>USD2MD_Mx_Quote</v>
      </c>
      <c r="D11" s="384" t="str">
        <f>_xll.qlSimpleQuote(C11,,RateTickValue,Permanent,Trigger,ObjectOverwrite)</f>
        <v>USD2MD_Mx_Quote#0000</v>
      </c>
      <c r="E11" s="342" t="str">
        <f>_xll.ohRangeRetrieveError(D11)</f>
        <v/>
      </c>
      <c r="F11" s="77"/>
      <c r="G11" s="199"/>
      <c r="H11" s="76"/>
      <c r="I11" s="183" t="s">
        <v>18</v>
      </c>
      <c r="J11" s="82" t="str">
        <f t="shared" si="1"/>
        <v>USDX2MD=</v>
      </c>
      <c r="K11" s="85">
        <v>0.21000000000000002</v>
      </c>
      <c r="L11" s="85">
        <v>0.22000000000000003</v>
      </c>
      <c r="M11" s="85">
        <f t="shared" si="2"/>
        <v>0.21500000000000002</v>
      </c>
      <c r="N11" s="56"/>
      <c r="O11" s="225">
        <v>0.19540000000000002</v>
      </c>
      <c r="P11" s="56"/>
      <c r="Q11" s="85">
        <v>0.21500000000000002</v>
      </c>
      <c r="R11" s="188">
        <f>_xll.qlSimpleQuoteSetValue(D11,Q11/100,Trigger)</f>
        <v>1.000000000000046E-5</v>
      </c>
      <c r="S11" s="77"/>
    </row>
    <row r="12" spans="1:19" ht="11.25" customHeight="1" x14ac:dyDescent="0.25">
      <c r="A12" s="76"/>
      <c r="B12" s="383" t="s">
        <v>112</v>
      </c>
      <c r="C12" s="384" t="str">
        <f t="shared" si="0"/>
        <v>USD3MD_Mx_Quote</v>
      </c>
      <c r="D12" s="384" t="str">
        <f>_xll.qlSimpleQuote(C12,,RateTickValue,Permanent,Trigger,ObjectOverwrite)</f>
        <v>USD3MD_Mx_Quote#0000</v>
      </c>
      <c r="E12" s="342" t="str">
        <f>_xll.ohRangeRetrieveError(D12)</f>
        <v/>
      </c>
      <c r="F12" s="77"/>
      <c r="G12" s="199"/>
      <c r="H12" s="76"/>
      <c r="I12" s="183" t="s">
        <v>17</v>
      </c>
      <c r="J12" s="82" t="str">
        <f t="shared" si="1"/>
        <v>USDX3MD=</v>
      </c>
      <c r="K12" s="85">
        <v>0.25860000000000005</v>
      </c>
      <c r="L12" s="85">
        <v>0.26860000000000001</v>
      </c>
      <c r="M12" s="85">
        <f t="shared" si="2"/>
        <v>0.26360000000000006</v>
      </c>
      <c r="N12" s="56"/>
      <c r="O12" s="225">
        <v>0.2291</v>
      </c>
      <c r="P12" s="56"/>
      <c r="Q12" s="85">
        <v>0.26360000000000006</v>
      </c>
      <c r="R12" s="188">
        <f>_xll.qlSimpleQuoteSetValue(D12,Q12/100,Trigger)</f>
        <v>2.5000000000000716E-5</v>
      </c>
      <c r="S12" s="77"/>
    </row>
    <row r="13" spans="1:19" ht="11.25" customHeight="1" x14ac:dyDescent="0.25">
      <c r="A13" s="76"/>
      <c r="B13" s="383" t="s">
        <v>111</v>
      </c>
      <c r="C13" s="384" t="str">
        <f t="shared" si="0"/>
        <v>USD4MD_Mx_Quote</v>
      </c>
      <c r="D13" s="384" t="str">
        <f>_xll.qlSimpleQuote(C13,,RateTickValue,Permanent,Trigger,ObjectOverwrite)</f>
        <v>USD4MD_Mx_Quote#0000</v>
      </c>
      <c r="E13" s="342" t="str">
        <f>_xll.ohRangeRetrieveError(D13)</f>
        <v/>
      </c>
      <c r="F13" s="77"/>
      <c r="G13" s="199"/>
      <c r="H13" s="76"/>
      <c r="I13" s="183" t="s">
        <v>16</v>
      </c>
      <c r="J13" s="82" t="str">
        <f t="shared" si="1"/>
        <v>USDX4MD=</v>
      </c>
      <c r="K13" s="85">
        <v>0.302132609</v>
      </c>
      <c r="L13" s="85">
        <v>0.31213260900000001</v>
      </c>
      <c r="M13" s="85">
        <f t="shared" si="2"/>
        <v>0.307132609</v>
      </c>
      <c r="N13" s="56"/>
      <c r="O13" s="225">
        <v>0.26221</v>
      </c>
      <c r="P13" s="56"/>
      <c r="Q13" s="85">
        <v>0.307132609</v>
      </c>
      <c r="R13" s="188">
        <f>_xll.qlSimpleQuoteSetValue(D13,Q13/100,Trigger)</f>
        <v>3.8028219999999835E-5</v>
      </c>
      <c r="S13" s="77"/>
    </row>
    <row r="14" spans="1:19" ht="11.25" customHeight="1" x14ac:dyDescent="0.25">
      <c r="A14" s="76"/>
      <c r="B14" s="383" t="s">
        <v>110</v>
      </c>
      <c r="C14" s="384" t="str">
        <f t="shared" si="0"/>
        <v>USD5MD_Mx_Quote</v>
      </c>
      <c r="D14" s="384" t="str">
        <f>_xll.qlSimpleQuote(C14,,RateTickValue,Permanent,Trigger,ObjectOverwrite)</f>
        <v>USD5MD_Mx_Quote#0000</v>
      </c>
      <c r="E14" s="342" t="str">
        <f>_xll.ohRangeRetrieveError(D14)</f>
        <v/>
      </c>
      <c r="F14" s="77"/>
      <c r="G14" s="199"/>
      <c r="H14" s="76"/>
      <c r="I14" s="183" t="s">
        <v>15</v>
      </c>
      <c r="J14" s="82" t="str">
        <f t="shared" si="1"/>
        <v>USDX5MD=</v>
      </c>
      <c r="K14" s="85">
        <v>0.34711630399999999</v>
      </c>
      <c r="L14" s="85">
        <v>0.357116304</v>
      </c>
      <c r="M14" s="85">
        <f t="shared" si="2"/>
        <v>0.35211630399999999</v>
      </c>
      <c r="N14" s="56"/>
      <c r="O14" s="225">
        <v>0.2893</v>
      </c>
      <c r="P14" s="56"/>
      <c r="Q14" s="85">
        <v>0.35211630399999999</v>
      </c>
      <c r="R14" s="188">
        <f>_xll.qlSimpleQuoteSetValue(D14,Q14/100,Trigger)</f>
        <v>7.8764099999999865E-5</v>
      </c>
      <c r="S14" s="77"/>
    </row>
    <row r="15" spans="1:19" ht="11.25" customHeight="1" x14ac:dyDescent="0.25">
      <c r="A15" s="76"/>
      <c r="B15" s="383" t="s">
        <v>109</v>
      </c>
      <c r="C15" s="384" t="str">
        <f t="shared" si="0"/>
        <v>USD6MD_Mx_Quote</v>
      </c>
      <c r="D15" s="384" t="str">
        <f>_xll.qlSimpleQuote(C15,,RateTickValue,Permanent,Trigger,ObjectOverwrite)</f>
        <v>USD6MD_Mx_Quote#0000</v>
      </c>
      <c r="E15" s="342" t="str">
        <f>_xll.ohRangeRetrieveError(D15)</f>
        <v/>
      </c>
      <c r="F15" s="77"/>
      <c r="G15" s="199"/>
      <c r="H15" s="76"/>
      <c r="I15" s="183" t="s">
        <v>14</v>
      </c>
      <c r="J15" s="82" t="str">
        <f t="shared" si="1"/>
        <v>USDX6MD=</v>
      </c>
      <c r="K15" s="85">
        <v>0.3921</v>
      </c>
      <c r="L15" s="85">
        <v>0.40210000000000001</v>
      </c>
      <c r="M15" s="85">
        <f t="shared" si="2"/>
        <v>0.39710000000000001</v>
      </c>
      <c r="N15" s="56"/>
      <c r="O15" s="225">
        <v>0.31940000000000002</v>
      </c>
      <c r="P15" s="56"/>
      <c r="Q15" s="85">
        <v>0.39710000000000001</v>
      </c>
      <c r="R15" s="188">
        <f>_xll.qlSimpleQuoteSetValue(D15,Q15/100,Trigger)</f>
        <v>1.1949999999999981E-4</v>
      </c>
      <c r="S15" s="77"/>
    </row>
    <row r="16" spans="1:19" ht="11.25" customHeight="1" x14ac:dyDescent="0.25">
      <c r="A16" s="76"/>
      <c r="B16" s="383" t="s">
        <v>108</v>
      </c>
      <c r="C16" s="384" t="str">
        <f t="shared" si="0"/>
        <v>USD7MD_Mx_Quote</v>
      </c>
      <c r="D16" s="384" t="str">
        <f>_xll.qlSimpleQuote(C16,,RateTickValue,Permanent,Trigger,ObjectOverwrite)</f>
        <v>USD7MD_Mx_Quote#0000</v>
      </c>
      <c r="E16" s="342" t="str">
        <f>_xll.ohRangeRetrieveError(D16)</f>
        <v/>
      </c>
      <c r="F16" s="77"/>
      <c r="G16" s="199"/>
      <c r="H16" s="76"/>
      <c r="I16" s="183" t="s">
        <v>13</v>
      </c>
      <c r="J16" s="82" t="str">
        <f t="shared" si="1"/>
        <v>USDX7MD=</v>
      </c>
      <c r="K16" s="85">
        <v>0.44499972500000001</v>
      </c>
      <c r="L16" s="85">
        <v>0.45499972499999997</v>
      </c>
      <c r="M16" s="85">
        <f t="shared" si="2"/>
        <v>0.44999972499999996</v>
      </c>
      <c r="N16" s="56"/>
      <c r="O16" s="225">
        <v>0.35729344299999999</v>
      </c>
      <c r="P16" s="56"/>
      <c r="Q16" s="85">
        <v>0.44999972499999996</v>
      </c>
      <c r="R16" s="188">
        <f>_xll.qlSimpleQuoteSetValue(D16,Q16/100,Trigger)</f>
        <v>1.668488999999997E-4</v>
      </c>
      <c r="S16" s="77"/>
    </row>
    <row r="17" spans="1:19" ht="11.25" customHeight="1" x14ac:dyDescent="0.25">
      <c r="A17" s="76"/>
      <c r="B17" s="383" t="s">
        <v>107</v>
      </c>
      <c r="C17" s="384" t="str">
        <f t="shared" si="0"/>
        <v>USD8MD_Mx_Quote</v>
      </c>
      <c r="D17" s="384" t="str">
        <f>_xll.qlSimpleQuote(C17,,RateTickValue,Permanent,Trigger,ObjectOverwrite)</f>
        <v>USD8MD_Mx_Quote#0000</v>
      </c>
      <c r="E17" s="342" t="str">
        <f>_xll.ohRangeRetrieveError(D17)</f>
        <v/>
      </c>
      <c r="F17" s="77"/>
      <c r="G17" s="199"/>
      <c r="H17" s="76"/>
      <c r="I17" s="183" t="s">
        <v>12</v>
      </c>
      <c r="J17" s="82" t="str">
        <f t="shared" si="1"/>
        <v>USDX8MD=</v>
      </c>
      <c r="K17" s="85">
        <v>0.48988434099999995</v>
      </c>
      <c r="L17" s="85">
        <v>0.49988434100000001</v>
      </c>
      <c r="M17" s="85">
        <f t="shared" si="2"/>
        <v>0.49488434100000001</v>
      </c>
      <c r="N17" s="56"/>
      <c r="O17" s="225">
        <v>0.39644999999999997</v>
      </c>
      <c r="P17" s="56"/>
      <c r="Q17" s="85">
        <v>0.49488434100000001</v>
      </c>
      <c r="R17" s="188">
        <f>_xll.qlSimpleQuoteSetValue(D17,Q17/100,Trigger)</f>
        <v>1.3404670999999941E-4</v>
      </c>
      <c r="S17" s="77"/>
    </row>
    <row r="18" spans="1:19" ht="11.25" customHeight="1" x14ac:dyDescent="0.25">
      <c r="A18" s="76"/>
      <c r="B18" s="383" t="s">
        <v>106</v>
      </c>
      <c r="C18" s="384" t="str">
        <f t="shared" si="0"/>
        <v>USD9MD_Mx_Quote</v>
      </c>
      <c r="D18" s="384" t="str">
        <f>_xll.qlSimpleQuote(C18,,RateTickValue,Permanent,Trigger,ObjectOverwrite)</f>
        <v>USD9MD_Mx_Quote#0000</v>
      </c>
      <c r="E18" s="342" t="str">
        <f>_xll.ohRangeRetrieveError(D18)</f>
        <v/>
      </c>
      <c r="F18" s="77"/>
      <c r="G18" s="199"/>
      <c r="H18" s="76"/>
      <c r="I18" s="183" t="s">
        <v>11</v>
      </c>
      <c r="J18" s="82" t="str">
        <f t="shared" si="1"/>
        <v>USDX9MD=</v>
      </c>
      <c r="K18" s="85">
        <v>0.53797499999999998</v>
      </c>
      <c r="L18" s="85">
        <v>0.54797499999999999</v>
      </c>
      <c r="M18" s="85">
        <f t="shared" si="2"/>
        <v>0.54297499999999999</v>
      </c>
      <c r="N18" s="56"/>
      <c r="O18" s="225">
        <v>0.434343443</v>
      </c>
      <c r="P18" s="56"/>
      <c r="Q18" s="85">
        <v>0.54297499999999999</v>
      </c>
      <c r="R18" s="188">
        <f>_xll.qlSimpleQuoteSetValue(D18,Q18/100,Trigger)</f>
        <v>1.172499999999993E-4</v>
      </c>
      <c r="S18" s="77"/>
    </row>
    <row r="19" spans="1:19" ht="11.25" customHeight="1" x14ac:dyDescent="0.25">
      <c r="A19" s="76"/>
      <c r="B19" s="383" t="s">
        <v>105</v>
      </c>
      <c r="C19" s="384" t="str">
        <f t="shared" si="0"/>
        <v>USD10MD_Mx_Quote</v>
      </c>
      <c r="D19" s="384" t="str">
        <f>_xll.qlSimpleQuote(C19,,RateTickValue,Permanent,Trigger,ObjectOverwrite)</f>
        <v>USD10MD_Mx_Quote#0000</v>
      </c>
      <c r="E19" s="342" t="str">
        <f>_xll.ohRangeRetrieveError(D19)</f>
        <v/>
      </c>
      <c r="F19" s="77"/>
      <c r="G19" s="199"/>
      <c r="H19" s="76"/>
      <c r="I19" s="183" t="s">
        <v>10</v>
      </c>
      <c r="J19" s="82" t="str">
        <f t="shared" si="1"/>
        <v>USDX10MD=</v>
      </c>
      <c r="K19" s="85">
        <v>0.58927170299999998</v>
      </c>
      <c r="L19" s="85">
        <v>0.59927170299999999</v>
      </c>
      <c r="M19" s="85">
        <f t="shared" si="2"/>
        <v>0.59427170299999998</v>
      </c>
      <c r="N19" s="56"/>
      <c r="O19" s="225">
        <v>0.47602622999999999</v>
      </c>
      <c r="P19" s="56"/>
      <c r="Q19" s="85">
        <v>0.59427170299999998</v>
      </c>
      <c r="R19" s="188">
        <f>_xll.qlSimpleQuoteSetValue(D19,Q19/100,Trigger)</f>
        <v>1.3251373000000045E-4</v>
      </c>
      <c r="S19" s="77"/>
    </row>
    <row r="20" spans="1:19" ht="11.25" customHeight="1" x14ac:dyDescent="0.25">
      <c r="A20" s="76"/>
      <c r="B20" s="383" t="s">
        <v>104</v>
      </c>
      <c r="C20" s="384" t="str">
        <f t="shared" si="0"/>
        <v>USD11MD_Mx_Quote</v>
      </c>
      <c r="D20" s="384" t="str">
        <f>_xll.qlSimpleQuote(C20,,RateTickValue,Permanent,Trigger,ObjectOverwrite)</f>
        <v>USD11MD_Mx_Quote#0000</v>
      </c>
      <c r="E20" s="342" t="str">
        <f>_xll.ohRangeRetrieveError(D20)</f>
        <v/>
      </c>
      <c r="F20" s="77"/>
      <c r="G20" s="199"/>
      <c r="H20" s="76"/>
      <c r="I20" s="183" t="s">
        <v>9</v>
      </c>
      <c r="J20" s="82" t="str">
        <f t="shared" si="1"/>
        <v>USDX11MD=</v>
      </c>
      <c r="K20" s="85">
        <v>0.63736236300000004</v>
      </c>
      <c r="L20" s="85">
        <v>0.64736236299999994</v>
      </c>
      <c r="M20" s="85">
        <f t="shared" si="2"/>
        <v>0.64236236299999994</v>
      </c>
      <c r="N20" s="56"/>
      <c r="O20" s="225">
        <v>0.51265655700000001</v>
      </c>
      <c r="P20" s="56"/>
      <c r="Q20" s="85">
        <v>0.64236236299999994</v>
      </c>
      <c r="R20" s="188">
        <f>_xll.qlSimpleQuoteSetValue(D20,Q20/100,Trigger)</f>
        <v>1.4782692999999909E-4</v>
      </c>
      <c r="S20" s="77"/>
    </row>
    <row r="21" spans="1:19" ht="11.25" customHeight="1" x14ac:dyDescent="0.25">
      <c r="A21" s="76"/>
      <c r="B21" s="383" t="s">
        <v>103</v>
      </c>
      <c r="C21" s="384" t="str">
        <f t="shared" si="0"/>
        <v>USD1YD_Mx_Quote</v>
      </c>
      <c r="D21" s="384" t="str">
        <f>_xll.qlSimpleQuote(C21,,RateTickValue,Permanent,Trigger,ObjectOverwrite)</f>
        <v>USD1YD_Mx_Quote#0000</v>
      </c>
      <c r="E21" s="342" t="str">
        <f>_xll.ohRangeRetrieveError(D21)</f>
        <v/>
      </c>
      <c r="F21" s="77"/>
      <c r="G21" s="199"/>
      <c r="H21" s="76"/>
      <c r="I21" s="183" t="s">
        <v>8</v>
      </c>
      <c r="J21" s="82" t="str">
        <f t="shared" si="1"/>
        <v>USDX1YD=</v>
      </c>
      <c r="K21" s="86">
        <v>0.68384999999999996</v>
      </c>
      <c r="L21" s="86">
        <v>0.69385000000000008</v>
      </c>
      <c r="M21" s="86">
        <f t="shared" si="2"/>
        <v>0.68884999999999996</v>
      </c>
      <c r="N21" s="56"/>
      <c r="O21" s="225">
        <v>0.55054999999999998</v>
      </c>
      <c r="P21" s="56"/>
      <c r="Q21" s="86">
        <v>0.68884999999999996</v>
      </c>
      <c r="R21" s="189">
        <f>_xll.qlSimpleQuoteSetValue(D21,Q21/100,Trigger)</f>
        <v>1.1499999999999965E-4</v>
      </c>
      <c r="S21" s="77"/>
    </row>
    <row r="22" spans="1:19" ht="11.25" customHeight="1" x14ac:dyDescent="0.25">
      <c r="A22" s="76"/>
      <c r="B22" s="385"/>
      <c r="C22" s="386" t="str">
        <f>Currency&amp;"_STUB_Quote"</f>
        <v>USD_STUB_Quote</v>
      </c>
      <c r="D22" s="386" t="str">
        <f>_xll.qlSimpleQuote(C22,,RateTickValue,Permanent,Trigger,ObjectOverwrite)</f>
        <v>USD_STUB_Quote#0000</v>
      </c>
      <c r="E22" s="354" t="str">
        <f>_xll.ohRangeRetrieveError(D22)</f>
        <v/>
      </c>
      <c r="F22" s="77"/>
      <c r="G22" s="199"/>
      <c r="H22" s="76"/>
      <c r="I22" s="387"/>
      <c r="J22" s="388" t="s">
        <v>220</v>
      </c>
      <c r="K22" s="86">
        <v>0.396718132</v>
      </c>
      <c r="L22" s="86">
        <v>0.41671813200000002</v>
      </c>
      <c r="M22" s="86">
        <f t="shared" si="2"/>
        <v>0.40671813200000001</v>
      </c>
      <c r="N22" s="56"/>
      <c r="O22" s="389">
        <v>0.39897622999999999</v>
      </c>
      <c r="P22" s="56"/>
      <c r="Q22" s="86">
        <v>0.40671813200000001</v>
      </c>
      <c r="R22" s="189">
        <f>_xll.qlSimpleQuoteSetValue(D22,Q22/100,Trigger)</f>
        <v>-4.1197800000000034E-5</v>
      </c>
      <c r="S22" s="77"/>
    </row>
    <row r="23" spans="1:19" ht="11.25" customHeight="1" x14ac:dyDescent="0.25">
      <c r="A23" s="172"/>
      <c r="B23" s="173"/>
      <c r="C23" s="173"/>
      <c r="D23" s="173"/>
      <c r="E23" s="173"/>
      <c r="F23" s="175"/>
      <c r="G23" s="199"/>
      <c r="H23" s="172"/>
      <c r="I23" s="238"/>
      <c r="J23" s="238"/>
      <c r="K23" s="173"/>
      <c r="L23" s="173"/>
      <c r="M23" s="173"/>
      <c r="N23" s="173"/>
      <c r="O23" s="238"/>
      <c r="P23" s="173"/>
      <c r="Q23" s="238"/>
      <c r="R23" s="238"/>
      <c r="S23" s="175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9" hidden="1" customWidth="1" outlineLevel="1"/>
    <col min="2" max="2" width="4" style="199" hidden="1" customWidth="1" outlineLevel="1"/>
    <col min="3" max="3" width="23.42578125" style="199" hidden="1" customWidth="1" outlineLevel="1"/>
    <col min="4" max="4" width="28.5703125" style="200" hidden="1" customWidth="1" outlineLevel="1"/>
    <col min="5" max="5" width="20.7109375" style="199" hidden="1" customWidth="1" outlineLevel="1"/>
    <col min="6" max="6" width="2.7109375" style="199" hidden="1" customWidth="1" outlineLevel="1"/>
    <col min="7" max="7" width="2.7109375" style="199" customWidth="1" collapsed="1"/>
    <col min="8" max="8" width="2.7109375" style="199" customWidth="1"/>
    <col min="9" max="9" width="4" style="255" bestFit="1" customWidth="1"/>
    <col min="10" max="10" width="17.28515625" style="199" bestFit="1" customWidth="1"/>
    <col min="11" max="13" width="10.7109375" style="199" customWidth="1"/>
    <col min="14" max="14" width="2.7109375" style="199" customWidth="1"/>
    <col min="15" max="15" width="10.7109375" style="199" customWidth="1"/>
    <col min="16" max="16" width="2.7109375" style="199" customWidth="1"/>
    <col min="17" max="18" width="10.7109375" style="199" customWidth="1"/>
    <col min="19" max="20" width="2.7109375" style="199" customWidth="1"/>
    <col min="21" max="16384" width="9.140625" style="199"/>
  </cols>
  <sheetData>
    <row r="1" spans="1:25" x14ac:dyDescent="0.2">
      <c r="A1" s="143"/>
      <c r="B1" s="134"/>
      <c r="C1" s="134"/>
      <c r="D1" s="148"/>
      <c r="E1" s="134"/>
      <c r="F1" s="135"/>
      <c r="H1" s="264"/>
      <c r="I1" s="256"/>
      <c r="J1" s="75"/>
      <c r="K1" s="75"/>
      <c r="L1" s="75"/>
      <c r="M1" s="75"/>
      <c r="N1" s="256"/>
      <c r="O1" s="256"/>
      <c r="P1" s="256"/>
      <c r="Q1" s="75"/>
      <c r="R1" s="109">
        <f>_xll.ohTrigger(R4:R41)</f>
        <v>85</v>
      </c>
      <c r="S1" s="419"/>
    </row>
    <row r="2" spans="1:25" x14ac:dyDescent="0.2">
      <c r="A2" s="139"/>
      <c r="B2" s="7"/>
      <c r="C2" s="137"/>
      <c r="D2" s="150"/>
      <c r="E2" s="137"/>
      <c r="F2" s="171"/>
      <c r="H2" s="76"/>
      <c r="I2" s="247"/>
      <c r="J2" s="137"/>
      <c r="K2" s="137"/>
      <c r="L2" s="137"/>
      <c r="M2" s="137"/>
      <c r="N2" s="137"/>
      <c r="O2" s="137"/>
      <c r="P2" s="137"/>
      <c r="Q2" s="137"/>
      <c r="R2" s="137"/>
      <c r="S2" s="77"/>
      <c r="Y2" s="203"/>
    </row>
    <row r="3" spans="1:25" ht="22.5" customHeight="1" x14ac:dyDescent="0.2">
      <c r="A3" s="76"/>
      <c r="B3" s="101"/>
      <c r="C3" s="102" t="s">
        <v>262</v>
      </c>
      <c r="D3" s="102" t="s">
        <v>263</v>
      </c>
      <c r="E3" s="167" t="s">
        <v>280</v>
      </c>
      <c r="F3" s="171"/>
      <c r="H3" s="76"/>
      <c r="I3" s="243"/>
      <c r="J3" s="106" t="str">
        <f>_xll.RData(Instruments,K3:L3,"RTFEED:DTSIMI1",ReutersRtMode,,K4)</f>
        <v>Paused at 11:14:16</v>
      </c>
      <c r="K3" s="87" t="s">
        <v>158</v>
      </c>
      <c r="L3" s="87" t="s">
        <v>157</v>
      </c>
      <c r="M3" s="88" t="s">
        <v>183</v>
      </c>
      <c r="N3" s="56"/>
      <c r="O3" s="87" t="s">
        <v>173</v>
      </c>
      <c r="P3" s="56"/>
      <c r="Q3" s="103" t="s">
        <v>172</v>
      </c>
      <c r="R3" s="103" t="s">
        <v>171</v>
      </c>
      <c r="S3" s="77"/>
      <c r="Y3" s="226"/>
    </row>
    <row r="4" spans="1:25" x14ac:dyDescent="0.2">
      <c r="A4" s="76"/>
      <c r="B4" s="220" t="s">
        <v>8</v>
      </c>
      <c r="C4" s="223" t="str">
        <f t="shared" ref="C4:C40" si="0">Currency&amp;"_CURVE_3M_"&amp;B4&amp;QuoteSuffix</f>
        <v>USD_CURVE_3M_1Y_Quote</v>
      </c>
      <c r="D4" s="223" t="str">
        <f>_xll.qlSimpleQuote(C4,,RateTickValue,Permanent,Trigger,ObjectOverwrite)</f>
        <v>USD_CURVE_3M_1Y_Quote#0000</v>
      </c>
      <c r="E4" s="265" t="str">
        <f>_xll.ohRangeRetrieveError(D4)</f>
        <v/>
      </c>
      <c r="F4" s="171"/>
      <c r="H4" s="76"/>
      <c r="I4" s="183" t="s">
        <v>8</v>
      </c>
      <c r="J4" s="184" t="str">
        <f t="shared" ref="J4:J40" si="1">Currency&amp;"_CURVE_3M_"&amp;I4</f>
        <v>USD_CURVE_3M_1Y</v>
      </c>
      <c r="K4" s="85">
        <v>0.48143314500000001</v>
      </c>
      <c r="L4" s="85">
        <v>0.48143314500000001</v>
      </c>
      <c r="M4" s="85">
        <f>IF(ISERROR(AVERAGE(K4,L4)),#NUM!,AVERAGE(K4,L4))</f>
        <v>0.48143314500000001</v>
      </c>
      <c r="N4" s="195"/>
      <c r="O4" s="197">
        <v>0.463818387</v>
      </c>
      <c r="P4" s="195"/>
      <c r="Q4" s="85">
        <f t="array" ref="Q4:Q40">QuoteLive</f>
        <v>0.48143314500000001</v>
      </c>
      <c r="R4" s="187">
        <f>_xll.qlSimpleQuoteSetValue(D4,Q4/100,Trigger)</f>
        <v>4.039999999469468E-9</v>
      </c>
      <c r="S4" s="77"/>
      <c r="Y4" s="226"/>
    </row>
    <row r="5" spans="1:25" x14ac:dyDescent="0.2">
      <c r="A5" s="76"/>
      <c r="B5" s="227" t="s">
        <v>97</v>
      </c>
      <c r="C5" s="230" t="str">
        <f t="shared" si="0"/>
        <v>USD_CURVE_3M_15M_Quote</v>
      </c>
      <c r="D5" s="230" t="str">
        <f>_xll.qlSimpleQuote(C5,,RateTickValue,Permanent,Trigger,ObjectOverwrite)</f>
        <v>USD_CURVE_3M_15M_Quote#0000</v>
      </c>
      <c r="E5" s="268" t="str">
        <f>_xll.ohRangeRetrieveError(D5)</f>
        <v/>
      </c>
      <c r="F5" s="171"/>
      <c r="H5" s="76"/>
      <c r="I5" s="183" t="s">
        <v>97</v>
      </c>
      <c r="J5" s="184" t="str">
        <f t="shared" si="1"/>
        <v>USD_CURVE_3M_15M</v>
      </c>
      <c r="K5" s="85" t="s">
        <v>219</v>
      </c>
      <c r="L5" s="85" t="s">
        <v>219</v>
      </c>
      <c r="M5" s="85" t="e">
        <f t="shared" ref="M5:M40" si="2">IF(ISERROR(AVERAGE(K5,L5)),#NUM!,AVERAGE(K5,L5))</f>
        <v>#NUM!</v>
      </c>
      <c r="N5" s="195"/>
      <c r="O5" s="197" t="e">
        <v>#NUM!</v>
      </c>
      <c r="P5" s="195"/>
      <c r="Q5" s="85" t="e">
        <v>#NUM!</v>
      </c>
      <c r="R5" s="188">
        <f>_xll.qlSimpleQuoteSetValue(D5,Q5/100,Trigger)</f>
        <v>0</v>
      </c>
      <c r="S5" s="77"/>
      <c r="Y5" s="226"/>
    </row>
    <row r="6" spans="1:25" x14ac:dyDescent="0.2">
      <c r="A6" s="76"/>
      <c r="B6" s="227" t="s">
        <v>96</v>
      </c>
      <c r="C6" s="230" t="str">
        <f t="shared" si="0"/>
        <v>USD_CURVE_3M_18M_Quote</v>
      </c>
      <c r="D6" s="230" t="str">
        <f>_xll.qlSimpleQuote(C6,,RateTickValue,Permanent,Trigger,ObjectOverwrite)</f>
        <v>USD_CURVE_3M_18M_Quote#0000</v>
      </c>
      <c r="E6" s="268" t="str">
        <f>_xll.ohRangeRetrieveError(D6)</f>
        <v/>
      </c>
      <c r="F6" s="171"/>
      <c r="H6" s="76"/>
      <c r="I6" s="183" t="s">
        <v>96</v>
      </c>
      <c r="J6" s="184" t="str">
        <f t="shared" si="1"/>
        <v>USD_CURVE_3M_18M</v>
      </c>
      <c r="K6" s="85" t="s">
        <v>219</v>
      </c>
      <c r="L6" s="85" t="s">
        <v>219</v>
      </c>
      <c r="M6" s="85" t="e">
        <f t="shared" si="2"/>
        <v>#NUM!</v>
      </c>
      <c r="N6" s="195"/>
      <c r="O6" s="197" t="e">
        <v>#NUM!</v>
      </c>
      <c r="P6" s="195"/>
      <c r="Q6" s="85" t="e">
        <v>#NUM!</v>
      </c>
      <c r="R6" s="188">
        <f>_xll.qlSimpleQuoteSetValue(D6,Q6/100,Trigger)</f>
        <v>0</v>
      </c>
      <c r="S6" s="77"/>
      <c r="Y6" s="226"/>
    </row>
    <row r="7" spans="1:25" x14ac:dyDescent="0.2">
      <c r="A7" s="76"/>
      <c r="B7" s="227" t="s">
        <v>95</v>
      </c>
      <c r="C7" s="230" t="str">
        <f t="shared" si="0"/>
        <v>USD_CURVE_3M_21M_Quote</v>
      </c>
      <c r="D7" s="230" t="str">
        <f>_xll.qlSimpleQuote(C7,,RateTickValue,Permanent,Trigger,ObjectOverwrite)</f>
        <v>USD_CURVE_3M_21M_Quote#0000</v>
      </c>
      <c r="E7" s="268" t="str">
        <f>_xll.ohRangeRetrieveError(D7)</f>
        <v/>
      </c>
      <c r="F7" s="171"/>
      <c r="H7" s="76"/>
      <c r="I7" s="183" t="s">
        <v>95</v>
      </c>
      <c r="J7" s="184" t="str">
        <f t="shared" si="1"/>
        <v>USD_CURVE_3M_21M</v>
      </c>
      <c r="K7" s="85" t="s">
        <v>219</v>
      </c>
      <c r="L7" s="85" t="s">
        <v>219</v>
      </c>
      <c r="M7" s="85" t="e">
        <f t="shared" si="2"/>
        <v>#NUM!</v>
      </c>
      <c r="N7" s="195"/>
      <c r="O7" s="197" t="e">
        <v>#NUM!</v>
      </c>
      <c r="P7" s="195"/>
      <c r="Q7" s="85" t="e">
        <v>#NUM!</v>
      </c>
      <c r="R7" s="188">
        <f>_xll.qlSimpleQuoteSetValue(D7,Q7/100,Trigger)</f>
        <v>0</v>
      </c>
      <c r="S7" s="77"/>
      <c r="Y7" s="226"/>
    </row>
    <row r="8" spans="1:25" x14ac:dyDescent="0.2">
      <c r="A8" s="76"/>
      <c r="B8" s="227" t="s">
        <v>84</v>
      </c>
      <c r="C8" s="230" t="str">
        <f t="shared" si="0"/>
        <v>USD_CURVE_3M_2Y_Quote</v>
      </c>
      <c r="D8" s="230" t="str">
        <f>_xll.qlSimpleQuote(C8,,RateTickValue,Permanent,Trigger,ObjectOverwrite)</f>
        <v>USD_CURVE_3M_2Y_Quote#0000</v>
      </c>
      <c r="E8" s="268" t="str">
        <f>_xll.ohRangeRetrieveError(D8)</f>
        <v/>
      </c>
      <c r="F8" s="171"/>
      <c r="H8" s="76"/>
      <c r="I8" s="183" t="s">
        <v>84</v>
      </c>
      <c r="J8" s="184" t="str">
        <f t="shared" si="1"/>
        <v>USD_CURVE_3M_2Y</v>
      </c>
      <c r="K8" s="85">
        <v>0.892658599</v>
      </c>
      <c r="L8" s="85">
        <v>0.892658599</v>
      </c>
      <c r="M8" s="85">
        <f t="shared" si="2"/>
        <v>0.892658599</v>
      </c>
      <c r="N8" s="195"/>
      <c r="O8" s="197">
        <v>0.86554670599999994</v>
      </c>
      <c r="P8" s="195"/>
      <c r="Q8" s="85">
        <v>0.892658599</v>
      </c>
      <c r="R8" s="188">
        <f>_xll.qlSimpleQuoteSetValue(D8,Q8/100,Trigger)</f>
        <v>2.6474199999980408E-6</v>
      </c>
      <c r="S8" s="77"/>
      <c r="Y8" s="226"/>
    </row>
    <row r="9" spans="1:25" x14ac:dyDescent="0.2">
      <c r="A9" s="76"/>
      <c r="B9" s="227" t="s">
        <v>83</v>
      </c>
      <c r="C9" s="230" t="str">
        <f t="shared" si="0"/>
        <v>USD_CURVE_3M_3Y_Quote</v>
      </c>
      <c r="D9" s="230" t="str">
        <f>_xll.qlSimpleQuote(C9,,RateTickValue,Permanent,Trigger,ObjectOverwrite)</f>
        <v>USD_CURVE_3M_3Y_Quote#0000</v>
      </c>
      <c r="E9" s="268" t="str">
        <f>_xll.ohRangeRetrieveError(D9)</f>
        <v/>
      </c>
      <c r="F9" s="171"/>
      <c r="H9" s="76"/>
      <c r="I9" s="183" t="s">
        <v>83</v>
      </c>
      <c r="J9" s="184" t="str">
        <f t="shared" si="1"/>
        <v>USD_CURVE_3M_3Y</v>
      </c>
      <c r="K9" s="85">
        <v>1.2509999999999999</v>
      </c>
      <c r="L9" s="85">
        <v>1.2509999999999999</v>
      </c>
      <c r="M9" s="85">
        <f t="shared" si="2"/>
        <v>1.2509999999999999</v>
      </c>
      <c r="N9" s="195"/>
      <c r="O9" s="197">
        <v>1.2110000000000001</v>
      </c>
      <c r="P9" s="195"/>
      <c r="Q9" s="85">
        <v>1.2509999999999999</v>
      </c>
      <c r="R9" s="188">
        <f>_xll.qlSimpleQuoteSetValue(D9,Q9/100,Trigger)</f>
        <v>0</v>
      </c>
      <c r="S9" s="77"/>
      <c r="Y9" s="226"/>
    </row>
    <row r="10" spans="1:25" x14ac:dyDescent="0.2">
      <c r="A10" s="76"/>
      <c r="B10" s="227" t="s">
        <v>82</v>
      </c>
      <c r="C10" s="230" t="str">
        <f t="shared" si="0"/>
        <v>USD_CURVE_3M_4Y_Quote</v>
      </c>
      <c r="D10" s="230" t="str">
        <f>_xll.qlSimpleQuote(C10,,RateTickValue,Permanent,Trigger,ObjectOverwrite)</f>
        <v>USD_CURVE_3M_4Y_Quote#0000</v>
      </c>
      <c r="E10" s="268" t="str">
        <f>_xll.ohRangeRetrieveError(D10)</f>
        <v/>
      </c>
      <c r="F10" s="171"/>
      <c r="H10" s="76"/>
      <c r="I10" s="183" t="s">
        <v>82</v>
      </c>
      <c r="J10" s="184" t="str">
        <f t="shared" si="1"/>
        <v>USD_CURVE_3M_4Y</v>
      </c>
      <c r="K10" s="85">
        <v>1.518</v>
      </c>
      <c r="L10" s="85">
        <v>1.518</v>
      </c>
      <c r="M10" s="85">
        <f t="shared" si="2"/>
        <v>1.518</v>
      </c>
      <c r="N10" s="195"/>
      <c r="O10" s="197">
        <v>1.468</v>
      </c>
      <c r="P10" s="195"/>
      <c r="Q10" s="85">
        <v>1.518</v>
      </c>
      <c r="R10" s="188">
        <f>_xll.qlSimpleQuoteSetValue(D10,Q10/100,Trigger)</f>
        <v>0</v>
      </c>
      <c r="S10" s="77"/>
      <c r="Y10" s="226"/>
    </row>
    <row r="11" spans="1:25" x14ac:dyDescent="0.2">
      <c r="A11" s="76"/>
      <c r="B11" s="227" t="s">
        <v>81</v>
      </c>
      <c r="C11" s="230" t="str">
        <f t="shared" si="0"/>
        <v>USD_CURVE_3M_5Y_Quote</v>
      </c>
      <c r="D11" s="230" t="str">
        <f>_xll.qlSimpleQuote(C11,,RateTickValue,Permanent,Trigger,ObjectOverwrite)</f>
        <v>USD_CURVE_3M_5Y_Quote#0000</v>
      </c>
      <c r="E11" s="268" t="str">
        <f>_xll.ohRangeRetrieveError(D11)</f>
        <v/>
      </c>
      <c r="F11" s="171"/>
      <c r="H11" s="76"/>
      <c r="I11" s="183" t="s">
        <v>81</v>
      </c>
      <c r="J11" s="184" t="str">
        <f t="shared" si="1"/>
        <v>USD_CURVE_3M_5Y</v>
      </c>
      <c r="K11" s="85">
        <v>1.7170000000000001</v>
      </c>
      <c r="L11" s="85">
        <v>1.7170000000000001</v>
      </c>
      <c r="M11" s="85">
        <f t="shared" si="2"/>
        <v>1.7170000000000001</v>
      </c>
      <c r="N11" s="195"/>
      <c r="O11" s="197">
        <v>1.659</v>
      </c>
      <c r="P11" s="195"/>
      <c r="Q11" s="85">
        <v>1.7170000000000001</v>
      </c>
      <c r="R11" s="188">
        <f>_xll.qlSimpleQuoteSetValue(D11,Q11/100,Trigger)</f>
        <v>0</v>
      </c>
      <c r="S11" s="77"/>
      <c r="Y11" s="226"/>
    </row>
    <row r="12" spans="1:25" x14ac:dyDescent="0.2">
      <c r="A12" s="76"/>
      <c r="B12" s="227" t="s">
        <v>80</v>
      </c>
      <c r="C12" s="230" t="str">
        <f t="shared" si="0"/>
        <v>USD_CURVE_3M_6Y_Quote</v>
      </c>
      <c r="D12" s="230" t="str">
        <f>_xll.qlSimpleQuote(C12,,RateTickValue,Permanent,Trigger,ObjectOverwrite)</f>
        <v>USD_CURVE_3M_6Y_Quote#0000</v>
      </c>
      <c r="E12" s="268" t="str">
        <f>_xll.ohRangeRetrieveError(D12)</f>
        <v/>
      </c>
      <c r="F12" s="171"/>
      <c r="H12" s="76"/>
      <c r="I12" s="183" t="s">
        <v>80</v>
      </c>
      <c r="J12" s="184" t="str">
        <f t="shared" si="1"/>
        <v>USD_CURVE_3M_6Y</v>
      </c>
      <c r="K12" s="85">
        <v>1.869</v>
      </c>
      <c r="L12" s="85">
        <v>1.869</v>
      </c>
      <c r="M12" s="85">
        <f t="shared" si="2"/>
        <v>1.869</v>
      </c>
      <c r="N12" s="195"/>
      <c r="O12" s="197">
        <v>1.8069999999999999</v>
      </c>
      <c r="P12" s="195"/>
      <c r="Q12" s="85">
        <v>1.869</v>
      </c>
      <c r="R12" s="188">
        <f>_xll.qlSimpleQuoteSetValue(D12,Q12/100,Trigger)</f>
        <v>0</v>
      </c>
      <c r="S12" s="77"/>
      <c r="Y12" s="226"/>
    </row>
    <row r="13" spans="1:25" x14ac:dyDescent="0.2">
      <c r="A13" s="76"/>
      <c r="B13" s="227" t="s">
        <v>79</v>
      </c>
      <c r="C13" s="230" t="str">
        <f t="shared" si="0"/>
        <v>USD_CURVE_3M_7Y_Quote</v>
      </c>
      <c r="D13" s="230" t="str">
        <f>_xll.qlSimpleQuote(C13,,RateTickValue,Permanent,Trigger,ObjectOverwrite)</f>
        <v>USD_CURVE_3M_7Y_Quote#0000</v>
      </c>
      <c r="E13" s="268" t="str">
        <f>_xll.ohRangeRetrieveError(D13)</f>
        <v/>
      </c>
      <c r="F13" s="171"/>
      <c r="H13" s="76"/>
      <c r="I13" s="183" t="s">
        <v>79</v>
      </c>
      <c r="J13" s="184" t="str">
        <f t="shared" si="1"/>
        <v>USD_CURVE_3M_7Y</v>
      </c>
      <c r="K13" s="85">
        <v>1.9869999999999999</v>
      </c>
      <c r="L13" s="85">
        <v>1.9869999999999999</v>
      </c>
      <c r="M13" s="85">
        <f t="shared" si="2"/>
        <v>1.9869999999999999</v>
      </c>
      <c r="N13" s="195"/>
      <c r="O13" s="197">
        <v>1.925</v>
      </c>
      <c r="P13" s="195"/>
      <c r="Q13" s="85">
        <v>1.9869999999999999</v>
      </c>
      <c r="R13" s="188">
        <f>_xll.qlSimpleQuoteSetValue(D13,Q13/100,Trigger)</f>
        <v>9.9999999999995925E-6</v>
      </c>
      <c r="S13" s="77"/>
      <c r="Y13" s="226"/>
    </row>
    <row r="14" spans="1:25" x14ac:dyDescent="0.2">
      <c r="A14" s="76"/>
      <c r="B14" s="227" t="s">
        <v>78</v>
      </c>
      <c r="C14" s="230" t="str">
        <f t="shared" si="0"/>
        <v>USD_CURVE_3M_8Y_Quote</v>
      </c>
      <c r="D14" s="230" t="str">
        <f>_xll.qlSimpleQuote(C14,,RateTickValue,Permanent,Trigger,ObjectOverwrite)</f>
        <v>USD_CURVE_3M_8Y_Quote#0000</v>
      </c>
      <c r="E14" s="268" t="str">
        <f>_xll.ohRangeRetrieveError(D14)</f>
        <v/>
      </c>
      <c r="F14" s="171"/>
      <c r="H14" s="76"/>
      <c r="I14" s="183" t="s">
        <v>78</v>
      </c>
      <c r="J14" s="184" t="str">
        <f t="shared" si="1"/>
        <v>USD_CURVE_3M_8Y</v>
      </c>
      <c r="K14" s="85">
        <v>2.0819999999999999</v>
      </c>
      <c r="L14" s="85">
        <v>2.0819999999999999</v>
      </c>
      <c r="M14" s="85">
        <f t="shared" si="2"/>
        <v>2.0819999999999999</v>
      </c>
      <c r="N14" s="195"/>
      <c r="O14" s="197">
        <v>2.0179999999999998</v>
      </c>
      <c r="P14" s="195"/>
      <c r="Q14" s="85">
        <v>2.0819999999999999</v>
      </c>
      <c r="R14" s="188">
        <f>_xll.qlSimpleQuoteSetValue(D14,Q14/100,Trigger)</f>
        <v>9.9999999999995925E-6</v>
      </c>
      <c r="S14" s="77"/>
      <c r="Y14" s="226"/>
    </row>
    <row r="15" spans="1:25" x14ac:dyDescent="0.2">
      <c r="A15" s="76"/>
      <c r="B15" s="227" t="s">
        <v>77</v>
      </c>
      <c r="C15" s="230" t="str">
        <f t="shared" si="0"/>
        <v>USD_CURVE_3M_9Y_Quote</v>
      </c>
      <c r="D15" s="230" t="str">
        <f>_xll.qlSimpleQuote(C15,,RateTickValue,Permanent,Trigger,ObjectOverwrite)</f>
        <v>USD_CURVE_3M_9Y_Quote#0000</v>
      </c>
      <c r="E15" s="268" t="str">
        <f>_xll.ohRangeRetrieveError(D15)</f>
        <v/>
      </c>
      <c r="F15" s="171"/>
      <c r="H15" s="76"/>
      <c r="I15" s="183" t="s">
        <v>77</v>
      </c>
      <c r="J15" s="184" t="str">
        <f t="shared" si="1"/>
        <v>USD_CURVE_3M_9Y</v>
      </c>
      <c r="K15" s="85">
        <v>2.1589999999999998</v>
      </c>
      <c r="L15" s="85">
        <v>2.1589999999999998</v>
      </c>
      <c r="M15" s="85">
        <f t="shared" si="2"/>
        <v>2.1589999999999998</v>
      </c>
      <c r="N15" s="195"/>
      <c r="O15" s="197">
        <v>2.0939999999999999</v>
      </c>
      <c r="P15" s="195"/>
      <c r="Q15" s="85">
        <v>2.1589999999999998</v>
      </c>
      <c r="R15" s="188">
        <f>_xll.qlSimpleQuoteSetValue(D15,Q15/100,Trigger)</f>
        <v>9.9999999999995925E-6</v>
      </c>
      <c r="S15" s="77"/>
      <c r="Y15" s="226"/>
    </row>
    <row r="16" spans="1:25" x14ac:dyDescent="0.2">
      <c r="A16" s="76"/>
      <c r="B16" s="227" t="s">
        <v>76</v>
      </c>
      <c r="C16" s="230" t="str">
        <f t="shared" si="0"/>
        <v>USD_CURVE_3M_10Y_Quote</v>
      </c>
      <c r="D16" s="230" t="str">
        <f>_xll.qlSimpleQuote(C16,,RateTickValue,Permanent,Trigger,ObjectOverwrite)</f>
        <v>USD_CURVE_3M_10Y_Quote#0000</v>
      </c>
      <c r="E16" s="268" t="str">
        <f>_xll.ohRangeRetrieveError(D16)</f>
        <v/>
      </c>
      <c r="F16" s="171"/>
      <c r="H16" s="76"/>
      <c r="I16" s="183" t="s">
        <v>76</v>
      </c>
      <c r="J16" s="184" t="str">
        <f t="shared" si="1"/>
        <v>USD_CURVE_3M_10Y</v>
      </c>
      <c r="K16" s="85">
        <v>2.222</v>
      </c>
      <c r="L16" s="85">
        <v>2.222</v>
      </c>
      <c r="M16" s="85">
        <f t="shared" si="2"/>
        <v>2.222</v>
      </c>
      <c r="N16" s="195"/>
      <c r="O16" s="197">
        <v>2.157</v>
      </c>
      <c r="P16" s="195"/>
      <c r="Q16" s="85">
        <v>2.222</v>
      </c>
      <c r="R16" s="188">
        <f>_xll.qlSimpleQuoteSetValue(D16,Q16/100,Trigger)</f>
        <v>9.9999999999995925E-6</v>
      </c>
      <c r="S16" s="77"/>
      <c r="Y16" s="226"/>
    </row>
    <row r="17" spans="1:25" x14ac:dyDescent="0.2">
      <c r="A17" s="76"/>
      <c r="B17" s="227" t="s">
        <v>75</v>
      </c>
      <c r="C17" s="230" t="str">
        <f t="shared" si="0"/>
        <v>USD_CURVE_3M_11Y_Quote</v>
      </c>
      <c r="D17" s="230" t="str">
        <f>_xll.qlSimpleQuote(C17,,RateTickValue,Permanent,Trigger,ObjectOverwrite)</f>
        <v>USD_CURVE_3M_11Y_Quote#0000</v>
      </c>
      <c r="E17" s="268" t="str">
        <f>_xll.ohRangeRetrieveError(D17)</f>
        <v/>
      </c>
      <c r="F17" s="171"/>
      <c r="H17" s="76"/>
      <c r="I17" s="183" t="s">
        <v>75</v>
      </c>
      <c r="J17" s="184" t="str">
        <f t="shared" si="1"/>
        <v>USD_CURVE_3M_11Y</v>
      </c>
      <c r="K17" s="85">
        <v>2.2773407520000002</v>
      </c>
      <c r="L17" s="85">
        <v>2.2773407520000002</v>
      </c>
      <c r="M17" s="85">
        <f t="shared" si="2"/>
        <v>2.2773407520000002</v>
      </c>
      <c r="N17" s="195"/>
      <c r="O17" s="197">
        <v>2.2125609279999998</v>
      </c>
      <c r="P17" s="195"/>
      <c r="Q17" s="85">
        <v>2.2773407520000002</v>
      </c>
      <c r="R17" s="188">
        <f>_xll.qlSimpleQuoteSetValue(D17,Q17/100,Trigger)</f>
        <v>9.9627900000016922E-6</v>
      </c>
      <c r="S17" s="77"/>
      <c r="Y17" s="226"/>
    </row>
    <row r="18" spans="1:25" x14ac:dyDescent="0.2">
      <c r="A18" s="76"/>
      <c r="B18" s="227" t="s">
        <v>74</v>
      </c>
      <c r="C18" s="230" t="str">
        <f t="shared" si="0"/>
        <v>USD_CURVE_3M_12Y_Quote</v>
      </c>
      <c r="D18" s="230" t="str">
        <f>_xll.qlSimpleQuote(C18,,RateTickValue,Permanent,Trigger,ObjectOverwrite)</f>
        <v>USD_CURVE_3M_12Y_Quote#0000</v>
      </c>
      <c r="E18" s="268" t="str">
        <f>_xll.ohRangeRetrieveError(D18)</f>
        <v/>
      </c>
      <c r="F18" s="171"/>
      <c r="H18" s="76"/>
      <c r="I18" s="183" t="s">
        <v>74</v>
      </c>
      <c r="J18" s="184" t="str">
        <f t="shared" si="1"/>
        <v>USD_CURVE_3M_12Y</v>
      </c>
      <c r="K18" s="85">
        <v>2.3250000000000002</v>
      </c>
      <c r="L18" s="85">
        <v>2.3250000000000002</v>
      </c>
      <c r="M18" s="85">
        <f t="shared" si="2"/>
        <v>2.3250000000000002</v>
      </c>
      <c r="N18" s="195"/>
      <c r="O18" s="197">
        <v>2.2610000000000001</v>
      </c>
      <c r="P18" s="195"/>
      <c r="Q18" s="85">
        <v>2.3250000000000002</v>
      </c>
      <c r="R18" s="188">
        <f>_xll.qlSimpleQuoteSetValue(D18,Q18/100,Trigger)</f>
        <v>1.0000000000006531E-5</v>
      </c>
      <c r="S18" s="77"/>
      <c r="Y18" s="226"/>
    </row>
    <row r="19" spans="1:25" x14ac:dyDescent="0.2">
      <c r="A19" s="76"/>
      <c r="B19" s="227" t="s">
        <v>73</v>
      </c>
      <c r="C19" s="230" t="str">
        <f t="shared" si="0"/>
        <v>USD_CURVE_3M_13Y_Quote</v>
      </c>
      <c r="D19" s="230" t="str">
        <f>_xll.qlSimpleQuote(C19,,RateTickValue,Permanent,Trigger,ObjectOverwrite)</f>
        <v>USD_CURVE_3M_13Y_Quote#0000</v>
      </c>
      <c r="E19" s="268" t="str">
        <f>_xll.ohRangeRetrieveError(D19)</f>
        <v/>
      </c>
      <c r="F19" s="171"/>
      <c r="H19" s="76"/>
      <c r="I19" s="183" t="s">
        <v>73</v>
      </c>
      <c r="J19" s="184" t="str">
        <f t="shared" si="1"/>
        <v>USD_CURVE_3M_13Y</v>
      </c>
      <c r="K19" s="85">
        <v>2.3648076179999999</v>
      </c>
      <c r="L19" s="85">
        <v>2.3648076179999999</v>
      </c>
      <c r="M19" s="85">
        <f t="shared" si="2"/>
        <v>2.3648076179999999</v>
      </c>
      <c r="N19" s="195"/>
      <c r="O19" s="197">
        <v>2.3019556680000002</v>
      </c>
      <c r="P19" s="195"/>
      <c r="Q19" s="85">
        <v>2.3648076179999999</v>
      </c>
      <c r="R19" s="188">
        <f>_xll.qlSimpleQuoteSetValue(D19,Q19/100,Trigger)</f>
        <v>1.0054429999996339E-5</v>
      </c>
      <c r="S19" s="77"/>
      <c r="Y19" s="226"/>
    </row>
    <row r="20" spans="1:25" x14ac:dyDescent="0.2">
      <c r="A20" s="76"/>
      <c r="B20" s="227" t="s">
        <v>72</v>
      </c>
      <c r="C20" s="230" t="str">
        <f t="shared" si="0"/>
        <v>USD_CURVE_3M_14Y_Quote</v>
      </c>
      <c r="D20" s="230" t="str">
        <f>_xll.qlSimpleQuote(C20,,RateTickValue,Permanent,Trigger,ObjectOverwrite)</f>
        <v>USD_CURVE_3M_14Y_Quote#0000</v>
      </c>
      <c r="E20" s="268" t="str">
        <f>_xll.ohRangeRetrieveError(D20)</f>
        <v/>
      </c>
      <c r="F20" s="171"/>
      <c r="H20" s="76"/>
      <c r="I20" s="183" t="s">
        <v>72</v>
      </c>
      <c r="J20" s="184" t="str">
        <f t="shared" si="1"/>
        <v>USD_CURVE_3M_14Y</v>
      </c>
      <c r="K20" s="85">
        <v>2.3983760589999998</v>
      </c>
      <c r="L20" s="85">
        <v>2.3983760589999998</v>
      </c>
      <c r="M20" s="85">
        <f t="shared" si="2"/>
        <v>2.3983760589999998</v>
      </c>
      <c r="N20" s="195"/>
      <c r="O20" s="197">
        <v>2.3363126159999998</v>
      </c>
      <c r="P20" s="195"/>
      <c r="Q20" s="85">
        <v>2.3983760589999998</v>
      </c>
      <c r="R20" s="188">
        <f>_xll.qlSimpleQuoteSetValue(D20,Q20/100,Trigger)</f>
        <v>1.0071269999998439E-5</v>
      </c>
      <c r="S20" s="77"/>
      <c r="Y20" s="226"/>
    </row>
    <row r="21" spans="1:25" x14ac:dyDescent="0.2">
      <c r="A21" s="76"/>
      <c r="B21" s="227" t="s">
        <v>71</v>
      </c>
      <c r="C21" s="230" t="str">
        <f t="shared" si="0"/>
        <v>USD_CURVE_3M_15Y_Quote</v>
      </c>
      <c r="D21" s="230" t="str">
        <f>_xll.qlSimpleQuote(C21,,RateTickValue,Permanent,Trigger,ObjectOverwrite)</f>
        <v>USD_CURVE_3M_15Y_Quote#0000</v>
      </c>
      <c r="E21" s="268" t="str">
        <f>_xll.ohRangeRetrieveError(D21)</f>
        <v/>
      </c>
      <c r="F21" s="171"/>
      <c r="H21" s="76"/>
      <c r="I21" s="183" t="s">
        <v>71</v>
      </c>
      <c r="J21" s="184" t="str">
        <f t="shared" si="1"/>
        <v>USD_CURVE_3M_15Y</v>
      </c>
      <c r="K21" s="85">
        <v>2.427</v>
      </c>
      <c r="L21" s="85">
        <v>2.427</v>
      </c>
      <c r="M21" s="85">
        <f t="shared" si="2"/>
        <v>2.427</v>
      </c>
      <c r="N21" s="195"/>
      <c r="O21" s="197">
        <v>2.3660000000000001</v>
      </c>
      <c r="P21" s="195"/>
      <c r="Q21" s="85">
        <v>2.427</v>
      </c>
      <c r="R21" s="188">
        <f>_xll.qlSimpleQuoteSetValue(D21,Q21/100,Trigger)</f>
        <v>9.9999999999995925E-6</v>
      </c>
      <c r="S21" s="77"/>
      <c r="Y21" s="226"/>
    </row>
    <row r="22" spans="1:25" x14ac:dyDescent="0.2">
      <c r="A22" s="76"/>
      <c r="B22" s="227" t="s">
        <v>70</v>
      </c>
      <c r="C22" s="230" t="str">
        <f t="shared" si="0"/>
        <v>USD_CURVE_3M_16Y_Quote</v>
      </c>
      <c r="D22" s="230" t="str">
        <f>_xll.qlSimpleQuote(C22,,RateTickValue,Permanent,Trigger,ObjectOverwrite)</f>
        <v>USD_CURVE_3M_16Y_Quote#0000</v>
      </c>
      <c r="E22" s="268" t="str">
        <f>_xll.ohRangeRetrieveError(D22)</f>
        <v/>
      </c>
      <c r="F22" s="171"/>
      <c r="H22" s="76"/>
      <c r="I22" s="183" t="s">
        <v>70</v>
      </c>
      <c r="J22" s="184" t="str">
        <f t="shared" si="1"/>
        <v>USD_CURVE_3M_16Y</v>
      </c>
      <c r="K22" s="85">
        <v>2.4520774240000001</v>
      </c>
      <c r="L22" s="85">
        <v>2.4520774240000001</v>
      </c>
      <c r="M22" s="85">
        <f t="shared" si="2"/>
        <v>2.4520774240000001</v>
      </c>
      <c r="N22" s="195"/>
      <c r="O22" s="197">
        <v>2.3919261390000002</v>
      </c>
      <c r="P22" s="195"/>
      <c r="Q22" s="85">
        <v>2.4520774240000001</v>
      </c>
      <c r="R22" s="188">
        <f>_xll.qlSimpleQuoteSetValue(D22,Q22/100,Trigger)</f>
        <v>9.8273800000041323E-6</v>
      </c>
      <c r="S22" s="77"/>
      <c r="Y22" s="226"/>
    </row>
    <row r="23" spans="1:25" x14ac:dyDescent="0.2">
      <c r="A23" s="76"/>
      <c r="B23" s="227" t="s">
        <v>69</v>
      </c>
      <c r="C23" s="230" t="str">
        <f t="shared" si="0"/>
        <v>USD_CURVE_3M_17Y_Quote</v>
      </c>
      <c r="D23" s="230" t="str">
        <f>_xll.qlSimpleQuote(C23,,RateTickValue,Permanent,Trigger,ObjectOverwrite)</f>
        <v>USD_CURVE_3M_17Y_Quote#0000</v>
      </c>
      <c r="E23" s="268" t="str">
        <f>_xll.ohRangeRetrieveError(D23)</f>
        <v/>
      </c>
      <c r="F23" s="171"/>
      <c r="H23" s="76"/>
      <c r="I23" s="183" t="s">
        <v>69</v>
      </c>
      <c r="J23" s="184" t="str">
        <f t="shared" si="1"/>
        <v>USD_CURVE_3M_17Y</v>
      </c>
      <c r="K23" s="85">
        <v>2.474118517</v>
      </c>
      <c r="L23" s="85">
        <v>2.474118517</v>
      </c>
      <c r="M23" s="85">
        <f t="shared" si="2"/>
        <v>2.474118517</v>
      </c>
      <c r="N23" s="195"/>
      <c r="O23" s="197">
        <v>2.414535264</v>
      </c>
      <c r="P23" s="195"/>
      <c r="Q23" s="85">
        <v>2.474118517</v>
      </c>
      <c r="R23" s="188">
        <f>_xll.qlSimpleQuoteSetValue(D23,Q23/100,Trigger)</f>
        <v>9.6491099999991559E-6</v>
      </c>
      <c r="S23" s="77"/>
      <c r="Y23" s="226"/>
    </row>
    <row r="24" spans="1:25" x14ac:dyDescent="0.2">
      <c r="A24" s="76"/>
      <c r="B24" s="227" t="s">
        <v>68</v>
      </c>
      <c r="C24" s="230" t="str">
        <f t="shared" si="0"/>
        <v>USD_CURVE_3M_18Y_Quote</v>
      </c>
      <c r="D24" s="230" t="str">
        <f>_xll.qlSimpleQuote(C24,,RateTickValue,Permanent,Trigger,ObjectOverwrite)</f>
        <v>USD_CURVE_3M_18Y_Quote#0000</v>
      </c>
      <c r="E24" s="268" t="str">
        <f>_xll.ohRangeRetrieveError(D24)</f>
        <v/>
      </c>
      <c r="F24" s="171"/>
      <c r="H24" s="76"/>
      <c r="I24" s="183" t="s">
        <v>68</v>
      </c>
      <c r="J24" s="184" t="str">
        <f t="shared" si="1"/>
        <v>USD_CURVE_3M_18Y</v>
      </c>
      <c r="K24" s="85">
        <v>2.4931261820000001</v>
      </c>
      <c r="L24" s="85">
        <v>2.4931261820000001</v>
      </c>
      <c r="M24" s="85">
        <f t="shared" si="2"/>
        <v>2.4931261820000001</v>
      </c>
      <c r="N24" s="195"/>
      <c r="O24" s="197">
        <v>2.434262039</v>
      </c>
      <c r="P24" s="195"/>
      <c r="Q24" s="85">
        <v>2.4931261820000001</v>
      </c>
      <c r="R24" s="188">
        <f>_xll.qlSimpleQuoteSetValue(D24,Q24/100,Trigger)</f>
        <v>9.5684399999997061E-6</v>
      </c>
      <c r="S24" s="77"/>
      <c r="Y24" s="226"/>
    </row>
    <row r="25" spans="1:25" x14ac:dyDescent="0.2">
      <c r="A25" s="76"/>
      <c r="B25" s="227" t="s">
        <v>67</v>
      </c>
      <c r="C25" s="230" t="str">
        <f t="shared" si="0"/>
        <v>USD_CURVE_3M_19Y_Quote</v>
      </c>
      <c r="D25" s="230" t="str">
        <f>_xll.qlSimpleQuote(C25,,RateTickValue,Permanent,Trigger,ObjectOverwrite)</f>
        <v>USD_CURVE_3M_19Y_Quote#0000</v>
      </c>
      <c r="E25" s="268" t="str">
        <f>_xll.ohRangeRetrieveError(D25)</f>
        <v/>
      </c>
      <c r="F25" s="171"/>
      <c r="H25" s="76"/>
      <c r="I25" s="183" t="s">
        <v>67</v>
      </c>
      <c r="J25" s="184" t="str">
        <f t="shared" si="1"/>
        <v>USD_CURVE_3M_19Y</v>
      </c>
      <c r="K25" s="85">
        <v>2.509345315</v>
      </c>
      <c r="L25" s="85">
        <v>2.509345315</v>
      </c>
      <c r="M25" s="85">
        <f t="shared" si="2"/>
        <v>2.509345315</v>
      </c>
      <c r="N25" s="195"/>
      <c r="O25" s="197">
        <v>2.4509397829999999</v>
      </c>
      <c r="P25" s="195"/>
      <c r="Q25" s="85">
        <v>2.509345315</v>
      </c>
      <c r="R25" s="188">
        <f>_xll.qlSimpleQuoteSetValue(D25,Q25/100,Trigger)</f>
        <v>9.663919999999826E-6</v>
      </c>
      <c r="S25" s="77"/>
      <c r="Y25" s="226"/>
    </row>
    <row r="26" spans="1:25" x14ac:dyDescent="0.2">
      <c r="A26" s="76"/>
      <c r="B26" s="227" t="s">
        <v>66</v>
      </c>
      <c r="C26" s="230" t="str">
        <f t="shared" si="0"/>
        <v>USD_CURVE_3M_20Y_Quote</v>
      </c>
      <c r="D26" s="230" t="str">
        <f>_xll.qlSimpleQuote(C26,,RateTickValue,Permanent,Trigger,ObjectOverwrite)</f>
        <v>USD_CURVE_3M_20Y_Quote#0000</v>
      </c>
      <c r="E26" s="268" t="str">
        <f>_xll.ohRangeRetrieveError(D26)</f>
        <v/>
      </c>
      <c r="F26" s="171"/>
      <c r="H26" s="76"/>
      <c r="I26" s="183" t="s">
        <v>66</v>
      </c>
      <c r="J26" s="184" t="str">
        <f t="shared" si="1"/>
        <v>USD_CURVE_3M_20Y</v>
      </c>
      <c r="K26" s="85">
        <v>2.5230000000000001</v>
      </c>
      <c r="L26" s="85">
        <v>2.5230000000000001</v>
      </c>
      <c r="M26" s="85">
        <f t="shared" si="2"/>
        <v>2.5230000000000001</v>
      </c>
      <c r="N26" s="195"/>
      <c r="O26" s="197">
        <v>2.4649999999999999</v>
      </c>
      <c r="P26" s="195"/>
      <c r="Q26" s="85">
        <v>2.5230000000000001</v>
      </c>
      <c r="R26" s="188">
        <f>_xll.qlSimpleQuoteSetValue(D26,Q26/100,Trigger)</f>
        <v>9.9999999999995925E-6</v>
      </c>
      <c r="S26" s="77"/>
      <c r="Y26" s="226"/>
    </row>
    <row r="27" spans="1:25" x14ac:dyDescent="0.2">
      <c r="A27" s="76"/>
      <c r="B27" s="227" t="s">
        <v>65</v>
      </c>
      <c r="C27" s="230" t="str">
        <f t="shared" si="0"/>
        <v>USD_CURVE_3M_21Y_Quote</v>
      </c>
      <c r="D27" s="230" t="str">
        <f>_xll.qlSimpleQuote(C27,,RateTickValue,Permanent,Trigger,ObjectOverwrite)</f>
        <v>USD_CURVE_3M_21Y_Quote#0000</v>
      </c>
      <c r="E27" s="268" t="str">
        <f>_xll.ohRangeRetrieveError(D27)</f>
        <v/>
      </c>
      <c r="F27" s="171"/>
      <c r="H27" s="76"/>
      <c r="I27" s="183" t="s">
        <v>65</v>
      </c>
      <c r="J27" s="184" t="str">
        <f t="shared" si="1"/>
        <v>USD_CURVE_3M_21Y</v>
      </c>
      <c r="K27" s="85">
        <v>2.5341011519999999</v>
      </c>
      <c r="L27" s="85">
        <v>2.5341011519999999</v>
      </c>
      <c r="M27" s="85">
        <f t="shared" si="2"/>
        <v>2.5341011519999999</v>
      </c>
      <c r="N27" s="195"/>
      <c r="O27" s="197">
        <v>2.4767003810000001</v>
      </c>
      <c r="P27" s="195"/>
      <c r="Q27" s="85">
        <v>2.5341011519999999</v>
      </c>
      <c r="R27" s="188">
        <f>_xll.qlSimpleQuoteSetValue(D27,Q27/100,Trigger)</f>
        <v>1.0555339999995805E-5</v>
      </c>
      <c r="S27" s="77"/>
      <c r="Y27" s="226"/>
    </row>
    <row r="28" spans="1:25" x14ac:dyDescent="0.2">
      <c r="A28" s="76"/>
      <c r="B28" s="227" t="s">
        <v>64</v>
      </c>
      <c r="C28" s="230" t="str">
        <f t="shared" si="0"/>
        <v>USD_CURVE_3M_22Y_Quote</v>
      </c>
      <c r="D28" s="230" t="str">
        <f>_xll.qlSimpleQuote(C28,,RateTickValue,Permanent,Trigger,ObjectOverwrite)</f>
        <v>USD_CURVE_3M_22Y_Quote#0000</v>
      </c>
      <c r="E28" s="268" t="str">
        <f>_xll.ohRangeRetrieveError(D28)</f>
        <v/>
      </c>
      <c r="F28" s="171"/>
      <c r="H28" s="76"/>
      <c r="I28" s="183" t="s">
        <v>64</v>
      </c>
      <c r="J28" s="184" t="str">
        <f t="shared" si="1"/>
        <v>USD_CURVE_3M_22Y</v>
      </c>
      <c r="K28" s="85">
        <v>2.5432637739999997</v>
      </c>
      <c r="L28" s="85">
        <v>2.5432637739999997</v>
      </c>
      <c r="M28" s="85">
        <f t="shared" si="2"/>
        <v>2.5432637739999997</v>
      </c>
      <c r="N28" s="195"/>
      <c r="O28" s="197">
        <v>2.4864773219999998</v>
      </c>
      <c r="P28" s="195"/>
      <c r="Q28" s="85">
        <v>2.5432637739999997</v>
      </c>
      <c r="R28" s="188">
        <f>_xll.qlSimpleQuoteSetValue(D28,Q28/100,Trigger)</f>
        <v>1.10761799999963E-5</v>
      </c>
      <c r="S28" s="77"/>
      <c r="Y28" s="226"/>
    </row>
    <row r="29" spans="1:25" x14ac:dyDescent="0.2">
      <c r="A29" s="76"/>
      <c r="B29" s="227" t="s">
        <v>63</v>
      </c>
      <c r="C29" s="230" t="str">
        <f t="shared" si="0"/>
        <v>USD_CURVE_3M_23Y_Quote</v>
      </c>
      <c r="D29" s="230" t="str">
        <f>_xll.qlSimpleQuote(C29,,RateTickValue,Permanent,Trigger,ObjectOverwrite)</f>
        <v>USD_CURVE_3M_23Y_Quote#0000</v>
      </c>
      <c r="E29" s="268" t="str">
        <f>_xll.ohRangeRetrieveError(D29)</f>
        <v/>
      </c>
      <c r="F29" s="171"/>
      <c r="H29" s="76"/>
      <c r="I29" s="183" t="s">
        <v>63</v>
      </c>
      <c r="J29" s="184" t="str">
        <f t="shared" si="1"/>
        <v>USD_CURVE_3M_23Y</v>
      </c>
      <c r="K29" s="85">
        <v>2.550894006</v>
      </c>
      <c r="L29" s="85">
        <v>2.550894006</v>
      </c>
      <c r="M29" s="85">
        <f t="shared" si="2"/>
        <v>2.550894006</v>
      </c>
      <c r="N29" s="195"/>
      <c r="O29" s="197">
        <v>2.4947063620000001</v>
      </c>
      <c r="P29" s="195"/>
      <c r="Q29" s="85">
        <v>2.550894006</v>
      </c>
      <c r="R29" s="188">
        <f>_xll.qlSimpleQuoteSetValue(D29,Q29/100,Trigger)</f>
        <v>1.1295110000000136E-5</v>
      </c>
      <c r="S29" s="77"/>
      <c r="Y29" s="226"/>
    </row>
    <row r="30" spans="1:25" x14ac:dyDescent="0.2">
      <c r="A30" s="76"/>
      <c r="B30" s="227" t="s">
        <v>62</v>
      </c>
      <c r="C30" s="230" t="str">
        <f t="shared" si="0"/>
        <v>USD_CURVE_3M_24Y_Quote</v>
      </c>
      <c r="D30" s="230" t="str">
        <f>_xll.qlSimpleQuote(C30,,RateTickValue,Permanent,Trigger,ObjectOverwrite)</f>
        <v>USD_CURVE_3M_24Y_Quote#0000</v>
      </c>
      <c r="E30" s="268" t="str">
        <f>_xll.ohRangeRetrieveError(D30)</f>
        <v/>
      </c>
      <c r="F30" s="171"/>
      <c r="H30" s="76"/>
      <c r="I30" s="183" t="s">
        <v>62</v>
      </c>
      <c r="J30" s="184" t="str">
        <f t="shared" si="1"/>
        <v>USD_CURVE_3M_24Y</v>
      </c>
      <c r="K30" s="85">
        <v>2.5573555940000001</v>
      </c>
      <c r="L30" s="85">
        <v>2.5573555940000001</v>
      </c>
      <c r="M30" s="85">
        <f t="shared" si="2"/>
        <v>2.5573555940000001</v>
      </c>
      <c r="N30" s="195"/>
      <c r="O30" s="197">
        <v>2.501817704</v>
      </c>
      <c r="P30" s="195"/>
      <c r="Q30" s="85">
        <v>2.5573555940000001</v>
      </c>
      <c r="R30" s="188">
        <f>_xll.qlSimpleQuoteSetValue(D30,Q30/100,Trigger)</f>
        <v>1.0997870000004767E-5</v>
      </c>
      <c r="S30" s="77"/>
      <c r="Y30" s="226"/>
    </row>
    <row r="31" spans="1:25" x14ac:dyDescent="0.2">
      <c r="A31" s="76"/>
      <c r="B31" s="227" t="s">
        <v>61</v>
      </c>
      <c r="C31" s="230" t="str">
        <f t="shared" si="0"/>
        <v>USD_CURVE_3M_25Y_Quote</v>
      </c>
      <c r="D31" s="230" t="str">
        <f>_xll.qlSimpleQuote(C31,,RateTickValue,Permanent,Trigger,ObjectOverwrite)</f>
        <v>USD_CURVE_3M_25Y_Quote#0000</v>
      </c>
      <c r="E31" s="268" t="str">
        <f>_xll.ohRangeRetrieveError(D31)</f>
        <v/>
      </c>
      <c r="F31" s="171"/>
      <c r="H31" s="76"/>
      <c r="I31" s="183" t="s">
        <v>61</v>
      </c>
      <c r="J31" s="184" t="str">
        <f t="shared" si="1"/>
        <v>USD_CURVE_3M_25Y</v>
      </c>
      <c r="K31" s="85">
        <v>2.5629999999999997</v>
      </c>
      <c r="L31" s="85">
        <v>2.5629999999999997</v>
      </c>
      <c r="M31" s="85">
        <f t="shared" si="2"/>
        <v>2.5629999999999997</v>
      </c>
      <c r="N31" s="195"/>
      <c r="O31" s="197">
        <v>2.508</v>
      </c>
      <c r="P31" s="195"/>
      <c r="Q31" s="85">
        <v>2.5629999999999997</v>
      </c>
      <c r="R31" s="188">
        <f>_xll.qlSimpleQuoteSetValue(D31,Q31/100,Trigger)</f>
        <v>9.9999999999926537E-6</v>
      </c>
      <c r="S31" s="77"/>
      <c r="Y31" s="226"/>
    </row>
    <row r="32" spans="1:25" x14ac:dyDescent="0.2">
      <c r="A32" s="76"/>
      <c r="B32" s="227" t="s">
        <v>60</v>
      </c>
      <c r="C32" s="230" t="str">
        <f t="shared" si="0"/>
        <v>USD_CURVE_3M_26Y_Quote</v>
      </c>
      <c r="D32" s="230" t="str">
        <f>_xll.qlSimpleQuote(C32,,RateTickValue,Permanent,Trigger,ObjectOverwrite)</f>
        <v>USD_CURVE_3M_26Y_Quote#0000</v>
      </c>
      <c r="E32" s="268" t="str">
        <f>_xll.ohRangeRetrieveError(D32)</f>
        <v/>
      </c>
      <c r="F32" s="171"/>
      <c r="H32" s="76"/>
      <c r="I32" s="183" t="s">
        <v>60</v>
      </c>
      <c r="J32" s="184" t="str">
        <f t="shared" si="1"/>
        <v>USD_CURVE_3M_26Y</v>
      </c>
      <c r="K32" s="85">
        <v>2.5679422079999998</v>
      </c>
      <c r="L32" s="85">
        <v>2.5679422079999998</v>
      </c>
      <c r="M32" s="85">
        <f t="shared" si="2"/>
        <v>2.5679422079999998</v>
      </c>
      <c r="N32" s="195"/>
      <c r="O32" s="197">
        <v>2.5135705100000001</v>
      </c>
      <c r="P32" s="195"/>
      <c r="Q32" s="85">
        <v>2.5679422079999998</v>
      </c>
      <c r="R32" s="188">
        <f>_xll.qlSimpleQuoteSetValue(D32,Q32/100,Trigger)</f>
        <v>8.2713499999984008E-6</v>
      </c>
      <c r="S32" s="77"/>
      <c r="Y32" s="226"/>
    </row>
    <row r="33" spans="1:25" x14ac:dyDescent="0.2">
      <c r="A33" s="76"/>
      <c r="B33" s="227" t="s">
        <v>59</v>
      </c>
      <c r="C33" s="230" t="str">
        <f t="shared" si="0"/>
        <v>USD_CURVE_3M_27Y_Quote</v>
      </c>
      <c r="D33" s="230" t="str">
        <f>_xll.qlSimpleQuote(C33,,RateTickValue,Permanent,Trigger,ObjectOverwrite)</f>
        <v>USD_CURVE_3M_27Y_Quote#0000</v>
      </c>
      <c r="E33" s="268" t="str">
        <f>_xll.ohRangeRetrieveError(D33)</f>
        <v/>
      </c>
      <c r="F33" s="171"/>
      <c r="H33" s="76"/>
      <c r="I33" s="183" t="s">
        <v>59</v>
      </c>
      <c r="J33" s="184" t="str">
        <f t="shared" si="1"/>
        <v>USD_CURVE_3M_27Y</v>
      </c>
      <c r="K33" s="85">
        <v>2.572405244</v>
      </c>
      <c r="L33" s="85">
        <v>2.572405244</v>
      </c>
      <c r="M33" s="85">
        <f t="shared" si="2"/>
        <v>2.572405244</v>
      </c>
      <c r="N33" s="195"/>
      <c r="O33" s="197">
        <v>2.5186521850000001</v>
      </c>
      <c r="P33" s="195"/>
      <c r="Q33" s="85">
        <v>2.572405244</v>
      </c>
      <c r="R33" s="188">
        <f>_xll.qlSimpleQuoteSetValue(D33,Q33/100,Trigger)</f>
        <v>6.1034499999994274E-6</v>
      </c>
      <c r="S33" s="77"/>
      <c r="Y33" s="226"/>
    </row>
    <row r="34" spans="1:25" x14ac:dyDescent="0.2">
      <c r="A34" s="76"/>
      <c r="B34" s="227" t="s">
        <v>58</v>
      </c>
      <c r="C34" s="230" t="str">
        <f t="shared" si="0"/>
        <v>USD_CURVE_3M_28Y_Quote</v>
      </c>
      <c r="D34" s="230" t="str">
        <f>_xll.qlSimpleQuote(C34,,RateTickValue,Permanent,Trigger,ObjectOverwrite)</f>
        <v>USD_CURVE_3M_28Y_Quote#0000</v>
      </c>
      <c r="E34" s="268" t="str">
        <f>_xll.ohRangeRetrieveError(D34)</f>
        <v/>
      </c>
      <c r="F34" s="171"/>
      <c r="H34" s="76"/>
      <c r="I34" s="183" t="s">
        <v>58</v>
      </c>
      <c r="J34" s="184" t="str">
        <f t="shared" si="1"/>
        <v>USD_CURVE_3M_28Y</v>
      </c>
      <c r="K34" s="85">
        <v>2.5765137889999998</v>
      </c>
      <c r="L34" s="85">
        <v>2.5765137889999998</v>
      </c>
      <c r="M34" s="85">
        <f t="shared" si="2"/>
        <v>2.5765137889999998</v>
      </c>
      <c r="N34" s="195"/>
      <c r="O34" s="197">
        <v>2.5233540039999998</v>
      </c>
      <c r="P34" s="195"/>
      <c r="Q34" s="85">
        <v>2.5765137889999998</v>
      </c>
      <c r="R34" s="188">
        <f>_xll.qlSimpleQuoteSetValue(D34,Q34/100,Trigger)</f>
        <v>3.8209399999995786E-6</v>
      </c>
      <c r="S34" s="77"/>
      <c r="Y34" s="226"/>
    </row>
    <row r="35" spans="1:25" x14ac:dyDescent="0.2">
      <c r="A35" s="76"/>
      <c r="B35" s="227" t="s">
        <v>57</v>
      </c>
      <c r="C35" s="230" t="str">
        <f t="shared" si="0"/>
        <v>USD_CURVE_3M_29Y_Quote</v>
      </c>
      <c r="D35" s="230" t="str">
        <f>_xll.qlSimpleQuote(C35,,RateTickValue,Permanent,Trigger,ObjectOverwrite)</f>
        <v>USD_CURVE_3M_29Y_Quote#0000</v>
      </c>
      <c r="E35" s="268" t="str">
        <f>_xll.ohRangeRetrieveError(D35)</f>
        <v/>
      </c>
      <c r="F35" s="171"/>
      <c r="H35" s="76"/>
      <c r="I35" s="183" t="s">
        <v>57</v>
      </c>
      <c r="J35" s="184" t="str">
        <f t="shared" si="1"/>
        <v>USD_CURVE_3M_29Y</v>
      </c>
      <c r="K35" s="85">
        <v>2.5803601380000001</v>
      </c>
      <c r="L35" s="85">
        <v>2.5803601380000001</v>
      </c>
      <c r="M35" s="85">
        <f t="shared" si="2"/>
        <v>2.5803601380000001</v>
      </c>
      <c r="N35" s="195"/>
      <c r="O35" s="197">
        <v>2.5277682719999999</v>
      </c>
      <c r="P35" s="195"/>
      <c r="Q35" s="85">
        <v>2.5803601380000001</v>
      </c>
      <c r="R35" s="188">
        <f>_xll.qlSimpleQuoteSetValue(D35,Q35/100,Trigger)</f>
        <v>1.703990000000849E-6</v>
      </c>
      <c r="S35" s="77"/>
      <c r="Y35" s="226"/>
    </row>
    <row r="36" spans="1:25" x14ac:dyDescent="0.2">
      <c r="A36" s="76"/>
      <c r="B36" s="227" t="s">
        <v>56</v>
      </c>
      <c r="C36" s="230" t="str">
        <f t="shared" si="0"/>
        <v>USD_CURVE_3M_30Y_Quote</v>
      </c>
      <c r="D36" s="230" t="str">
        <f>_xll.qlSimpleQuote(C36,,RateTickValue,Permanent,Trigger,ObjectOverwrite)</f>
        <v>USD_CURVE_3M_30Y_Quote#0000</v>
      </c>
      <c r="E36" s="268" t="str">
        <f>_xll.ohRangeRetrieveError(D36)</f>
        <v/>
      </c>
      <c r="F36" s="171"/>
      <c r="H36" s="76"/>
      <c r="I36" s="183" t="s">
        <v>56</v>
      </c>
      <c r="J36" s="184" t="str">
        <f t="shared" si="1"/>
        <v>USD_CURVE_3M_30Y</v>
      </c>
      <c r="K36" s="85">
        <v>2.5840000000000001</v>
      </c>
      <c r="L36" s="85">
        <v>2.5840000000000001</v>
      </c>
      <c r="M36" s="85">
        <f t="shared" si="2"/>
        <v>2.5840000000000001</v>
      </c>
      <c r="N36" s="195"/>
      <c r="O36" s="197">
        <v>2.532</v>
      </c>
      <c r="P36" s="195"/>
      <c r="Q36" s="85">
        <v>2.5840000000000001</v>
      </c>
      <c r="R36" s="188">
        <f>_xll.qlSimpleQuoteSetValue(D36,Q36/100,Trigger)</f>
        <v>0</v>
      </c>
      <c r="S36" s="77"/>
      <c r="Y36" s="226"/>
    </row>
    <row r="37" spans="1:25" x14ac:dyDescent="0.2">
      <c r="A37" s="76"/>
      <c r="B37" s="227" t="s">
        <v>51</v>
      </c>
      <c r="C37" s="230" t="str">
        <f t="shared" si="0"/>
        <v>USD_CURVE_3M_35Y_Quote</v>
      </c>
      <c r="D37" s="230" t="str">
        <f>_xll.qlSimpleQuote(C37,,RateTickValue,Permanent,Trigger,ObjectOverwrite)</f>
        <v>USD_CURVE_3M_35Y_Quote#0000</v>
      </c>
      <c r="E37" s="268" t="str">
        <f>_xll.ohRangeRetrieveError(D37)</f>
        <v/>
      </c>
      <c r="F37" s="171"/>
      <c r="H37" s="76"/>
      <c r="I37" s="183" t="s">
        <v>51</v>
      </c>
      <c r="J37" s="184" t="str">
        <f t="shared" si="1"/>
        <v>USD_CURVE_3M_35Y</v>
      </c>
      <c r="K37" s="85" t="s">
        <v>219</v>
      </c>
      <c r="L37" s="85" t="s">
        <v>219</v>
      </c>
      <c r="M37" s="85" t="e">
        <f t="shared" si="2"/>
        <v>#NUM!</v>
      </c>
      <c r="N37" s="195"/>
      <c r="O37" s="197" t="e">
        <v>#NUM!</v>
      </c>
      <c r="P37" s="195"/>
      <c r="Q37" s="85" t="e">
        <v>#NUM!</v>
      </c>
      <c r="R37" s="188">
        <f>_xll.qlSimpleQuoteSetValue(D37,Q37/100,Trigger)</f>
        <v>0</v>
      </c>
      <c r="S37" s="77"/>
      <c r="Y37" s="226"/>
    </row>
    <row r="38" spans="1:25" x14ac:dyDescent="0.2">
      <c r="A38" s="76"/>
      <c r="B38" s="227" t="s">
        <v>46</v>
      </c>
      <c r="C38" s="230" t="str">
        <f t="shared" si="0"/>
        <v>USD_CURVE_3M_40Y_Quote</v>
      </c>
      <c r="D38" s="230" t="str">
        <f>_xll.qlSimpleQuote(C38,,RateTickValue,Permanent,Trigger,ObjectOverwrite)</f>
        <v>USD_CURVE_3M_40Y_Quote#0000</v>
      </c>
      <c r="E38" s="268" t="str">
        <f>_xll.ohRangeRetrieveError(D38)</f>
        <v/>
      </c>
      <c r="F38" s="171"/>
      <c r="H38" s="76"/>
      <c r="I38" s="183" t="s">
        <v>46</v>
      </c>
      <c r="J38" s="184" t="str">
        <f t="shared" si="1"/>
        <v>USD_CURVE_3M_40Y</v>
      </c>
      <c r="K38" s="85">
        <v>2.6029999999999998</v>
      </c>
      <c r="L38" s="85">
        <v>2.6029999999999998</v>
      </c>
      <c r="M38" s="85">
        <f t="shared" si="2"/>
        <v>2.6029999999999998</v>
      </c>
      <c r="N38" s="195"/>
      <c r="O38" s="197">
        <v>2.5540000000000003</v>
      </c>
      <c r="P38" s="195"/>
      <c r="Q38" s="85">
        <v>2.6029999999999998</v>
      </c>
      <c r="R38" s="188">
        <f>_xll.qlSimpleQuoteSetValue(D38,Q38/100,Trigger)</f>
        <v>0</v>
      </c>
      <c r="S38" s="77"/>
      <c r="Y38" s="226"/>
    </row>
    <row r="39" spans="1:25" x14ac:dyDescent="0.2">
      <c r="A39" s="76"/>
      <c r="B39" s="227" t="s">
        <v>36</v>
      </c>
      <c r="C39" s="230" t="str">
        <f t="shared" si="0"/>
        <v>USD_CURVE_3M_50Y_Quote</v>
      </c>
      <c r="D39" s="230" t="str">
        <f>_xll.qlSimpleQuote(C39,,RateTickValue,Permanent,Trigger,ObjectOverwrite)</f>
        <v>USD_CURVE_3M_50Y_Quote#0000</v>
      </c>
      <c r="E39" s="268" t="str">
        <f>_xll.ohRangeRetrieveError(D39)</f>
        <v/>
      </c>
      <c r="F39" s="171"/>
      <c r="H39" s="76"/>
      <c r="I39" s="183" t="s">
        <v>36</v>
      </c>
      <c r="J39" s="184" t="str">
        <f t="shared" si="1"/>
        <v>USD_CURVE_3M_50Y</v>
      </c>
      <c r="K39" s="85">
        <v>2.5840000000000001</v>
      </c>
      <c r="L39" s="85">
        <v>2.5840000000000001</v>
      </c>
      <c r="M39" s="85">
        <f t="shared" si="2"/>
        <v>2.5840000000000001</v>
      </c>
      <c r="N39" s="195"/>
      <c r="O39" s="197">
        <v>2.532</v>
      </c>
      <c r="P39" s="195"/>
      <c r="Q39" s="85">
        <v>2.5840000000000001</v>
      </c>
      <c r="R39" s="188">
        <f>_xll.qlSimpleQuoteSetValue(D39,Q39/100,Trigger)</f>
        <v>0</v>
      </c>
      <c r="S39" s="77"/>
      <c r="Y39" s="226"/>
    </row>
    <row r="40" spans="1:25" x14ac:dyDescent="0.2">
      <c r="A40" s="76"/>
      <c r="B40" s="232" t="s">
        <v>26</v>
      </c>
      <c r="C40" s="235" t="str">
        <f t="shared" si="0"/>
        <v>USD_CURVE_3M_60Y_Quote</v>
      </c>
      <c r="D40" s="235" t="str">
        <f>_xll.qlSimpleQuote(C40,,RateTickValue,Permanent,Trigger,ObjectOverwrite)</f>
        <v>USD_CURVE_3M_60Y_Quote#0000</v>
      </c>
      <c r="E40" s="269" t="str">
        <f>_xll.ohRangeRetrieveError(D40)</f>
        <v/>
      </c>
      <c r="F40" s="171"/>
      <c r="H40" s="76"/>
      <c r="I40" s="185" t="s">
        <v>26</v>
      </c>
      <c r="J40" s="186" t="str">
        <f t="shared" si="1"/>
        <v>USD_CURVE_3M_60Y</v>
      </c>
      <c r="K40" s="86">
        <v>2.5656921810000002</v>
      </c>
      <c r="L40" s="86">
        <v>2.5656921810000002</v>
      </c>
      <c r="M40" s="86">
        <f t="shared" si="2"/>
        <v>2.5656921810000002</v>
      </c>
      <c r="N40" s="195"/>
      <c r="O40" s="197">
        <v>2.5106658360000003</v>
      </c>
      <c r="P40" s="195"/>
      <c r="Q40" s="86">
        <v>2.5656921810000002</v>
      </c>
      <c r="R40" s="189">
        <f>_xll.qlSimpleQuoteSetValue(D40,Q40/100,Trigger)</f>
        <v>-9.0085000000253435E-7</v>
      </c>
      <c r="S40" s="77"/>
      <c r="Y40" s="226"/>
    </row>
    <row r="41" spans="1:25" x14ac:dyDescent="0.2">
      <c r="A41" s="172"/>
      <c r="B41" s="173"/>
      <c r="C41" s="173"/>
      <c r="D41" s="174"/>
      <c r="E41" s="174"/>
      <c r="F41" s="175"/>
      <c r="H41" s="257"/>
      <c r="I41" s="425"/>
      <c r="J41" s="420"/>
      <c r="K41" s="421"/>
      <c r="L41" s="421"/>
      <c r="M41" s="421"/>
      <c r="N41" s="258"/>
      <c r="O41" s="422"/>
      <c r="P41" s="258"/>
      <c r="Q41" s="248"/>
      <c r="R41" s="423"/>
      <c r="S41" s="239"/>
      <c r="T41" s="424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2015-03-06T10:15:20Z</dcterms:modified>
</cp:coreProperties>
</file>