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105" windowWidth="19260" windowHeight="105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L39" i="12" l="1"/>
  <c r="L31" i="12"/>
  <c r="L38" i="12"/>
  <c r="L30" i="12"/>
  <c r="L37" i="12"/>
  <c r="L29" i="12"/>
  <c r="L36" i="12"/>
  <c r="L28" i="12"/>
  <c r="L35" i="12"/>
  <c r="L27" i="12"/>
  <c r="L34" i="12"/>
  <c r="L26" i="12"/>
  <c r="L33" i="12"/>
  <c r="L32" i="12"/>
  <c r="L25" i="12"/>
  <c r="L18" i="12"/>
  <c r="L10" i="12"/>
  <c r="L15" i="12"/>
  <c r="L13" i="12"/>
  <c r="L11" i="12"/>
  <c r="L17" i="12"/>
  <c r="L9" i="12"/>
  <c r="L16" i="12"/>
  <c r="L14" i="12"/>
  <c r="L12" i="12"/>
  <c r="L8" i="12"/>
  <c r="H17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16" i="7"/>
  <c r="H15" i="7"/>
  <c r="H14" i="7"/>
  <c r="H13" i="7"/>
  <c r="H12" i="7"/>
  <c r="H11" i="7"/>
  <c r="H10" i="7"/>
  <c r="H9" i="7"/>
  <c r="H8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12" i="7"/>
  <c r="F11" i="7"/>
  <c r="F10" i="7"/>
  <c r="F9" i="7"/>
  <c r="F8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18" i="7"/>
  <c r="E17" i="7"/>
  <c r="E16" i="7"/>
  <c r="E15" i="7"/>
  <c r="E14" i="7"/>
  <c r="E13" i="7"/>
  <c r="E12" i="7"/>
  <c r="E7" i="7"/>
  <c r="E6" i="7"/>
  <c r="B19" i="7" a="1"/>
  <c r="B19" i="7" l="1"/>
  <c r="B20" i="7"/>
  <c r="B21" i="7"/>
  <c r="B22" i="7"/>
  <c r="B23" i="7"/>
  <c r="B24" i="7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7" i="7"/>
  <c r="I7" i="12" s="1"/>
  <c r="M6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M39" i="7"/>
  <c r="I39" i="12" s="1"/>
  <c r="M38" i="7"/>
  <c r="I38" i="12" s="1"/>
  <c r="M37" i="7"/>
  <c r="I37" i="12" s="1"/>
  <c r="M36" i="7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D15" i="2"/>
  <c r="I36" i="12" l="1"/>
  <c r="J36" i="7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I8" i="11"/>
  <c r="I8" i="14"/>
  <c r="I8" i="10" l="1"/>
  <c r="V27" i="7"/>
  <c r="I27" i="11" s="1"/>
  <c r="S26" i="7"/>
  <c r="P26" i="7"/>
  <c r="I26" i="14" s="1"/>
  <c r="I12" i="14"/>
  <c r="I11" i="14"/>
  <c r="I10" i="14"/>
  <c r="I9" i="14"/>
  <c r="J26" i="7" l="1"/>
  <c r="I26" i="10"/>
  <c r="I13" i="10"/>
  <c r="I9" i="10"/>
  <c r="I10" i="10"/>
  <c r="I14" i="10"/>
  <c r="I11" i="10"/>
  <c r="I12" i="10"/>
  <c r="E2" i="14"/>
  <c r="C22" i="7"/>
  <c r="C21" i="7"/>
  <c r="C23" i="7"/>
  <c r="C20" i="7"/>
  <c r="C19" i="7"/>
  <c r="C24" i="7"/>
  <c r="C21" i="10" l="1"/>
  <c r="C24" i="10"/>
  <c r="C19" i="10"/>
  <c r="C20" i="10"/>
  <c r="C22" i="10"/>
  <c r="C23" i="10"/>
  <c r="S22" i="7"/>
  <c r="S24" i="7"/>
  <c r="S23" i="7"/>
  <c r="S19" i="7"/>
  <c r="S21" i="7"/>
  <c r="S20" i="7"/>
  <c r="D12" i="2" l="1"/>
  <c r="E3" i="11" l="1"/>
  <c r="E3" i="10"/>
  <c r="E3" i="14"/>
  <c r="F22" i="10"/>
  <c r="F21" i="10"/>
  <c r="F23" i="10"/>
  <c r="F19" i="10"/>
  <c r="F20" i="10"/>
  <c r="F24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F17" i="11"/>
  <c r="E21" i="10"/>
  <c r="F12" i="14"/>
  <c r="E23" i="10"/>
  <c r="G22" i="10"/>
  <c r="E22" i="10"/>
  <c r="G21" i="10"/>
  <c r="D18" i="2"/>
  <c r="F7" i="12"/>
  <c r="F14" i="10"/>
  <c r="G19" i="10"/>
  <c r="E24" i="10"/>
  <c r="G23" i="10"/>
  <c r="G20" i="10"/>
  <c r="E20" i="10"/>
  <c r="E19" i="10"/>
  <c r="G24" i="10"/>
  <c r="D19" i="2" l="1"/>
  <c r="L10" i="11"/>
  <c r="F30" i="12"/>
  <c r="L36" i="11"/>
  <c r="G14" i="10"/>
  <c r="D20" i="2"/>
  <c r="F8" i="12"/>
  <c r="L34" i="10"/>
  <c r="L27" i="11"/>
  <c r="L10" i="10"/>
  <c r="F16" i="12"/>
  <c r="L32" i="10"/>
  <c r="L29" i="11"/>
  <c r="L31" i="11"/>
  <c r="L11" i="11"/>
  <c r="L33" i="11"/>
  <c r="F39" i="12"/>
  <c r="F34" i="12"/>
  <c r="L32" i="11"/>
  <c r="L8" i="10"/>
  <c r="G6" i="14"/>
  <c r="L8" i="11"/>
  <c r="L9" i="10"/>
  <c r="L30" i="14"/>
  <c r="F37" i="12"/>
  <c r="L29" i="10"/>
  <c r="L11" i="10"/>
  <c r="L25" i="14"/>
  <c r="L31" i="14"/>
  <c r="G17" i="11"/>
  <c r="G6" i="12"/>
  <c r="G12" i="14"/>
  <c r="L36" i="10"/>
  <c r="L25" i="11"/>
  <c r="G6" i="10"/>
  <c r="L11" i="14"/>
  <c r="L30" i="10"/>
  <c r="F33" i="12"/>
  <c r="L39" i="11"/>
  <c r="F25" i="12"/>
  <c r="L8" i="14"/>
  <c r="F15" i="12"/>
  <c r="L13" i="11"/>
  <c r="F38" i="12"/>
  <c r="L29" i="14"/>
  <c r="L39" i="14"/>
  <c r="L38" i="10"/>
  <c r="F29" i="12"/>
  <c r="L26" i="14"/>
  <c r="L39" i="10"/>
  <c r="F10" i="12"/>
  <c r="F18" i="12"/>
  <c r="F36" i="12"/>
  <c r="L33" i="10"/>
  <c r="F31" i="12"/>
  <c r="L27" i="14"/>
  <c r="L12" i="11"/>
  <c r="L14" i="11"/>
  <c r="L37" i="11"/>
  <c r="F9" i="12"/>
  <c r="L38" i="11"/>
  <c r="F26" i="12"/>
  <c r="F12" i="12"/>
  <c r="L34" i="11"/>
  <c r="L12" i="10"/>
  <c r="L35" i="10"/>
  <c r="L9" i="14"/>
  <c r="F14" i="12"/>
  <c r="F27" i="12"/>
  <c r="F28" i="12"/>
  <c r="L30" i="11"/>
  <c r="L37" i="10"/>
  <c r="L28" i="10"/>
  <c r="L32" i="14"/>
  <c r="F11" i="12"/>
  <c r="L33" i="14"/>
  <c r="L36" i="14"/>
  <c r="L26" i="11"/>
  <c r="L16" i="11"/>
  <c r="L34" i="14"/>
  <c r="F35" i="12"/>
  <c r="L25" i="10"/>
  <c r="L38" i="14"/>
  <c r="F13" i="12"/>
  <c r="L35" i="14"/>
  <c r="L10" i="14"/>
  <c r="L27" i="10"/>
  <c r="L31" i="10"/>
  <c r="G7" i="12"/>
  <c r="L15" i="11"/>
  <c r="L28" i="14"/>
  <c r="L9" i="11"/>
  <c r="F17" i="12"/>
  <c r="L35" i="11"/>
  <c r="L13" i="10"/>
  <c r="L37" i="14"/>
  <c r="F32" i="12"/>
  <c r="L26" i="10"/>
  <c r="L28" i="11"/>
  <c r="G6" i="11"/>
  <c r="B12" i="14" l="1"/>
  <c r="B6" i="12"/>
  <c r="B6" i="10"/>
  <c r="B6" i="11"/>
  <c r="F7" i="11"/>
  <c r="B6" i="14"/>
  <c r="F7" i="14"/>
  <c r="F7" i="10"/>
  <c r="F12" i="10"/>
  <c r="G12" i="10"/>
  <c r="F37" i="11"/>
  <c r="F39" i="10"/>
  <c r="F38" i="10"/>
  <c r="F10" i="14"/>
  <c r="F8" i="14"/>
  <c r="F15" i="11"/>
  <c r="F10" i="10"/>
  <c r="G36" i="12"/>
  <c r="G9" i="12"/>
  <c r="F34" i="11"/>
  <c r="F33" i="14"/>
  <c r="G29" i="12"/>
  <c r="F33" i="10"/>
  <c r="F26" i="14"/>
  <c r="G7" i="10"/>
  <c r="F31" i="10"/>
  <c r="G37" i="12"/>
  <c r="F28" i="10"/>
  <c r="G18" i="12"/>
  <c r="F11" i="11"/>
  <c r="G15" i="12"/>
  <c r="F31" i="11"/>
  <c r="F26" i="11"/>
  <c r="F30" i="11"/>
  <c r="G17" i="12"/>
  <c r="F33" i="11"/>
  <c r="G8" i="12"/>
  <c r="F26" i="10"/>
  <c r="G16" i="12"/>
  <c r="F8" i="10"/>
  <c r="F14" i="11"/>
  <c r="F27" i="14"/>
  <c r="F25" i="14"/>
  <c r="F32" i="10"/>
  <c r="G30" i="12"/>
  <c r="G12" i="12"/>
  <c r="F35" i="14"/>
  <c r="F39" i="11"/>
  <c r="F13" i="10"/>
  <c r="F29" i="14"/>
  <c r="F10" i="11"/>
  <c r="F35" i="10"/>
  <c r="F27" i="11"/>
  <c r="G11" i="12"/>
  <c r="F37" i="10"/>
  <c r="F34" i="10"/>
  <c r="F11" i="10"/>
  <c r="F36" i="10"/>
  <c r="G36" i="10" s="1"/>
  <c r="G27" i="12"/>
  <c r="G35" i="12"/>
  <c r="G8" i="10"/>
  <c r="F29" i="10"/>
  <c r="G32" i="12"/>
  <c r="F12" i="11"/>
  <c r="F38" i="14"/>
  <c r="G34" i="12"/>
  <c r="G7" i="14"/>
  <c r="G28" i="12"/>
  <c r="F25" i="11"/>
  <c r="F11" i="14"/>
  <c r="F30" i="14"/>
  <c r="G30" i="14" s="1"/>
  <c r="G39" i="12"/>
  <c r="F28" i="11"/>
  <c r="F36" i="14"/>
  <c r="F28" i="14"/>
  <c r="F27" i="10"/>
  <c r="G13" i="12"/>
  <c r="G14" i="12"/>
  <c r="G31" i="12"/>
  <c r="F9" i="14"/>
  <c r="F38" i="11"/>
  <c r="G25" i="12"/>
  <c r="F8" i="11"/>
  <c r="F35" i="11"/>
  <c r="F37" i="14"/>
  <c r="G38" i="12"/>
  <c r="F32" i="14"/>
  <c r="F25" i="10"/>
  <c r="F29" i="11"/>
  <c r="G7" i="11"/>
  <c r="F36" i="11"/>
  <c r="F32" i="11"/>
  <c r="G10" i="12"/>
  <c r="F16" i="11"/>
  <c r="G26" i="12"/>
  <c r="F30" i="10"/>
  <c r="G33" i="12"/>
  <c r="F39" i="14"/>
  <c r="F31" i="14"/>
  <c r="F34" i="14"/>
  <c r="F13" i="11"/>
  <c r="F9" i="10"/>
  <c r="F9" i="11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2" i="10"/>
  <c r="B8" i="10"/>
  <c r="B14" i="10"/>
  <c r="B7" i="11"/>
  <c r="B17" i="11"/>
  <c r="B7" i="14"/>
  <c r="G13" i="11"/>
  <c r="G26" i="11"/>
  <c r="G10" i="14"/>
  <c r="G11" i="10"/>
  <c r="G32" i="10"/>
  <c r="G39" i="14"/>
  <c r="G39" i="10"/>
  <c r="G27" i="14"/>
  <c r="G37" i="14"/>
  <c r="G35" i="10"/>
  <c r="G31" i="14"/>
  <c r="G36" i="11"/>
  <c r="G26" i="14"/>
  <c r="G8" i="11"/>
  <c r="G30" i="11"/>
  <c r="G13" i="10"/>
  <c r="G38" i="11"/>
  <c r="G25" i="11"/>
  <c r="G28" i="10"/>
  <c r="G36" i="14"/>
  <c r="G30" i="10"/>
  <c r="G32" i="14"/>
  <c r="G16" i="11"/>
  <c r="G39" i="11"/>
  <c r="G9" i="14"/>
  <c r="G25" i="10"/>
  <c r="G33" i="14"/>
  <c r="G8" i="14"/>
  <c r="G34" i="14"/>
  <c r="G32" i="11"/>
  <c r="G34" i="10"/>
  <c r="G9" i="11"/>
  <c r="G12" i="11"/>
  <c r="G9" i="10"/>
  <c r="G29" i="10"/>
  <c r="G37" i="10"/>
  <c r="G11" i="14"/>
  <c r="G14" i="11"/>
  <c r="G15" i="11"/>
  <c r="G10" i="11"/>
  <c r="G26" i="10"/>
  <c r="G33" i="10"/>
  <c r="G31" i="11"/>
  <c r="G38" i="10"/>
  <c r="G37" i="11"/>
  <c r="G25" i="14"/>
  <c r="G35" i="14"/>
  <c r="G35" i="11"/>
  <c r="G27" i="11"/>
  <c r="G27" i="10"/>
  <c r="G29" i="14"/>
  <c r="G33" i="11"/>
  <c r="G34" i="11"/>
  <c r="G11" i="11"/>
  <c r="G29" i="11"/>
  <c r="G38" i="14"/>
  <c r="G10" i="10"/>
  <c r="G28" i="11"/>
  <c r="G28" i="14"/>
  <c r="G31" i="10"/>
  <c r="B11" i="11" l="1"/>
  <c r="B10" i="11"/>
  <c r="B12" i="11"/>
  <c r="B9" i="14"/>
  <c r="B13" i="11"/>
  <c r="B11" i="14"/>
  <c r="B9" i="11"/>
  <c r="B8" i="14"/>
  <c r="B9" i="10"/>
  <c r="B16" i="11"/>
  <c r="B10" i="14"/>
  <c r="B15" i="11"/>
  <c r="B8" i="11"/>
  <c r="B10" i="10"/>
  <c r="B11" i="10"/>
  <c r="B14" i="11"/>
  <c r="B13" i="10"/>
  <c r="D5" i="2" l="1"/>
  <c r="H11" i="11"/>
  <c r="H37" i="11"/>
  <c r="H33" i="14"/>
  <c r="H33" i="10"/>
  <c r="H14" i="10"/>
  <c r="H16" i="11"/>
  <c r="H36" i="11"/>
  <c r="H28" i="10"/>
  <c r="H9" i="14"/>
  <c r="H25" i="11"/>
  <c r="H11" i="14"/>
  <c r="H17" i="11"/>
  <c r="H10" i="11"/>
  <c r="H9" i="10"/>
  <c r="H21" i="10"/>
  <c r="H8" i="10"/>
  <c r="H25" i="14"/>
  <c r="H39" i="10"/>
  <c r="H38" i="11"/>
  <c r="H32" i="10"/>
  <c r="H39" i="11"/>
  <c r="H31" i="14"/>
  <c r="H13" i="11"/>
  <c r="H22" i="10"/>
  <c r="H11" i="10"/>
  <c r="H12" i="14"/>
  <c r="H8" i="11"/>
  <c r="H14" i="11"/>
  <c r="H12" i="10"/>
  <c r="H36" i="14"/>
  <c r="H31" i="10"/>
  <c r="H28" i="14"/>
  <c r="H37" i="14"/>
  <c r="H34" i="14"/>
  <c r="H35" i="10"/>
  <c r="H12" i="11"/>
  <c r="H26" i="11"/>
  <c r="H25" i="10"/>
  <c r="H26" i="14"/>
  <c r="H27" i="10"/>
  <c r="H24" i="10"/>
  <c r="H27" i="14"/>
  <c r="H36" i="10"/>
  <c r="H32" i="14"/>
  <c r="H13" i="10"/>
  <c r="H33" i="11"/>
  <c r="H31" i="11"/>
  <c r="H39" i="14"/>
  <c r="H26" i="10"/>
  <c r="H10" i="10"/>
  <c r="H19" i="10"/>
  <c r="H38" i="14"/>
  <c r="H37" i="10"/>
  <c r="H29" i="14"/>
  <c r="H29" i="10"/>
  <c r="H38" i="10"/>
  <c r="H32" i="11"/>
  <c r="H27" i="11"/>
  <c r="H9" i="11"/>
  <c r="H15" i="11"/>
  <c r="H28" i="11"/>
  <c r="H30" i="11"/>
  <c r="H30" i="14"/>
  <c r="H10" i="14"/>
  <c r="H8" i="14"/>
  <c r="H35" i="14"/>
  <c r="H29" i="11"/>
  <c r="H23" i="10"/>
  <c r="H30" i="10"/>
  <c r="H35" i="11"/>
  <c r="H20" i="10"/>
  <c r="H34" i="11"/>
  <c r="H34" i="10"/>
  <c r="H32" i="12"/>
  <c r="H26" i="12"/>
  <c r="H31" i="12"/>
  <c r="H15" i="12"/>
  <c r="H38" i="12"/>
  <c r="H29" i="12"/>
  <c r="H13" i="12"/>
  <c r="H17" i="12"/>
  <c r="H33" i="12"/>
  <c r="H11" i="12"/>
  <c r="H27" i="12"/>
  <c r="H25" i="12"/>
  <c r="H18" i="12"/>
  <c r="H35" i="12"/>
  <c r="H39" i="12"/>
  <c r="H16" i="12"/>
  <c r="H37" i="12"/>
  <c r="H10" i="12"/>
  <c r="H34" i="12"/>
  <c r="H28" i="12"/>
  <c r="H9" i="12"/>
  <c r="H8" i="12"/>
  <c r="H36" i="12"/>
  <c r="H30" i="12"/>
  <c r="H12" i="12"/>
  <c r="H14" i="12"/>
  <c r="N14" i="7" l="1"/>
  <c r="N12" i="7"/>
  <c r="N30" i="7"/>
  <c r="N36" i="7"/>
  <c r="N28" i="7"/>
  <c r="N34" i="7"/>
  <c r="N37" i="7"/>
  <c r="N16" i="7"/>
  <c r="N39" i="7"/>
  <c r="N35" i="7"/>
  <c r="N18" i="7"/>
  <c r="N25" i="7"/>
  <c r="N27" i="7"/>
  <c r="N33" i="7"/>
  <c r="N17" i="7"/>
  <c r="N13" i="7"/>
  <c r="N29" i="7"/>
  <c r="N38" i="7"/>
  <c r="N15" i="7"/>
  <c r="N31" i="7"/>
  <c r="N26" i="7"/>
  <c r="N32" i="7"/>
  <c r="T34" i="7"/>
  <c r="W34" i="7"/>
  <c r="T20" i="7"/>
  <c r="W35" i="7"/>
  <c r="T30" i="7"/>
  <c r="T23" i="7"/>
  <c r="W29" i="7"/>
  <c r="Q35" i="7"/>
  <c r="Q8" i="7"/>
  <c r="Q10" i="7"/>
  <c r="Q30" i="7"/>
  <c r="W30" i="7"/>
  <c r="W28" i="7"/>
  <c r="W15" i="7"/>
  <c r="W9" i="7"/>
  <c r="W27" i="7"/>
  <c r="W32" i="7"/>
  <c r="T38" i="7"/>
  <c r="T29" i="7"/>
  <c r="Q29" i="7"/>
  <c r="T37" i="7"/>
  <c r="Q38" i="7"/>
  <c r="T19" i="7"/>
  <c r="T10" i="7"/>
  <c r="T26" i="7"/>
  <c r="Q39" i="7"/>
  <c r="W31" i="7"/>
  <c r="W33" i="7"/>
  <c r="T13" i="7"/>
  <c r="Q32" i="7"/>
  <c r="T36" i="7"/>
  <c r="Q27" i="7"/>
  <c r="T24" i="7"/>
  <c r="T27" i="7"/>
  <c r="Q26" i="7"/>
  <c r="T25" i="7"/>
  <c r="W26" i="7"/>
  <c r="W12" i="7"/>
  <c r="T35" i="7"/>
  <c r="Q34" i="7"/>
  <c r="Q37" i="7"/>
  <c r="Q28" i="7"/>
  <c r="T31" i="7"/>
  <c r="Q36" i="7"/>
  <c r="T12" i="7"/>
  <c r="W14" i="7"/>
  <c r="W8" i="7"/>
  <c r="Q12" i="7"/>
  <c r="T11" i="7"/>
  <c r="T22" i="7"/>
  <c r="W13" i="7"/>
  <c r="Q31" i="7"/>
  <c r="W39" i="7"/>
  <c r="T32" i="7"/>
  <c r="W38" i="7"/>
  <c r="T39" i="7"/>
  <c r="Q25" i="7"/>
  <c r="T8" i="7"/>
  <c r="T21" i="7"/>
  <c r="T9" i="7"/>
  <c r="W10" i="7"/>
  <c r="W17" i="7"/>
  <c r="Q11" i="7"/>
  <c r="W25" i="7"/>
  <c r="Q9" i="7"/>
  <c r="T28" i="7"/>
  <c r="W36" i="7"/>
  <c r="W16" i="7"/>
  <c r="T14" i="7"/>
  <c r="T33" i="7"/>
  <c r="Q33" i="7"/>
  <c r="W37" i="7"/>
  <c r="W11" i="7"/>
  <c r="AB12" i="7"/>
  <c r="AB35" i="7"/>
  <c r="AB38" i="7"/>
  <c r="AH35" i="7"/>
  <c r="AH30" i="7"/>
  <c r="AD29" i="7"/>
  <c r="AH33" i="7"/>
  <c r="AF25" i="7"/>
  <c r="AD36" i="7"/>
  <c r="AD31" i="7"/>
  <c r="AF9" i="7"/>
  <c r="AH16" i="7"/>
  <c r="AB30" i="7"/>
  <c r="AB15" i="7"/>
  <c r="AF30" i="7"/>
  <c r="AH28" i="7"/>
  <c r="AF37" i="7"/>
  <c r="AF13" i="7"/>
  <c r="AH26" i="7"/>
  <c r="AF12" i="7"/>
  <c r="AH39" i="7"/>
  <c r="AH10" i="7"/>
  <c r="AF14" i="7"/>
  <c r="AB25" i="7"/>
  <c r="AH15" i="7"/>
  <c r="AD32" i="7"/>
  <c r="AH12" i="7"/>
  <c r="AF32" i="7"/>
  <c r="AF33" i="7"/>
  <c r="AB27" i="7"/>
  <c r="AH29" i="7"/>
  <c r="AH9" i="7"/>
  <c r="AF36" i="7"/>
  <c r="AF35" i="7"/>
  <c r="AH38" i="7"/>
  <c r="AD11" i="7"/>
  <c r="AB34" i="7"/>
  <c r="AB33" i="7"/>
  <c r="AD35" i="7"/>
  <c r="AH27" i="7"/>
  <c r="AD27" i="7"/>
  <c r="AD34" i="7"/>
  <c r="AD12" i="7"/>
  <c r="AH25" i="7"/>
  <c r="AH37" i="7"/>
  <c r="AF34" i="7"/>
  <c r="AD8" i="7"/>
  <c r="AF26" i="7"/>
  <c r="AD37" i="7"/>
  <c r="AD25" i="7"/>
  <c r="AD9" i="7"/>
  <c r="AB13" i="7"/>
  <c r="AH34" i="7"/>
  <c r="AD39" i="7"/>
  <c r="AF27" i="7"/>
  <c r="AF8" i="7"/>
  <c r="AF28" i="7"/>
  <c r="AB14" i="7"/>
  <c r="AF20" i="7"/>
  <c r="AF29" i="7"/>
  <c r="AH31" i="7"/>
  <c r="AF31" i="7"/>
  <c r="AF21" i="7"/>
  <c r="AH36" i="7"/>
  <c r="AB18" i="7"/>
  <c r="AB36" i="7"/>
  <c r="AB31" i="7"/>
  <c r="AF23" i="7"/>
  <c r="AD38" i="7"/>
  <c r="AH14" i="7"/>
  <c r="AH17" i="7"/>
  <c r="AB28" i="7"/>
  <c r="AB26" i="7"/>
  <c r="AF19" i="7"/>
  <c r="AH8" i="7"/>
  <c r="AD33" i="7"/>
  <c r="AB32" i="7"/>
  <c r="AF10" i="7"/>
  <c r="AF39" i="7"/>
  <c r="AB37" i="7"/>
  <c r="AH32" i="7"/>
  <c r="AF11" i="7"/>
  <c r="AD10" i="7"/>
  <c r="AF22" i="7"/>
  <c r="AB29" i="7"/>
  <c r="AD26" i="7"/>
  <c r="AB17" i="7"/>
  <c r="AF24" i="7"/>
  <c r="AH11" i="7"/>
  <c r="AB16" i="7"/>
  <c r="AF38" i="7"/>
  <c r="AD28" i="7"/>
  <c r="AB39" i="7"/>
  <c r="AD30" i="7"/>
  <c r="AH13" i="7"/>
  <c r="Z38" i="7" l="1"/>
  <c r="Z39" i="7"/>
  <c r="Z31" i="7"/>
  <c r="Z29" i="7"/>
  <c r="Z28" i="7"/>
  <c r="Z27" i="7"/>
  <c r="Z26" i="7"/>
  <c r="Z34" i="7"/>
  <c r="Z35" i="7"/>
  <c r="Z36" i="7"/>
  <c r="Z33" i="7"/>
  <c r="Z32" i="7"/>
  <c r="Z37" i="7"/>
  <c r="Z30" i="7"/>
  <c r="Z25" i="7"/>
  <c r="X13" i="7"/>
  <c r="R30" i="7"/>
  <c r="O39" i="7"/>
  <c r="R28" i="7"/>
  <c r="U38" i="7"/>
  <c r="K38" i="7"/>
  <c r="O16" i="7"/>
  <c r="X11" i="7"/>
  <c r="U24" i="7"/>
  <c r="O17" i="7"/>
  <c r="R26" i="7"/>
  <c r="O29" i="7"/>
  <c r="U22" i="7"/>
  <c r="R10" i="7"/>
  <c r="U11" i="7"/>
  <c r="X32" i="7"/>
  <c r="O37" i="7"/>
  <c r="K39" i="7"/>
  <c r="U39" i="7"/>
  <c r="U10" i="7"/>
  <c r="O32" i="7"/>
  <c r="R33" i="7"/>
  <c r="X8" i="7"/>
  <c r="U19" i="7"/>
  <c r="O26" i="7"/>
  <c r="O28" i="7"/>
  <c r="X17" i="7"/>
  <c r="X14" i="7"/>
  <c r="R38" i="7"/>
  <c r="U23" i="7"/>
  <c r="O31" i="7"/>
  <c r="O36" i="7"/>
  <c r="O18" i="7"/>
  <c r="X36" i="7"/>
  <c r="U21" i="7"/>
  <c r="K31" i="7"/>
  <c r="U31" i="7"/>
  <c r="X31" i="7"/>
  <c r="K29" i="7"/>
  <c r="U29" i="7"/>
  <c r="U20" i="7"/>
  <c r="O14" i="7"/>
  <c r="U28" i="7"/>
  <c r="K28" i="7"/>
  <c r="U8" i="7"/>
  <c r="K27" i="7"/>
  <c r="U27" i="7"/>
  <c r="R39" i="7"/>
  <c r="X34" i="7"/>
  <c r="O13" i="7"/>
  <c r="R9" i="7"/>
  <c r="R25" i="7"/>
  <c r="R37" i="7"/>
  <c r="K26" i="7"/>
  <c r="U26" i="7"/>
  <c r="R8" i="7"/>
  <c r="K34" i="7"/>
  <c r="U34" i="7"/>
  <c r="X37" i="7"/>
  <c r="X25" i="7"/>
  <c r="R12" i="7"/>
  <c r="R34" i="7"/>
  <c r="R27" i="7"/>
  <c r="X27" i="7"/>
  <c r="R35" i="7"/>
  <c r="O33" i="7"/>
  <c r="O34" i="7"/>
  <c r="R11" i="7"/>
  <c r="X38" i="7"/>
  <c r="U35" i="7"/>
  <c r="K35" i="7"/>
  <c r="K36" i="7"/>
  <c r="U36" i="7"/>
  <c r="X9" i="7"/>
  <c r="X29" i="7"/>
  <c r="O27" i="7"/>
  <c r="U33" i="7"/>
  <c r="K33" i="7"/>
  <c r="U32" i="7"/>
  <c r="K32" i="7"/>
  <c r="X12" i="7"/>
  <c r="R32" i="7"/>
  <c r="X15" i="7"/>
  <c r="O25" i="7"/>
  <c r="U14" i="7"/>
  <c r="X10" i="7"/>
  <c r="X39" i="7"/>
  <c r="U12" i="7"/>
  <c r="X26" i="7"/>
  <c r="U13" i="7"/>
  <c r="U37" i="7"/>
  <c r="K37" i="7"/>
  <c r="X28" i="7"/>
  <c r="K30" i="7"/>
  <c r="U30" i="7"/>
  <c r="O15" i="7"/>
  <c r="O30" i="7"/>
  <c r="X16" i="7"/>
  <c r="U9" i="7"/>
  <c r="R31" i="7"/>
  <c r="R36" i="7"/>
  <c r="K25" i="7"/>
  <c r="U25" i="7"/>
  <c r="X33" i="7"/>
  <c r="R29" i="7"/>
  <c r="X30" i="7"/>
  <c r="X35" i="7"/>
  <c r="O38" i="7"/>
  <c r="O35" i="7"/>
  <c r="O12" i="7"/>
  <c r="AE30" i="7"/>
  <c r="AC16" i="7"/>
  <c r="AE10" i="7"/>
  <c r="AI32" i="7"/>
  <c r="AI36" i="7"/>
  <c r="AC14" i="7"/>
  <c r="AE8" i="7"/>
  <c r="AE27" i="7"/>
  <c r="AG36" i="7"/>
  <c r="AG33" i="7"/>
  <c r="AI10" i="7"/>
  <c r="AC12" i="7"/>
  <c r="AC39" i="7"/>
  <c r="AI11" i="7"/>
  <c r="AC37" i="7"/>
  <c r="AE33" i="7"/>
  <c r="AI17" i="7"/>
  <c r="AG21" i="7"/>
  <c r="AG8" i="7"/>
  <c r="AI27" i="7"/>
  <c r="AI9" i="7"/>
  <c r="AI39" i="7"/>
  <c r="AG30" i="7"/>
  <c r="AG25" i="7"/>
  <c r="AG24" i="7"/>
  <c r="AI8" i="7"/>
  <c r="AI14" i="7"/>
  <c r="AG34" i="7"/>
  <c r="AE35" i="7"/>
  <c r="AI29" i="7"/>
  <c r="AG32" i="7"/>
  <c r="AG12" i="7"/>
  <c r="AC15" i="7"/>
  <c r="AI33" i="7"/>
  <c r="AC17" i="7"/>
  <c r="AG39" i="7"/>
  <c r="AG19" i="7"/>
  <c r="AE38" i="7"/>
  <c r="AG31" i="7"/>
  <c r="AG27" i="7"/>
  <c r="AE9" i="7"/>
  <c r="AC33" i="7"/>
  <c r="AE11" i="7"/>
  <c r="AC27" i="7"/>
  <c r="AI26" i="7"/>
  <c r="AC30" i="7"/>
  <c r="AE29" i="7"/>
  <c r="AG10" i="7"/>
  <c r="AG23" i="7"/>
  <c r="AI31" i="7"/>
  <c r="AE25" i="7"/>
  <c r="AI37" i="7"/>
  <c r="AC34" i="7"/>
  <c r="AI38" i="7"/>
  <c r="AI12" i="7"/>
  <c r="AI30" i="7"/>
  <c r="AE28" i="7"/>
  <c r="AE26" i="7"/>
  <c r="AC32" i="7"/>
  <c r="AC28" i="7"/>
  <c r="AC31" i="7"/>
  <c r="AI34" i="7"/>
  <c r="AI25" i="7"/>
  <c r="AI35" i="7"/>
  <c r="AG38" i="7"/>
  <c r="AC36" i="7"/>
  <c r="AE12" i="7"/>
  <c r="AC38" i="7"/>
  <c r="AI13" i="7"/>
  <c r="AG22" i="7"/>
  <c r="AG11" i="7"/>
  <c r="AC18" i="7"/>
  <c r="AG28" i="7"/>
  <c r="AI28" i="7"/>
  <c r="AE36" i="7"/>
  <c r="AC26" i="7"/>
  <c r="AE39" i="7"/>
  <c r="AG13" i="7"/>
  <c r="AI16" i="7"/>
  <c r="AE37" i="7"/>
  <c r="AG35" i="7"/>
  <c r="AE32" i="7"/>
  <c r="AG37" i="7"/>
  <c r="AG9" i="7"/>
  <c r="AC29" i="7"/>
  <c r="AG29" i="7"/>
  <c r="AC13" i="7"/>
  <c r="AI15" i="7"/>
  <c r="AE31" i="7"/>
  <c r="AG20" i="7"/>
  <c r="AG26" i="7"/>
  <c r="AE34" i="7"/>
  <c r="AC25" i="7"/>
  <c r="AG14" i="7"/>
  <c r="AC35" i="7"/>
  <c r="AA26" i="7" l="1"/>
  <c r="AA29" i="7"/>
  <c r="AA37" i="7"/>
  <c r="AA35" i="7"/>
  <c r="AA28" i="7"/>
  <c r="AA38" i="7"/>
  <c r="AA27" i="7"/>
  <c r="AA31" i="7"/>
  <c r="AA39" i="7"/>
  <c r="AA32" i="7"/>
  <c r="AA34" i="7"/>
  <c r="AA25" i="7"/>
  <c r="AA30" i="7"/>
  <c r="AA33" i="7"/>
  <c r="AA36" i="7"/>
  <c r="L26" i="7"/>
  <c r="L29" i="7"/>
  <c r="L37" i="7"/>
  <c r="L35" i="7"/>
  <c r="L28" i="7"/>
  <c r="L38" i="7"/>
  <c r="L27" i="7"/>
  <c r="L31" i="7"/>
  <c r="L39" i="7"/>
  <c r="L32" i="7"/>
  <c r="L34" i="7"/>
  <c r="L25" i="7"/>
  <c r="L30" i="7"/>
  <c r="L33" i="7"/>
  <c r="L36" i="7"/>
  <c r="L6" i="12" l="1"/>
  <c r="H7" i="12"/>
  <c r="N7" i="7"/>
  <c r="O7" i="7" s="1"/>
  <c r="AB7" i="7"/>
  <c r="AC7" i="7"/>
  <c r="H6" i="12"/>
  <c r="N6" i="7"/>
  <c r="O6" i="7" s="1"/>
  <c r="AC6" i="7"/>
  <c r="AB6" i="7"/>
  <c r="L6" i="11"/>
  <c r="H7" i="11"/>
  <c r="H6" i="11"/>
  <c r="L6" i="10"/>
  <c r="L6" i="14"/>
  <c r="H7" i="14"/>
  <c r="H6" i="14"/>
  <c r="H6" i="10"/>
  <c r="H7" i="10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<sst xmlns="http://schemas.openxmlformats.org/spreadsheetml/2006/main" count="496" uniqueCount="112">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</sst>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7" fontId="10" fillId="0" borderId="8" xfId="0" applyNumberFormat="1" applyFont="1" applyFill="1" applyBorder="1" applyAlignment="1">
      <alignment horizontal="left" vertical="center"/>
    </xf>
    <xf numFmtId="167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7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7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7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7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167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7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-0.29230609900000004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-0.29240740700000001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0.58750000000000002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-0.35199999999999998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0.77750000000000008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0.15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-0.34400000000000003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0.3775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-0.34600000000000003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-0.24750000000000003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-0.313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-0.06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-0.33400000000000002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-0.35199999999999998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-0.29700000100000001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0.93500000000000005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1.0625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-0.35299999999999998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>
        <v>1.8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1.76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1.67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1.4825000000000002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1.3149999999999999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1.1599999999999999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-0.29230609900000004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-0.29240740700000001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0.58750000000000002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-0.35199999999999998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0.77750000000000008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0.15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-0.34400000000000003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0.3775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-0.34600000000000003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-0.24750000000000003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-0.313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-0.06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-0.33400000000000002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-0.35199999999999998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-0.29700000100000001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0.93500000000000005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1.0625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-0.35299999999999998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</main>
    <main first="pldatasource.rtgetrtdserver">
      <tp>
        <v>1.4825000000000002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1.3149999999999999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1.1599999999999999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1.76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1.67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1.8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>
        <v>-9.5722648000000007E-2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-9.5422892000000009E-2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-0.155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-0.14699999999999999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-0.14899999999999999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-9.6351787000000008E-2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-0.11600000000000001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-9.7520001000000009E-2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-0.13700000000000001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-0.1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1.78364305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1.6993895270000001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1.816392757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1.521856423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1.2047469770000001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1.3547912550000001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1.085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1.21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0.30000000000000004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0.53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0.74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0.92749999999999999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-0.241895362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-0.13250000000000001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7.2500000000000009E-2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</main>
    <main first="pldatasource.rtgetrtdserver">
      <tp>
        <v>1.875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1.7949999999999999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1.905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1.6225000000000001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1.3075000000000001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1.4575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0.98215793700000009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1.107180523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0.19783409600000001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0.427274918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0.63709210599999999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0.82461828400000003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-0.32109715300000002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-0.22621880200000002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-2.6947656E-2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>
        <v>-0.156500475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-0.15607385500000001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-0.15739724300000002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-0.18340000000000001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-0.159063026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-0.20800000000000002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-0.16259999999999999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1.1825659260000001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1.3075289450000001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0.39666822900000004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0.62730216300000008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0.83756521400000006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1.025121494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-0.15752471900000001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-3.9675202999999999E-2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0.16799386800000002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-0.25969999999999999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-0.25932528300000002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-0.26040000000000002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-0.26150000000000001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-0.26400000000000001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1.9457914860000001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1.8730147880000001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1.9698736790000002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1.710465766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1.404545299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1.552139935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</main>
    <main first="pldatasource.rtgetrtdserver">
      <tp>
        <v>1.3075289450000001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1.1825659260000001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1.025121494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0.83756521400000006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0.62730216300000008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0.39666822900000004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0.16799386800000002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-3.9675202999999999E-2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-0.15752471900000001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>
        <v>1.107180523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0.98215793700000009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0.82461828400000003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0.63709210599999999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0.427274918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0.19783409600000001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-2.6947656E-2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-0.22621880200000002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-0.32109715300000002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1.21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1.085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0.92749999999999999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0.74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0.53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0.30000000000000004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7.2500000000000009E-2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-0.13250000000000001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-0.241895362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1.875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1.7949999999999999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1.905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1.6225000000000001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1.4575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1.3075000000000001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1.78364305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1.6993895270000001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1.816392757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1.521856423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1.3547912550000001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1.2047469770000001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-9.5722648000000007E-2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-9.5422892000000009E-2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-0.155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-0.14699999999999999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-0.14899999999999999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-9.6351787000000008E-2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-0.11600000000000001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-9.7520001000000009E-2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-0.13700000000000001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-0.1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1.9457914860000001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1.8730147880000001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1.9698736790000002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1.710465766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1.552139935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1.404545299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-0.25969999999999999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-0.25932528300000002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-0.26040000000000002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-0.26150000000000001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-0.26400000000000001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-0.156500475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-0.15607385500000001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-0.15739724300000002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-0.18340000000000001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-0.159063026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-0.20800000000000002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-0.16259999999999999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100.215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100.14750000000001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100.24000000000001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100.05500000000001</v>
        <stp/>
        <stp>_x0007_SEK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100.26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100.25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100.25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100.26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100.05500000000001</v>
        <stp/>
        <stp>_x0007_SEK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100.215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>
        <v>100.24000000000001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100.14750000000001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144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2" t="s">
        <v>4</v>
      </c>
      <c r="C2" s="133"/>
      <c r="D2" s="133"/>
      <c r="E2" s="134"/>
    </row>
    <row r="3" spans="2:5" s="1" customFormat="1" ht="11.25" x14ac:dyDescent="0.2">
      <c r="B3" s="135"/>
      <c r="C3" s="53"/>
      <c r="D3" s="53"/>
      <c r="E3" s="136"/>
    </row>
    <row r="4" spans="2:5" s="1" customFormat="1" ht="11.25" x14ac:dyDescent="0.2">
      <c r="B4" s="135"/>
      <c r="C4" s="179" t="s">
        <v>5</v>
      </c>
      <c r="D4" s="178">
        <v>42137.497083333335</v>
      </c>
      <c r="E4" s="136"/>
    </row>
    <row r="5" spans="2:5" s="1" customFormat="1" ht="11.25" x14ac:dyDescent="0.2">
      <c r="B5" s="135"/>
      <c r="C5" s="149" t="s">
        <v>110</v>
      </c>
      <c r="D5" s="124">
        <f>[1]!TriggerCounter</f>
        <v>144</v>
      </c>
      <c r="E5" s="136"/>
    </row>
    <row r="6" spans="2:5" s="1" customFormat="1" ht="11.25" x14ac:dyDescent="0.2">
      <c r="B6" s="135"/>
      <c r="C6" s="151" t="s">
        <v>12</v>
      </c>
      <c r="D6" s="141">
        <f>_xll.qlSettingsEvaluationDate(Trigger)</f>
        <v>42137</v>
      </c>
      <c r="E6" s="136"/>
    </row>
    <row r="7" spans="2:5" s="1" customFormat="1" ht="11.25" x14ac:dyDescent="0.2">
      <c r="B7" s="137"/>
      <c r="C7" s="138"/>
      <c r="D7" s="138"/>
      <c r="E7" s="139"/>
    </row>
    <row r="9" spans="2:5" ht="16.5" x14ac:dyDescent="0.3">
      <c r="B9" s="132" t="s">
        <v>3</v>
      </c>
      <c r="C9" s="133"/>
      <c r="D9" s="133"/>
      <c r="E9" s="140"/>
    </row>
    <row r="10" spans="2:5" s="1" customFormat="1" ht="11.25" x14ac:dyDescent="0.2">
      <c r="B10" s="135"/>
      <c r="C10" s="53"/>
      <c r="D10" s="53"/>
      <c r="E10" s="136"/>
    </row>
    <row r="11" spans="2:5" s="1" customFormat="1" ht="11.25" x14ac:dyDescent="0.2">
      <c r="B11" s="135"/>
      <c r="C11" s="147" t="s">
        <v>6</v>
      </c>
      <c r="D11" s="125" t="s">
        <v>77</v>
      </c>
      <c r="E11" s="136"/>
    </row>
    <row r="12" spans="2:5" s="1" customFormat="1" ht="11.25" x14ac:dyDescent="0.2">
      <c r="B12" s="135"/>
      <c r="C12" s="148" t="s">
        <v>68</v>
      </c>
      <c r="D12" s="126" t="str">
        <f>Currency&amp;"ON"</f>
        <v>SEKON</v>
      </c>
      <c r="E12" s="136"/>
    </row>
    <row r="13" spans="2:5" s="1" customFormat="1" ht="11.25" x14ac:dyDescent="0.2">
      <c r="B13" s="135"/>
      <c r="C13" s="148" t="s">
        <v>11</v>
      </c>
      <c r="D13" s="127" t="str">
        <f>PROPER(Currency)&amp;"ibor"</f>
        <v>Sekibor</v>
      </c>
      <c r="E13" s="136"/>
    </row>
    <row r="14" spans="2:5" s="1" customFormat="1" ht="11.25" x14ac:dyDescent="0.2">
      <c r="B14" s="135"/>
      <c r="C14" s="148" t="s">
        <v>13</v>
      </c>
      <c r="D14" s="127" t="s">
        <v>21</v>
      </c>
      <c r="E14" s="136"/>
    </row>
    <row r="15" spans="2:5" s="1" customFormat="1" ht="11.25" x14ac:dyDescent="0.2">
      <c r="B15" s="135"/>
      <c r="C15" s="148" t="s">
        <v>9</v>
      </c>
      <c r="D15" s="128">
        <f>_xll.qlInterestRateIndexFixingDays(IborIndexFamily&amp;MainTenor,Trigger)</f>
        <v>2</v>
      </c>
      <c r="E15" s="136"/>
    </row>
    <row r="16" spans="2:5" s="1" customFormat="1" ht="11.25" x14ac:dyDescent="0.2">
      <c r="B16" s="135"/>
      <c r="C16" s="148" t="s">
        <v>64</v>
      </c>
      <c r="D16" s="128" t="s">
        <v>78</v>
      </c>
      <c r="E16" s="136"/>
    </row>
    <row r="17" spans="2:5" s="1" customFormat="1" ht="11.25" x14ac:dyDescent="0.2">
      <c r="B17" s="135"/>
      <c r="C17" s="148" t="s">
        <v>65</v>
      </c>
      <c r="D17" s="128" t="s">
        <v>78</v>
      </c>
      <c r="E17" s="136"/>
    </row>
    <row r="18" spans="2:5" s="1" customFormat="1" ht="11.25" x14ac:dyDescent="0.2">
      <c r="B18" s="135"/>
      <c r="C18" s="148" t="s">
        <v>63</v>
      </c>
      <c r="D18" s="127" t="b">
        <f>_xll.qlCalendarIsHoliday(LocalCalendar,_xll.qlCalendarAdvance(LiborCalendar,EvaluationDate,SettlementDays&amp;"D","f",FALSE,Trigger))</f>
        <v>0</v>
      </c>
      <c r="E18" s="136"/>
    </row>
    <row r="19" spans="2:5" s="1" customFormat="1" ht="11.25" x14ac:dyDescent="0.2">
      <c r="B19" s="135"/>
      <c r="C19" s="148" t="s">
        <v>7</v>
      </c>
      <c r="D19" s="127" t="str">
        <f>IF(D18,LocalCalendar,LiborCalendar)</f>
        <v>Sweden</v>
      </c>
      <c r="E19" s="136"/>
    </row>
    <row r="20" spans="2:5" s="1" customFormat="1" ht="11.25" x14ac:dyDescent="0.2">
      <c r="B20" s="135"/>
      <c r="C20" s="149" t="s">
        <v>10</v>
      </c>
      <c r="D20" s="129">
        <f>_xll.qlCalendarAdvance(Calendar,EvaluationDate,SettlementDays&amp;"d","following",FALSE)</f>
        <v>42142</v>
      </c>
      <c r="E20" s="136"/>
    </row>
    <row r="21" spans="2:5" s="1" customFormat="1" ht="11.25" x14ac:dyDescent="0.2">
      <c r="B21" s="135"/>
      <c r="C21" s="150" t="s">
        <v>49</v>
      </c>
      <c r="D21" s="130" t="s">
        <v>50</v>
      </c>
      <c r="E21" s="136"/>
    </row>
    <row r="22" spans="2:5" s="1" customFormat="1" ht="11.25" x14ac:dyDescent="0.2">
      <c r="B22" s="137"/>
      <c r="C22" s="138"/>
      <c r="D22" s="138"/>
      <c r="E22" s="139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0" style="1" bestFit="1" customWidth="1"/>
    <col min="11" max="12" width="8" style="1" bestFit="1" customWidth="1"/>
    <col min="13" max="13" width="11" style="1" bestFit="1" customWidth="1"/>
    <col min="14" max="15" width="8" style="1" bestFit="1" customWidth="1"/>
    <col min="16" max="16" width="10" style="1" customWidth="1"/>
    <col min="17" max="18" width="8" style="1" bestFit="1" customWidth="1"/>
    <col min="19" max="19" width="10" style="1" customWidth="1"/>
    <col min="20" max="21" width="9" style="1" bestFit="1" customWidth="1"/>
    <col min="22" max="22" width="10" style="1" customWidth="1"/>
    <col min="23" max="24" width="8" style="1" bestFit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0" t="s">
        <v>8</v>
      </c>
      <c r="D1" s="122" t="s">
        <v>80</v>
      </c>
      <c r="E1" s="121" t="s">
        <v>81</v>
      </c>
      <c r="F1" s="121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0" t="s">
        <v>71</v>
      </c>
      <c r="D4" s="180"/>
      <c r="E4" s="180"/>
      <c r="F4" s="181"/>
      <c r="G4" s="181"/>
      <c r="H4" s="1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0" t="s">
        <v>82</v>
      </c>
      <c r="AA4" s="181"/>
      <c r="AB4" s="181"/>
      <c r="AC4" s="181"/>
      <c r="AD4" s="181"/>
      <c r="AE4" s="181"/>
      <c r="AF4" s="181"/>
      <c r="AG4" s="181"/>
      <c r="AH4" s="181"/>
      <c r="AI4" s="182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0" t="str">
        <f>D5</f>
        <v>STD</v>
      </c>
      <c r="AA5" s="182"/>
      <c r="AB5" s="180" t="str">
        <f>E5</f>
        <v>OIS</v>
      </c>
      <c r="AC5" s="182"/>
      <c r="AD5" s="180" t="str">
        <f>F5</f>
        <v>1M</v>
      </c>
      <c r="AE5" s="182"/>
      <c r="AF5" s="180" t="str">
        <f>G5</f>
        <v>3M</v>
      </c>
      <c r="AG5" s="182"/>
      <c r="AH5" s="180" t="str">
        <f>H5</f>
        <v>6M</v>
      </c>
      <c r="AI5" s="182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8"/>
      <c r="G6" s="15"/>
      <c r="H6" s="117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-0.29230609923130274</v>
      </c>
      <c r="O6" s="9">
        <f t="shared" ref="O6:O7" si="1">N6</f>
        <v>-0.29230609923130274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>
        <f>ABS(_xll.RtGet(SourceAlias,$M6,BID)-N6)</f>
        <v>2.3130269921622926E-10</v>
      </c>
      <c r="AC6" s="9">
        <f>ABS(_xll.RtGet(SourceAlias,$M6,ASK)-O6)</f>
        <v>2.3130269921622926E-10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1"/>
      <c r="G7" s="17"/>
      <c r="H7" s="172"/>
      <c r="I7" s="1"/>
      <c r="J7" s="12"/>
      <c r="K7" s="13"/>
      <c r="L7" s="13"/>
      <c r="M7" s="12" t="str">
        <f t="shared" si="0"/>
        <v>SEKONTND=</v>
      </c>
      <c r="N7" s="13">
        <f>'ON Pricing'!H7*100</f>
        <v>-0.292407407227042</v>
      </c>
      <c r="O7" s="13">
        <f t="shared" si="1"/>
        <v>-0.292407407227042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>
        <f>ABS(_xll.RtGet(SourceAlias,$M7,BID)-N7)</f>
        <v>2.2704199631462529E-10</v>
      </c>
      <c r="AC7" s="13">
        <f>ABS(_xll.RtGet(SourceAlias,$M7,ASK)-O7)</f>
        <v>2.2704199631462529E-10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19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>
        <f>'1M Pricing'!H8*100</f>
        <v>-0.25932528321526149</v>
      </c>
      <c r="R8" s="90">
        <f t="shared" ref="R8" si="3">Q8</f>
        <v>-0.25932528321526149</v>
      </c>
      <c r="S8" s="10" t="str">
        <f t="shared" ref="S8:S14" si="4">Currency&amp;$S$4&amp;C8&amp;"D="</f>
        <v>SEK3MSND=</v>
      </c>
      <c r="T8" s="11">
        <f>'3M Pricing'!H8*100</f>
        <v>-0.15607385499194493</v>
      </c>
      <c r="U8" s="11">
        <f t="shared" ref="U8" si="5">T8</f>
        <v>-0.15607385499194493</v>
      </c>
      <c r="V8" s="10" t="str">
        <f t="shared" ref="V8:V17" si="6">Currency&amp;$V$4&amp;C8&amp;"D="</f>
        <v>SEK6MSND=</v>
      </c>
      <c r="W8" s="11">
        <f>'6M Pricing'!H8*100</f>
        <v>-9.5422892267826853E-2</v>
      </c>
      <c r="X8" s="11">
        <f t="shared" ref="X8" si="7">W8</f>
        <v>-9.5422892267826853E-2</v>
      </c>
      <c r="Y8" s="67" t="s">
        <v>56</v>
      </c>
      <c r="Z8" s="11"/>
      <c r="AA8" s="11"/>
      <c r="AB8" s="11"/>
      <c r="AC8" s="11"/>
      <c r="AD8" s="91">
        <f>ABS(_xll.RtGet(SourceAlias,$P8,BID)-Q8)</f>
        <v>2.1526147531147899E-10</v>
      </c>
      <c r="AE8" s="91">
        <f>ABS(_xll.RtGet(SourceAlias,$P8,ASK)-R8)</f>
        <v>2.1526147531147899E-10</v>
      </c>
      <c r="AF8" s="11">
        <f>ABS(_xll.RtGet(SourceAlias,$S8,BID)-T8)</f>
        <v>8.0550843772897451E-12</v>
      </c>
      <c r="AG8" s="11">
        <f>ABS(_xll.RtGet(SourceAlias,$S8,ASK)-U8)</f>
        <v>8.0550843772897451E-12</v>
      </c>
      <c r="AH8" s="11">
        <f>ABS(_xll.RtGet(SourceAlias,$V8,BID)-W8)</f>
        <v>2.6782684403592327E-10</v>
      </c>
      <c r="AI8" s="11">
        <f>ABS(_xll.RtGet(SourceAlias,$V8,ASK)-X8)</f>
        <v>2.6782684403592327E-10</v>
      </c>
      <c r="AJ8" s="33"/>
    </row>
    <row r="9" spans="3:36" ht="11.25" customHeight="1" x14ac:dyDescent="0.2">
      <c r="C9" s="16" t="s">
        <v>16</v>
      </c>
      <c r="D9" s="16"/>
      <c r="E9" s="16"/>
      <c r="F9" s="119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>
        <f>'1M Pricing'!H9*100</f>
        <v>-0.25969999999986282</v>
      </c>
      <c r="R9" s="90">
        <f t="shared" ref="R9:R12" si="8">Q9</f>
        <v>-0.25969999999986282</v>
      </c>
      <c r="S9" s="10" t="str">
        <f t="shared" si="4"/>
        <v>SEK3MSWD=</v>
      </c>
      <c r="T9" s="11">
        <f>'3M Pricing'!H9*100</f>
        <v>-0.15650047506771125</v>
      </c>
      <c r="U9" s="11">
        <f t="shared" ref="U9:U14" si="9">T9</f>
        <v>-0.15650047506771125</v>
      </c>
      <c r="V9" s="10" t="str">
        <f t="shared" si="6"/>
        <v>SEK6MSWD=</v>
      </c>
      <c r="W9" s="11">
        <f>'6M Pricing'!H9*100</f>
        <v>-9.572264759288851E-2</v>
      </c>
      <c r="X9" s="11">
        <f t="shared" ref="X9:X17" si="10">W9</f>
        <v>-9.572264759288851E-2</v>
      </c>
      <c r="Y9" s="67" t="s">
        <v>56</v>
      </c>
      <c r="Z9" s="11"/>
      <c r="AA9" s="11"/>
      <c r="AB9" s="11"/>
      <c r="AC9" s="11"/>
      <c r="AD9" s="91">
        <f>ABS(_xll.RtGet(SourceAlias,$P9,BID)-Q9)</f>
        <v>1.3716805469243809E-13</v>
      </c>
      <c r="AE9" s="91">
        <f>ABS(_xll.RtGet(SourceAlias,$P9,ASK)-R9)</f>
        <v>1.3716805469243809E-13</v>
      </c>
      <c r="AF9" s="11">
        <f>ABS(_xll.RtGet(SourceAlias,$S9,BID)-T9)</f>
        <v>6.7711253270985594E-11</v>
      </c>
      <c r="AG9" s="11">
        <f>ABS(_xll.RtGet(SourceAlias,$S9,ASK)-U9)</f>
        <v>6.7711253270985594E-11</v>
      </c>
      <c r="AH9" s="11">
        <f>ABS(_xll.RtGet(SourceAlias,$V9,BID)-W9)</f>
        <v>4.071114972914458E-10</v>
      </c>
      <c r="AI9" s="11">
        <f>ABS(_xll.RtGet(SourceAlias,$V9,ASK)-X9)</f>
        <v>4.071114972914458E-10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19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>
        <f>'1M Pricing'!H10*100</f>
        <v>-0.26040000000025565</v>
      </c>
      <c r="R10" s="90">
        <f t="shared" si="8"/>
        <v>-0.26040000000025565</v>
      </c>
      <c r="S10" s="10" t="str">
        <f t="shared" si="4"/>
        <v>SEK3M2WD=</v>
      </c>
      <c r="T10" s="11">
        <f>'3M Pricing'!H10*100</f>
        <v>-0.15739724300911639</v>
      </c>
      <c r="U10" s="11">
        <f t="shared" si="9"/>
        <v>-0.15739724300911639</v>
      </c>
      <c r="V10" s="10" t="str">
        <f t="shared" si="6"/>
        <v>SEK6M2WD=</v>
      </c>
      <c r="W10" s="11">
        <f>'6M Pricing'!H10*100</f>
        <v>-9.635178746858486E-2</v>
      </c>
      <c r="X10" s="11">
        <f t="shared" si="10"/>
        <v>-9.635178746858486E-2</v>
      </c>
      <c r="Y10" s="67" t="s">
        <v>56</v>
      </c>
      <c r="Z10" s="11"/>
      <c r="AA10" s="11"/>
      <c r="AB10" s="11"/>
      <c r="AC10" s="11"/>
      <c r="AD10" s="91">
        <f>ABS(_xll.RtGet(SourceAlias,$P10,BID)-Q10)</f>
        <v>2.5562885141994229E-13</v>
      </c>
      <c r="AE10" s="91">
        <f>ABS(_xll.RtGet(SourceAlias,$P10,ASK)-R10)</f>
        <v>2.5562885141994229E-13</v>
      </c>
      <c r="AF10" s="11">
        <f>ABS(_xll.RtGet(SourceAlias,$S10,BID)-T10)</f>
        <v>9.1163743221045479E-12</v>
      </c>
      <c r="AG10" s="11">
        <f>ABS(_xll.RtGet(SourceAlias,$S10,ASK)-U10)</f>
        <v>9.1163743221045479E-12</v>
      </c>
      <c r="AH10" s="11">
        <f>ABS(_xll.RtGet(SourceAlias,$V10,BID)-W10)</f>
        <v>4.6858485147627249E-10</v>
      </c>
      <c r="AI10" s="11">
        <f>ABS(_xll.RtGet(SourceAlias,$V10,ASK)-X10)</f>
        <v>4.6858485147627249E-10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19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>
        <f>'1M Pricing'!H11*100</f>
        <v>-0.26149999999981943</v>
      </c>
      <c r="R11" s="90">
        <f t="shared" si="8"/>
        <v>-0.26149999999981943</v>
      </c>
      <c r="S11" s="10" t="str">
        <f t="shared" si="4"/>
        <v>SEK3M3WD=</v>
      </c>
      <c r="T11" s="11">
        <f>'3M Pricing'!H11*100</f>
        <v>-0.15906302619184132</v>
      </c>
      <c r="U11" s="11">
        <f t="shared" si="9"/>
        <v>-0.15906302619184132</v>
      </c>
      <c r="V11" s="10" t="str">
        <f t="shared" si="6"/>
        <v>SEK6M3WD=</v>
      </c>
      <c r="W11" s="11">
        <f>'6M Pricing'!H11*100</f>
        <v>-9.7520001409406074E-2</v>
      </c>
      <c r="X11" s="11">
        <f t="shared" si="10"/>
        <v>-9.7520001409406074E-2</v>
      </c>
      <c r="Y11" s="67" t="s">
        <v>56</v>
      </c>
      <c r="Z11" s="11"/>
      <c r="AA11" s="11"/>
      <c r="AB11" s="11"/>
      <c r="AC11" s="11"/>
      <c r="AD11" s="91">
        <f>ABS(_xll.RtGet(SourceAlias,$P11,BID)-Q11)</f>
        <v>1.8057777495528171E-13</v>
      </c>
      <c r="AE11" s="91">
        <f>ABS(_xll.RtGet(SourceAlias,$P11,ASK)-R11)</f>
        <v>1.8057777495528171E-13</v>
      </c>
      <c r="AF11" s="11">
        <f>ABS(_xll.RtGet(SourceAlias,$S11,BID)-T11)</f>
        <v>1.9184132060701131E-10</v>
      </c>
      <c r="AG11" s="11">
        <f>ABS(_xll.RtGet(SourceAlias,$S11,ASK)-U11)</f>
        <v>1.9184132060701131E-10</v>
      </c>
      <c r="AH11" s="11">
        <f>ABS(_xll.RtGet(SourceAlias,$V11,BID)-W11)</f>
        <v>4.0940606460537765E-10</v>
      </c>
      <c r="AI11" s="11">
        <f>ABS(_xll.RtGet(SourceAlias,$V11,ASK)-X11)</f>
        <v>4.0940606460537765E-10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19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-0.29700000068499932</v>
      </c>
      <c r="O12" s="11">
        <f t="shared" ref="O12" si="11">N12</f>
        <v>-0.29700000068499932</v>
      </c>
      <c r="P12" s="89" t="str">
        <f t="shared" si="2"/>
        <v>SEK1M1MD=</v>
      </c>
      <c r="Q12" s="90">
        <f>'1M Pricing'!H12*100</f>
        <v>-0.2639999999989962</v>
      </c>
      <c r="R12" s="90">
        <f t="shared" si="8"/>
        <v>-0.2639999999989962</v>
      </c>
      <c r="S12" s="10" t="str">
        <f t="shared" si="4"/>
        <v>SEK3M1MD=</v>
      </c>
      <c r="T12" s="11">
        <f>'3M Pricing'!H12*100</f>
        <v>-0.16260000047622322</v>
      </c>
      <c r="U12" s="11">
        <f t="shared" si="9"/>
        <v>-0.16260000047622322</v>
      </c>
      <c r="V12" s="10" t="str">
        <f t="shared" si="6"/>
        <v>SEK6M1MD=</v>
      </c>
      <c r="W12" s="11">
        <f>'6M Pricing'!H12*100</f>
        <v>-0.10000000000091298</v>
      </c>
      <c r="X12" s="11">
        <f t="shared" si="10"/>
        <v>-0.10000000000091298</v>
      </c>
      <c r="Y12" s="67" t="s">
        <v>56</v>
      </c>
      <c r="Z12" s="11"/>
      <c r="AA12" s="11"/>
      <c r="AB12" s="11">
        <f>ABS(_xll.RtGet(SourceAlias,$M12,BID)-N12)</f>
        <v>3.1500069219703164E-10</v>
      </c>
      <c r="AC12" s="11">
        <f>ABS(_xll.RtGet(SourceAlias,$M12,ASK)-O12)</f>
        <v>3.1500069219703164E-10</v>
      </c>
      <c r="AD12" s="91">
        <f>ABS(_xll.RtGet(SourceAlias,$P12,BID)-Q12)</f>
        <v>1.0038081477148353E-12</v>
      </c>
      <c r="AE12" s="91">
        <f>ABS(_xll.RtGet(SourceAlias,$P12,ASK)-R12)</f>
        <v>1.0038081477148353E-12</v>
      </c>
      <c r="AF12" s="11">
        <f>ABS(_xll.RtGet(SourceAlias,$S12,BID)-T12)</f>
        <v>4.7622322751905699E-10</v>
      </c>
      <c r="AG12" s="11">
        <f>ABS(_xll.RtGet(SourceAlias,$S12,ASK)-U12)</f>
        <v>4.7622322751905699E-10</v>
      </c>
      <c r="AH12" s="11">
        <f>ABS(_xll.RtGet(SourceAlias,$V12,BID)-W12)</f>
        <v>9.1297802651268967E-13</v>
      </c>
      <c r="AI12" s="11">
        <f>ABS(_xll.RtGet(SourceAlias,$V12,ASK)-X12)</f>
        <v>9.1297802651268967E-13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19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-0.31300000015984814</v>
      </c>
      <c r="O13" s="11">
        <f t="shared" ref="O13:O39" si="12">N13</f>
        <v>-0.31300000015984814</v>
      </c>
      <c r="P13" s="89"/>
      <c r="Q13" s="90"/>
      <c r="R13" s="90"/>
      <c r="S13" s="10" t="str">
        <f t="shared" si="4"/>
        <v>SEK3M2MD=</v>
      </c>
      <c r="T13" s="11">
        <f>'3M Pricing'!H13*100</f>
        <v>-0.18340000012966637</v>
      </c>
      <c r="U13" s="11">
        <f t="shared" si="9"/>
        <v>-0.18340000012966637</v>
      </c>
      <c r="V13" s="10" t="str">
        <f t="shared" si="6"/>
        <v>SEK6M2MD=</v>
      </c>
      <c r="W13" s="11">
        <f>'6M Pricing'!H13*100</f>
        <v>-0.11600000000162275</v>
      </c>
      <c r="X13" s="11">
        <f t="shared" si="10"/>
        <v>-0.11600000000162275</v>
      </c>
      <c r="Y13" s="67" t="s">
        <v>56</v>
      </c>
      <c r="Z13" s="11"/>
      <c r="AA13" s="11"/>
      <c r="AB13" s="11">
        <f>ABS(_xll.RtGet(SourceAlias,$M13,BID)-N13)</f>
        <v>1.5984813472869064E-10</v>
      </c>
      <c r="AC13" s="11">
        <f>ABS(_xll.RtGet(SourceAlias,$M13,ASK)-O13)</f>
        <v>1.5984813472869064E-10</v>
      </c>
      <c r="AD13" s="91"/>
      <c r="AE13" s="91"/>
      <c r="AF13" s="11">
        <f>ABS(_xll.RtGet(SourceAlias,$S13,BID)-T13)</f>
        <v>1.2966636098177275E-10</v>
      </c>
      <c r="AG13" s="11">
        <f>ABS(_xll.RtGet(SourceAlias,$S13,ASK)-U13)</f>
        <v>1.2966636098177275E-10</v>
      </c>
      <c r="AH13" s="11">
        <f>ABS(_xll.RtGet(SourceAlias,$V13,BID)-W13)</f>
        <v>1.6227436061555522E-12</v>
      </c>
      <c r="AI13" s="11">
        <f>ABS(_xll.RtGet(SourceAlias,$V13,ASK)-X13)</f>
        <v>1.6227436061555522E-12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19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-0.33400000000004204</v>
      </c>
      <c r="O14" s="11">
        <f t="shared" si="12"/>
        <v>-0.33400000000004204</v>
      </c>
      <c r="P14" s="92"/>
      <c r="Q14" s="93"/>
      <c r="R14" s="93"/>
      <c r="S14" s="10" t="str">
        <f t="shared" si="4"/>
        <v>SEK3M3MD=</v>
      </c>
      <c r="T14" s="11">
        <f>'3M Pricing'!H14*100</f>
        <v>-0.20799999999998117</v>
      </c>
      <c r="U14" s="11">
        <f t="shared" si="9"/>
        <v>-0.20799999999998117</v>
      </c>
      <c r="V14" s="10" t="str">
        <f t="shared" si="6"/>
        <v>SEK6M3MD=</v>
      </c>
      <c r="W14" s="11">
        <f>'6M Pricing'!H14*100</f>
        <v>-0.13700000000210524</v>
      </c>
      <c r="X14" s="11">
        <f t="shared" si="10"/>
        <v>-0.13700000000210524</v>
      </c>
      <c r="Y14" s="67" t="s">
        <v>56</v>
      </c>
      <c r="Z14" s="11"/>
      <c r="AA14" s="11"/>
      <c r="AB14" s="11">
        <f>ABS(_xll.RtGet(SourceAlias,$M14,BID)-N14)</f>
        <v>4.2021941482062175E-14</v>
      </c>
      <c r="AC14" s="11">
        <f>ABS(_xll.RtGet(SourceAlias,$M14,ASK)-O14)</f>
        <v>4.2021941482062175E-14</v>
      </c>
      <c r="AD14" s="94"/>
      <c r="AE14" s="94"/>
      <c r="AF14" s="11">
        <f>ABS(_xll.RtGet(SourceAlias,$S14,BID)-T14)</f>
        <v>1.8846035843012032E-14</v>
      </c>
      <c r="AG14" s="11">
        <f>ABS(_xll.RtGet(SourceAlias,$S14,ASK)-U14)</f>
        <v>1.8846035843012032E-14</v>
      </c>
      <c r="AH14" s="11">
        <f>ABS(_xll.RtGet(SourceAlias,$V14,BID)-W14)</f>
        <v>2.1052326548698375E-12</v>
      </c>
      <c r="AI14" s="11">
        <f>ABS(_xll.RtGet(SourceAlias,$V14,ASK)-X14)</f>
        <v>2.1052326548698375E-12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19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-0.34400000000002456</v>
      </c>
      <c r="O15" s="11">
        <f t="shared" si="12"/>
        <v>-0.34400000000002456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>
        <f>'6M Pricing'!H15*100</f>
        <v>-0.14700000000303293</v>
      </c>
      <c r="X15" s="11">
        <f t="shared" si="10"/>
        <v>-0.14700000000303293</v>
      </c>
      <c r="Y15" s="67" t="s">
        <v>56</v>
      </c>
      <c r="Z15" s="11"/>
      <c r="AA15" s="11"/>
      <c r="AB15" s="11">
        <f>ABS(_xll.RtGet(SourceAlias,$M15,BID)-N15)</f>
        <v>2.453592884421596E-14</v>
      </c>
      <c r="AC15" s="11">
        <f>ABS(_xll.RtGet(SourceAlias,$M15,ASK)-O15)</f>
        <v>2.453592884421596E-14</v>
      </c>
      <c r="AD15" s="91"/>
      <c r="AE15" s="91"/>
      <c r="AF15" s="71"/>
      <c r="AG15" s="71"/>
      <c r="AH15" s="11">
        <f>ABS(_xll.RtGet(SourceAlias,$V15,BID)-W15)</f>
        <v>3.0329350142466183E-12</v>
      </c>
      <c r="AI15" s="11">
        <f>ABS(_xll.RtGet(SourceAlias,$V15,ASK)-X15)</f>
        <v>3.0329350142466183E-12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19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-0.34600000000000358</v>
      </c>
      <c r="O16" s="11">
        <f t="shared" si="12"/>
        <v>-0.34600000000000358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>
        <f>'6M Pricing'!H16*100</f>
        <v>-0.14899999999999511</v>
      </c>
      <c r="X16" s="11">
        <f t="shared" si="10"/>
        <v>-0.14899999999999511</v>
      </c>
      <c r="Y16" s="67" t="s">
        <v>56</v>
      </c>
      <c r="Z16" s="11"/>
      <c r="AA16" s="11"/>
      <c r="AB16" s="11">
        <f>ABS(_xll.RtGet(SourceAlias,$M16,BID)-N16)</f>
        <v>3.5527136788005009E-15</v>
      </c>
      <c r="AC16" s="11">
        <f>ABS(_xll.RtGet(SourceAlias,$M16,ASK)-O16)</f>
        <v>3.5527136788005009E-15</v>
      </c>
      <c r="AD16" s="91"/>
      <c r="AE16" s="91"/>
      <c r="AF16" s="71"/>
      <c r="AG16" s="71"/>
      <c r="AH16" s="11">
        <f>ABS(_xll.RtGet(SourceAlias,$V16,BID)-W16)</f>
        <v>4.8849813083506888E-15</v>
      </c>
      <c r="AI16" s="11">
        <f>ABS(_xll.RtGet(SourceAlias,$V16,ASK)-X16)</f>
        <v>4.8849813083506888E-15</v>
      </c>
      <c r="AJ16" s="33" t="s">
        <v>56</v>
      </c>
    </row>
    <row r="17" spans="1:36" ht="11.25" customHeight="1" x14ac:dyDescent="0.2">
      <c r="B17" s="85"/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19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-0.35199999999999487</v>
      </c>
      <c r="O17" s="11">
        <f t="shared" si="12"/>
        <v>-0.35199999999999487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>
        <f>'6M Pricing'!H17*100</f>
        <v>-0.15499999999999453</v>
      </c>
      <c r="X17" s="11">
        <f t="shared" si="10"/>
        <v>-0.15499999999999453</v>
      </c>
      <c r="Y17" s="67" t="s">
        <v>56</v>
      </c>
      <c r="Z17" s="11"/>
      <c r="AA17" s="11"/>
      <c r="AB17" s="11">
        <f>ABS(_xll.RtGet(SourceAlias,$M17,BID)-N17)</f>
        <v>5.1070259132757201E-15</v>
      </c>
      <c r="AC17" s="11">
        <f>ABS(_xll.RtGet(SourceAlias,$M17,ASK)-O17)</f>
        <v>5.1070259132757201E-15</v>
      </c>
      <c r="AD17" s="94"/>
      <c r="AE17" s="94"/>
      <c r="AF17" s="71"/>
      <c r="AG17" s="71"/>
      <c r="AH17" s="11">
        <f>ABS(_xll.RtGet(SourceAlias,$V17,BID)-W17)</f>
        <v>5.467848396278896E-15</v>
      </c>
      <c r="AI17" s="11">
        <f>ABS(_xll.RtGet(SourceAlias,$V17,ASK)-X17)</f>
        <v>5.467848396278896E-15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19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-0.3530000000000042</v>
      </c>
      <c r="O18" s="11">
        <f t="shared" si="12"/>
        <v>-0.3530000000000042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>
        <f>ABS(_xll.RtGet(SourceAlias,$M18,BID)-N18)</f>
        <v>4.2188474935755949E-15</v>
      </c>
      <c r="AC18" s="11">
        <f>ABS(_xll.RtGet(SourceAlias,$M18,ASK)-O18)</f>
        <v>4.2188474935755949E-15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4">_xll.qlIMMNextDates(_xll.qlSettingsEvaluationDate(Trigger)+6,A19:A24)</f>
        <v>42172</v>
      </c>
      <c r="C19" s="65" t="str">
        <f>_xll.qlIMMcode(B19,Trigger)</f>
        <v>M5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SEK3MM5</v>
      </c>
      <c r="T19" s="9">
        <f>'3M Pricing'!H19</f>
        <v>100.23999999994962</v>
      </c>
      <c r="U19" s="9">
        <f t="shared" ref="U19:U24" si="14">T19</f>
        <v>100.23999999994962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>
        <f>ABS(_xll.RtGet(SourceAlias,$S19,BID)-T19)</f>
        <v>5.0391690820106305E-11</v>
      </c>
      <c r="AG19" s="9">
        <f>ABS(_xll.RtGet(SourceAlias,$S19,ASK)-U19)</f>
        <v>5.0391690820106305E-11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42263</v>
      </c>
      <c r="C20" s="66" t="str">
        <f>_xll.qlIMMcode(B20,Trigger)</f>
        <v>U5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SEK3MU5</v>
      </c>
      <c r="T20" s="11">
        <f>'3M Pricing'!H20</f>
        <v>100.26000000020865</v>
      </c>
      <c r="U20" s="11">
        <f t="shared" si="14"/>
        <v>100.26000000020865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>
        <f>ABS(_xll.RtGet(SourceAlias,$S20,BID)-T20)</f>
        <v>2.0864376892859582E-10</v>
      </c>
      <c r="AG20" s="11">
        <f>ABS(_xll.RtGet(SourceAlias,$S20,ASK)-U20)</f>
        <v>2.0864376892859582E-10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42354</v>
      </c>
      <c r="C21" s="66" t="str">
        <f>_xll.qlIMMcode(B21,Trigger)</f>
        <v>Z5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SEK3MZ5</v>
      </c>
      <c r="T21" s="11">
        <f>'3M Pricing'!H21</f>
        <v>100.25000000026682</v>
      </c>
      <c r="U21" s="11">
        <f t="shared" si="14"/>
        <v>100.25000000026682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>
        <f>ABS(_xll.RtGet(SourceAlias,$S21,BID)-T21)</f>
        <v>2.6682300813263282E-10</v>
      </c>
      <c r="AG21" s="11">
        <f>ABS(_xll.RtGet(SourceAlias,$S21,ASK)-U21)</f>
        <v>2.6682300813263282E-10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42445</v>
      </c>
      <c r="C22" s="66" t="str">
        <f>_xll.qlIMMcode(B22,Trigger)</f>
        <v>H6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SEK3MH6</v>
      </c>
      <c r="T22" s="11">
        <f>'3M Pricing'!H22</f>
        <v>100.21499999990198</v>
      </c>
      <c r="U22" s="11">
        <f t="shared" si="14"/>
        <v>100.21499999990198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>
        <f>ABS(_xll.RtGet(SourceAlias,$S22,BID)-T22)</f>
        <v>9.8026475825463422E-11</v>
      </c>
      <c r="AG22" s="11">
        <f>ABS(_xll.RtGet(SourceAlias,$S22,ASK)-U22)</f>
        <v>9.8026475825463422E-11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42536</v>
      </c>
      <c r="C23" s="66" t="str">
        <f>_xll.qlIMMcode(B23,Trigger)</f>
        <v>M6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SEK3MM6</v>
      </c>
      <c r="T23" s="11">
        <f>'3M Pricing'!H23</f>
        <v>100.1474999998748</v>
      </c>
      <c r="U23" s="11">
        <f t="shared" si="14"/>
        <v>100.1474999998748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>
        <f>ABS(_xll.RtGet(SourceAlias,$S23,BID)-T23)</f>
        <v>1.2521184089564485E-10</v>
      </c>
      <c r="AG23" s="11">
        <f>ABS(_xll.RtGet(SourceAlias,$S23,ASK)-U23)</f>
        <v>1.2521184089564485E-10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42634</v>
      </c>
      <c r="C24" s="110" t="str">
        <f>_xll.qlIMMcode(B24,Trigger)</f>
        <v>U6</v>
      </c>
      <c r="D24" s="76"/>
      <c r="E24" s="76" t="s">
        <v>56</v>
      </c>
      <c r="F24" s="109"/>
      <c r="G24" s="17" t="str">
        <f>IF(Contribute="abcd",_xll.RtContribute(SourceAlias,S24,Fields,T24:U24,"SCOPE:SERVER"),"stopped")</f>
        <v>stopped</v>
      </c>
      <c r="H24" s="82" t="s">
        <v>56</v>
      </c>
      <c r="I24" s="1"/>
      <c r="J24" s="115"/>
      <c r="K24" s="72"/>
      <c r="L24" s="72"/>
      <c r="M24" s="115"/>
      <c r="N24" s="72"/>
      <c r="O24" s="72"/>
      <c r="P24" s="95"/>
      <c r="Q24" s="96"/>
      <c r="R24" s="96"/>
      <c r="S24" s="12" t="str">
        <f t="shared" si="13"/>
        <v>SEK3MU6</v>
      </c>
      <c r="T24" s="13">
        <f>'3M Pricing'!H24</f>
        <v>100.05499999986229</v>
      </c>
      <c r="U24" s="13">
        <f t="shared" si="14"/>
        <v>100.05499999986229</v>
      </c>
      <c r="V24" s="72"/>
      <c r="W24" s="72"/>
      <c r="X24" s="72"/>
      <c r="Y24" s="67" t="s">
        <v>56</v>
      </c>
      <c r="Z24" s="73"/>
      <c r="AA24" s="76"/>
      <c r="AB24" s="73"/>
      <c r="AC24" s="76"/>
      <c r="AD24" s="101"/>
      <c r="AE24" s="101"/>
      <c r="AF24" s="13">
        <f>ABS(_xll.RtGet(SourceAlias,$S24,BID)-T24)</f>
        <v>1.3771739304502262E-10</v>
      </c>
      <c r="AG24" s="13">
        <f>ABS(_xll.RtGet(SourceAlias,$S24,ASK)-U24)</f>
        <v>1.3771739304502262E-10</v>
      </c>
      <c r="AH24" s="73"/>
      <c r="AI24" s="73"/>
      <c r="AJ24" s="33" t="s">
        <v>56</v>
      </c>
    </row>
    <row r="25" spans="1:36" ht="11.25" customHeight="1" x14ac:dyDescent="0.2">
      <c r="C25" s="65" t="s">
        <v>25</v>
      </c>
      <c r="D25" s="16" t="str">
        <f t="array" ref="D25:D39">G25:G39</f>
        <v>stopped</v>
      </c>
      <c r="E25" s="15" t="str">
        <f>IF(Contribute="abcd",_xll.RtContribute(SourceAlias,M25,Fields,N25:O25,"SCOPE:SERVER"),"stopped")</f>
        <v>stopped</v>
      </c>
      <c r="F25" s="118" t="str">
        <f>IF(Contribute="abcd",_xll.RtContribute(SourceAlias,P25,Fields,Q25:R25,"SCOPE:SERVER"),"stopped")</f>
        <v>stopped</v>
      </c>
      <c r="G25" s="16" t="str">
        <f>IF(Contribute="abcd",_xll.RtContribute(SourceAlias,S25,Fields,T25:U25,"SCOPE:SERVER"),"stopped")</f>
        <v>stopped</v>
      </c>
      <c r="H25" s="117" t="str">
        <f>IF(Contribute="abcd",_xll.RtContribute(SourceAlias,V25,Fields,W25:X25,"SCOPE:SERVER"),"stopped")</f>
        <v>stopped</v>
      </c>
      <c r="I25" s="1"/>
      <c r="J25" s="8" t="str">
        <f t="array" ref="J25:L39">S25:U39</f>
        <v>SEK3M1Y=</v>
      </c>
      <c r="K25" s="9">
        <v>-0.24189536157916752</v>
      </c>
      <c r="L25" s="9">
        <v>-0.24189536157916752</v>
      </c>
      <c r="M25" s="8" t="str">
        <f t="shared" ref="M25:M39" si="15">Currency&amp;"ON"&amp;C25&amp;"D="</f>
        <v>SEKON1YD=</v>
      </c>
      <c r="N25" s="9">
        <f>'ON Pricing'!H25*100</f>
        <v>-0.35199999999998438</v>
      </c>
      <c r="O25" s="9">
        <f>N25</f>
        <v>-0.35199999999998438</v>
      </c>
      <c r="P25" s="98" t="str">
        <f t="shared" ref="P25:P39" si="16">Currency&amp;$P$4&amp;C25&amp;"="</f>
        <v>SEK1M1Y=</v>
      </c>
      <c r="Q25" s="90">
        <f>'1M Pricing'!H25*100</f>
        <v>-0.32109715324591509</v>
      </c>
      <c r="R25" s="90">
        <f t="shared" ref="R25" si="17">Q25</f>
        <v>-0.32109715324591509</v>
      </c>
      <c r="S25" s="10" t="str">
        <f t="shared" ref="S25:S39" si="18">Currency&amp;$S$4&amp;C25&amp;"="</f>
        <v>SEK3M1Y=</v>
      </c>
      <c r="T25" s="11">
        <f>'3M Pricing'!H25*100</f>
        <v>-0.24189536157916752</v>
      </c>
      <c r="U25" s="11">
        <f>T25</f>
        <v>-0.24189536157916752</v>
      </c>
      <c r="V25" s="8" t="str">
        <f t="shared" ref="V25:V39" si="19">Currency&amp;$V$4&amp;C25&amp;"="</f>
        <v>SEK6M1Y=</v>
      </c>
      <c r="W25" s="9">
        <f>'6M Pricing'!H25*100</f>
        <v>-0.15752471896158804</v>
      </c>
      <c r="X25" s="9">
        <f>W25</f>
        <v>-0.15752471896158804</v>
      </c>
      <c r="Y25" s="67"/>
      <c r="Z25" s="11">
        <f t="array" ref="Z25:AA39">AF25:AG39</f>
        <v>4.2083247997481976E-10</v>
      </c>
      <c r="AA25" s="11">
        <v>4.2083247997481976E-10</v>
      </c>
      <c r="AB25" s="11">
        <f>ABS(_xll.RtGet(SourceAlias,$M25,BID)-N25)</f>
        <v>1.5598633495983449E-14</v>
      </c>
      <c r="AC25" s="11">
        <f>ABS(_xll.RtGet(SourceAlias,$M25,ASK)-O25)</f>
        <v>1.5598633495983449E-14</v>
      </c>
      <c r="AD25" s="91">
        <f>ABS(_xll.RtGet(SourceAlias,$P25,BID)-Q25)</f>
        <v>2.4591506608828695E-10</v>
      </c>
      <c r="AE25" s="91">
        <f>ABS(_xll.RtGet(SourceAlias,$P25,ASK)-R25)</f>
        <v>2.4591506608828695E-10</v>
      </c>
      <c r="AF25" s="11">
        <f>ABS(_xll.RtGet(SourceAlias,$S25,BID)-T25)</f>
        <v>4.2083247997481976E-10</v>
      </c>
      <c r="AG25" s="11">
        <f>ABS(_xll.RtGet(SourceAlias,$S25,ASK)-U25)</f>
        <v>4.2083247997481976E-10</v>
      </c>
      <c r="AH25" s="11">
        <f>ABS(_xll.RtGet(SourceAlias,$V25,BID)-W25)</f>
        <v>3.8411968050766632E-11</v>
      </c>
      <c r="AI25" s="11">
        <f>ABS(_xll.RtGet(SourceAlias,$V25,ASK)-X25)</f>
        <v>3.8411968050766632E-11</v>
      </c>
      <c r="AJ25" s="33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IF(Contribute="abcd",_xll.RtContribute(SourceAlias,M26,Fields,N26:O26,"SCOPE:SERVER"),"stopped")</f>
        <v>stopped</v>
      </c>
      <c r="F26" s="105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6" t="str">
        <f>IF(Contribute="abcd",_xll.RtContribute(SourceAlias,V26,Fields,W26:X26,"SCOPE:SERVER"),"stopped")</f>
        <v>stopped</v>
      </c>
      <c r="I26" s="1"/>
      <c r="J26" s="10" t="str">
        <v>SEK3M2Y=</v>
      </c>
      <c r="K26" s="11">
        <v>-0.13249999999888071</v>
      </c>
      <c r="L26" s="11">
        <v>-0.13249999999888071</v>
      </c>
      <c r="M26" s="10" t="str">
        <f t="shared" si="15"/>
        <v>SEKON2YD=</v>
      </c>
      <c r="N26" s="11">
        <f>'ON Pricing'!H26*100</f>
        <v>-0.2474999999999962</v>
      </c>
      <c r="O26" s="11">
        <f t="shared" si="12"/>
        <v>-0.2474999999999962</v>
      </c>
      <c r="P26" s="89" t="str">
        <f t="shared" si="16"/>
        <v>SEK1M2Y=</v>
      </c>
      <c r="Q26" s="90">
        <f>'1M Pricing'!H26*100</f>
        <v>-0.22621880165685135</v>
      </c>
      <c r="R26" s="90">
        <f>Q26</f>
        <v>-0.22621880165685135</v>
      </c>
      <c r="S26" s="10" t="str">
        <f t="shared" si="18"/>
        <v>SEK3M2Y=</v>
      </c>
      <c r="T26" s="11">
        <f>'3M Pricing'!H26*100</f>
        <v>-0.13249999999888071</v>
      </c>
      <c r="U26" s="11">
        <f t="shared" ref="U26:U39" si="20">T26</f>
        <v>-0.13249999999888071</v>
      </c>
      <c r="V26" s="10" t="str">
        <f t="shared" si="19"/>
        <v>SEK6M2Y=</v>
      </c>
      <c r="W26" s="11">
        <f>'6M Pricing'!H26*100</f>
        <v>-3.967520260186265E-2</v>
      </c>
      <c r="X26" s="11">
        <f t="shared" ref="X26:X39" si="21">W26</f>
        <v>-3.967520260186265E-2</v>
      </c>
      <c r="Y26" s="67" t="s">
        <v>56</v>
      </c>
      <c r="Z26" s="11">
        <v>1.1192990978514672E-12</v>
      </c>
      <c r="AA26" s="11">
        <v>1.1192990978514672E-12</v>
      </c>
      <c r="AB26" s="11">
        <f>ABS(_xll.RtGet(SourceAlias,$M26,BID)-N26)</f>
        <v>3.8302694349567901E-15</v>
      </c>
      <c r="AC26" s="11">
        <f>ABS(_xll.RtGet(SourceAlias,$M26,ASK)-O26)</f>
        <v>3.8302694349567901E-15</v>
      </c>
      <c r="AD26" s="91">
        <f>ABS(_xll.RtGet(SourceAlias,$P26,BID)-Q26)</f>
        <v>3.4314867614071431E-10</v>
      </c>
      <c r="AE26" s="91">
        <f>ABS(_xll.RtGet(SourceAlias,$P26,ASK)-R26)</f>
        <v>3.4314867614071431E-10</v>
      </c>
      <c r="AF26" s="11">
        <f>ABS(_xll.RtGet(SourceAlias,$S26,BID)-T26)</f>
        <v>1.1192990978514672E-12</v>
      </c>
      <c r="AG26" s="11">
        <f>ABS(_xll.RtGet(SourceAlias,$S26,ASK)-U26)</f>
        <v>1.1192990978514672E-12</v>
      </c>
      <c r="AH26" s="11">
        <f>ABS(_xll.RtGet(SourceAlias,$V26,BID)-W26)</f>
        <v>3.9813734947768964E-10</v>
      </c>
      <c r="AI26" s="11">
        <f>ABS(_xll.RtGet(SourceAlias,$V26,ASK)-X26)</f>
        <v>3.9813734947768964E-10</v>
      </c>
      <c r="AJ26" s="33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SEK3M3Y=</v>
      </c>
      <c r="K27" s="11">
        <v>7.2500000001042744E-2</v>
      </c>
      <c r="L27" s="11">
        <v>7.2500000001042744E-2</v>
      </c>
      <c r="M27" s="10" t="str">
        <f t="shared" si="15"/>
        <v>SEKON3YD=</v>
      </c>
      <c r="N27" s="11">
        <f>'ON Pricing'!H27*100</f>
        <v>-6.0000000000002371E-2</v>
      </c>
      <c r="O27" s="11">
        <f t="shared" si="12"/>
        <v>-6.0000000000002371E-2</v>
      </c>
      <c r="P27" s="89" t="str">
        <f t="shared" si="16"/>
        <v>SEK1M3Y=</v>
      </c>
      <c r="Q27" s="90">
        <f>'1M Pricing'!H27*100</f>
        <v>-2.6947655926456319E-2</v>
      </c>
      <c r="R27" s="90">
        <f t="shared" ref="R27:R39" si="22">Q27</f>
        <v>-2.6947655926456319E-2</v>
      </c>
      <c r="S27" s="10" t="str">
        <f t="shared" si="18"/>
        <v>SEK3M3Y=</v>
      </c>
      <c r="T27" s="11">
        <f>'3M Pricing'!H27*100</f>
        <v>7.2500000001042744E-2</v>
      </c>
      <c r="U27" s="11">
        <f t="shared" si="20"/>
        <v>7.2500000001042744E-2</v>
      </c>
      <c r="V27" s="10" t="str">
        <f t="shared" si="19"/>
        <v>SEK6M3Y=</v>
      </c>
      <c r="W27" s="11">
        <f>'6M Pricing'!H27*100</f>
        <v>0.16799386825871751</v>
      </c>
      <c r="X27" s="11">
        <f t="shared" si="21"/>
        <v>0.16799386825871751</v>
      </c>
      <c r="Y27" s="67" t="s">
        <v>56</v>
      </c>
      <c r="Z27" s="11">
        <v>1.0427353425157548E-12</v>
      </c>
      <c r="AA27" s="11">
        <v>1.0427353425157548E-12</v>
      </c>
      <c r="AB27" s="11">
        <f>ABS(_xll.RtGet(SourceAlias,$M27,BID)-N27)</f>
        <v>2.3731017151362721E-15</v>
      </c>
      <c r="AC27" s="11">
        <f>ABS(_xll.RtGet(SourceAlias,$M27,ASK)-O27)</f>
        <v>2.3731017151362721E-15</v>
      </c>
      <c r="AD27" s="91">
        <f>ABS(_xll.RtGet(SourceAlias,$P27,BID)-Q27)</f>
        <v>7.3543681561316632E-11</v>
      </c>
      <c r="AE27" s="91">
        <f>ABS(_xll.RtGet(SourceAlias,$P27,ASK)-R27)</f>
        <v>7.3543681561316632E-11</v>
      </c>
      <c r="AF27" s="11">
        <f>ABS(_xll.RtGet(SourceAlias,$S27,BID)-T27)</f>
        <v>1.0427353425157548E-12</v>
      </c>
      <c r="AG27" s="11">
        <f>ABS(_xll.RtGet(SourceAlias,$S27,ASK)-U27)</f>
        <v>1.0427353425157548E-12</v>
      </c>
      <c r="AH27" s="11">
        <f>ABS(_xll.RtGet(SourceAlias,$V27,BID)-W27)</f>
        <v>2.5871749187444948E-10</v>
      </c>
      <c r="AI27" s="11">
        <f>ABS(_xll.RtGet(SourceAlias,$V27,ASK)-X27)</f>
        <v>2.5871749187444948E-10</v>
      </c>
      <c r="AJ27" s="33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SEK3M4Y=</v>
      </c>
      <c r="K28" s="11">
        <v>0.30000000000080751</v>
      </c>
      <c r="L28" s="11">
        <v>0.30000000000080751</v>
      </c>
      <c r="M28" s="10" t="str">
        <f t="shared" si="15"/>
        <v>SEKON4YD=</v>
      </c>
      <c r="N28" s="11">
        <f>'ON Pricing'!H28*100</f>
        <v>0.14999999999999744</v>
      </c>
      <c r="O28" s="11">
        <f t="shared" si="12"/>
        <v>0.14999999999999744</v>
      </c>
      <c r="P28" s="89" t="str">
        <f t="shared" si="16"/>
        <v>SEK1M4Y=</v>
      </c>
      <c r="Q28" s="90">
        <f>'1M Pricing'!H28*100</f>
        <v>0.19783409626271334</v>
      </c>
      <c r="R28" s="90">
        <f t="shared" si="22"/>
        <v>0.19783409626271334</v>
      </c>
      <c r="S28" s="10" t="str">
        <f t="shared" si="18"/>
        <v>SEK3M4Y=</v>
      </c>
      <c r="T28" s="11">
        <f>'3M Pricing'!H28*100</f>
        <v>0.30000000000080751</v>
      </c>
      <c r="U28" s="11">
        <f t="shared" si="20"/>
        <v>0.30000000000080751</v>
      </c>
      <c r="V28" s="10" t="str">
        <f t="shared" si="19"/>
        <v>SEK6M4Y=</v>
      </c>
      <c r="W28" s="11">
        <f>'6M Pricing'!H28*100</f>
        <v>0.39666822915645045</v>
      </c>
      <c r="X28" s="11">
        <f t="shared" si="21"/>
        <v>0.39666822915645045</v>
      </c>
      <c r="Y28" s="67" t="s">
        <v>56</v>
      </c>
      <c r="Z28" s="11">
        <v>8.0746520580987635E-13</v>
      </c>
      <c r="AA28" s="11">
        <v>8.0746520580987635E-13</v>
      </c>
      <c r="AB28" s="11">
        <f>ABS(_xll.RtGet(SourceAlias,$M28,BID)-N28)</f>
        <v>2.55351295663786E-15</v>
      </c>
      <c r="AC28" s="11">
        <f>ABS(_xll.RtGet(SourceAlias,$M28,ASK)-O28)</f>
        <v>2.55351295663786E-15</v>
      </c>
      <c r="AD28" s="91">
        <f>ABS(_xll.RtGet(SourceAlias,$P28,BID)-Q28)</f>
        <v>2.627133233179535E-10</v>
      </c>
      <c r="AE28" s="91">
        <f>ABS(_xll.RtGet(SourceAlias,$P28,ASK)-R28)</f>
        <v>2.627133233179535E-10</v>
      </c>
      <c r="AF28" s="11">
        <f>ABS(_xll.RtGet(SourceAlias,$S28,BID)-T28)</f>
        <v>8.0746520580987635E-13</v>
      </c>
      <c r="AG28" s="11">
        <f>ABS(_xll.RtGet(SourceAlias,$S28,ASK)-U28)</f>
        <v>8.0746520580987635E-13</v>
      </c>
      <c r="AH28" s="11">
        <f>ABS(_xll.RtGet(SourceAlias,$V28,BID)-W28)</f>
        <v>1.5645040818412781E-10</v>
      </c>
      <c r="AI28" s="11">
        <f>ABS(_xll.RtGet(SourceAlias,$V28,ASK)-X28)</f>
        <v>1.5645040818412781E-10</v>
      </c>
      <c r="AJ28" s="33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SEK3M5Y=</v>
      </c>
      <c r="K29" s="11">
        <v>0.53000000000080683</v>
      </c>
      <c r="L29" s="11">
        <v>0.53000000000080683</v>
      </c>
      <c r="M29" s="10" t="str">
        <f t="shared" si="15"/>
        <v>SEKON5YD=</v>
      </c>
      <c r="N29" s="11">
        <f>'ON Pricing'!H29*100</f>
        <v>0.37750000000000256</v>
      </c>
      <c r="O29" s="11">
        <f t="shared" si="12"/>
        <v>0.37750000000000256</v>
      </c>
      <c r="P29" s="89" t="str">
        <f t="shared" si="16"/>
        <v>SEK1M5Y=</v>
      </c>
      <c r="Q29" s="90">
        <f>'1M Pricing'!H29*100</f>
        <v>0.42727491820882685</v>
      </c>
      <c r="R29" s="90">
        <f t="shared" si="22"/>
        <v>0.42727491820882685</v>
      </c>
      <c r="S29" s="10" t="str">
        <f t="shared" si="18"/>
        <v>SEK3M5Y=</v>
      </c>
      <c r="T29" s="11">
        <f>'3M Pricing'!H29*100</f>
        <v>0.53000000000080683</v>
      </c>
      <c r="U29" s="11">
        <f t="shared" si="20"/>
        <v>0.53000000000080683</v>
      </c>
      <c r="V29" s="10" t="str">
        <f t="shared" si="19"/>
        <v>SEK6M5Y=</v>
      </c>
      <c r="W29" s="11">
        <f>'6M Pricing'!H29*100</f>
        <v>0.62730216322019883</v>
      </c>
      <c r="X29" s="11">
        <f t="shared" si="21"/>
        <v>0.62730216322019883</v>
      </c>
      <c r="Y29" s="67" t="s">
        <v>56</v>
      </c>
      <c r="Z29" s="11">
        <v>8.0679907199510126E-13</v>
      </c>
      <c r="AA29" s="11">
        <v>8.0679907199510126E-13</v>
      </c>
      <c r="AB29" s="11">
        <f>ABS(_xll.RtGet(SourceAlias,$M29,BID)-N29)</f>
        <v>2.55351295663786E-15</v>
      </c>
      <c r="AC29" s="11">
        <f>ABS(_xll.RtGet(SourceAlias,$M29,ASK)-O29)</f>
        <v>2.55351295663786E-15</v>
      </c>
      <c r="AD29" s="91">
        <f>ABS(_xll.RtGet(SourceAlias,$P29,BID)-Q29)</f>
        <v>2.0882684470535651E-10</v>
      </c>
      <c r="AE29" s="91">
        <f>ABS(_xll.RtGet(SourceAlias,$P29,ASK)-R29)</f>
        <v>2.0882684470535651E-10</v>
      </c>
      <c r="AF29" s="11">
        <f>ABS(_xll.RtGet(SourceAlias,$S29,BID)-T29)</f>
        <v>8.0679907199510126E-13</v>
      </c>
      <c r="AG29" s="11">
        <f>ABS(_xll.RtGet(SourceAlias,$S29,ASK)-U29)</f>
        <v>8.0679907199510126E-13</v>
      </c>
      <c r="AH29" s="11">
        <f>ABS(_xll.RtGet(SourceAlias,$V29,BID)-W29)</f>
        <v>2.2019874812428952E-10</v>
      </c>
      <c r="AI29" s="11">
        <f>ABS(_xll.RtGet(SourceAlias,$V29,ASK)-X29)</f>
        <v>2.2019874812428952E-10</v>
      </c>
      <c r="AJ29" s="33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SEK3M6Y=</v>
      </c>
      <c r="K30" s="11">
        <v>0.74000000000073984</v>
      </c>
      <c r="L30" s="11">
        <v>0.74000000000073984</v>
      </c>
      <c r="M30" s="10" t="str">
        <f t="shared" si="15"/>
        <v>SEKON6YD=</v>
      </c>
      <c r="N30" s="11">
        <f>'ON Pricing'!H30*100</f>
        <v>0.58750000000001024</v>
      </c>
      <c r="O30" s="11">
        <f t="shared" si="12"/>
        <v>0.58750000000001024</v>
      </c>
      <c r="P30" s="89" t="str">
        <f t="shared" si="16"/>
        <v>SEK1M6Y=</v>
      </c>
      <c r="Q30" s="90">
        <f>'1M Pricing'!H30*100</f>
        <v>0.63709210631232671</v>
      </c>
      <c r="R30" s="90">
        <f t="shared" si="22"/>
        <v>0.63709210631232671</v>
      </c>
      <c r="S30" s="10" t="str">
        <f t="shared" si="18"/>
        <v>SEK3M6Y=</v>
      </c>
      <c r="T30" s="11">
        <f>'3M Pricing'!H30*100</f>
        <v>0.74000000000073984</v>
      </c>
      <c r="U30" s="11">
        <f t="shared" si="20"/>
        <v>0.74000000000073984</v>
      </c>
      <c r="V30" s="10" t="str">
        <f t="shared" si="19"/>
        <v>SEK6M6Y=</v>
      </c>
      <c r="W30" s="11">
        <f>'6M Pricing'!H30*100</f>
        <v>0.8375652136622187</v>
      </c>
      <c r="X30" s="11">
        <f t="shared" si="21"/>
        <v>0.8375652136622187</v>
      </c>
      <c r="Y30" s="67" t="s">
        <v>56</v>
      </c>
      <c r="Z30" s="11">
        <v>7.3985262361020432E-13</v>
      </c>
      <c r="AA30" s="11">
        <v>7.3985262361020432E-13</v>
      </c>
      <c r="AB30" s="11">
        <f>ABS(_xll.RtGet(SourceAlias,$M30,BID)-N30)</f>
        <v>1.021405182655144E-14</v>
      </c>
      <c r="AC30" s="11">
        <f>ABS(_xll.RtGet(SourceAlias,$M30,ASK)-O30)</f>
        <v>1.021405182655144E-14</v>
      </c>
      <c r="AD30" s="91">
        <f>ABS(_xll.RtGet(SourceAlias,$P30,BID)-Q30)</f>
        <v>3.1232672004222195E-10</v>
      </c>
      <c r="AE30" s="91">
        <f>ABS(_xll.RtGet(SourceAlias,$P30,ASK)-R30)</f>
        <v>3.1232672004222195E-10</v>
      </c>
      <c r="AF30" s="11">
        <f>ABS(_xll.RtGet(SourceAlias,$S30,BID)-T30)</f>
        <v>7.3985262361020432E-13</v>
      </c>
      <c r="AG30" s="11">
        <f>ABS(_xll.RtGet(SourceAlias,$S30,ASK)-U30)</f>
        <v>7.3985262361020432E-13</v>
      </c>
      <c r="AH30" s="11">
        <f>ABS(_xll.RtGet(SourceAlias,$V30,BID)-W30)</f>
        <v>3.3778135843931523E-10</v>
      </c>
      <c r="AI30" s="11">
        <f>ABS(_xll.RtGet(SourceAlias,$V30,ASK)-X30)</f>
        <v>3.3778135843931523E-10</v>
      </c>
      <c r="AJ30" s="33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SEK3M7Y=</v>
      </c>
      <c r="K31" s="11">
        <v>0.92750000000069011</v>
      </c>
      <c r="L31" s="11">
        <v>0.92750000000069011</v>
      </c>
      <c r="M31" s="10" t="str">
        <f t="shared" si="15"/>
        <v>SEKON7YD=</v>
      </c>
      <c r="N31" s="11">
        <f>'ON Pricing'!H31*100</f>
        <v>0.77750000000000175</v>
      </c>
      <c r="O31" s="11">
        <f t="shared" si="12"/>
        <v>0.77750000000000175</v>
      </c>
      <c r="P31" s="89" t="str">
        <f t="shared" si="16"/>
        <v>SEK1M7Y=</v>
      </c>
      <c r="Q31" s="90">
        <f>'1M Pricing'!H31*100</f>
        <v>0.82461828413513372</v>
      </c>
      <c r="R31" s="90">
        <f t="shared" si="22"/>
        <v>0.82461828413513372</v>
      </c>
      <c r="S31" s="10" t="str">
        <f t="shared" si="18"/>
        <v>SEK3M7Y=</v>
      </c>
      <c r="T31" s="11">
        <f>'3M Pricing'!H31*100</f>
        <v>0.92750000000069011</v>
      </c>
      <c r="U31" s="11">
        <f t="shared" si="20"/>
        <v>0.92750000000069011</v>
      </c>
      <c r="V31" s="10" t="str">
        <f t="shared" si="19"/>
        <v>SEK6M7Y=</v>
      </c>
      <c r="W31" s="11">
        <f>'6M Pricing'!H31*100</f>
        <v>1.0251214935585427</v>
      </c>
      <c r="X31" s="11">
        <f t="shared" si="21"/>
        <v>1.0251214935585427</v>
      </c>
      <c r="Y31" s="67" t="s">
        <v>56</v>
      </c>
      <c r="Z31" s="11">
        <v>6.9011463210699731E-13</v>
      </c>
      <c r="AA31" s="11">
        <v>6.9011463210699731E-13</v>
      </c>
      <c r="AB31" s="11">
        <f>ABS(_xll.RtGet(SourceAlias,$M31,BID)-N31)</f>
        <v>1.6653345369377348E-15</v>
      </c>
      <c r="AC31" s="11">
        <f>ABS(_xll.RtGet(SourceAlias,$M31,ASK)-O31)</f>
        <v>1.6653345369377348E-15</v>
      </c>
      <c r="AD31" s="91">
        <f>ABS(_xll.RtGet(SourceAlias,$P31,BID)-Q31)</f>
        <v>1.3513368202211495E-10</v>
      </c>
      <c r="AE31" s="91">
        <f>ABS(_xll.RtGet(SourceAlias,$P31,ASK)-R31)</f>
        <v>1.3513368202211495E-10</v>
      </c>
      <c r="AF31" s="11">
        <f>ABS(_xll.RtGet(SourceAlias,$S31,BID)-T31)</f>
        <v>6.9011463210699731E-13</v>
      </c>
      <c r="AG31" s="11">
        <f>ABS(_xll.RtGet(SourceAlias,$S31,ASK)-U31)</f>
        <v>6.9011463210699731E-13</v>
      </c>
      <c r="AH31" s="11">
        <f>ABS(_xll.RtGet(SourceAlias,$V31,BID)-W31)</f>
        <v>4.4145731514788622E-10</v>
      </c>
      <c r="AI31" s="11">
        <f>ABS(_xll.RtGet(SourceAlias,$V31,ASK)-X31)</f>
        <v>4.4145731514788622E-10</v>
      </c>
      <c r="AJ31" s="33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SEK3M8Y=</v>
      </c>
      <c r="K32" s="11">
        <v>1.085000000000637</v>
      </c>
      <c r="L32" s="11">
        <v>1.085000000000637</v>
      </c>
      <c r="M32" s="10" t="str">
        <f t="shared" si="15"/>
        <v>SEKON8YD=</v>
      </c>
      <c r="N32" s="11">
        <f>'ON Pricing'!H32*100</f>
        <v>0.93500000000000782</v>
      </c>
      <c r="O32" s="11">
        <f t="shared" si="12"/>
        <v>0.93500000000000782</v>
      </c>
      <c r="P32" s="89" t="str">
        <f t="shared" si="16"/>
        <v>SEK1M8Y=</v>
      </c>
      <c r="Q32" s="90">
        <f>'1M Pricing'!H32*100</f>
        <v>0.98215793742416646</v>
      </c>
      <c r="R32" s="90">
        <f t="shared" si="22"/>
        <v>0.98215793742416646</v>
      </c>
      <c r="S32" s="10" t="str">
        <f t="shared" si="18"/>
        <v>SEK3M8Y=</v>
      </c>
      <c r="T32" s="11">
        <f>'3M Pricing'!H32*100</f>
        <v>1.085000000000637</v>
      </c>
      <c r="U32" s="11">
        <f t="shared" si="20"/>
        <v>1.085000000000637</v>
      </c>
      <c r="V32" s="10" t="str">
        <f t="shared" si="19"/>
        <v>SEK6M8Y=</v>
      </c>
      <c r="W32" s="11">
        <f>'6M Pricing'!H32*100</f>
        <v>1.1825659256964303</v>
      </c>
      <c r="X32" s="11">
        <f t="shared" si="21"/>
        <v>1.1825659256964303</v>
      </c>
      <c r="Y32" s="67" t="s">
        <v>56</v>
      </c>
      <c r="Z32" s="11">
        <v>6.3704597152991482E-13</v>
      </c>
      <c r="AA32" s="11">
        <v>6.3704597152991482E-13</v>
      </c>
      <c r="AB32" s="11">
        <f>ABS(_xll.RtGet(SourceAlias,$M32,BID)-N32)</f>
        <v>7.7715611723760958E-15</v>
      </c>
      <c r="AC32" s="11">
        <f>ABS(_xll.RtGet(SourceAlias,$M32,ASK)-O32)</f>
        <v>7.7715611723760958E-15</v>
      </c>
      <c r="AD32" s="91">
        <f>ABS(_xll.RtGet(SourceAlias,$P32,BID)-Q32)</f>
        <v>4.2416636869546664E-10</v>
      </c>
      <c r="AE32" s="91">
        <f>ABS(_xll.RtGet(SourceAlias,$P32,ASK)-R32)</f>
        <v>4.2416636869546664E-10</v>
      </c>
      <c r="AF32" s="11">
        <f>ABS(_xll.RtGet(SourceAlias,$S32,BID)-T32)</f>
        <v>6.3704597152991482E-13</v>
      </c>
      <c r="AG32" s="11">
        <f>ABS(_xll.RtGet(SourceAlias,$S32,ASK)-U32)</f>
        <v>6.3704597152991482E-13</v>
      </c>
      <c r="AH32" s="11">
        <f>ABS(_xll.RtGet(SourceAlias,$V32,BID)-W32)</f>
        <v>3.0356983593549103E-10</v>
      </c>
      <c r="AI32" s="11">
        <f>ABS(_xll.RtGet(SourceAlias,$V32,ASK)-X32)</f>
        <v>3.0356983593549103E-10</v>
      </c>
      <c r="AJ32" s="33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SEK3M9Y=</v>
      </c>
      <c r="K33" s="11">
        <v>1.2100000000004492</v>
      </c>
      <c r="L33" s="11">
        <v>1.2100000000004492</v>
      </c>
      <c r="M33" s="10" t="str">
        <f t="shared" si="15"/>
        <v>SEKON9YD=</v>
      </c>
      <c r="N33" s="11">
        <f>'ON Pricing'!H33*100</f>
        <v>1.0624999999999991</v>
      </c>
      <c r="O33" s="11">
        <f t="shared" si="12"/>
        <v>1.0624999999999991</v>
      </c>
      <c r="P33" s="89" t="str">
        <f t="shared" si="16"/>
        <v>SEK1M9Y=</v>
      </c>
      <c r="Q33" s="90">
        <f>'1M Pricing'!H33*100</f>
        <v>1.1071805229727358</v>
      </c>
      <c r="R33" s="90">
        <f t="shared" si="22"/>
        <v>1.1071805229727358</v>
      </c>
      <c r="S33" s="10" t="str">
        <f t="shared" si="18"/>
        <v>SEK3M9Y=</v>
      </c>
      <c r="T33" s="11">
        <f>'3M Pricing'!H33*100</f>
        <v>1.2100000000004492</v>
      </c>
      <c r="U33" s="11">
        <f t="shared" si="20"/>
        <v>1.2100000000004492</v>
      </c>
      <c r="V33" s="10" t="str">
        <f t="shared" si="19"/>
        <v>SEK6M9Y=</v>
      </c>
      <c r="W33" s="11">
        <f>'6M Pricing'!H33*100</f>
        <v>1.3075289451457863</v>
      </c>
      <c r="X33" s="11">
        <f t="shared" si="21"/>
        <v>1.3075289451457863</v>
      </c>
      <c r="Y33" s="67" t="s">
        <v>56</v>
      </c>
      <c r="Z33" s="11">
        <v>4.4919623576333834E-13</v>
      </c>
      <c r="AA33" s="11">
        <v>4.4919623576333834E-13</v>
      </c>
      <c r="AB33" s="11">
        <f>ABS(_xll.RtGet(SourceAlias,$M33,BID)-N33)</f>
        <v>8.8817841970012523E-16</v>
      </c>
      <c r="AC33" s="11">
        <f>ABS(_xll.RtGet(SourceAlias,$M33,ASK)-O33)</f>
        <v>8.8817841970012523E-16</v>
      </c>
      <c r="AD33" s="91">
        <f>ABS(_xll.RtGet(SourceAlias,$P33,BID)-Q33)</f>
        <v>2.7264190904929819E-11</v>
      </c>
      <c r="AE33" s="91">
        <f>ABS(_xll.RtGet(SourceAlias,$P33,ASK)-R33)</f>
        <v>2.7264190904929819E-11</v>
      </c>
      <c r="AF33" s="11">
        <f>ABS(_xll.RtGet(SourceAlias,$S33,BID)-T33)</f>
        <v>4.4919623576333834E-13</v>
      </c>
      <c r="AG33" s="11">
        <f>ABS(_xll.RtGet(SourceAlias,$S33,ASK)-U33)</f>
        <v>4.4919623576333834E-13</v>
      </c>
      <c r="AH33" s="11">
        <f>ABS(_xll.RtGet(SourceAlias,$V33,BID)-W33)</f>
        <v>1.4578627194339333E-10</v>
      </c>
      <c r="AI33" s="11">
        <f>ABS(_xll.RtGet(SourceAlias,$V33,ASK)-X33)</f>
        <v>1.4578627194339333E-10</v>
      </c>
      <c r="AJ33" s="33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SEK3M10Y=</v>
      </c>
      <c r="K34" s="11">
        <v>1.3075000000003392</v>
      </c>
      <c r="L34" s="11">
        <v>1.3075000000003392</v>
      </c>
      <c r="M34" s="10" t="str">
        <f t="shared" si="15"/>
        <v>SEKON10YD=</v>
      </c>
      <c r="N34" s="11">
        <f>'ON Pricing'!H34*100</f>
        <v>1.1600000000000059</v>
      </c>
      <c r="O34" s="11">
        <f t="shared" si="12"/>
        <v>1.1600000000000059</v>
      </c>
      <c r="P34" s="89" t="str">
        <f t="shared" si="16"/>
        <v>SEK1M10Y=</v>
      </c>
      <c r="Q34" s="90">
        <f>'1M Pricing'!H34*100</f>
        <v>1.2047469769411656</v>
      </c>
      <c r="R34" s="90">
        <f t="shared" si="22"/>
        <v>1.2047469769411656</v>
      </c>
      <c r="S34" s="10" t="str">
        <f t="shared" si="18"/>
        <v>SEK3M10Y=</v>
      </c>
      <c r="T34" s="11">
        <f>'3M Pricing'!H34*100</f>
        <v>1.3075000000003392</v>
      </c>
      <c r="U34" s="11">
        <f t="shared" si="20"/>
        <v>1.3075000000003392</v>
      </c>
      <c r="V34" s="10" t="str">
        <f t="shared" si="19"/>
        <v>SEK6M10Y=</v>
      </c>
      <c r="W34" s="11">
        <f>'6M Pricing'!H34*100</f>
        <v>1.4045452994811174</v>
      </c>
      <c r="X34" s="11">
        <f t="shared" si="21"/>
        <v>1.4045452994811174</v>
      </c>
      <c r="Y34" s="67" t="s">
        <v>56</v>
      </c>
      <c r="Z34" s="11">
        <v>3.3906211172052281E-13</v>
      </c>
      <c r="AA34" s="11">
        <v>3.3906211172052281E-13</v>
      </c>
      <c r="AB34" s="11">
        <f>ABS(_xll.RtGet(SourceAlias,$M34,BID)-N34)</f>
        <v>5.9952043329758453E-15</v>
      </c>
      <c r="AC34" s="11">
        <f>ABS(_xll.RtGet(SourceAlias,$M34,ASK)-O34)</f>
        <v>5.9952043329758453E-15</v>
      </c>
      <c r="AD34" s="91">
        <f>ABS(_xll.RtGet(SourceAlias,$P34,BID)-Q34)</f>
        <v>5.8834492833170771E-11</v>
      </c>
      <c r="AE34" s="91">
        <f>ABS(_xll.RtGet(SourceAlias,$P34,ASK)-R34)</f>
        <v>5.8834492833170771E-11</v>
      </c>
      <c r="AF34" s="11">
        <f>ABS(_xll.RtGet(SourceAlias,$S34,BID)-T34)</f>
        <v>3.3906211172052281E-13</v>
      </c>
      <c r="AG34" s="11">
        <f>ABS(_xll.RtGet(SourceAlias,$S34,ASK)-U34)</f>
        <v>3.3906211172052281E-13</v>
      </c>
      <c r="AH34" s="11">
        <f>ABS(_xll.RtGet(SourceAlias,$V34,BID)-W34)</f>
        <v>4.8111736816736084E-10</v>
      </c>
      <c r="AI34" s="11">
        <f>ABS(_xll.RtGet(SourceAlias,$V34,ASK)-X34)</f>
        <v>4.8111736816736084E-10</v>
      </c>
      <c r="AJ34" s="33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SEK3M12Y=</v>
      </c>
      <c r="K35" s="11">
        <v>1.4575000000004326</v>
      </c>
      <c r="L35" s="11">
        <v>1.4575000000004326</v>
      </c>
      <c r="M35" s="10" t="str">
        <f t="shared" si="15"/>
        <v>SEKON12YD=</v>
      </c>
      <c r="N35" s="11">
        <f>'ON Pricing'!H35*100</f>
        <v>1.314999999997791</v>
      </c>
      <c r="O35" s="11">
        <f t="shared" si="12"/>
        <v>1.314999999997791</v>
      </c>
      <c r="P35" s="89" t="str">
        <f t="shared" si="16"/>
        <v>SEK1M12Y=</v>
      </c>
      <c r="Q35" s="90">
        <f>'1M Pricing'!H35*100</f>
        <v>1.354791254868305</v>
      </c>
      <c r="R35" s="90">
        <f t="shared" si="22"/>
        <v>1.354791254868305</v>
      </c>
      <c r="S35" s="10" t="str">
        <f t="shared" si="18"/>
        <v>SEK3M12Y=</v>
      </c>
      <c r="T35" s="11">
        <f>'3M Pricing'!H35*100</f>
        <v>1.4575000000004326</v>
      </c>
      <c r="U35" s="11">
        <f t="shared" si="20"/>
        <v>1.4575000000004326</v>
      </c>
      <c r="V35" s="10" t="str">
        <f t="shared" si="19"/>
        <v>SEK6M12Y=</v>
      </c>
      <c r="W35" s="11">
        <f>'6M Pricing'!H35*100</f>
        <v>1.5521399354079595</v>
      </c>
      <c r="X35" s="11">
        <f t="shared" si="21"/>
        <v>1.5521399354079595</v>
      </c>
      <c r="Y35" s="67" t="s">
        <v>56</v>
      </c>
      <c r="Z35" s="11">
        <v>4.3254289039396099E-13</v>
      </c>
      <c r="AA35" s="11">
        <v>4.3254289039396099E-13</v>
      </c>
      <c r="AB35" s="11">
        <f>ABS(_xll.RtGet(SourceAlias,$M35,BID)-N35)</f>
        <v>2.2088997297942115E-12</v>
      </c>
      <c r="AC35" s="11">
        <f>ABS(_xll.RtGet(SourceAlias,$M35,ASK)-O35)</f>
        <v>2.2088997297942115E-12</v>
      </c>
      <c r="AD35" s="91">
        <f>ABS(_xll.RtGet(SourceAlias,$P35,BID)-Q35)</f>
        <v>1.3169509927024592E-10</v>
      </c>
      <c r="AE35" s="91">
        <f>ABS(_xll.RtGet(SourceAlias,$P35,ASK)-R35)</f>
        <v>1.3169509927024592E-10</v>
      </c>
      <c r="AF35" s="11">
        <f>ABS(_xll.RtGet(SourceAlias,$S35,BID)-T35)</f>
        <v>4.3254289039396099E-13</v>
      </c>
      <c r="AG35" s="11">
        <f>ABS(_xll.RtGet(SourceAlias,$S35,ASK)-U35)</f>
        <v>4.3254289039396099E-13</v>
      </c>
      <c r="AH35" s="11">
        <f>ABS(_xll.RtGet(SourceAlias,$V35,BID)-W35)</f>
        <v>4.0795944400429107E-10</v>
      </c>
      <c r="AI35" s="11">
        <f>ABS(_xll.RtGet(SourceAlias,$V35,ASK)-X35)</f>
        <v>4.0795944400429107E-10</v>
      </c>
      <c r="AJ35" s="33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SEK3M15Y=</v>
      </c>
      <c r="K36" s="11">
        <v>1.6225000000010279</v>
      </c>
      <c r="L36" s="11">
        <v>1.6225000000010279</v>
      </c>
      <c r="M36" s="10" t="str">
        <f t="shared" si="15"/>
        <v>SEKON15YD=</v>
      </c>
      <c r="N36" s="11">
        <f>'ON Pricing'!H36*100</f>
        <v>1.4824999999933102</v>
      </c>
      <c r="O36" s="11">
        <f t="shared" si="12"/>
        <v>1.4824999999933102</v>
      </c>
      <c r="P36" s="89" t="str">
        <f t="shared" si="16"/>
        <v>SEK1M15Y=</v>
      </c>
      <c r="Q36" s="90">
        <f>'1M Pricing'!H36*100</f>
        <v>1.5218564229779268</v>
      </c>
      <c r="R36" s="90">
        <f t="shared" si="22"/>
        <v>1.5218564229779268</v>
      </c>
      <c r="S36" s="10" t="str">
        <f t="shared" si="18"/>
        <v>SEK3M15Y=</v>
      </c>
      <c r="T36" s="11">
        <f>'3M Pricing'!H36*100</f>
        <v>1.6225000000010279</v>
      </c>
      <c r="U36" s="11">
        <f t="shared" si="20"/>
        <v>1.6225000000010279</v>
      </c>
      <c r="V36" s="10" t="str">
        <f t="shared" si="19"/>
        <v>SEK6M15Y=</v>
      </c>
      <c r="W36" s="11">
        <f>'6M Pricing'!H36*100</f>
        <v>1.7104657664153329</v>
      </c>
      <c r="X36" s="11">
        <f t="shared" si="21"/>
        <v>1.7104657664153329</v>
      </c>
      <c r="Y36" s="67" t="s">
        <v>56</v>
      </c>
      <c r="Z36" s="11">
        <v>1.0278444761979699E-12</v>
      </c>
      <c r="AA36" s="11">
        <v>1.0278444761979699E-12</v>
      </c>
      <c r="AB36" s="11">
        <f>ABS(_xll.RtGet(SourceAlias,$M36,BID)-N36)</f>
        <v>6.6899819017862683E-12</v>
      </c>
      <c r="AC36" s="11">
        <f>ABS(_xll.RtGet(SourceAlias,$M36,ASK)-O36)</f>
        <v>6.6899819017862683E-12</v>
      </c>
      <c r="AD36" s="91">
        <f>ABS(_xll.RtGet(SourceAlias,$P36,BID)-Q36)</f>
        <v>2.2073232130992437E-11</v>
      </c>
      <c r="AE36" s="91">
        <f>ABS(_xll.RtGet(SourceAlias,$P36,ASK)-R36)</f>
        <v>2.2073232130992437E-11</v>
      </c>
      <c r="AF36" s="11">
        <f>ABS(_xll.RtGet(SourceAlias,$S36,BID)-T36)</f>
        <v>1.0278444761979699E-12</v>
      </c>
      <c r="AG36" s="11">
        <f>ABS(_xll.RtGet(SourceAlias,$S36,ASK)-U36)</f>
        <v>1.0278444761979699E-12</v>
      </c>
      <c r="AH36" s="11">
        <f>ABS(_xll.RtGet(SourceAlias,$V36,BID)-W36)</f>
        <v>4.1533287920003659E-10</v>
      </c>
      <c r="AI36" s="11">
        <f>ABS(_xll.RtGet(SourceAlias,$V36,ASK)-X36)</f>
        <v>4.1533287920003659E-10</v>
      </c>
      <c r="AJ36" s="33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SEK3M20Y=</v>
      </c>
      <c r="K37" s="11">
        <v>1.7950000000014996</v>
      </c>
      <c r="L37" s="11">
        <v>1.7950000000014996</v>
      </c>
      <c r="M37" s="10" t="str">
        <f t="shared" si="15"/>
        <v>SEKON20YD=</v>
      </c>
      <c r="N37" s="11">
        <f>'ON Pricing'!H37*100</f>
        <v>1.6699999999974988</v>
      </c>
      <c r="O37" s="11">
        <f t="shared" si="12"/>
        <v>1.6699999999974988</v>
      </c>
      <c r="P37" s="89" t="str">
        <f t="shared" si="16"/>
        <v>SEK1M20Y=</v>
      </c>
      <c r="Q37" s="90">
        <f>'1M Pricing'!H37*100</f>
        <v>1.6993895273814885</v>
      </c>
      <c r="R37" s="90">
        <f t="shared" si="22"/>
        <v>1.6993895273814885</v>
      </c>
      <c r="S37" s="10" t="str">
        <f t="shared" si="18"/>
        <v>SEK3M20Y=</v>
      </c>
      <c r="T37" s="11">
        <f>'3M Pricing'!H37*100</f>
        <v>1.7950000000014996</v>
      </c>
      <c r="U37" s="11">
        <f t="shared" si="20"/>
        <v>1.7950000000014996</v>
      </c>
      <c r="V37" s="10" t="str">
        <f t="shared" si="19"/>
        <v>SEK6M20Y=</v>
      </c>
      <c r="W37" s="11">
        <f>'6M Pricing'!H37*100</f>
        <v>1.8730147884245838</v>
      </c>
      <c r="X37" s="11">
        <f t="shared" si="21"/>
        <v>1.8730147884245838</v>
      </c>
      <c r="Y37" s="67" t="s">
        <v>56</v>
      </c>
      <c r="Z37" s="11">
        <v>1.4996892616636615E-12</v>
      </c>
      <c r="AA37" s="11">
        <v>1.4996892616636615E-12</v>
      </c>
      <c r="AB37" s="11">
        <f>ABS(_xll.RtGet(SourceAlias,$M37,BID)-N37)</f>
        <v>2.5011104298755527E-12</v>
      </c>
      <c r="AC37" s="11">
        <f>ABS(_xll.RtGet(SourceAlias,$M37,ASK)-O37)</f>
        <v>2.5011104298755527E-12</v>
      </c>
      <c r="AD37" s="91">
        <f>ABS(_xll.RtGet(SourceAlias,$P37,BID)-Q37)</f>
        <v>3.8148839642815346E-10</v>
      </c>
      <c r="AE37" s="91">
        <f>ABS(_xll.RtGet(SourceAlias,$P37,ASK)-R37)</f>
        <v>3.8148839642815346E-10</v>
      </c>
      <c r="AF37" s="11">
        <f>ABS(_xll.RtGet(SourceAlias,$S37,BID)-T37)</f>
        <v>1.4996892616636615E-12</v>
      </c>
      <c r="AG37" s="11">
        <f>ABS(_xll.RtGet(SourceAlias,$S37,ASK)-U37)</f>
        <v>1.4996892616636615E-12</v>
      </c>
      <c r="AH37" s="11">
        <f>ABS(_xll.RtGet(SourceAlias,$V37,BID)-W37)</f>
        <v>4.2458370153042324E-10</v>
      </c>
      <c r="AI37" s="11">
        <f>ABS(_xll.RtGet(SourceAlias,$V37,ASK)-X37)</f>
        <v>4.2458370153042324E-10</v>
      </c>
      <c r="AJ37" s="33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SEK3M25Y=</v>
      </c>
      <c r="K38" s="11">
        <v>1.8750000000000908</v>
      </c>
      <c r="L38" s="11">
        <v>1.8750000000000908</v>
      </c>
      <c r="M38" s="10" t="str">
        <f t="shared" si="15"/>
        <v>SEKON25YD=</v>
      </c>
      <c r="N38" s="11">
        <f>'ON Pricing'!H38*100</f>
        <v>1.7600000000019853</v>
      </c>
      <c r="O38" s="11">
        <f t="shared" si="12"/>
        <v>1.7600000000019853</v>
      </c>
      <c r="P38" s="89" t="str">
        <f t="shared" si="16"/>
        <v>SEK1M25Y=</v>
      </c>
      <c r="Q38" s="90">
        <f>'1M Pricing'!H38*100</f>
        <v>1.7836430499629579</v>
      </c>
      <c r="R38" s="90">
        <f t="shared" si="22"/>
        <v>1.7836430499629579</v>
      </c>
      <c r="S38" s="10" t="str">
        <f t="shared" si="18"/>
        <v>SEK3M25Y=</v>
      </c>
      <c r="T38" s="11">
        <f>'3M Pricing'!H38*100</f>
        <v>1.8750000000000908</v>
      </c>
      <c r="U38" s="11">
        <f t="shared" si="20"/>
        <v>1.8750000000000908</v>
      </c>
      <c r="V38" s="10" t="str">
        <f t="shared" si="19"/>
        <v>SEK6M25Y=</v>
      </c>
      <c r="W38" s="11">
        <f>'6M Pricing'!H38*100</f>
        <v>1.9457914859059164</v>
      </c>
      <c r="X38" s="11">
        <f t="shared" si="21"/>
        <v>1.9457914859059164</v>
      </c>
      <c r="Y38" s="67" t="s">
        <v>56</v>
      </c>
      <c r="Z38" s="11">
        <v>9.0816243414337805E-14</v>
      </c>
      <c r="AA38" s="11">
        <v>9.0816243414337805E-14</v>
      </c>
      <c r="AB38" s="11">
        <f>ABS(_xll.RtGet(SourceAlias,$M38,BID)-N38)</f>
        <v>1.9853008126347049E-12</v>
      </c>
      <c r="AC38" s="11">
        <f>ABS(_xll.RtGet(SourceAlias,$M38,ASK)-O38)</f>
        <v>1.9853008126347049E-12</v>
      </c>
      <c r="AD38" s="91">
        <f>ABS(_xll.RtGet(SourceAlias,$P38,BID)-Q38)</f>
        <v>3.7042147127408498E-11</v>
      </c>
      <c r="AE38" s="91">
        <f>ABS(_xll.RtGet(SourceAlias,$P38,ASK)-R38)</f>
        <v>3.7042147127408498E-11</v>
      </c>
      <c r="AF38" s="11">
        <f>ABS(_xll.RtGet(SourceAlias,$S38,BID)-T38)</f>
        <v>9.0816243414337805E-14</v>
      </c>
      <c r="AG38" s="11">
        <f>ABS(_xll.RtGet(SourceAlias,$S38,ASK)-U38)</f>
        <v>9.0816243414337805E-14</v>
      </c>
      <c r="AH38" s="11">
        <f>ABS(_xll.RtGet(SourceAlias,$V38,BID)-W38)</f>
        <v>9.4083629775809641E-11</v>
      </c>
      <c r="AI38" s="11">
        <f>ABS(_xll.RtGet(SourceAlias,$V38,ASK)-X38)</f>
        <v>9.4083629775809641E-11</v>
      </c>
      <c r="AJ38" s="33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IF(Contribute="abcd",_xll.RtContribute(SourceAlias,M39,Fields,N39:O39,"SCOPE:SERVER"),"stopped")</f>
        <v>stopped</v>
      </c>
      <c r="F39" s="106" t="str">
        <f>IF(Contribute="abcd",_xll.RtContribute(SourceAlias,P39,Fields,Q39:R39,"SCOPE:SERVER"),"stopped")</f>
        <v>stopped</v>
      </c>
      <c r="G39" s="17" t="str">
        <f>IF(Contribute="abcd",_xll.RtContribute(SourceAlias,S39,Fields,T39:U39,"SCOPE:SERVER"),"stopped")</f>
        <v>stopped</v>
      </c>
      <c r="H39" s="17" t="str">
        <f>IF(Contribute="abcd",_xll.RtContribute(SourceAlias,V39,Fields,W39:X39,"SCOPE:SERVER"),"stopped")</f>
        <v>stopped</v>
      </c>
      <c r="I39" s="1"/>
      <c r="J39" s="12" t="str">
        <v>SEK3M30Y=</v>
      </c>
      <c r="K39" s="13">
        <v>1.9049999999981244</v>
      </c>
      <c r="L39" s="13">
        <v>1.9049999999981244</v>
      </c>
      <c r="M39" s="12" t="str">
        <f t="shared" si="15"/>
        <v>SEKON30YD=</v>
      </c>
      <c r="N39" s="13">
        <f>'ON Pricing'!H39*100</f>
        <v>1.7999999999999434</v>
      </c>
      <c r="O39" s="13">
        <f t="shared" si="12"/>
        <v>1.7999999999999434</v>
      </c>
      <c r="P39" s="102" t="str">
        <f t="shared" si="16"/>
        <v>SEK1M30Y=</v>
      </c>
      <c r="Q39" s="103">
        <f>'1M Pricing'!H39*100</f>
        <v>1.8163927572013145</v>
      </c>
      <c r="R39" s="103">
        <f t="shared" si="22"/>
        <v>1.8163927572013145</v>
      </c>
      <c r="S39" s="12" t="str">
        <f t="shared" si="18"/>
        <v>SEK3M30Y=</v>
      </c>
      <c r="T39" s="13">
        <f>'3M Pricing'!H39*100</f>
        <v>1.9049999999981244</v>
      </c>
      <c r="U39" s="13">
        <f t="shared" si="20"/>
        <v>1.9049999999981244</v>
      </c>
      <c r="V39" s="12" t="str">
        <f t="shared" si="19"/>
        <v>SEK6M30Y=</v>
      </c>
      <c r="W39" s="13">
        <f>'6M Pricing'!H39*100</f>
        <v>1.9698736787406146</v>
      </c>
      <c r="X39" s="13">
        <f t="shared" si="21"/>
        <v>1.9698736787406146</v>
      </c>
      <c r="Y39" s="67" t="s">
        <v>56</v>
      </c>
      <c r="Z39" s="13">
        <v>1.8756107778017395E-12</v>
      </c>
      <c r="AA39" s="13">
        <v>1.8756107778017395E-12</v>
      </c>
      <c r="AB39" s="13">
        <f>ABS(_xll.RtGet(SourceAlias,$M39,BID)-N39)</f>
        <v>5.6621374255882984E-14</v>
      </c>
      <c r="AC39" s="13">
        <f>ABS(_xll.RtGet(SourceAlias,$M39,ASK)-O39)</f>
        <v>5.6621374255882984E-14</v>
      </c>
      <c r="AD39" s="104">
        <f>ABS(_xll.RtGet(SourceAlias,$P39,BID)-Q39)</f>
        <v>2.0131452060923039E-10</v>
      </c>
      <c r="AE39" s="104">
        <f>ABS(_xll.RtGet(SourceAlias,$P39,ASK)-R39)</f>
        <v>2.0131452060923039E-10</v>
      </c>
      <c r="AF39" s="13">
        <f>ABS(_xll.RtGet(SourceAlias,$S39,BID)-T39)</f>
        <v>1.8756107778017395E-12</v>
      </c>
      <c r="AG39" s="13">
        <f>ABS(_xll.RtGet(SourceAlias,$S39,ASK)-U39)</f>
        <v>1.8756107778017395E-12</v>
      </c>
      <c r="AH39" s="13">
        <f>ABS(_xll.RtGet(SourceAlias,$V39,BID)-W39)</f>
        <v>2.593856240906689E-10</v>
      </c>
      <c r="AI39" s="13">
        <f>ABS(_xll.RtGet(SourceAlias,$V39,ASK)-X39)</f>
        <v>2.593856240906689E-10</v>
      </c>
      <c r="AJ39" s="33" t="s">
        <v>56</v>
      </c>
    </row>
    <row r="40" spans="3:36" x14ac:dyDescent="0.2">
      <c r="J40" s="54"/>
      <c r="M40" s="54"/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1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2</v>
      </c>
      <c r="C6" s="15" t="s">
        <v>15</v>
      </c>
      <c r="D6" s="24" t="s">
        <v>76</v>
      </c>
      <c r="E6" s="37">
        <f t="shared" ref="E6:E7" si="1">EvaluationDate</f>
        <v>42137</v>
      </c>
      <c r="F6" s="37">
        <f>E6</f>
        <v>42137</v>
      </c>
      <c r="G6" s="37">
        <f>_xll.qlCalendarAdvance(Calendar,F6,"1D","f",TRUE,Trigger)</f>
        <v>42139</v>
      </c>
      <c r="H6" s="43">
        <f>_xll.qlInterpolationInterpolate(Interpolation,B6,TRUE)</f>
        <v>-2.9230609923130276E-3</v>
      </c>
      <c r="I6" s="44" t="str">
        <f>Contribution!M6</f>
        <v>SEKONOND=</v>
      </c>
      <c r="J6" s="45"/>
      <c r="K6" s="33"/>
      <c r="L6" s="123" t="str">
        <f>_xll.qlInterpolation(,InterpolationType,B8:B18,H8:H18,,Trigger)</f>
        <v>obj_0035d#0145</v>
      </c>
      <c r="M6" s="33"/>
      <c r="N6" s="33"/>
    </row>
    <row r="7" spans="1:64" x14ac:dyDescent="0.2">
      <c r="A7" s="62"/>
      <c r="B7" s="152">
        <f t="shared" si="0"/>
        <v>5</v>
      </c>
      <c r="C7" s="152" t="s">
        <v>73</v>
      </c>
      <c r="D7" s="153" t="s">
        <v>76</v>
      </c>
      <c r="E7" s="154">
        <f t="shared" si="1"/>
        <v>42137</v>
      </c>
      <c r="F7" s="154">
        <f>_xll.qlInterestRateIndexValueDate(OvernightIndex,E7,)</f>
        <v>42139</v>
      </c>
      <c r="G7" s="154">
        <f>_xll.qlInterestRateIndexMaturity(OvernightIndex,F7)</f>
        <v>42142</v>
      </c>
      <c r="H7" s="155">
        <f>_xll.qlInterpolationInterpolate(Interpolation,B7,TRUE)</f>
        <v>-2.9240740722704201E-3</v>
      </c>
      <c r="I7" s="156" t="str">
        <f>Contribution!M7</f>
        <v>SEKONTND=</v>
      </c>
      <c r="J7" s="156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6</v>
      </c>
      <c r="C8" s="15" t="s">
        <v>74</v>
      </c>
      <c r="D8" s="23" t="s">
        <v>47</v>
      </c>
      <c r="E8" s="37">
        <f t="shared" ref="E8:E18" si="2">EvaluationDate</f>
        <v>42137</v>
      </c>
      <c r="F8" s="37">
        <f>_xll.qlCalendarAdvance(Calendar,E8,"2D","f",FALSE)</f>
        <v>42142</v>
      </c>
      <c r="G8" s="37">
        <f>_xll.qlCalendarAdvance(Calendar,F8,IF(C8="SN","1D",IF(C8="SW","1W",C8)),"f",FALSE)</f>
        <v>42143</v>
      </c>
      <c r="H8" s="43">
        <f>_xll.qlOvernightIndexedSwapFairRate(L8,InterestRateTrigger)</f>
        <v>-2.9243533452394388E-3</v>
      </c>
      <c r="I8" s="44"/>
      <c r="J8" s="45"/>
      <c r="K8" s="51"/>
      <c r="L8" s="123" t="str">
        <f>_xll.qlMakeOIS(,2,IF(C8="SN","1D",IF(C8="SW","1W",C8)),OvernightIndex,,"0D",,,,Trigger)</f>
        <v>obj_00309#0005</v>
      </c>
      <c r="M8" s="33"/>
      <c r="N8" s="3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64" x14ac:dyDescent="0.2">
      <c r="A9" s="62"/>
      <c r="B9" s="16">
        <f t="shared" si="0"/>
        <v>13</v>
      </c>
      <c r="C9" s="16" t="s">
        <v>16</v>
      </c>
      <c r="D9" s="24" t="s">
        <v>47</v>
      </c>
      <c r="E9" s="40">
        <f t="shared" si="2"/>
        <v>42137</v>
      </c>
      <c r="F9" s="40">
        <f>_xll.qlCalendarAdvance(Calendar,E9,"2D","f",FALSE)</f>
        <v>42142</v>
      </c>
      <c r="G9" s="40">
        <f>_xll.qlCalendarAdvance(Calendar,F9,IF(C9="SN","1D",IF(C9="SW","1W",C9)),"f",FALSE)</f>
        <v>42150</v>
      </c>
      <c r="H9" s="39">
        <f>_xll.qlOvernightIndexedSwapFairRate(L9,InterestRateTrigger)</f>
        <v>-2.9272897179044577E-3</v>
      </c>
      <c r="I9" s="30"/>
      <c r="J9" s="30"/>
      <c r="K9" s="51"/>
      <c r="L9" s="24" t="str">
        <f>_xll.qlMakeOIS(,2,IF(C9="SN","1D",IF(C9="SW","1W",C9)),OvernightIndex,,"0D",,,,Trigger)</f>
        <v>obj_00304#0001</v>
      </c>
      <c r="M9" s="33"/>
      <c r="N9" s="33"/>
      <c r="P9" s="164"/>
      <c r="Q9" s="165"/>
      <c r="R9" s="165"/>
      <c r="S9" s="166"/>
      <c r="T9" s="167"/>
      <c r="U9" s="166"/>
      <c r="V9" s="165"/>
      <c r="W9" s="166"/>
      <c r="X9" s="168"/>
      <c r="Y9" s="169"/>
      <c r="Z9" s="169"/>
      <c r="AA9" s="170"/>
      <c r="AB9" s="169"/>
      <c r="AC9" s="169"/>
      <c r="AD9" s="169"/>
      <c r="AE9" s="169"/>
      <c r="AF9" s="169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spans="1:64" x14ac:dyDescent="0.2">
      <c r="A10" s="62"/>
      <c r="B10" s="16">
        <f t="shared" si="0"/>
        <v>19</v>
      </c>
      <c r="C10" s="16" t="s">
        <v>17</v>
      </c>
      <c r="D10" s="24" t="s">
        <v>47</v>
      </c>
      <c r="E10" s="40">
        <f t="shared" si="2"/>
        <v>42137</v>
      </c>
      <c r="F10" s="40">
        <f>_xll.qlCalendarAdvance(Calendar,E10,"2D","f",FALSE)</f>
        <v>42142</v>
      </c>
      <c r="G10" s="40">
        <f>_xll.qlCalendarAdvance(Calendar,F10,IF(C10="SN","1D",IF(C10="SW","1W",C10)),"f",FALSE)</f>
        <v>42156</v>
      </c>
      <c r="H10" s="39">
        <f>_xll.qlOvernightIndexedSwapFairRate(L10,InterestRateTrigger)</f>
        <v>-2.9335446006076692E-3</v>
      </c>
      <c r="I10" s="30"/>
      <c r="J10" s="30"/>
      <c r="K10" s="51"/>
      <c r="L10" s="24" t="str">
        <f>_xll.qlMakeOIS(,2,IF(C10="SN","1D",IF(C10="SW","1W",C10)),OvernightIndex,,"0D",,,,Trigger)</f>
        <v>obj_00318#0001</v>
      </c>
      <c r="M10" s="57"/>
      <c r="N10" s="33"/>
      <c r="P10" s="164"/>
      <c r="Q10" s="165"/>
      <c r="R10" s="165"/>
      <c r="S10" s="166"/>
      <c r="T10" s="167"/>
      <c r="U10" s="166"/>
      <c r="V10" s="165"/>
      <c r="W10" s="166"/>
      <c r="X10" s="168"/>
      <c r="Y10" s="169"/>
      <c r="Z10" s="169"/>
      <c r="AA10" s="170"/>
      <c r="AB10" s="169"/>
      <c r="AC10" s="169"/>
      <c r="AD10" s="169"/>
      <c r="AE10" s="169"/>
      <c r="AF10" s="169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</row>
    <row r="11" spans="1:64" x14ac:dyDescent="0.2">
      <c r="A11" s="62"/>
      <c r="B11" s="16">
        <f t="shared" si="0"/>
        <v>26</v>
      </c>
      <c r="C11" s="16" t="s">
        <v>18</v>
      </c>
      <c r="D11" s="24" t="s">
        <v>47</v>
      </c>
      <c r="E11" s="40">
        <f t="shared" si="2"/>
        <v>42137</v>
      </c>
      <c r="F11" s="40">
        <f>_xll.qlCalendarAdvance(Calendar,E11,"2D","f",FALSE)</f>
        <v>42142</v>
      </c>
      <c r="G11" s="40">
        <f>_xll.qlCalendarAdvance(Calendar,F11,IF(C11="SN","1D",IF(C11="SW","1W",C11)),"f",FALSE)</f>
        <v>42163</v>
      </c>
      <c r="H11" s="39">
        <f>_xll.qlOvernightIndexedSwapFairRate(L11,InterestRateTrigger)</f>
        <v>-2.9452022380801629E-3</v>
      </c>
      <c r="I11" s="30"/>
      <c r="J11" s="30"/>
      <c r="K11" s="51"/>
      <c r="L11" s="24" t="str">
        <f>_xll.qlMakeOIS(,2,IF(C11="SN","1D",IF(C11="SW","1W",C11)),OvernightIndex,,"0D",,,,Trigger)</f>
        <v>obj_00312#0001</v>
      </c>
      <c r="M11" s="33"/>
      <c r="N11" s="33"/>
      <c r="P11" s="164"/>
      <c r="Q11" s="165"/>
      <c r="R11" s="165"/>
      <c r="S11" s="166"/>
      <c r="T11" s="167"/>
      <c r="U11" s="166"/>
      <c r="V11" s="165"/>
      <c r="W11" s="166"/>
      <c r="X11" s="168"/>
      <c r="Y11" s="169"/>
      <c r="Z11" s="169"/>
      <c r="AA11" s="170"/>
      <c r="AB11" s="169"/>
      <c r="AC11" s="169"/>
      <c r="AD11" s="169"/>
      <c r="AE11" s="169"/>
      <c r="AF11" s="169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</row>
    <row r="12" spans="1:64" x14ac:dyDescent="0.2">
      <c r="A12" s="62"/>
      <c r="B12" s="173">
        <f t="shared" si="0"/>
        <v>36</v>
      </c>
      <c r="C12" s="173" t="s">
        <v>19</v>
      </c>
      <c r="D12" s="174" t="s">
        <v>47</v>
      </c>
      <c r="E12" s="175">
        <f t="shared" si="2"/>
        <v>42137</v>
      </c>
      <c r="F12" s="175">
        <f>_xll.qlCalendarAdvance(Calendar,E12,"2D","f",FALSE)</f>
        <v>42142</v>
      </c>
      <c r="G12" s="175">
        <f>_xll.qlCalendarAdvance(Calendar,F12,IF(C12="SN","1D",IF(C12="SW","1W",C12)),"mf",TRUE)</f>
        <v>42173</v>
      </c>
      <c r="H12" s="176">
        <f>_xll.qlOvernightIndexedSwapFairRate(L12,InterestRateTrigger)</f>
        <v>-2.9700000068499932E-3</v>
      </c>
      <c r="I12" s="177" t="str">
        <f>Contribution!M12</f>
        <v>SEKON1MD=</v>
      </c>
      <c r="J12" s="177" t="s">
        <v>83</v>
      </c>
      <c r="K12" s="51"/>
      <c r="L12" s="24" t="str">
        <f>_xll.qlMakeOIS(,2,IF(C12="SN","1D",IF(C12="SW","1W",C12)),OvernightIndex,,"0D",,,,Trigger)</f>
        <v>obj_00305#0001</v>
      </c>
      <c r="M12" s="33"/>
      <c r="N12" s="33"/>
      <c r="P12" s="164"/>
      <c r="Q12" s="165"/>
      <c r="R12" s="165"/>
      <c r="S12" s="166"/>
      <c r="T12" s="167"/>
      <c r="U12" s="166"/>
      <c r="V12" s="165"/>
      <c r="W12" s="166"/>
      <c r="X12" s="168"/>
      <c r="Y12" s="169"/>
      <c r="Z12" s="169"/>
      <c r="AA12" s="170"/>
      <c r="AB12" s="169"/>
      <c r="AC12" s="169"/>
      <c r="AD12" s="169"/>
      <c r="AE12" s="169"/>
      <c r="AF12" s="169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</row>
    <row r="13" spans="1:64" x14ac:dyDescent="0.2">
      <c r="A13" s="62"/>
      <c r="B13" s="16">
        <f t="shared" si="0"/>
        <v>68</v>
      </c>
      <c r="C13" s="16" t="s">
        <v>20</v>
      </c>
      <c r="D13" s="24" t="s">
        <v>47</v>
      </c>
      <c r="E13" s="40">
        <f t="shared" si="2"/>
        <v>42137</v>
      </c>
      <c r="F13" s="40">
        <f>_xll.qlCalendarAdvance(Calendar,E13,"2D","f",FALSE)</f>
        <v>42142</v>
      </c>
      <c r="G13" s="40">
        <f>_xll.qlCalendarAdvance(Calendar,F13,IF(C13="SN","1D",IF(C13="SW","1W",C13)),"mf",TRUE)</f>
        <v>42205</v>
      </c>
      <c r="H13" s="39">
        <f>_xll.qlOvernightIndexedSwapFairRate(L13,InterestRateTrigger)</f>
        <v>-3.1300000015984813E-3</v>
      </c>
      <c r="I13" s="30" t="str">
        <f>Contribution!M13</f>
        <v>SEKON2MD=</v>
      </c>
      <c r="J13" s="30" t="s">
        <v>84</v>
      </c>
      <c r="K13" s="51"/>
      <c r="L13" s="24" t="str">
        <f>_xll.qlMakeOIS(,2,IF(C13="SN","1D",IF(C13="SW","1W",C13)),OvernightIndex,,"0D",,,,Trigger)</f>
        <v>obj_0030f#0001</v>
      </c>
      <c r="M13" s="33"/>
      <c r="N13" s="33"/>
      <c r="P13" s="164"/>
      <c r="Q13" s="165"/>
      <c r="R13" s="165"/>
      <c r="S13" s="166"/>
      <c r="T13" s="167"/>
      <c r="U13" s="166"/>
      <c r="V13" s="165"/>
      <c r="W13" s="166"/>
      <c r="X13" s="168"/>
      <c r="Y13" s="169"/>
      <c r="Z13" s="169"/>
      <c r="AA13" s="170"/>
      <c r="AB13" s="169"/>
      <c r="AC13" s="169"/>
      <c r="AD13" s="169"/>
      <c r="AE13" s="169"/>
      <c r="AF13" s="169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spans="1:64" x14ac:dyDescent="0.2">
      <c r="A14" s="62"/>
      <c r="B14" s="173">
        <f t="shared" si="0"/>
        <v>97</v>
      </c>
      <c r="C14" s="173" t="s">
        <v>21</v>
      </c>
      <c r="D14" s="174" t="s">
        <v>47</v>
      </c>
      <c r="E14" s="175">
        <f t="shared" si="2"/>
        <v>42137</v>
      </c>
      <c r="F14" s="175">
        <f>_xll.qlCalendarAdvance(Calendar,E14,"2D","f",FALSE)</f>
        <v>42142</v>
      </c>
      <c r="G14" s="175">
        <f>_xll.qlCalendarAdvance(Calendar,F14,IF(C14="SN","1D",IF(C14="SW","1W",C14)),"mf",TRUE)</f>
        <v>42234</v>
      </c>
      <c r="H14" s="176">
        <f>_xll.qlOvernightIndexedSwapFairRate(L14,InterestRateTrigger)</f>
        <v>-3.3400000000004203E-3</v>
      </c>
      <c r="I14" s="177" t="str">
        <f>Contribution!M14</f>
        <v>SEKON3MD=</v>
      </c>
      <c r="J14" s="177" t="s">
        <v>85</v>
      </c>
      <c r="K14" s="51"/>
      <c r="L14" s="24" t="str">
        <f>_xll.qlMakeOIS(,2,IF(C14="SN","1D",IF(C14="SW","1W",C14)),OvernightIndex,,"0D",,,,Trigger)</f>
        <v>obj_0030c#0001</v>
      </c>
      <c r="M14" s="33"/>
      <c r="N14" s="33"/>
      <c r="P14" s="164"/>
      <c r="Q14" s="165"/>
      <c r="R14" s="165"/>
      <c r="S14" s="166"/>
      <c r="T14" s="167"/>
      <c r="U14" s="166"/>
      <c r="V14" s="165"/>
      <c r="W14" s="166"/>
      <c r="X14" s="168"/>
      <c r="Y14" s="169"/>
      <c r="Z14" s="169"/>
      <c r="AA14" s="170"/>
      <c r="AB14" s="169"/>
      <c r="AC14" s="169"/>
      <c r="AD14" s="169"/>
      <c r="AE14" s="169"/>
      <c r="AF14" s="169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spans="1:64" x14ac:dyDescent="0.2">
      <c r="A15" s="62"/>
      <c r="B15" s="16">
        <f t="shared" si="0"/>
        <v>128</v>
      </c>
      <c r="C15" s="16" t="s">
        <v>22</v>
      </c>
      <c r="D15" s="24" t="s">
        <v>47</v>
      </c>
      <c r="E15" s="40">
        <f t="shared" si="2"/>
        <v>42137</v>
      </c>
      <c r="F15" s="40">
        <f>_xll.qlCalendarAdvance(Calendar,E15,"2D","f",FALSE)</f>
        <v>42142</v>
      </c>
      <c r="G15" s="40">
        <f>_xll.qlCalendarAdvance(Calendar,F15,IF(C15="SN","1D",IF(C15="SW","1W",C15)),"mf",TRUE)</f>
        <v>42265</v>
      </c>
      <c r="H15" s="39">
        <f>_xll.qlOvernightIndexedSwapFairRate(L15,InterestRateTrigger)</f>
        <v>-3.4400000000002454E-3</v>
      </c>
      <c r="I15" s="30" t="str">
        <f>Contribution!M15</f>
        <v>SEKON4MD=</v>
      </c>
      <c r="J15" s="30" t="s">
        <v>86</v>
      </c>
      <c r="K15" s="51"/>
      <c r="L15" s="24" t="str">
        <f>_xll.qlMakeOIS(,2,IF(C15="SN","1D",IF(C15="SW","1W",C15)),OvernightIndex,,"0D",,,,Trigger)</f>
        <v>obj_0031b#0001</v>
      </c>
      <c r="M15" s="33"/>
      <c r="N15" s="33"/>
      <c r="P15" s="164"/>
      <c r="Q15" s="165"/>
      <c r="R15" s="165"/>
      <c r="S15" s="166"/>
      <c r="T15" s="167"/>
      <c r="U15" s="166"/>
      <c r="V15" s="165"/>
      <c r="W15" s="166"/>
      <c r="X15" s="168"/>
      <c r="Y15" s="169"/>
      <c r="Z15" s="169"/>
      <c r="AA15" s="170"/>
      <c r="AB15" s="169"/>
      <c r="AC15" s="169"/>
      <c r="AD15" s="169"/>
      <c r="AE15" s="169"/>
      <c r="AF15" s="169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</row>
    <row r="16" spans="1:64" x14ac:dyDescent="0.2">
      <c r="A16" s="62"/>
      <c r="B16" s="16">
        <f t="shared" si="0"/>
        <v>159</v>
      </c>
      <c r="C16" s="16" t="s">
        <v>23</v>
      </c>
      <c r="D16" s="24" t="s">
        <v>47</v>
      </c>
      <c r="E16" s="40">
        <f t="shared" si="2"/>
        <v>42137</v>
      </c>
      <c r="F16" s="40">
        <f>_xll.qlCalendarAdvance(Calendar,E16,"2D","f",FALSE)</f>
        <v>42142</v>
      </c>
      <c r="G16" s="40">
        <f>_xll.qlCalendarAdvance(Calendar,F16,IF(C16="SN","1D",IF(C16="SW","1W",C16)),"mf",TRUE)</f>
        <v>42296</v>
      </c>
      <c r="H16" s="39">
        <f>_xll.qlOvernightIndexedSwapFairRate(L16,InterestRateTrigger)</f>
        <v>-3.460000000000036E-3</v>
      </c>
      <c r="I16" s="30" t="str">
        <f>Contribution!M16</f>
        <v>SEKON5MD=</v>
      </c>
      <c r="J16" s="30" t="s">
        <v>87</v>
      </c>
      <c r="K16" s="51"/>
      <c r="L16" s="24" t="str">
        <f>_xll.qlMakeOIS(,2,IF(C16="SN","1D",IF(C16="SW","1W",C16)),OvernightIndex,,"0D",,,,Trigger)</f>
        <v>obj_00308#0001</v>
      </c>
      <c r="M16" s="33"/>
      <c r="N16" s="33"/>
      <c r="P16" s="164"/>
      <c r="Q16" s="165"/>
      <c r="R16" s="165"/>
      <c r="S16" s="166"/>
      <c r="T16" s="167"/>
      <c r="U16" s="166"/>
      <c r="V16" s="165"/>
      <c r="W16" s="166"/>
      <c r="X16" s="168"/>
      <c r="Y16" s="169"/>
      <c r="Z16" s="169"/>
      <c r="AA16" s="170"/>
      <c r="AB16" s="169"/>
      <c r="AC16" s="169"/>
      <c r="AD16" s="169"/>
      <c r="AE16" s="169"/>
      <c r="AF16" s="169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</row>
    <row r="17" spans="1:64" x14ac:dyDescent="0.2">
      <c r="A17" s="62"/>
      <c r="B17" s="173">
        <f t="shared" si="0"/>
        <v>189</v>
      </c>
      <c r="C17" s="173" t="s">
        <v>14</v>
      </c>
      <c r="D17" s="174" t="s">
        <v>47</v>
      </c>
      <c r="E17" s="175">
        <f t="shared" si="2"/>
        <v>42137</v>
      </c>
      <c r="F17" s="175">
        <f>_xll.qlCalendarAdvance(Calendar,E17,"2D","f",FALSE)</f>
        <v>42142</v>
      </c>
      <c r="G17" s="175">
        <f>_xll.qlCalendarAdvance(Calendar,F17,IF(C17="SN","1D",IF(C17="SW","1W",C17)),"mf",TRUE)</f>
        <v>42326</v>
      </c>
      <c r="H17" s="176">
        <f>_xll.qlOvernightIndexedSwapFairRate(L17,InterestRateTrigger)</f>
        <v>-3.519999999999949E-3</v>
      </c>
      <c r="I17" s="177" t="str">
        <f>Contribution!M17</f>
        <v>SEKON6MD=</v>
      </c>
      <c r="J17" s="177" t="s">
        <v>88</v>
      </c>
      <c r="K17" s="51"/>
      <c r="L17" s="24" t="str">
        <f>_xll.qlMakeOIS(,2,IF(C17="SN","1D",IF(C17="SW","1W",C17)),OvernightIndex,,"0D",,,,Trigger)</f>
        <v>obj_0031a#0001</v>
      </c>
      <c r="M17" s="33"/>
      <c r="N17" s="33"/>
      <c r="P17" s="164"/>
      <c r="Q17" s="165"/>
      <c r="R17" s="165"/>
      <c r="S17" s="166"/>
      <c r="T17" s="167"/>
      <c r="U17" s="166"/>
      <c r="V17" s="165"/>
      <c r="W17" s="166"/>
      <c r="X17" s="168"/>
      <c r="Y17" s="169"/>
      <c r="Z17" s="169"/>
      <c r="AA17" s="170"/>
      <c r="AB17" s="169"/>
      <c r="AC17" s="169"/>
      <c r="AD17" s="169"/>
      <c r="AE17" s="169"/>
      <c r="AF17" s="169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spans="1:64" x14ac:dyDescent="0.2">
      <c r="A18" s="62"/>
      <c r="B18" s="17">
        <f t="shared" si="0"/>
        <v>281</v>
      </c>
      <c r="C18" s="17" t="s">
        <v>24</v>
      </c>
      <c r="D18" s="26" t="s">
        <v>47</v>
      </c>
      <c r="E18" s="41">
        <f t="shared" si="2"/>
        <v>42137</v>
      </c>
      <c r="F18" s="41">
        <f>_xll.qlCalendarAdvance(Calendar,E18,"2D","f",FALSE)</f>
        <v>42142</v>
      </c>
      <c r="G18" s="41">
        <f>_xll.qlCalendarAdvance(Calendar,F18,IF(C18="SN","1D",IF(C18="SW","1W",C18)),"mf",TRUE)</f>
        <v>42418</v>
      </c>
      <c r="H18" s="42">
        <f>_xll.qlOvernightIndexedSwapFairRate(L18,InterestRateTrigger)</f>
        <v>-3.5300000000000418E-3</v>
      </c>
      <c r="I18" s="32" t="str">
        <f>Contribution!M18</f>
        <v>SEKON9MD=</v>
      </c>
      <c r="J18" s="32" t="s">
        <v>89</v>
      </c>
      <c r="K18" s="51"/>
      <c r="L18" s="26" t="str">
        <f>_xll.qlMakeOIS(,2,IF(C18="SN","1D",IF(C18="SW","1W",C18)),OvernightIndex,,"0D",,,,Trigger)</f>
        <v>obj_00315#0001</v>
      </c>
      <c r="M18" s="33"/>
      <c r="N18" s="33"/>
      <c r="P18" s="164"/>
      <c r="Q18" s="165"/>
      <c r="R18" s="165"/>
      <c r="S18" s="166"/>
      <c r="T18" s="167"/>
      <c r="U18" s="166"/>
      <c r="V18" s="165"/>
      <c r="W18" s="166"/>
      <c r="X18" s="168"/>
      <c r="Y18" s="169"/>
      <c r="Z18" s="169"/>
      <c r="AA18" s="170"/>
      <c r="AB18" s="169"/>
      <c r="AC18" s="169"/>
      <c r="AD18" s="169"/>
      <c r="AE18" s="169"/>
      <c r="AF18" s="169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4"/>
      <c r="Q19" s="165"/>
      <c r="R19" s="165"/>
      <c r="S19" s="166"/>
      <c r="T19" s="167"/>
      <c r="U19" s="166"/>
      <c r="V19" s="165"/>
      <c r="W19" s="166"/>
      <c r="X19" s="168"/>
      <c r="Y19" s="169"/>
      <c r="Z19" s="169"/>
      <c r="AA19" s="170"/>
      <c r="AB19" s="169"/>
      <c r="AC19" s="169"/>
      <c r="AD19" s="169"/>
      <c r="AE19" s="169"/>
      <c r="AF19" s="169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4"/>
      <c r="Q20" s="165"/>
      <c r="R20" s="165"/>
      <c r="S20" s="166"/>
      <c r="T20" s="167"/>
      <c r="U20" s="166"/>
      <c r="V20" s="165"/>
      <c r="W20" s="166"/>
      <c r="X20" s="168"/>
      <c r="Y20" s="169"/>
      <c r="Z20" s="169"/>
      <c r="AA20" s="170"/>
      <c r="AB20" s="169"/>
      <c r="AC20" s="169"/>
      <c r="AD20" s="169"/>
      <c r="AE20" s="169"/>
      <c r="AF20" s="169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4"/>
      <c r="Q21" s="165"/>
      <c r="R21" s="165"/>
      <c r="S21" s="166"/>
      <c r="T21" s="167"/>
      <c r="U21" s="166"/>
      <c r="V21" s="165"/>
      <c r="W21" s="166"/>
      <c r="X21" s="168"/>
      <c r="Y21" s="169"/>
      <c r="Z21" s="169"/>
      <c r="AA21" s="170"/>
      <c r="AB21" s="169"/>
      <c r="AC21" s="169"/>
      <c r="AD21" s="169"/>
      <c r="AE21" s="169"/>
      <c r="AF21" s="169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4"/>
      <c r="Q22" s="165"/>
      <c r="R22" s="165"/>
      <c r="S22" s="166"/>
      <c r="T22" s="167"/>
      <c r="U22" s="166"/>
      <c r="V22" s="165"/>
      <c r="W22" s="166"/>
      <c r="X22" s="168"/>
      <c r="Y22" s="169"/>
      <c r="Z22" s="169"/>
      <c r="AA22" s="170"/>
      <c r="AB22" s="169"/>
      <c r="AC22" s="169"/>
      <c r="AD22" s="169"/>
      <c r="AE22" s="169"/>
      <c r="AF22" s="169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4"/>
      <c r="Q23" s="165"/>
      <c r="R23" s="165"/>
      <c r="S23" s="166"/>
      <c r="T23" s="167"/>
      <c r="U23" s="166"/>
      <c r="V23" s="165"/>
      <c r="W23" s="166"/>
      <c r="X23" s="168"/>
      <c r="Y23" s="169"/>
      <c r="Z23" s="169"/>
      <c r="AA23" s="170"/>
      <c r="AB23" s="169"/>
      <c r="AC23" s="169"/>
      <c r="AD23" s="169"/>
      <c r="AE23" s="169"/>
      <c r="AF23" s="169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</row>
    <row r="24" spans="1:64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51"/>
      <c r="L24" s="33"/>
      <c r="M24" s="33"/>
      <c r="N24" s="33"/>
      <c r="P24" s="164"/>
      <c r="Q24" s="165"/>
      <c r="R24" s="165"/>
      <c r="S24" s="166"/>
      <c r="T24" s="167"/>
      <c r="U24" s="166"/>
      <c r="V24" s="165"/>
      <c r="W24" s="166"/>
      <c r="X24" s="168"/>
      <c r="Y24" s="169"/>
      <c r="Z24" s="169"/>
      <c r="AA24" s="170"/>
      <c r="AB24" s="169"/>
      <c r="AC24" s="169"/>
      <c r="AD24" s="169"/>
      <c r="AE24" s="169"/>
      <c r="AF24" s="169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</row>
    <row r="25" spans="1:64" x14ac:dyDescent="0.2">
      <c r="A25" s="62"/>
      <c r="B25" s="15"/>
      <c r="C25" s="15" t="s">
        <v>25</v>
      </c>
      <c r="D25" s="23" t="s">
        <v>47</v>
      </c>
      <c r="E25" s="37">
        <f t="shared" ref="E25:E39" si="3">EvaluationDate</f>
        <v>42137</v>
      </c>
      <c r="F25" s="37">
        <f>_xll.qlCalendarAdvance(Calendar,E25,"2D","f",FALSE)</f>
        <v>42142</v>
      </c>
      <c r="G25" s="37">
        <f>_xll.qlCalendarAdvance(Calendar,F25,IF(C25="SN","1D",IF(C25="SW","1W",C25)),"mf",TRUE)</f>
        <v>42508</v>
      </c>
      <c r="H25" s="38">
        <f>_xll.qlOvernightIndexedSwapFairRate(L25,InterestRateTrigger)</f>
        <v>-3.5199999999998436E-3</v>
      </c>
      <c r="I25" s="31" t="str">
        <f>Contribution!M25</f>
        <v>SEKON1YD=</v>
      </c>
      <c r="J25" s="31" t="s">
        <v>90</v>
      </c>
      <c r="K25" s="50"/>
      <c r="L25" s="23" t="str">
        <f>_xll.qlMakeOIS(,2,IF(C25="SN","1D",IF(C25="SW","1W",C25)),OvernightIndex,,"0D",,,,Trigger)</f>
        <v>obj_00317#0005</v>
      </c>
      <c r="M25" s="33"/>
      <c r="N25" s="33"/>
      <c r="P25" s="164"/>
      <c r="Q25" s="165"/>
      <c r="R25" s="165"/>
      <c r="S25" s="166"/>
      <c r="T25" s="167"/>
      <c r="U25" s="166"/>
      <c r="V25" s="165"/>
      <c r="W25" s="166"/>
      <c r="X25" s="168"/>
      <c r="Y25" s="169"/>
      <c r="Z25" s="169"/>
      <c r="AA25" s="170"/>
      <c r="AB25" s="169"/>
      <c r="AC25" s="169"/>
      <c r="AD25" s="169"/>
      <c r="AE25" s="169"/>
      <c r="AF25" s="169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spans="1:64" x14ac:dyDescent="0.2">
      <c r="A26" s="62"/>
      <c r="B26" s="16"/>
      <c r="C26" s="16" t="s">
        <v>26</v>
      </c>
      <c r="D26" s="24" t="s">
        <v>47</v>
      </c>
      <c r="E26" s="40">
        <f t="shared" si="3"/>
        <v>42137</v>
      </c>
      <c r="F26" s="40">
        <f>_xll.qlCalendarAdvance(Calendar,E26,"2D","f",FALSE)</f>
        <v>42142</v>
      </c>
      <c r="G26" s="40">
        <f>_xll.qlCalendarAdvance(Calendar,F26,IF(C26="SN","1D",IF(C26="SW","1W",C26)),"mf",TRUE)</f>
        <v>42873</v>
      </c>
      <c r="H26" s="39">
        <f>_xll.qlOvernightIndexedSwapFairRate(L26,InterestRateTrigger)</f>
        <v>-2.474999999999962E-3</v>
      </c>
      <c r="I26" s="30" t="str">
        <f>Contribution!M26</f>
        <v>SEKON2YD=</v>
      </c>
      <c r="J26" s="30" t="s">
        <v>91</v>
      </c>
      <c r="K26" s="50"/>
      <c r="L26" s="24" t="str">
        <f>_xll.qlMakeOIS(,2,IF(C26="SN","1D",IF(C26="SW","1W",C26)),OvernightIndex,,"0D",,,,Trigger)</f>
        <v>obj_0030e#0001</v>
      </c>
      <c r="M26" s="33"/>
      <c r="N26" s="33"/>
      <c r="P26" s="164"/>
      <c r="Q26" s="165"/>
      <c r="R26" s="165"/>
      <c r="S26" s="166"/>
      <c r="T26" s="167"/>
      <c r="U26" s="166"/>
      <c r="V26" s="165"/>
      <c r="W26" s="166"/>
      <c r="X26" s="168"/>
      <c r="Y26" s="169"/>
      <c r="Z26" s="169"/>
      <c r="AA26" s="170"/>
      <c r="AB26" s="169"/>
      <c r="AC26" s="169"/>
      <c r="AD26" s="169"/>
      <c r="AE26" s="169"/>
      <c r="AF26" s="169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spans="1:64" x14ac:dyDescent="0.2">
      <c r="A27" s="62"/>
      <c r="B27" s="16"/>
      <c r="C27" s="16" t="s">
        <v>27</v>
      </c>
      <c r="D27" s="24" t="s">
        <v>47</v>
      </c>
      <c r="E27" s="40">
        <f t="shared" si="3"/>
        <v>42137</v>
      </c>
      <c r="F27" s="40">
        <f>_xll.qlCalendarAdvance(Calendar,E27,"2D","f",FALSE)</f>
        <v>42142</v>
      </c>
      <c r="G27" s="40">
        <f>_xll.qlCalendarAdvance(Calendar,F27,IF(C27="SN","1D",IF(C27="SW","1W",C27)),"mf",TRUE)</f>
        <v>43238</v>
      </c>
      <c r="H27" s="39">
        <f>_xll.qlOvernightIndexedSwapFairRate(L27,InterestRateTrigger)</f>
        <v>-6.0000000000002369E-4</v>
      </c>
      <c r="I27" s="30" t="str">
        <f>Contribution!M27</f>
        <v>SEKON3YD=</v>
      </c>
      <c r="J27" s="30" t="s">
        <v>92</v>
      </c>
      <c r="K27" s="50"/>
      <c r="L27" s="24" t="str">
        <f>_xll.qlMakeOIS(,2,IF(C27="SN","1D",IF(C27="SW","1W",C27)),OvernightIndex,,"0D",,,,Trigger)</f>
        <v>obj_00307#0001</v>
      </c>
      <c r="M27" s="33"/>
      <c r="N27" s="33"/>
      <c r="P27" s="164"/>
      <c r="Q27" s="165"/>
      <c r="R27" s="165"/>
      <c r="S27" s="166"/>
      <c r="T27" s="167"/>
      <c r="U27" s="166"/>
      <c r="V27" s="165"/>
      <c r="W27" s="166"/>
      <c r="X27" s="168"/>
      <c r="Y27" s="169"/>
      <c r="Z27" s="169"/>
      <c r="AA27" s="170"/>
      <c r="AB27" s="169"/>
      <c r="AC27" s="169"/>
      <c r="AD27" s="169"/>
      <c r="AE27" s="169"/>
      <c r="AF27" s="169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</row>
    <row r="28" spans="1:64" x14ac:dyDescent="0.2">
      <c r="A28" s="62"/>
      <c r="B28" s="16"/>
      <c r="C28" s="16" t="s">
        <v>28</v>
      </c>
      <c r="D28" s="24" t="s">
        <v>47</v>
      </c>
      <c r="E28" s="40">
        <f t="shared" si="3"/>
        <v>42137</v>
      </c>
      <c r="F28" s="40">
        <f>_xll.qlCalendarAdvance(Calendar,E28,"2D","f",FALSE)</f>
        <v>42142</v>
      </c>
      <c r="G28" s="40">
        <f>_xll.qlCalendarAdvance(Calendar,F28,IF(C28="SN","1D",IF(C28="SW","1W",C28)),"mf",TRUE)</f>
        <v>43605</v>
      </c>
      <c r="H28" s="39">
        <f>_xll.qlOvernightIndexedSwapFairRate(L28,InterestRateTrigger)</f>
        <v>1.4999999999999744E-3</v>
      </c>
      <c r="I28" s="30" t="str">
        <f>Contribution!M28</f>
        <v>SEKON4YD=</v>
      </c>
      <c r="J28" s="46" t="s">
        <v>93</v>
      </c>
      <c r="K28" s="50"/>
      <c r="L28" s="24" t="str">
        <f>_xll.qlMakeOIS(,2,IF(C28="SN","1D",IF(C28="SW","1W",C28)),OvernightIndex,,"0D",,,,Trigger)</f>
        <v>obj_00319#0001</v>
      </c>
      <c r="M28" s="33"/>
      <c r="N28" s="33"/>
      <c r="P28" s="164"/>
      <c r="Q28" s="165"/>
      <c r="R28" s="165"/>
      <c r="S28" s="166"/>
      <c r="T28" s="167"/>
      <c r="U28" s="166"/>
      <c r="V28" s="165"/>
      <c r="W28" s="166"/>
      <c r="X28" s="168"/>
      <c r="Y28" s="169"/>
      <c r="Z28" s="169"/>
      <c r="AA28" s="170"/>
      <c r="AB28" s="169"/>
      <c r="AC28" s="169"/>
      <c r="AD28" s="169"/>
      <c r="AE28" s="169"/>
      <c r="AF28" s="169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</row>
    <row r="29" spans="1:64" x14ac:dyDescent="0.2">
      <c r="A29" s="62"/>
      <c r="B29" s="16"/>
      <c r="C29" s="16" t="s">
        <v>29</v>
      </c>
      <c r="D29" s="24" t="s">
        <v>47</v>
      </c>
      <c r="E29" s="40">
        <f t="shared" si="3"/>
        <v>42137</v>
      </c>
      <c r="F29" s="40">
        <f>_xll.qlCalendarAdvance(Calendar,E29,"2D","f",FALSE)</f>
        <v>42142</v>
      </c>
      <c r="G29" s="40">
        <f>_xll.qlCalendarAdvance(Calendar,F29,IF(C29="SN","1D",IF(C29="SW","1W",C29)),"mf",TRUE)</f>
        <v>43969</v>
      </c>
      <c r="H29" s="39">
        <f>_xll.qlOvernightIndexedSwapFairRate(L29,InterestRateTrigger)</f>
        <v>3.7750000000000257E-3</v>
      </c>
      <c r="I29" s="30" t="str">
        <f>Contribution!M29</f>
        <v>SEKON5YD=</v>
      </c>
      <c r="J29" s="46" t="s">
        <v>94</v>
      </c>
      <c r="K29" s="50"/>
      <c r="L29" s="24" t="str">
        <f>_xll.qlMakeOIS(,2,IF(C29="SN","1D",IF(C29="SW","1W",C29)),OvernightIndex,,"0D",,,,Trigger)</f>
        <v>obj_00313#0001</v>
      </c>
      <c r="M29" s="33"/>
      <c r="N29" s="33"/>
      <c r="P29" s="164"/>
      <c r="Q29" s="165"/>
      <c r="R29" s="165"/>
      <c r="S29" s="166"/>
      <c r="T29" s="167"/>
      <c r="U29" s="166"/>
      <c r="V29" s="165"/>
      <c r="W29" s="166"/>
      <c r="X29" s="168"/>
      <c r="Y29" s="169"/>
      <c r="Z29" s="169"/>
      <c r="AA29" s="170"/>
      <c r="AB29" s="169"/>
      <c r="AC29" s="169"/>
      <c r="AD29" s="169"/>
      <c r="AE29" s="169"/>
      <c r="AF29" s="169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spans="1:64" x14ac:dyDescent="0.2">
      <c r="A30" s="62"/>
      <c r="B30" s="16"/>
      <c r="C30" s="16" t="s">
        <v>30</v>
      </c>
      <c r="D30" s="24" t="s">
        <v>47</v>
      </c>
      <c r="E30" s="40">
        <f t="shared" si="3"/>
        <v>42137</v>
      </c>
      <c r="F30" s="40">
        <f>_xll.qlCalendarAdvance(Calendar,E30,"2D","f",FALSE)</f>
        <v>42142</v>
      </c>
      <c r="G30" s="40">
        <f>_xll.qlCalendarAdvance(Calendar,F30,IF(C30="SN","1D",IF(C30="SW","1W",C30)),"mf",TRUE)</f>
        <v>44334</v>
      </c>
      <c r="H30" s="39">
        <f>_xll.qlOvernightIndexedSwapFairRate(L30,InterestRateTrigger)</f>
        <v>5.8750000000001024E-3</v>
      </c>
      <c r="I30" s="30" t="str">
        <f>Contribution!M30</f>
        <v>SEKON6YD=</v>
      </c>
      <c r="J30" s="46" t="s">
        <v>95</v>
      </c>
      <c r="K30" s="50"/>
      <c r="L30" s="24" t="str">
        <f>_xll.qlMakeOIS(,2,IF(C30="SN","1D",IF(C30="SW","1W",C30)),OvernightIndex,,"0D",,,,Trigger)</f>
        <v>obj_0030d#0001</v>
      </c>
      <c r="M30" s="33"/>
      <c r="N30" s="33"/>
      <c r="P30" s="164"/>
      <c r="Q30" s="165"/>
      <c r="R30" s="165"/>
      <c r="S30" s="166"/>
      <c r="T30" s="167"/>
      <c r="U30" s="166"/>
      <c r="V30" s="165"/>
      <c r="W30" s="166"/>
      <c r="X30" s="168"/>
      <c r="Y30" s="169"/>
      <c r="Z30" s="169"/>
      <c r="AA30" s="170"/>
      <c r="AB30" s="169"/>
      <c r="AC30" s="169"/>
      <c r="AD30" s="169"/>
      <c r="AE30" s="169"/>
      <c r="AF30" s="169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spans="1:64" x14ac:dyDescent="0.2">
      <c r="A31" s="62"/>
      <c r="B31" s="16"/>
      <c r="C31" s="16" t="s">
        <v>31</v>
      </c>
      <c r="D31" s="24" t="s">
        <v>47</v>
      </c>
      <c r="E31" s="40">
        <f t="shared" si="3"/>
        <v>42137</v>
      </c>
      <c r="F31" s="40">
        <f>_xll.qlCalendarAdvance(Calendar,E31,"2D","f",FALSE)</f>
        <v>42142</v>
      </c>
      <c r="G31" s="40">
        <f>_xll.qlCalendarAdvance(Calendar,F31,IF(C31="SN","1D",IF(C31="SW","1W",C31)),"mf",TRUE)</f>
        <v>44699</v>
      </c>
      <c r="H31" s="39">
        <f>_xll.qlOvernightIndexedSwapFairRate(L31,InterestRateTrigger)</f>
        <v>7.7750000000000171E-3</v>
      </c>
      <c r="I31" s="30" t="str">
        <f>Contribution!M31</f>
        <v>SEKON7YD=</v>
      </c>
      <c r="J31" s="46" t="s">
        <v>96</v>
      </c>
      <c r="K31" s="50"/>
      <c r="L31" s="24" t="str">
        <f>_xll.qlMakeOIS(,2,IF(C31="SN","1D",IF(C31="SW","1W",C31)),OvernightIndex,,"0D",,,,Trigger)</f>
        <v>obj_00306#0001</v>
      </c>
      <c r="M31" s="33"/>
      <c r="N31" s="33"/>
      <c r="P31" s="164"/>
      <c r="Q31" s="165"/>
      <c r="R31" s="165"/>
      <c r="S31" s="166"/>
      <c r="T31" s="167"/>
      <c r="U31" s="166"/>
      <c r="V31" s="165"/>
      <c r="W31" s="166"/>
      <c r="X31" s="168"/>
      <c r="Y31" s="169"/>
      <c r="Z31" s="169"/>
      <c r="AA31" s="170"/>
      <c r="AB31" s="169"/>
      <c r="AC31" s="169"/>
      <c r="AD31" s="169"/>
      <c r="AE31" s="169"/>
      <c r="AF31" s="169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</row>
    <row r="32" spans="1:64" x14ac:dyDescent="0.2">
      <c r="A32" s="62"/>
      <c r="B32" s="16"/>
      <c r="C32" s="16" t="s">
        <v>32</v>
      </c>
      <c r="D32" s="24" t="s">
        <v>47</v>
      </c>
      <c r="E32" s="40">
        <f t="shared" si="3"/>
        <v>42137</v>
      </c>
      <c r="F32" s="40">
        <f>_xll.qlCalendarAdvance(Calendar,E32,"2D","f",FALSE)</f>
        <v>42142</v>
      </c>
      <c r="G32" s="40">
        <f>_xll.qlCalendarAdvance(Calendar,F32,IF(C32="SN","1D",IF(C32="SW","1W",C32)),"mf",TRUE)</f>
        <v>45065</v>
      </c>
      <c r="H32" s="39">
        <f>_xll.qlOvernightIndexedSwapFairRate(L32,InterestRateTrigger)</f>
        <v>9.3500000000000787E-3</v>
      </c>
      <c r="I32" s="30" t="str">
        <f>Contribution!M32</f>
        <v>SEKON8YD=</v>
      </c>
      <c r="J32" s="46" t="s">
        <v>97</v>
      </c>
      <c r="K32" s="50"/>
      <c r="L32" s="24" t="str">
        <f>_xll.qlMakeOIS(,2,IF(C32="SN","1D",IF(C32="SW","1W",C32)),OvernightIndex,,"0D",,,,Trigger)</f>
        <v>obj_00314#0001</v>
      </c>
      <c r="M32" s="33"/>
      <c r="N32" s="33"/>
      <c r="P32" s="164"/>
      <c r="Q32" s="165"/>
      <c r="R32" s="165"/>
      <c r="S32" s="166"/>
      <c r="T32" s="167"/>
      <c r="U32" s="166"/>
      <c r="V32" s="165"/>
      <c r="W32" s="166"/>
      <c r="X32" s="168"/>
      <c r="Y32" s="169"/>
      <c r="Z32" s="169"/>
      <c r="AA32" s="170"/>
      <c r="AB32" s="169"/>
      <c r="AC32" s="169"/>
      <c r="AD32" s="169"/>
      <c r="AE32" s="169"/>
      <c r="AF32" s="169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</row>
    <row r="33" spans="1:64" x14ac:dyDescent="0.2">
      <c r="A33" s="62"/>
      <c r="B33" s="16"/>
      <c r="C33" s="16" t="s">
        <v>33</v>
      </c>
      <c r="D33" s="24" t="s">
        <v>47</v>
      </c>
      <c r="E33" s="40">
        <f t="shared" si="3"/>
        <v>42137</v>
      </c>
      <c r="F33" s="40">
        <f>_xll.qlCalendarAdvance(Calendar,E33,"2D","f",FALSE)</f>
        <v>42142</v>
      </c>
      <c r="G33" s="40">
        <f>_xll.qlCalendarAdvance(Calendar,F33,IF(C33="SN","1D",IF(C33="SW","1W",C33)),"mf",TRUE)</f>
        <v>45433</v>
      </c>
      <c r="H33" s="39">
        <f>_xll.qlOvernightIndexedSwapFairRate(L33,InterestRateTrigger)</f>
        <v>1.062499999999999E-2</v>
      </c>
      <c r="I33" s="30" t="str">
        <f>Contribution!M33</f>
        <v>SEKON9YD=</v>
      </c>
      <c r="J33" s="30" t="s">
        <v>98</v>
      </c>
      <c r="K33" s="50"/>
      <c r="L33" s="24" t="str">
        <f>_xll.qlMakeOIS(,2,IF(C33="SN","1D",IF(C33="SW","1W",C33)),OvernightIndex,,"0D",,,,Trigger)</f>
        <v>obj_00311#0001</v>
      </c>
      <c r="M33" s="33"/>
      <c r="N33" s="33"/>
      <c r="P33" s="164"/>
      <c r="Q33" s="165"/>
      <c r="R33" s="165"/>
      <c r="S33" s="166"/>
      <c r="T33" s="167"/>
      <c r="U33" s="166"/>
      <c r="V33" s="165"/>
      <c r="W33" s="166"/>
      <c r="X33" s="168"/>
      <c r="Y33" s="169"/>
      <c r="Z33" s="169"/>
      <c r="AA33" s="170"/>
      <c r="AB33" s="169"/>
      <c r="AC33" s="169"/>
      <c r="AD33" s="169"/>
      <c r="AE33" s="169"/>
      <c r="AF33" s="169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spans="1:64" x14ac:dyDescent="0.2">
      <c r="A34" s="62"/>
      <c r="B34" s="16"/>
      <c r="C34" s="16" t="s">
        <v>34</v>
      </c>
      <c r="D34" s="24" t="s">
        <v>47</v>
      </c>
      <c r="E34" s="40">
        <f t="shared" si="3"/>
        <v>42137</v>
      </c>
      <c r="F34" s="40">
        <f>_xll.qlCalendarAdvance(Calendar,E34,"2D","f",FALSE)</f>
        <v>42142</v>
      </c>
      <c r="G34" s="40">
        <f>_xll.qlCalendarAdvance(Calendar,F34,IF(C34="SN","1D",IF(C34="SW","1W",C34)),"mf",TRUE)</f>
        <v>45796</v>
      </c>
      <c r="H34" s="39">
        <f>_xll.qlOvernightIndexedSwapFairRate(L34,InterestRateTrigger)</f>
        <v>1.1600000000000058E-2</v>
      </c>
      <c r="I34" s="30" t="str">
        <f>Contribution!M34</f>
        <v>SEKON10YD=</v>
      </c>
      <c r="J34" s="30" t="s">
        <v>99</v>
      </c>
      <c r="K34" s="50"/>
      <c r="L34" s="24" t="str">
        <f>_xll.qlMakeOIS(,2,IF(C34="SN","1D",IF(C34="SW","1W",C34)),OvernightIndex,,"0D",,,,Trigger)</f>
        <v>obj_0030b#0001</v>
      </c>
      <c r="M34" s="33"/>
      <c r="N34" s="33"/>
      <c r="P34" s="164"/>
      <c r="Q34" s="165"/>
      <c r="R34" s="165"/>
      <c r="S34" s="166"/>
      <c r="T34" s="167"/>
      <c r="U34" s="166"/>
      <c r="V34" s="165"/>
      <c r="W34" s="166"/>
      <c r="X34" s="168"/>
      <c r="Y34" s="169"/>
      <c r="Z34" s="169"/>
      <c r="AA34" s="170"/>
      <c r="AB34" s="169"/>
      <c r="AC34" s="169"/>
      <c r="AD34" s="169"/>
      <c r="AE34" s="169"/>
      <c r="AF34" s="169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spans="1:64" x14ac:dyDescent="0.2">
      <c r="A35" s="62"/>
      <c r="B35" s="16"/>
      <c r="C35" s="16" t="s">
        <v>35</v>
      </c>
      <c r="D35" s="24" t="s">
        <v>47</v>
      </c>
      <c r="E35" s="40">
        <f t="shared" si="3"/>
        <v>42137</v>
      </c>
      <c r="F35" s="40">
        <f>_xll.qlCalendarAdvance(Calendar,E35,"2D","f",FALSE)</f>
        <v>42142</v>
      </c>
      <c r="G35" s="40">
        <f>_xll.qlCalendarAdvance(Calendar,F35,IF(C35="SN","1D",IF(C35="SW","1W",C35)),"mf",TRUE)</f>
        <v>46525</v>
      </c>
      <c r="H35" s="39">
        <f>_xll.qlOvernightIndexedSwapFairRate(L35,InterestRateTrigger)</f>
        <v>1.314999999997791E-2</v>
      </c>
      <c r="I35" s="30" t="str">
        <f>Contribution!M35</f>
        <v>SEKON12YD=</v>
      </c>
      <c r="J35" s="30" t="s">
        <v>100</v>
      </c>
      <c r="K35" s="50"/>
      <c r="L35" s="24" t="str">
        <f>_xll.qlMakeOIS(,2,IF(C35="SN","1D",IF(C35="SW","1W",C35)),OvernightIndex,,"0D",,,,Trigger)</f>
        <v>obj_00303#0001</v>
      </c>
      <c r="M35" s="33"/>
      <c r="N35" s="33"/>
      <c r="P35" s="164"/>
      <c r="Q35" s="165"/>
      <c r="R35" s="165"/>
      <c r="S35" s="166"/>
      <c r="T35" s="167"/>
      <c r="U35" s="166"/>
      <c r="V35" s="165"/>
      <c r="W35" s="166"/>
      <c r="X35" s="168"/>
      <c r="Y35" s="169"/>
      <c r="Z35" s="169"/>
      <c r="AA35" s="170"/>
      <c r="AB35" s="169"/>
      <c r="AC35" s="169"/>
      <c r="AD35" s="169"/>
      <c r="AE35" s="169"/>
      <c r="AF35" s="169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</row>
    <row r="36" spans="1:64" x14ac:dyDescent="0.2">
      <c r="A36" s="62"/>
      <c r="B36" s="16"/>
      <c r="C36" s="16" t="s">
        <v>36</v>
      </c>
      <c r="D36" s="24" t="s">
        <v>47</v>
      </c>
      <c r="E36" s="40">
        <f t="shared" si="3"/>
        <v>42137</v>
      </c>
      <c r="F36" s="40">
        <f>_xll.qlCalendarAdvance(Calendar,E36,"2D","f",FALSE)</f>
        <v>42142</v>
      </c>
      <c r="G36" s="40">
        <f>_xll.qlCalendarAdvance(Calendar,F36,IF(C36="SN","1D",IF(C36="SW","1W",C36)),"mf",TRUE)</f>
        <v>47623</v>
      </c>
      <c r="H36" s="39">
        <f>_xll.qlOvernightIndexedSwapFairRate(L36,InterestRateTrigger)</f>
        <v>1.4824999999933102E-2</v>
      </c>
      <c r="I36" s="30" t="str">
        <f>Contribution!M36</f>
        <v>SEKON15YD=</v>
      </c>
      <c r="J36" s="30" t="s">
        <v>101</v>
      </c>
      <c r="K36" s="50"/>
      <c r="L36" s="24" t="str">
        <f>_xll.qlMakeOIS(,2,IF(C36="SN","1D",IF(C36="SW","1W",C36)),OvernightIndex,,"0D",,,,Trigger)</f>
        <v>obj_00316#0001</v>
      </c>
      <c r="M36" s="33"/>
      <c r="N36" s="33"/>
      <c r="P36" s="164"/>
      <c r="Q36" s="165"/>
      <c r="R36" s="165"/>
      <c r="S36" s="166"/>
      <c r="T36" s="167"/>
      <c r="U36" s="166"/>
      <c r="V36" s="165"/>
      <c r="W36" s="166"/>
      <c r="X36" s="168"/>
      <c r="Y36" s="169"/>
      <c r="Z36" s="169"/>
      <c r="AA36" s="170"/>
      <c r="AB36" s="169"/>
      <c r="AC36" s="169"/>
      <c r="AD36" s="169"/>
      <c r="AE36" s="169"/>
      <c r="AF36" s="169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</row>
    <row r="37" spans="1:64" x14ac:dyDescent="0.2">
      <c r="A37" s="62"/>
      <c r="B37" s="16"/>
      <c r="C37" s="16" t="s">
        <v>37</v>
      </c>
      <c r="D37" s="24" t="s">
        <v>47</v>
      </c>
      <c r="E37" s="40">
        <f t="shared" si="3"/>
        <v>42137</v>
      </c>
      <c r="F37" s="40">
        <f>_xll.qlCalendarAdvance(Calendar,E37,"2D","f",FALSE)</f>
        <v>42142</v>
      </c>
      <c r="G37" s="40">
        <f>_xll.qlCalendarAdvance(Calendar,F37,IF(C37="SN","1D",IF(C37="SW","1W",C37)),"mf",TRUE)</f>
        <v>49447</v>
      </c>
      <c r="H37" s="39">
        <f>_xll.qlOvernightIndexedSwapFairRate(L37,InterestRateTrigger)</f>
        <v>1.6699999999974988E-2</v>
      </c>
      <c r="I37" s="30" t="str">
        <f>Contribution!M37</f>
        <v>SEKON20YD=</v>
      </c>
      <c r="J37" s="30" t="s">
        <v>102</v>
      </c>
      <c r="K37" s="50"/>
      <c r="L37" s="24" t="str">
        <f>_xll.qlMakeOIS(,2,IF(C37="SN","1D",IF(C37="SW","1W",C37)),OvernightIndex,,"0D",,,,Trigger)</f>
        <v>obj_00310#0001</v>
      </c>
      <c r="M37" s="33"/>
      <c r="N37" s="33"/>
      <c r="P37" s="164"/>
      <c r="Q37" s="165"/>
      <c r="R37" s="165"/>
      <c r="S37" s="166"/>
      <c r="T37" s="167"/>
      <c r="U37" s="166"/>
      <c r="V37" s="165"/>
      <c r="W37" s="166"/>
      <c r="X37" s="168"/>
      <c r="Y37" s="169"/>
      <c r="Z37" s="169"/>
      <c r="AA37" s="170"/>
      <c r="AB37" s="169"/>
      <c r="AC37" s="169"/>
      <c r="AD37" s="169"/>
      <c r="AE37" s="169"/>
      <c r="AF37" s="169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spans="1:64" x14ac:dyDescent="0.2">
      <c r="A38" s="62"/>
      <c r="B38" s="16"/>
      <c r="C38" s="16" t="s">
        <v>38</v>
      </c>
      <c r="D38" s="24" t="s">
        <v>47</v>
      </c>
      <c r="E38" s="40">
        <f t="shared" si="3"/>
        <v>42137</v>
      </c>
      <c r="F38" s="40">
        <f>_xll.qlCalendarAdvance(Calendar,E38,"2D","f",FALSE)</f>
        <v>42142</v>
      </c>
      <c r="G38" s="40">
        <f>_xll.qlCalendarAdvance(Calendar,F38,IF(C38="SN","1D",IF(C38="SW","1W",C38)),"mf",TRUE)</f>
        <v>51274</v>
      </c>
      <c r="H38" s="39">
        <f>_xll.qlOvernightIndexedSwapFairRate(L38,InterestRateTrigger)</f>
        <v>1.7600000000019853E-2</v>
      </c>
      <c r="I38" s="30" t="str">
        <f>Contribution!M38</f>
        <v>SEKON25YD=</v>
      </c>
      <c r="J38" s="30" t="s">
        <v>103</v>
      </c>
      <c r="K38" s="50"/>
      <c r="L38" s="24" t="str">
        <f>_xll.qlMakeOIS(,2,IF(C38="SN","1D",IF(C38="SW","1W",C38)),OvernightIndex,,"0D",,,,Trigger)</f>
        <v>obj_0030a#0001</v>
      </c>
      <c r="M38" s="33"/>
      <c r="N38" s="33"/>
      <c r="P38" s="164"/>
      <c r="Q38" s="165"/>
      <c r="R38" s="165"/>
      <c r="S38" s="166"/>
      <c r="T38" s="167"/>
      <c r="U38" s="166"/>
      <c r="V38" s="165"/>
      <c r="W38" s="166"/>
      <c r="X38" s="168"/>
      <c r="Y38" s="169"/>
      <c r="Z38" s="169"/>
      <c r="AA38" s="170"/>
      <c r="AB38" s="169"/>
      <c r="AC38" s="169"/>
      <c r="AD38" s="169"/>
      <c r="AE38" s="169"/>
      <c r="AF38" s="169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spans="1:64" x14ac:dyDescent="0.2">
      <c r="A39" s="62"/>
      <c r="B39" s="17"/>
      <c r="C39" s="17" t="s">
        <v>39</v>
      </c>
      <c r="D39" s="26" t="s">
        <v>47</v>
      </c>
      <c r="E39" s="41">
        <f t="shared" si="3"/>
        <v>42137</v>
      </c>
      <c r="F39" s="41">
        <f>_xll.qlCalendarAdvance(Calendar,E39,"2D","f",FALSE)</f>
        <v>42142</v>
      </c>
      <c r="G39" s="41">
        <f>_xll.qlCalendarAdvance(Calendar,F39,IF(C39="SN","1D",IF(C39="SW","1W",C39)),"mf",TRUE)</f>
        <v>53101</v>
      </c>
      <c r="H39" s="42">
        <f>_xll.qlOvernightIndexedSwapFairRate(L39,InterestRateTrigger)</f>
        <v>1.7999999999999433E-2</v>
      </c>
      <c r="I39" s="32" t="str">
        <f>Contribution!M39</f>
        <v>SEKON30YD=</v>
      </c>
      <c r="J39" s="32" t="s">
        <v>104</v>
      </c>
      <c r="K39" s="50"/>
      <c r="L39" s="26" t="str">
        <f>_xll.qlMakeOIS(,2,IF(C39="SN","1D",IF(C39="SW","1W",C39)),OvernightIndex,,"0D",,,,Trigger)</f>
        <v>obj_00302#0001</v>
      </c>
      <c r="M39" s="33"/>
      <c r="N39" s="33"/>
      <c r="P39" s="164"/>
      <c r="Q39" s="165"/>
      <c r="R39" s="165"/>
      <c r="S39" s="166"/>
      <c r="T39" s="167"/>
      <c r="U39" s="166"/>
      <c r="V39" s="165"/>
      <c r="W39" s="166"/>
      <c r="X39" s="168"/>
      <c r="Y39" s="169"/>
      <c r="Z39" s="169"/>
      <c r="AA39" s="170"/>
      <c r="AB39" s="169"/>
      <c r="AC39" s="169"/>
      <c r="AD39" s="169"/>
      <c r="AE39" s="169"/>
      <c r="AF39" s="169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</row>
    <row r="40" spans="1:64" x14ac:dyDescent="0.2">
      <c r="A40" s="62"/>
      <c r="B40" s="62"/>
      <c r="D40" s="48"/>
      <c r="E40" s="48"/>
      <c r="F40" s="48"/>
      <c r="G40" s="48"/>
      <c r="H40" s="48"/>
      <c r="I40" s="48"/>
      <c r="M40" s="33"/>
      <c r="N40" s="33"/>
      <c r="P40" s="164"/>
      <c r="Q40" s="165"/>
      <c r="R40" s="165"/>
      <c r="S40" s="166"/>
      <c r="T40" s="167"/>
      <c r="U40" s="166"/>
      <c r="V40" s="165"/>
      <c r="W40" s="166"/>
      <c r="X40" s="168"/>
      <c r="Y40" s="169"/>
      <c r="Z40" s="169"/>
      <c r="AA40" s="170"/>
      <c r="AB40" s="169"/>
      <c r="AC40" s="169"/>
      <c r="AD40" s="169"/>
      <c r="AE40" s="169"/>
      <c r="AF40" s="169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</row>
    <row r="41" spans="1:64" x14ac:dyDescent="0.2">
      <c r="A41" s="62"/>
      <c r="B41" s="62"/>
      <c r="D41" s="62"/>
      <c r="E41" s="62"/>
      <c r="F41" s="62"/>
      <c r="G41" s="62"/>
      <c r="H41" s="62"/>
      <c r="I41" s="62"/>
      <c r="K41" s="62"/>
      <c r="L41" s="62"/>
      <c r="M41" s="33"/>
      <c r="N41" s="33"/>
      <c r="P41" s="164"/>
      <c r="Q41" s="165"/>
      <c r="R41" s="165"/>
      <c r="S41" s="166"/>
      <c r="T41" s="167"/>
      <c r="U41" s="166"/>
      <c r="V41" s="165"/>
      <c r="W41" s="166"/>
      <c r="X41" s="168"/>
      <c r="Y41" s="169"/>
      <c r="Z41" s="169"/>
      <c r="AA41" s="170"/>
      <c r="AB41" s="169"/>
      <c r="AC41" s="169"/>
      <c r="AD41" s="169"/>
      <c r="AE41" s="169"/>
      <c r="AF41" s="169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spans="1:64" x14ac:dyDescent="0.2">
      <c r="A42" s="62"/>
      <c r="B42" s="62"/>
      <c r="M42" s="33"/>
      <c r="N42" s="33"/>
      <c r="P42" s="164"/>
      <c r="Q42" s="165"/>
      <c r="R42" s="165"/>
      <c r="S42" s="166"/>
      <c r="T42" s="167"/>
      <c r="U42" s="166"/>
      <c r="V42" s="165"/>
      <c r="W42" s="166"/>
      <c r="X42" s="168"/>
      <c r="Y42" s="169"/>
      <c r="Z42" s="169"/>
      <c r="AA42" s="170"/>
      <c r="AB42" s="169"/>
      <c r="AC42" s="169"/>
      <c r="AD42" s="169"/>
      <c r="AE42" s="169"/>
      <c r="AF42" s="169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spans="1:64" x14ac:dyDescent="0.2">
      <c r="A43" s="62"/>
      <c r="B43" s="62"/>
      <c r="K43" s="62"/>
      <c r="L43" s="62"/>
      <c r="M43" s="33"/>
      <c r="N43" s="33"/>
      <c r="P43" s="164"/>
      <c r="Q43" s="165"/>
      <c r="R43" s="165"/>
      <c r="S43" s="166"/>
      <c r="T43" s="167"/>
      <c r="U43" s="166"/>
      <c r="V43" s="165"/>
      <c r="W43" s="166"/>
      <c r="X43" s="168"/>
      <c r="Y43" s="169"/>
      <c r="Z43" s="169"/>
      <c r="AA43" s="170"/>
      <c r="AB43" s="169"/>
      <c r="AC43" s="169"/>
      <c r="AD43" s="169"/>
      <c r="AE43" s="169"/>
      <c r="AF43" s="169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</row>
    <row r="44" spans="1:64" x14ac:dyDescent="0.2">
      <c r="A44" s="62"/>
      <c r="B44" s="62"/>
      <c r="N44" s="33"/>
      <c r="P44" s="164"/>
      <c r="Q44" s="165"/>
      <c r="R44" s="157"/>
      <c r="S44" s="158"/>
      <c r="T44" s="159"/>
      <c r="U44" s="158"/>
      <c r="V44" s="157"/>
      <c r="W44" s="158"/>
      <c r="X44" s="160"/>
      <c r="Y44" s="161"/>
      <c r="Z44" s="161"/>
      <c r="AA44" s="162"/>
      <c r="AB44" s="161"/>
      <c r="AC44" s="161"/>
      <c r="AD44" s="161"/>
      <c r="AE44" s="161"/>
      <c r="AF44" s="161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</row>
    <row r="45" spans="1:64" x14ac:dyDescent="0.2">
      <c r="A45" s="62"/>
      <c r="B45" s="62"/>
      <c r="N45" s="33"/>
      <c r="P45" s="164"/>
      <c r="Q45" s="165"/>
    </row>
    <row r="46" spans="1:64" x14ac:dyDescent="0.2">
      <c r="B46" s="62"/>
      <c r="N46" s="33"/>
      <c r="P46" s="164"/>
      <c r="Q46" s="165"/>
    </row>
    <row r="47" spans="1:64" x14ac:dyDescent="0.2">
      <c r="H47" s="64"/>
    </row>
    <row r="48" spans="1:64" x14ac:dyDescent="0.2">
      <c r="H48" s="64"/>
    </row>
    <row r="49" spans="8:8" x14ac:dyDescent="0.2">
      <c r="H49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2</v>
      </c>
      <c r="C6" s="15" t="s">
        <v>15</v>
      </c>
      <c r="D6" s="24" t="s">
        <v>76</v>
      </c>
      <c r="E6" s="37">
        <f t="shared" ref="E6:E39" si="1">EvaluationDate</f>
        <v>42137</v>
      </c>
      <c r="F6" s="37">
        <f>E6</f>
        <v>42137</v>
      </c>
      <c r="G6" s="37">
        <f>_xll.qlCalendarAdvance(Calendar,F6,"1D","f",TRUE,Trigger)</f>
        <v>42139</v>
      </c>
      <c r="H6" s="43">
        <f>_xll.qlInterpolationInterpolate(Interpolation,B6,TRUE)</f>
        <v>-2.5915567527065569E-3</v>
      </c>
      <c r="I6" s="44"/>
      <c r="J6" s="45"/>
      <c r="K6" s="33"/>
      <c r="L6" s="59" t="str">
        <f>_xll.qlInterpolation(,InterpolationType,B8:B12,H8:H12,,Trigger)</f>
        <v>obj_0035f#0141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5</v>
      </c>
      <c r="C7" s="16" t="s">
        <v>73</v>
      </c>
      <c r="D7" s="24" t="s">
        <v>76</v>
      </c>
      <c r="E7" s="40">
        <f t="shared" si="1"/>
        <v>42137</v>
      </c>
      <c r="F7" s="40">
        <f>G6</f>
        <v>42139</v>
      </c>
      <c r="G7" s="40">
        <f>_xll.qlCalendarAdvance(Calendar,F7,"1D","f",TRUE,Trigger)</f>
        <v>42142</v>
      </c>
      <c r="H7" s="111">
        <f>_xll.qlInterpolationInterpolate(Interpolation,B7,TRUE)</f>
        <v>-2.5928793985778155E-3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6</v>
      </c>
      <c r="C8" s="15" t="s">
        <v>74</v>
      </c>
      <c r="D8" s="23" t="s">
        <v>53</v>
      </c>
      <c r="E8" s="37">
        <f t="shared" si="1"/>
        <v>42137</v>
      </c>
      <c r="F8" s="37">
        <f>_xll.qlInterestRateIndexValueDate(L8,E8,Trigger)</f>
        <v>42142</v>
      </c>
      <c r="G8" s="37">
        <f>_xll.qlInterestRateIndexMaturity(L8,F8,Trigger)</f>
        <v>42143</v>
      </c>
      <c r="H8" s="43">
        <f>_xll.qlIndexFixing(L8,E8,TRUE,InterestRateTrigger)</f>
        <v>-2.5932528321526149E-3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obj_00334#0000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42137</v>
      </c>
      <c r="F9" s="40">
        <f>_xll.qlInterestRateIndexValueDate(L9,E9,Trigger)</f>
        <v>42142</v>
      </c>
      <c r="G9" s="40">
        <f>_xll.qlInterestRateIndexMaturity(L9,F9,Trigger)</f>
        <v>42150</v>
      </c>
      <c r="H9" s="39">
        <f>_xll.qlIndexFixing(L9,E9,TRUE,InterestRateTrigger)</f>
        <v>-2.5969999999986282E-3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obj_00344#0000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42137</v>
      </c>
      <c r="F10" s="40">
        <f>_xll.qlInterestRateIndexValueDate(L10,E10,Trigger)</f>
        <v>42142</v>
      </c>
      <c r="G10" s="40">
        <f>_xll.qlInterestRateIndexMaturity(L10,F10,Trigger)</f>
        <v>42156</v>
      </c>
      <c r="H10" s="39">
        <f>_xll.qlIndexFixing(L10,E10,TRUE,InterestRateTrigger)</f>
        <v>-2.6040000000025565E-3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obj_00351#0000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42137</v>
      </c>
      <c r="F11" s="40">
        <f>_xll.qlInterestRateIndexValueDate(L11,E11,Trigger)</f>
        <v>42142</v>
      </c>
      <c r="G11" s="40">
        <f>_xll.qlInterestRateIndexMaturity(L11,F11,Trigger)</f>
        <v>42163</v>
      </c>
      <c r="H11" s="39">
        <f>_xll.qlIndexFixing(L11,E11,TRUE,InterestRateTrigger)</f>
        <v>-2.6149999999981943E-3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obj_00331#0000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2">
        <f t="shared" si="0"/>
        <v>36</v>
      </c>
      <c r="C12" s="142" t="s">
        <v>19</v>
      </c>
      <c r="D12" s="143" t="s">
        <v>53</v>
      </c>
      <c r="E12" s="144">
        <f t="shared" si="1"/>
        <v>42137</v>
      </c>
      <c r="F12" s="144">
        <f>_xll.qlInterestRateIndexValueDate(IborIndex,E12,Trigger)</f>
        <v>42142</v>
      </c>
      <c r="G12" s="144">
        <f>_xll.qlInterestRateIndexMaturity(IborIndex,F12,Trigger)</f>
        <v>42173</v>
      </c>
      <c r="H12" s="145">
        <f>_xll.qlIndexFixing(IborIndex,E12,TRUE,InterestRateTrigger)</f>
        <v>-2.639999999989962E-3</v>
      </c>
      <c r="I12" s="146" t="str">
        <f>Contribution!P12</f>
        <v>SEK1M1MD=</v>
      </c>
      <c r="J12" s="146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3"/>
      <c r="C14" s="173"/>
      <c r="D14" s="174"/>
      <c r="E14" s="175"/>
      <c r="F14" s="175"/>
      <c r="G14" s="175"/>
      <c r="H14" s="176"/>
      <c r="I14" s="177"/>
      <c r="J14" s="177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si="1"/>
        <v>42137</v>
      </c>
      <c r="F25" s="37">
        <f>_xll.qlInterestRateIndexValueDate(L25,E25,Trigger)</f>
        <v>42142</v>
      </c>
      <c r="G25" s="37">
        <f>_xll.qlInterestRateIndexMaturity(L25,F25,Trigger)</f>
        <v>42508</v>
      </c>
      <c r="H25" s="38">
        <f>_xll.qlIndexFixing(L25,E25,TRUE,InterestRateTrigger)</f>
        <v>-3.210971532459151E-3</v>
      </c>
      <c r="I25" s="31" t="str">
        <f>Contribution!P25</f>
        <v>SEK1M1Y=</v>
      </c>
      <c r="J25" s="31" t="str">
        <f t="shared" ref="J25:J39" si="2">Currency&amp;"1S3S"&amp;C25&amp;"=ICAP"</f>
        <v>SEK1S3S1Y=ICAP</v>
      </c>
      <c r="K25" s="33"/>
      <c r="L25" s="60" t="str">
        <f>_xll.qlSwapIndex(,IborIndexFamily,C25,SettlementDays,Currency,Calendar,FixedLegTenor,FixedLegBDC,FixedLegDayCounter,IborIndex,DiscountingCurve,,Trigger)</f>
        <v>obj_0032d#0000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1"/>
        <v>42137</v>
      </c>
      <c r="F26" s="40">
        <f>_xll.qlInterestRateIndexValueDate(L26,E26,Trigger)</f>
        <v>42142</v>
      </c>
      <c r="G26" s="40">
        <f>_xll.qlInterestRateIndexMaturity(L26,F26,Trigger)</f>
        <v>42873</v>
      </c>
      <c r="H26" s="39">
        <f>_xll.qlIndexFixing(L26,E26,TRUE,InterestRateTrigger)</f>
        <v>-2.2621880165685135E-3</v>
      </c>
      <c r="I26" s="30" t="str">
        <f>Contribution!P26</f>
        <v>SEK1M2Y=</v>
      </c>
      <c r="J26" s="30" t="str">
        <f t="shared" si="2"/>
        <v>SEK1S3S2Y=ICAP</v>
      </c>
      <c r="K26" s="33"/>
      <c r="L26" s="25" t="str">
        <f>_xll.qlSwapIndex(,IborIndexFamily,C26,SettlementDays,Currency,Calendar,FixedLegTenor,FixedLegBDC,FixedLegDayCounter,IborIndex,DiscountingCurve,,Trigger)</f>
        <v>obj_00339#0000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1"/>
        <v>42137</v>
      </c>
      <c r="F27" s="40">
        <f>_xll.qlInterestRateIndexValueDate(L27,E27,Trigger)</f>
        <v>42142</v>
      </c>
      <c r="G27" s="40">
        <f>_xll.qlInterestRateIndexMaturity(L27,F27,Trigger)</f>
        <v>43238</v>
      </c>
      <c r="H27" s="39">
        <f>_xll.qlIndexFixing(L27,E27,TRUE,InterestRateTrigger)</f>
        <v>-2.694765592645632E-4</v>
      </c>
      <c r="I27" s="30" t="str">
        <f>Contribution!P27</f>
        <v>SEK1M3Y=</v>
      </c>
      <c r="J27" s="30" t="str">
        <f t="shared" si="2"/>
        <v>SEK1S3S3Y=ICAP</v>
      </c>
      <c r="K27" s="33"/>
      <c r="L27" s="25" t="str">
        <f>_xll.qlSwapIndex(,IborIndexFamily,C27,SettlementDays,Currency,Calendar,FixedLegTenor,FixedLegBDC,FixedLegDayCounter,IborIndex,DiscountingCurve,,Trigger)</f>
        <v>obj_0033c#0000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si="1"/>
        <v>42137</v>
      </c>
      <c r="F28" s="40">
        <f>_xll.qlInterestRateIndexValueDate(L28,E28,Trigger)</f>
        <v>42142</v>
      </c>
      <c r="G28" s="40">
        <f>_xll.qlInterestRateIndexMaturity(L28,F28,Trigger)</f>
        <v>43605</v>
      </c>
      <c r="H28" s="39">
        <f>_xll.qlIndexFixing(L28,E28,TRUE,InterestRateTrigger)</f>
        <v>1.9783409626271333E-3</v>
      </c>
      <c r="I28" s="30" t="str">
        <f>Contribution!P28</f>
        <v>SEK1M4Y=</v>
      </c>
      <c r="J28" s="46" t="str">
        <f t="shared" si="2"/>
        <v>SEK1S3S4Y=ICAP</v>
      </c>
      <c r="K28" s="33"/>
      <c r="L28" s="25" t="str">
        <f>_xll.qlSwapIndex(,IborIndexFamily,C28,SettlementDays,Currency,Calendar,FixedLegTenor,FixedLegBDC,FixedLegDayCounter,IborIndex,DiscountingCurve,,Trigger)</f>
        <v>obj_00355#0000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1"/>
        <v>42137</v>
      </c>
      <c r="F29" s="40">
        <f>_xll.qlInterestRateIndexValueDate(L29,E29,Trigger)</f>
        <v>42142</v>
      </c>
      <c r="G29" s="40">
        <f>_xll.qlInterestRateIndexMaturity(L29,F29,Trigger)</f>
        <v>43969</v>
      </c>
      <c r="H29" s="39">
        <f>_xll.qlIndexFixing(L29,E29,TRUE,InterestRateTrigger)</f>
        <v>4.2727491820882682E-3</v>
      </c>
      <c r="I29" s="30" t="str">
        <f>Contribution!P29</f>
        <v>SEK1M5Y=</v>
      </c>
      <c r="J29" s="46" t="str">
        <f t="shared" si="2"/>
        <v>SEK1S3S5Y=ICAP</v>
      </c>
      <c r="K29" s="33"/>
      <c r="L29" s="25" t="str">
        <f>_xll.qlSwapIndex(,IborIndexFamily,C29,SettlementDays,Currency,Calendar,FixedLegTenor,FixedLegBDC,FixedLegDayCounter,IborIndex,DiscountingCurve,,Trigger)</f>
        <v>obj_00336#0000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si="1"/>
        <v>42137</v>
      </c>
      <c r="F30" s="40">
        <f>_xll.qlInterestRateIndexValueDate(L30,E30,Trigger)</f>
        <v>42142</v>
      </c>
      <c r="G30" s="40">
        <f>_xll.qlInterestRateIndexMaturity(L30,F30,Trigger)</f>
        <v>44334</v>
      </c>
      <c r="H30" s="39">
        <f>_xll.qlIndexFixing(L30,E30,TRUE,InterestRateTrigger)</f>
        <v>6.3709210631232669E-3</v>
      </c>
      <c r="I30" s="30" t="str">
        <f>Contribution!P30</f>
        <v>SEK1M6Y=</v>
      </c>
      <c r="J30" s="46" t="str">
        <f t="shared" si="2"/>
        <v>SEK1S3S6Y=ICAP</v>
      </c>
      <c r="K30" s="33"/>
      <c r="L30" s="25" t="str">
        <f>_xll.qlSwapIndex(,IborIndexFamily,C30,SettlementDays,Currency,Calendar,FixedLegTenor,FixedLegBDC,FixedLegDayCounter,IborIndex,DiscountingCurve,,Trigger)</f>
        <v>obj_0032a#0000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1"/>
        <v>42137</v>
      </c>
      <c r="F31" s="40">
        <f>_xll.qlInterestRateIndexValueDate(L31,E31,Trigger)</f>
        <v>42142</v>
      </c>
      <c r="G31" s="40">
        <f>_xll.qlInterestRateIndexMaturity(L31,F31,Trigger)</f>
        <v>44699</v>
      </c>
      <c r="H31" s="39">
        <f>_xll.qlIndexFixing(L31,E31,TRUE,InterestRateTrigger)</f>
        <v>8.246182841351337E-3</v>
      </c>
      <c r="I31" s="30" t="str">
        <f>Contribution!P31</f>
        <v>SEK1M7Y=</v>
      </c>
      <c r="J31" s="46" t="str">
        <f t="shared" si="2"/>
        <v>SEK1S3S7Y=ICAP</v>
      </c>
      <c r="K31" s="33"/>
      <c r="L31" s="25" t="str">
        <f>_xll.qlSwapIndex(,IborIndexFamily,C31,SettlementDays,Currency,Calendar,FixedLegTenor,FixedLegBDC,FixedLegDayCounter,IborIndex,DiscountingCurve,,Trigger)</f>
        <v>obj_0032e#0000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1"/>
        <v>42137</v>
      </c>
      <c r="F32" s="40">
        <f>_xll.qlInterestRateIndexValueDate(L32,E32,Trigger)</f>
        <v>42142</v>
      </c>
      <c r="G32" s="40">
        <f>_xll.qlInterestRateIndexMaturity(L32,F32,Trigger)</f>
        <v>45065</v>
      </c>
      <c r="H32" s="39">
        <f>_xll.qlIndexFixing(L32,E32,TRUE,InterestRateTrigger)</f>
        <v>9.8215793742416641E-3</v>
      </c>
      <c r="I32" s="30" t="str">
        <f>Contribution!P32</f>
        <v>SEK1M8Y=</v>
      </c>
      <c r="J32" s="46" t="str">
        <f t="shared" si="2"/>
        <v>SEK1S3S8Y=ICAP</v>
      </c>
      <c r="K32" s="33"/>
      <c r="L32" s="25" t="str">
        <f>_xll.qlSwapIndex(,IborIndexFamily,C32,SettlementDays,Currency,Calendar,FixedLegTenor,FixedLegBDC,FixedLegDayCounter,IborIndex,DiscountingCurve,,Trigger)</f>
        <v>obj_00348#0000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1"/>
        <v>42137</v>
      </c>
      <c r="F33" s="40">
        <f>_xll.qlInterestRateIndexValueDate(L33,E33,Trigger)</f>
        <v>42142</v>
      </c>
      <c r="G33" s="40">
        <f>_xll.qlInterestRateIndexMaturity(L33,F33,Trigger)</f>
        <v>45433</v>
      </c>
      <c r="H33" s="39">
        <f>_xll.qlIndexFixing(L33,E33,TRUE,InterestRateTrigger)</f>
        <v>1.1071805229727359E-2</v>
      </c>
      <c r="I33" s="30" t="str">
        <f>Contribution!P33</f>
        <v>SEK1M9Y=</v>
      </c>
      <c r="J33" s="30" t="str">
        <f t="shared" si="2"/>
        <v>SEK1S3S9Y=ICAP</v>
      </c>
      <c r="K33" s="33"/>
      <c r="L33" s="25" t="str">
        <f>_xll.qlSwapIndex(,IborIndexFamily,C33,SettlementDays,Currency,Calendar,FixedLegTenor,FixedLegBDC,FixedLegDayCounter,IborIndex,DiscountingCurve,,Trigger)</f>
        <v>obj_00349#0000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1"/>
        <v>42137</v>
      </c>
      <c r="F34" s="40">
        <f>_xll.qlInterestRateIndexValueDate(L34,E34,Trigger)</f>
        <v>42142</v>
      </c>
      <c r="G34" s="40">
        <f>_xll.qlInterestRateIndexMaturity(L34,F34,Trigger)</f>
        <v>45796</v>
      </c>
      <c r="H34" s="39">
        <f>_xll.qlIndexFixing(L34,E34,TRUE,InterestRateTrigger)</f>
        <v>1.2047469769411656E-2</v>
      </c>
      <c r="I34" s="30" t="str">
        <f>Contribution!P34</f>
        <v>SEK1M10Y=</v>
      </c>
      <c r="J34" s="30" t="str">
        <f t="shared" si="2"/>
        <v>SEK1S3S10Y=ICAP</v>
      </c>
      <c r="K34" s="33"/>
      <c r="L34" s="25" t="str">
        <f>_xll.qlSwapIndex(,IborIndexFamily,C34,SettlementDays,Currency,Calendar,FixedLegTenor,FixedLegBDC,FixedLegDayCounter,IborIndex,DiscountingCurve,,Trigger)</f>
        <v>obj_0034d#0000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1"/>
        <v>42137</v>
      </c>
      <c r="F35" s="40">
        <f>_xll.qlInterestRateIndexValueDate(L35,E35,Trigger)</f>
        <v>42142</v>
      </c>
      <c r="G35" s="40">
        <f>_xll.qlInterestRateIndexMaturity(L35,F35,Trigger)</f>
        <v>46525</v>
      </c>
      <c r="H35" s="39">
        <f>_xll.qlIndexFixing(L35,E35,TRUE,InterestRateTrigger)</f>
        <v>1.3547912548683051E-2</v>
      </c>
      <c r="I35" s="30" t="str">
        <f>Contribution!P35</f>
        <v>SEK1M12Y=</v>
      </c>
      <c r="J35" s="30" t="str">
        <f t="shared" si="2"/>
        <v>SEK1S3S12Y=ICAP</v>
      </c>
      <c r="K35" s="33"/>
      <c r="L35" s="25" t="str">
        <f>_xll.qlSwapIndex(,IborIndexFamily,C35,SettlementDays,Currency,Calendar,FixedLegTenor,FixedLegBDC,FixedLegDayCounter,IborIndex,DiscountingCurve,,Trigger)</f>
        <v>obj_00350#0000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1"/>
        <v>42137</v>
      </c>
      <c r="F36" s="40">
        <f>_xll.qlInterestRateIndexValueDate(L36,E36,Trigger)</f>
        <v>42142</v>
      </c>
      <c r="G36" s="40">
        <f>_xll.qlInterestRateIndexMaturity(L36,F36,Trigger)</f>
        <v>47623</v>
      </c>
      <c r="H36" s="39">
        <f>_xll.qlIndexFixing(L36,E36,TRUE,InterestRateTrigger)</f>
        <v>1.5218564229779267E-2</v>
      </c>
      <c r="I36" s="30" t="str">
        <f>Contribution!P36</f>
        <v>SEK1M15Y=</v>
      </c>
      <c r="J36" s="30" t="str">
        <f t="shared" si="2"/>
        <v>SEK1S3S15Y=ICAP</v>
      </c>
      <c r="K36" s="33"/>
      <c r="L36" s="25" t="str">
        <f>_xll.qlSwapIndex(,IborIndexFamily,C36,SettlementDays,Currency,Calendar,FixedLegTenor,FixedLegBDC,FixedLegDayCounter,IborIndex,DiscountingCurve,,Trigger)</f>
        <v>obj_0034a#0000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1"/>
        <v>42137</v>
      </c>
      <c r="F37" s="40">
        <f>_xll.qlInterestRateIndexValueDate(L37,E37,Trigger)</f>
        <v>42142</v>
      </c>
      <c r="G37" s="40">
        <f>_xll.qlInterestRateIndexMaturity(L37,F37,Trigger)</f>
        <v>49447</v>
      </c>
      <c r="H37" s="39">
        <f>_xll.qlIndexFixing(L37,E37,TRUE,InterestRateTrigger)</f>
        <v>1.6993895273814886E-2</v>
      </c>
      <c r="I37" s="30" t="str">
        <f>Contribution!P37</f>
        <v>SEK1M20Y=</v>
      </c>
      <c r="J37" s="30" t="str">
        <f t="shared" si="2"/>
        <v>SEK1S3S20Y=ICAP</v>
      </c>
      <c r="K37" s="33"/>
      <c r="L37" s="25" t="str">
        <f>_xll.qlSwapIndex(,IborIndexFamily,C37,SettlementDays,Currency,Calendar,FixedLegTenor,FixedLegBDC,FixedLegDayCounter,IborIndex,DiscountingCurve,,Trigger)</f>
        <v>obj_00359#0000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1"/>
        <v>42137</v>
      </c>
      <c r="F38" s="40">
        <f>_xll.qlInterestRateIndexValueDate(L38,E38,Trigger)</f>
        <v>42142</v>
      </c>
      <c r="G38" s="40">
        <f>_xll.qlInterestRateIndexMaturity(L38,F38,Trigger)</f>
        <v>51274</v>
      </c>
      <c r="H38" s="39">
        <f>_xll.qlIndexFixing(L38,E38,TRUE,InterestRateTrigger)</f>
        <v>1.7836430499629578E-2</v>
      </c>
      <c r="I38" s="30" t="str">
        <f>Contribution!P38</f>
        <v>SEK1M25Y=</v>
      </c>
      <c r="J38" s="30" t="str">
        <f t="shared" si="2"/>
        <v>SEK1S3S25Y=ICAP</v>
      </c>
      <c r="K38" s="33"/>
      <c r="L38" s="25" t="str">
        <f>_xll.qlSwapIndex(,IborIndexFamily,C38,SettlementDays,Currency,Calendar,FixedLegTenor,FixedLegBDC,FixedLegDayCounter,IborIndex,DiscountingCurve,,Trigger)</f>
        <v>obj_0034f#0000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1"/>
        <v>42137</v>
      </c>
      <c r="F39" s="41">
        <f>_xll.qlInterestRateIndexValueDate(L39,E39,Trigger)</f>
        <v>42142</v>
      </c>
      <c r="G39" s="41">
        <f>_xll.qlInterestRateIndexMaturity(L39,F39,Trigger)</f>
        <v>53101</v>
      </c>
      <c r="H39" s="42">
        <f>_xll.qlIndexFixing(L39,E39,TRUE,InterestRateTrigger)</f>
        <v>1.8163927572013145E-2</v>
      </c>
      <c r="I39" s="32" t="str">
        <f>Contribution!P39</f>
        <v>SEK1M30Y=</v>
      </c>
      <c r="J39" s="32" t="str">
        <f t="shared" si="2"/>
        <v>SEK1S3S30Y=ICAP</v>
      </c>
      <c r="K39" s="33"/>
      <c r="L39" s="27" t="str">
        <f>_xll.qlSwapIndex(,IborIndexFamily,C39,SettlementDays,Currency,Calendar,FixedLegTenor,FixedLegBDC,FixedLegDayCounter,IborIndex,DiscountingCurve,,Trigger)</f>
        <v>obj_00337#0000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2</v>
      </c>
      <c r="C6" s="15" t="s">
        <v>15</v>
      </c>
      <c r="D6" s="24" t="s">
        <v>76</v>
      </c>
      <c r="E6" s="37">
        <f t="shared" ref="E6:E14" si="1">EvaluationDate</f>
        <v>42137</v>
      </c>
      <c r="F6" s="37">
        <f>E6</f>
        <v>42137</v>
      </c>
      <c r="G6" s="37">
        <f>_xll.qlCalendarAdvance(Calendar,F6,"1D","f",TRUE,Trigger)</f>
        <v>42139</v>
      </c>
      <c r="H6" s="43">
        <f>_xll.qlInterpolationInterpolate(Interpolation,B6,TRUE)</f>
        <v>-1.5588481765923068E-3</v>
      </c>
      <c r="I6" s="44"/>
      <c r="J6" s="45"/>
      <c r="K6" s="33"/>
      <c r="L6" s="59" t="str">
        <f>_xll.qlInterpolation(,InterpolationType,B8:B14,H8:H14,,Trigger)</f>
        <v>obj_0035c#0143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5</v>
      </c>
      <c r="C7" s="16" t="s">
        <v>73</v>
      </c>
      <c r="D7" s="24" t="s">
        <v>76</v>
      </c>
      <c r="E7" s="40">
        <f t="shared" si="1"/>
        <v>42137</v>
      </c>
      <c r="F7" s="40">
        <f>G6</f>
        <v>42139</v>
      </c>
      <c r="G7" s="40">
        <f>_xll.qlCalendarAdvance(Calendar,F7,"1D","f",TRUE,Trigger)</f>
        <v>42142</v>
      </c>
      <c r="H7" s="111">
        <f>_xll.qlInterpolationInterpolate(Interpolation,B7,TRUE)</f>
        <v>-1.560328167460077E-3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6</v>
      </c>
      <c r="C8" s="15" t="s">
        <v>74</v>
      </c>
      <c r="D8" s="23" t="s">
        <v>53</v>
      </c>
      <c r="E8" s="37">
        <f t="shared" si="1"/>
        <v>42137</v>
      </c>
      <c r="F8" s="37">
        <f>_xll.qlInterestRateIndexValueDate(L8,E8,Trigger)</f>
        <v>42142</v>
      </c>
      <c r="G8" s="37">
        <f>_xll.qlInterestRateIndexMaturity(L8,F8,Trigger)</f>
        <v>42143</v>
      </c>
      <c r="H8" s="43">
        <f>_xll.qlIndexFixing(L8,E8,TRUE,InterestRateTrigger)</f>
        <v>-1.5607385499194493E-3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obj_00327#0000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42137</v>
      </c>
      <c r="F9" s="40">
        <f>_xll.qlInterestRateIndexValueDate(L9,E9,Trigger)</f>
        <v>42142</v>
      </c>
      <c r="G9" s="40">
        <f>_xll.qlInterestRateIndexMaturity(L9,F9,Trigger)</f>
        <v>42150</v>
      </c>
      <c r="H9" s="39">
        <f>_xll.qlIndexFixing(L9,E9,TRUE,InterestRateTrigger)</f>
        <v>-1.5650047506771125E-3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obj_00329#0000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42137</v>
      </c>
      <c r="F10" s="40">
        <f>_xll.qlInterestRateIndexValueDate(L10,E10,Trigger)</f>
        <v>42142</v>
      </c>
      <c r="G10" s="40">
        <f>_xll.qlInterestRateIndexMaturity(L10,F10,Trigger)</f>
        <v>42156</v>
      </c>
      <c r="H10" s="39">
        <f>_xll.qlIndexFixing(L10,E10,TRUE,InterestRateTrigger)</f>
        <v>-1.5739724300911639E-3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obj_00320#0000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42137</v>
      </c>
      <c r="F11" s="40">
        <f>_xll.qlInterestRateIndexValueDate(L11,E11,Trigger)</f>
        <v>42142</v>
      </c>
      <c r="G11" s="40">
        <f>_xll.qlInterestRateIndexMaturity(L11,F11,Trigger)</f>
        <v>42163</v>
      </c>
      <c r="H11" s="39">
        <f>_xll.qlIndexFixing(L11,E11,TRUE,InterestRateTrigger)</f>
        <v>-1.5906302619184132E-3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obj_0032c#0000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36</v>
      </c>
      <c r="C12" s="16" t="s">
        <v>19</v>
      </c>
      <c r="D12" s="24" t="s">
        <v>53</v>
      </c>
      <c r="E12" s="40">
        <f t="shared" si="1"/>
        <v>42137</v>
      </c>
      <c r="F12" s="40">
        <f>_xll.qlInterestRateIndexValueDate(L12,E12,Trigger)</f>
        <v>42142</v>
      </c>
      <c r="G12" s="40">
        <f>_xll.qlInterestRateIndexMaturity(L12,F12,Trigger)</f>
        <v>42173</v>
      </c>
      <c r="H12" s="39">
        <f>_xll.qlIndexFixing(L12,E12,TRUE,InterestRateTrigger)</f>
        <v>-1.6260000047622321E-3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obj_00342#0000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68</v>
      </c>
      <c r="C13" s="16" t="s">
        <v>20</v>
      </c>
      <c r="D13" s="24" t="s">
        <v>53</v>
      </c>
      <c r="E13" s="40">
        <f t="shared" si="1"/>
        <v>42137</v>
      </c>
      <c r="F13" s="40">
        <f>_xll.qlInterestRateIndexValueDate(L13,E13,Trigger)</f>
        <v>42142</v>
      </c>
      <c r="G13" s="40">
        <f>_xll.qlInterestRateIndexMaturity(L13,F13,Trigger)</f>
        <v>42205</v>
      </c>
      <c r="H13" s="39">
        <f>_xll.qlIndexFixing(L13,E13,TRUE,InterestRateTrigger)</f>
        <v>-1.8340000012966636E-3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obj_00358#0000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2">
        <f t="shared" si="0"/>
        <v>97</v>
      </c>
      <c r="C14" s="142" t="s">
        <v>21</v>
      </c>
      <c r="D14" s="143" t="s">
        <v>53</v>
      </c>
      <c r="E14" s="144">
        <f t="shared" si="1"/>
        <v>42137</v>
      </c>
      <c r="F14" s="144">
        <f>_xll.qlInterestRateIndexValueDate(IborIndex,E14,Trigger)</f>
        <v>42142</v>
      </c>
      <c r="G14" s="144">
        <f>_xll.qlInterestRateIndexMaturity(IborIndex,F14,Trigger)</f>
        <v>42234</v>
      </c>
      <c r="H14" s="145">
        <f>_xll.qlIndexFixing(IborIndex,E14,TRUE,InterestRateTrigger)</f>
        <v>-2.0799999999998116E-3</v>
      </c>
      <c r="I14" s="146" t="str">
        <f>Contribution!S14</f>
        <v>SEK3M3MD=</v>
      </c>
      <c r="J14" s="146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M5</v>
      </c>
      <c r="D19" s="23" t="s">
        <v>66</v>
      </c>
      <c r="E19" s="37">
        <f>_xll.qlInterestRateIndexFixingDate(IborIndex,F19)</f>
        <v>42170</v>
      </c>
      <c r="F19" s="37">
        <f>_xll.qlIMMdate(C19)</f>
        <v>42172</v>
      </c>
      <c r="G19" s="37">
        <f>_xll.qlInterestRateIndexMaturity(IborIndex,F19,Trigger)</f>
        <v>42264</v>
      </c>
      <c r="H19" s="77">
        <f>(1-_xll.qlIndexFixing(IborIndex,E19,TRUE,InterestRateTrigger))*100</f>
        <v>100.23999999994962</v>
      </c>
      <c r="I19" s="31" t="str">
        <f>Contribution!S19</f>
        <v>SEK3MM5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U5</v>
      </c>
      <c r="D20" s="24" t="s">
        <v>66</v>
      </c>
      <c r="E20" s="40">
        <f>_xll.qlInterestRateIndexFixingDate(IborIndex,F20)</f>
        <v>42261</v>
      </c>
      <c r="F20" s="40">
        <f>_xll.qlIMMdate(C20)</f>
        <v>42263</v>
      </c>
      <c r="G20" s="40">
        <f>_xll.qlInterestRateIndexMaturity(IborIndex,F20,Trigger)</f>
        <v>42354</v>
      </c>
      <c r="H20" s="78">
        <f>(1-_xll.qlIndexFixing(IborIndex,E20,TRUE,InterestRateTrigger))*100</f>
        <v>100.26000000020865</v>
      </c>
      <c r="I20" s="30" t="str">
        <f>Contribution!S20</f>
        <v>SEK3MU5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Z5</v>
      </c>
      <c r="D21" s="24" t="s">
        <v>66</v>
      </c>
      <c r="E21" s="40">
        <f>_xll.qlInterestRateIndexFixingDate(IborIndex,F21)</f>
        <v>42352</v>
      </c>
      <c r="F21" s="40">
        <f>_xll.qlIMMdate(C21)</f>
        <v>42354</v>
      </c>
      <c r="G21" s="40">
        <f>_xll.qlInterestRateIndexMaturity(IborIndex,F21,Trigger)</f>
        <v>42445</v>
      </c>
      <c r="H21" s="78">
        <f>(1-_xll.qlIndexFixing(IborIndex,E21,TRUE,InterestRateTrigger))*100</f>
        <v>100.25000000026682</v>
      </c>
      <c r="I21" s="30" t="str">
        <f>Contribution!S21</f>
        <v>SEK3MZ5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H6</v>
      </c>
      <c r="D22" s="24" t="s">
        <v>66</v>
      </c>
      <c r="E22" s="40">
        <f>_xll.qlInterestRateIndexFixingDate(IborIndex,F22)</f>
        <v>42443</v>
      </c>
      <c r="F22" s="40">
        <f>_xll.qlIMMdate(C22)</f>
        <v>42445</v>
      </c>
      <c r="G22" s="40">
        <f>_xll.qlInterestRateIndexMaturity(IborIndex,F22,Trigger)</f>
        <v>42537</v>
      </c>
      <c r="H22" s="78">
        <f>(1-_xll.qlIndexFixing(IborIndex,E22,TRUE,InterestRateTrigger))*100</f>
        <v>100.21499999990198</v>
      </c>
      <c r="I22" s="30" t="str">
        <f>Contribution!S22</f>
        <v>SEK3MH6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M6</v>
      </c>
      <c r="D23" s="24" t="s">
        <v>66</v>
      </c>
      <c r="E23" s="40">
        <f>_xll.qlInterestRateIndexFixingDate(IborIndex,F23)</f>
        <v>42534</v>
      </c>
      <c r="F23" s="40">
        <f>_xll.qlIMMdate(C23)</f>
        <v>42536</v>
      </c>
      <c r="G23" s="40">
        <f>_xll.qlInterestRateIndexMaturity(IborIndex,F23,Trigger)</f>
        <v>42628</v>
      </c>
      <c r="H23" s="78">
        <f>(1-_xll.qlIndexFixing(IborIndex,E23,TRUE,InterestRateTrigger))*100</f>
        <v>100.1474999998748</v>
      </c>
      <c r="I23" s="30" t="str">
        <f>Contribution!S23</f>
        <v>SEK3MM6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>
        <v>6</v>
      </c>
      <c r="C24" s="17" t="str">
        <f>Contribution!C24</f>
        <v>U6</v>
      </c>
      <c r="D24" s="26" t="s">
        <v>66</v>
      </c>
      <c r="E24" s="41">
        <f>_xll.qlInterestRateIndexFixingDate(IborIndex,F24)</f>
        <v>42632</v>
      </c>
      <c r="F24" s="41">
        <f>_xll.qlIMMdate(C24)</f>
        <v>42634</v>
      </c>
      <c r="G24" s="41">
        <f>_xll.qlInterestRateIndexMaturity(IborIndex,F24,Trigger)</f>
        <v>42725</v>
      </c>
      <c r="H24" s="79">
        <f>(1-_xll.qlIndexFixing(IborIndex,E24,TRUE,InterestRateTrigger))*100</f>
        <v>100.05499999986229</v>
      </c>
      <c r="I24" s="32" t="str">
        <f>Contribution!S24</f>
        <v>SEK3MU6</v>
      </c>
      <c r="J24" s="32" t="str">
        <f t="shared" si="2"/>
        <v>SEK3F6=HBCO</v>
      </c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>EvaluationDate</f>
        <v>42137</v>
      </c>
      <c r="F25" s="37">
        <f>_xll.qlInterestRateIndexValueDate(L25,E25,Trigger)</f>
        <v>42142</v>
      </c>
      <c r="G25" s="37">
        <f>_xll.qlInterestRateIndexMaturity(L25,F25,Trigger)</f>
        <v>42508</v>
      </c>
      <c r="H25" s="38">
        <f>_xll.qlIndexFixing(L25,E25,TRUE,InterestRateTrigger)</f>
        <v>-2.4189536157916752E-3</v>
      </c>
      <c r="I25" s="31" t="str">
        <f>Contribution!S25</f>
        <v>SEK3M1Y=</v>
      </c>
      <c r="J25" s="31" t="str">
        <f t="shared" ref="J25:J39" si="3">Currency&amp;"AB3S"&amp;C25&amp;"=ICAP"</f>
        <v>SEKAB3S1Y=ICAP</v>
      </c>
      <c r="K25" s="33"/>
      <c r="L25" s="60" t="str">
        <f>_xll.qlSwapIndex(,IborIndexFamily,C25,SettlementDays,Currency,Calendar,FixedLegTenor,FixedLegBDC,FixedLegDayCounter,IborIndex,DiscountingCurve,,Trigger)</f>
        <v>obj_0034e#0000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ref="E26:E27" si="4">EvaluationDate</f>
        <v>42137</v>
      </c>
      <c r="F26" s="40">
        <f>_xll.qlInterestRateIndexValueDate(L26,E26,Trigger)</f>
        <v>42142</v>
      </c>
      <c r="G26" s="40">
        <f>_xll.qlInterestRateIndexMaturity(L26,F26,Trigger)</f>
        <v>42873</v>
      </c>
      <c r="H26" s="39">
        <f>_xll.qlIndexFixing(L26,E26,TRUE,InterestRateTrigger)</f>
        <v>-1.3249999999888071E-3</v>
      </c>
      <c r="I26" s="30" t="str">
        <f>Contribution!S26</f>
        <v>SEK3M2Y=</v>
      </c>
      <c r="J26" s="30" t="str">
        <f t="shared" si="3"/>
        <v>SEKAB3S2Y=ICAP</v>
      </c>
      <c r="K26" s="33"/>
      <c r="L26" s="25" t="str">
        <f>_xll.qlSwapIndex(,IborIndexFamily,C26,SettlementDays,Currency,Calendar,FixedLegTenor,FixedLegBDC,FixedLegDayCounter,IborIndex,DiscountingCurve,,Trigger)</f>
        <v>obj_0035a#0000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4"/>
        <v>42137</v>
      </c>
      <c r="F27" s="40">
        <f>_xll.qlInterestRateIndexValueDate(L27,E27,Trigger)</f>
        <v>42142</v>
      </c>
      <c r="G27" s="40">
        <f>_xll.qlInterestRateIndexMaturity(L27,F27,Trigger)</f>
        <v>43238</v>
      </c>
      <c r="H27" s="39">
        <f>_xll.qlIndexFixing(L27,E27,TRUE,InterestRateTrigger)</f>
        <v>7.2500000001042748E-4</v>
      </c>
      <c r="I27" s="30" t="str">
        <f>Contribution!S27</f>
        <v>SEK3M3Y=</v>
      </c>
      <c r="J27" s="30" t="str">
        <f t="shared" si="3"/>
        <v>SEKAB3S3Y=ICAP</v>
      </c>
      <c r="K27" s="33"/>
      <c r="L27" s="25" t="str">
        <f>_xll.qlSwapIndex(,IborIndexFamily,C27,SettlementDays,Currency,Calendar,FixedLegTenor,FixedLegBDC,FixedLegDayCounter,IborIndex,DiscountingCurve,,Trigger)</f>
        <v>obj_00352#0000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5">EvaluationDate</f>
        <v>42137</v>
      </c>
      <c r="F28" s="40">
        <f>_xll.qlInterestRateIndexValueDate(L28,E28,Trigger)</f>
        <v>42142</v>
      </c>
      <c r="G28" s="40">
        <f>_xll.qlInterestRateIndexMaturity(L28,F28,Trigger)</f>
        <v>43605</v>
      </c>
      <c r="H28" s="39">
        <f>_xll.qlIndexFixing(L28,E28,TRUE,InterestRateTrigger)</f>
        <v>3.0000000000080752E-3</v>
      </c>
      <c r="I28" s="30" t="str">
        <f>Contribution!S28</f>
        <v>SEK3M4Y=</v>
      </c>
      <c r="J28" s="46" t="str">
        <f t="shared" si="3"/>
        <v>SEKAB3S4Y=ICAP</v>
      </c>
      <c r="K28" s="33"/>
      <c r="L28" s="25" t="str">
        <f>_xll.qlSwapIndex(,IborIndexFamily,C28,SettlementDays,Currency,Calendar,FixedLegTenor,FixedLegBDC,FixedLegDayCounter,IborIndex,DiscountingCurve,,Trigger)</f>
        <v>obj_00347#0000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5"/>
        <v>42137</v>
      </c>
      <c r="F29" s="40">
        <f>_xll.qlInterestRateIndexValueDate(L29,E29,Trigger)</f>
        <v>42142</v>
      </c>
      <c r="G29" s="40">
        <f>_xll.qlInterestRateIndexMaturity(L29,F29,Trigger)</f>
        <v>43969</v>
      </c>
      <c r="H29" s="39">
        <f>_xll.qlIndexFixing(L29,E29,TRUE,InterestRateTrigger)</f>
        <v>5.3000000000080682E-3</v>
      </c>
      <c r="I29" s="30" t="str">
        <f>Contribution!S29</f>
        <v>SEK3M5Y=</v>
      </c>
      <c r="J29" s="46" t="str">
        <f t="shared" si="3"/>
        <v>SEKAB3S5Y=ICAP</v>
      </c>
      <c r="K29" s="33"/>
      <c r="L29" s="25" t="str">
        <f>_xll.qlSwapIndex(,IborIndexFamily,C29,SettlementDays,Currency,Calendar,FixedLegTenor,FixedLegBDC,FixedLegDayCounter,IborIndex,DiscountingCurve,,Trigger)</f>
        <v>obj_0032b#0000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6">EvaluationDate</f>
        <v>42137</v>
      </c>
      <c r="F30" s="40">
        <f>_xll.qlInterestRateIndexValueDate(L30,E30,Trigger)</f>
        <v>42142</v>
      </c>
      <c r="G30" s="40">
        <f>_xll.qlInterestRateIndexMaturity(L30,F30,Trigger)</f>
        <v>44334</v>
      </c>
      <c r="H30" s="39">
        <f>_xll.qlIndexFixing(L30,E30,TRUE,InterestRateTrigger)</f>
        <v>7.4000000000073989E-3</v>
      </c>
      <c r="I30" s="30" t="str">
        <f>Contribution!S30</f>
        <v>SEK3M6Y=</v>
      </c>
      <c r="J30" s="46" t="str">
        <f t="shared" si="3"/>
        <v>SEKAB3S6Y=ICAP</v>
      </c>
      <c r="K30" s="33"/>
      <c r="L30" s="25" t="str">
        <f>_xll.qlSwapIndex(,IborIndexFamily,C30,SettlementDays,Currency,Calendar,FixedLegTenor,FixedLegBDC,FixedLegDayCounter,IborIndex,DiscountingCurve,,Trigger)</f>
        <v>obj_00332#0000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6"/>
        <v>42137</v>
      </c>
      <c r="F31" s="40">
        <f>_xll.qlInterestRateIndexValueDate(L31,E31,Trigger)</f>
        <v>42142</v>
      </c>
      <c r="G31" s="40">
        <f>_xll.qlInterestRateIndexMaturity(L31,F31,Trigger)</f>
        <v>44699</v>
      </c>
      <c r="H31" s="39">
        <f>_xll.qlIndexFixing(L31,E31,TRUE,InterestRateTrigger)</f>
        <v>9.275000000006901E-3</v>
      </c>
      <c r="I31" s="30" t="str">
        <f>Contribution!S31</f>
        <v>SEK3M7Y=</v>
      </c>
      <c r="J31" s="46" t="str">
        <f t="shared" si="3"/>
        <v>SEKAB3S7Y=ICAP</v>
      </c>
      <c r="K31" s="33"/>
      <c r="L31" s="25" t="str">
        <f>_xll.qlSwapIndex(,IborIndexFamily,C31,SettlementDays,Currency,Calendar,FixedLegTenor,FixedLegBDC,FixedLegDayCounter,IborIndex,DiscountingCurve,,Trigger)</f>
        <v>obj_00353#0000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6"/>
        <v>42137</v>
      </c>
      <c r="F32" s="40">
        <f>_xll.qlInterestRateIndexValueDate(L32,E32,Trigger)</f>
        <v>42142</v>
      </c>
      <c r="G32" s="40">
        <f>_xll.qlInterestRateIndexMaturity(L32,F32,Trigger)</f>
        <v>45065</v>
      </c>
      <c r="H32" s="39">
        <f>_xll.qlIndexFixing(L32,E32,TRUE,InterestRateTrigger)</f>
        <v>1.085000000000637E-2</v>
      </c>
      <c r="I32" s="30" t="str">
        <f>Contribution!S32</f>
        <v>SEK3M8Y=</v>
      </c>
      <c r="J32" s="46" t="str">
        <f t="shared" si="3"/>
        <v>SEKAB3S8Y=ICAP</v>
      </c>
      <c r="K32" s="33"/>
      <c r="L32" s="25" t="str">
        <f>_xll.qlSwapIndex(,IborIndexFamily,C32,SettlementDays,Currency,Calendar,FixedLegTenor,FixedLegBDC,FixedLegDayCounter,IborIndex,DiscountingCurve,,Trigger)</f>
        <v>obj_00321#0000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6"/>
        <v>42137</v>
      </c>
      <c r="F33" s="40">
        <f>_xll.qlInterestRateIndexValueDate(L33,E33,Trigger)</f>
        <v>42142</v>
      </c>
      <c r="G33" s="40">
        <f>_xll.qlInterestRateIndexMaturity(L33,F33,Trigger)</f>
        <v>45433</v>
      </c>
      <c r="H33" s="39">
        <f>_xll.qlIndexFixing(L33,E33,TRUE,InterestRateTrigger)</f>
        <v>1.2100000000004491E-2</v>
      </c>
      <c r="I33" s="30" t="str">
        <f>Contribution!S33</f>
        <v>SEK3M9Y=</v>
      </c>
      <c r="J33" s="30" t="str">
        <f t="shared" si="3"/>
        <v>SEKAB3S9Y=ICAP</v>
      </c>
      <c r="K33" s="33"/>
      <c r="L33" s="25" t="str">
        <f>_xll.qlSwapIndex(,IborIndexFamily,C33,SettlementDays,Currency,Calendar,FixedLegTenor,FixedLegBDC,FixedLegDayCounter,IborIndex,DiscountingCurve,,Trigger)</f>
        <v>obj_0033b#0000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6"/>
        <v>42137</v>
      </c>
      <c r="F34" s="40">
        <f>_xll.qlInterestRateIndexValueDate(L34,E34,Trigger)</f>
        <v>42142</v>
      </c>
      <c r="G34" s="40">
        <f>_xll.qlInterestRateIndexMaturity(L34,F34,Trigger)</f>
        <v>45796</v>
      </c>
      <c r="H34" s="39">
        <f>_xll.qlIndexFixing(L34,E34,TRUE,InterestRateTrigger)</f>
        <v>1.3075000000003391E-2</v>
      </c>
      <c r="I34" s="30" t="str">
        <f>Contribution!S34</f>
        <v>SEK3M10Y=</v>
      </c>
      <c r="J34" s="30" t="str">
        <f t="shared" si="3"/>
        <v>SEKAB3S10Y=ICAP</v>
      </c>
      <c r="K34" s="33"/>
      <c r="L34" s="25" t="str">
        <f>_xll.qlSwapIndex(,IborIndexFamily,C34,SettlementDays,Currency,Calendar,FixedLegTenor,FixedLegBDC,FixedLegDayCounter,IborIndex,DiscountingCurve,,Trigger)</f>
        <v>obj_0031e#0000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6"/>
        <v>42137</v>
      </c>
      <c r="F35" s="40">
        <f>_xll.qlInterestRateIndexValueDate(L35,E35,Trigger)</f>
        <v>42142</v>
      </c>
      <c r="G35" s="40">
        <f>_xll.qlInterestRateIndexMaturity(L35,F35,Trigger)</f>
        <v>46525</v>
      </c>
      <c r="H35" s="39">
        <f>_xll.qlIndexFixing(L35,E35,TRUE,InterestRateTrigger)</f>
        <v>1.4575000000004326E-2</v>
      </c>
      <c r="I35" s="30" t="str">
        <f>Contribution!S35</f>
        <v>SEK3M12Y=</v>
      </c>
      <c r="J35" s="30" t="str">
        <f t="shared" si="3"/>
        <v>SEKAB3S12Y=ICAP</v>
      </c>
      <c r="K35" s="33"/>
      <c r="L35" s="25" t="str">
        <f>_xll.qlSwapIndex(,IborIndexFamily,C35,SettlementDays,Currency,Calendar,FixedLegTenor,FixedLegBDC,FixedLegDayCounter,IborIndex,DiscountingCurve,,Trigger)</f>
        <v>obj_00343#0000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6"/>
        <v>42137</v>
      </c>
      <c r="F36" s="40">
        <f>_xll.qlInterestRateIndexValueDate(L36,E36,Trigger)</f>
        <v>42142</v>
      </c>
      <c r="G36" s="40">
        <f>_xll.qlInterestRateIndexMaturity(L36,F36,Trigger)</f>
        <v>47623</v>
      </c>
      <c r="H36" s="39">
        <f>_xll.qlIndexFixing(L36,E36,TRUE,InterestRateTrigger)</f>
        <v>1.622500000001028E-2</v>
      </c>
      <c r="I36" s="30" t="str">
        <f>Contribution!S36</f>
        <v>SEK3M15Y=</v>
      </c>
      <c r="J36" s="30" t="str">
        <f t="shared" si="3"/>
        <v>SEKAB3S15Y=ICAP</v>
      </c>
      <c r="K36" s="33"/>
      <c r="L36" s="25" t="str">
        <f>_xll.qlSwapIndex(,IborIndexFamily,C36,SettlementDays,Currency,Calendar,FixedLegTenor,FixedLegBDC,FixedLegDayCounter,IborIndex,DiscountingCurve,,Trigger)</f>
        <v>obj_0032f#0000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6"/>
        <v>42137</v>
      </c>
      <c r="F37" s="40">
        <f>_xll.qlInterestRateIndexValueDate(L37,E37,Trigger)</f>
        <v>42142</v>
      </c>
      <c r="G37" s="40">
        <f>_xll.qlInterestRateIndexMaturity(L37,F37,Trigger)</f>
        <v>49447</v>
      </c>
      <c r="H37" s="39">
        <f>_xll.qlIndexFixing(L37,E37,TRUE,InterestRateTrigger)</f>
        <v>1.7950000000014996E-2</v>
      </c>
      <c r="I37" s="30" t="str">
        <f>Contribution!S37</f>
        <v>SEK3M20Y=</v>
      </c>
      <c r="J37" s="30" t="str">
        <f t="shared" si="3"/>
        <v>SEKAB3S20Y=ICAP</v>
      </c>
      <c r="K37" s="33"/>
      <c r="L37" s="25" t="str">
        <f>_xll.qlSwapIndex(,IborIndexFamily,C37,SettlementDays,Currency,Calendar,FixedLegTenor,FixedLegBDC,FixedLegDayCounter,IborIndex,DiscountingCurve,,Trigger)</f>
        <v>obj_00346#0000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6"/>
        <v>42137</v>
      </c>
      <c r="F38" s="40">
        <f>_xll.qlInterestRateIndexValueDate(L38,E38,Trigger)</f>
        <v>42142</v>
      </c>
      <c r="G38" s="40">
        <f>_xll.qlInterestRateIndexMaturity(L38,F38,Trigger)</f>
        <v>51274</v>
      </c>
      <c r="H38" s="39">
        <f>_xll.qlIndexFixing(L38,E38,TRUE,InterestRateTrigger)</f>
        <v>1.8750000000000908E-2</v>
      </c>
      <c r="I38" s="30" t="str">
        <f>Contribution!S38</f>
        <v>SEK3M25Y=</v>
      </c>
      <c r="J38" s="30" t="str">
        <f t="shared" si="3"/>
        <v>SEKAB3S25Y=ICAP</v>
      </c>
      <c r="K38" s="33"/>
      <c r="L38" s="25" t="str">
        <f>_xll.qlSwapIndex(,IborIndexFamily,C38,SettlementDays,Currency,Calendar,FixedLegTenor,FixedLegBDC,FixedLegDayCounter,IborIndex,DiscountingCurve,,Trigger)</f>
        <v>obj_00338#0000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6"/>
        <v>42137</v>
      </c>
      <c r="F39" s="41">
        <f>_xll.qlInterestRateIndexValueDate(L39,E39,Trigger)</f>
        <v>42142</v>
      </c>
      <c r="G39" s="41">
        <f>_xll.qlInterestRateIndexMaturity(L39,F39,Trigger)</f>
        <v>53101</v>
      </c>
      <c r="H39" s="42">
        <f>_xll.qlIndexFixing(L39,E39,TRUE,InterestRateTrigger)</f>
        <v>1.9049999999981245E-2</v>
      </c>
      <c r="I39" s="32" t="str">
        <f>Contribution!S39</f>
        <v>SEK3M30Y=</v>
      </c>
      <c r="J39" s="32" t="str">
        <f t="shared" si="3"/>
        <v>SEKAB3S30Y=ICAP</v>
      </c>
      <c r="K39" s="33"/>
      <c r="L39" s="27" t="str">
        <f>_xll.qlSwapIndex(,IborIndexFamily,C39,SettlementDays,Currency,Calendar,FixedLegTenor,FixedLegBDC,FixedLegDayCounter,IborIndex,DiscountingCurve,,Trigger)</f>
        <v>obj_0033a#0000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2</v>
      </c>
      <c r="C6" s="15" t="s">
        <v>15</v>
      </c>
      <c r="D6" s="24" t="s">
        <v>76</v>
      </c>
      <c r="E6" s="37">
        <f t="shared" ref="E6:E17" si="1">EvaluationDate</f>
        <v>42137</v>
      </c>
      <c r="F6" s="37">
        <f>E6</f>
        <v>42137</v>
      </c>
      <c r="G6" s="37">
        <f>_xll.qlCalendarAdvance(Calendar,F6,"1D","f",TRUE,Trigger)</f>
        <v>42139</v>
      </c>
      <c r="H6" s="43">
        <f>_xll.qlInterpolationInterpolate(Interpolation,B6,TRUE)</f>
        <v>-9.5289993278543244E-4</v>
      </c>
      <c r="I6" s="44"/>
      <c r="J6" s="45"/>
      <c r="K6" s="33"/>
      <c r="L6" s="59" t="str">
        <f>_xll.qlInterpolation(,InterpolationType,B8:B17,H8:H17,,Trigger)</f>
        <v>obj_0035e#0141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5</v>
      </c>
      <c r="C7" s="16" t="s">
        <v>73</v>
      </c>
      <c r="D7" s="24" t="s">
        <v>76</v>
      </c>
      <c r="E7" s="40">
        <f t="shared" si="1"/>
        <v>42137</v>
      </c>
      <c r="F7" s="40">
        <f>G6</f>
        <v>42139</v>
      </c>
      <c r="G7" s="40">
        <f>_xll.qlCalendarAdvance(Calendar,F7,"1D","f",TRUE,Trigger)</f>
        <v>42142</v>
      </c>
      <c r="H7" s="111">
        <f>_xll.qlInterpolationInterpolate(Interpolation,B7,TRUE)</f>
        <v>-9.5394029994130326E-4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6</v>
      </c>
      <c r="C8" s="15" t="s">
        <v>74</v>
      </c>
      <c r="D8" s="23" t="s">
        <v>53</v>
      </c>
      <c r="E8" s="37">
        <f t="shared" si="1"/>
        <v>42137</v>
      </c>
      <c r="F8" s="37">
        <f>_xll.qlInterestRateIndexValueDate(L8,E8,Trigger)</f>
        <v>42142</v>
      </c>
      <c r="G8" s="37">
        <f>_xll.qlInterestRateIndexMaturity(L8,F8,Trigger)</f>
        <v>42143</v>
      </c>
      <c r="H8" s="43">
        <f>_xll.qlIndexFixing(L8,E8,TRUE,InterestRateTrigger)</f>
        <v>-9.5422892267826853E-4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obj_00328#0000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13</v>
      </c>
      <c r="C9" s="16" t="s">
        <v>16</v>
      </c>
      <c r="D9" s="24" t="s">
        <v>53</v>
      </c>
      <c r="E9" s="40">
        <f t="shared" si="1"/>
        <v>42137</v>
      </c>
      <c r="F9" s="40">
        <f>_xll.qlInterestRateIndexValueDate(L9,E9,Trigger)</f>
        <v>42142</v>
      </c>
      <c r="G9" s="40">
        <f>_xll.qlInterestRateIndexMaturity(L9,F9,Trigger)</f>
        <v>42150</v>
      </c>
      <c r="H9" s="39">
        <f>_xll.qlIndexFixing(L9,E9,TRUE,InterestRateTrigger)</f>
        <v>-9.572264759288851E-4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obj_00356#0000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19</v>
      </c>
      <c r="C10" s="16" t="s">
        <v>17</v>
      </c>
      <c r="D10" s="24" t="s">
        <v>53</v>
      </c>
      <c r="E10" s="40">
        <f t="shared" si="1"/>
        <v>42137</v>
      </c>
      <c r="F10" s="40">
        <f>_xll.qlInterestRateIndexValueDate(L10,E10,Trigger)</f>
        <v>42142</v>
      </c>
      <c r="G10" s="40">
        <f>_xll.qlInterestRateIndexMaturity(L10,F10,Trigger)</f>
        <v>42156</v>
      </c>
      <c r="H10" s="39">
        <f>_xll.qlIndexFixing(L10,E10,TRUE,InterestRateTrigger)</f>
        <v>-9.635178746858486E-4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obj_0031c#0000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42137</v>
      </c>
      <c r="F11" s="40">
        <f>_xll.qlInterestRateIndexValueDate(L11,E11,Trigger)</f>
        <v>42142</v>
      </c>
      <c r="G11" s="40">
        <f>_xll.qlInterestRateIndexMaturity(L11,F11,Trigger)</f>
        <v>42163</v>
      </c>
      <c r="H11" s="39">
        <f>_xll.qlIndexFixing(L11,E11,TRUE,InterestRateTrigger)</f>
        <v>-9.7520001409406073E-4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obj_00324#0000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36</v>
      </c>
      <c r="C12" s="16" t="s">
        <v>19</v>
      </c>
      <c r="D12" s="24" t="s">
        <v>53</v>
      </c>
      <c r="E12" s="40">
        <f t="shared" si="1"/>
        <v>42137</v>
      </c>
      <c r="F12" s="40">
        <f>_xll.qlInterestRateIndexValueDate(L12,E12,Trigger)</f>
        <v>42142</v>
      </c>
      <c r="G12" s="40">
        <f>_xll.qlInterestRateIndexMaturity(L12,F12,Trigger)</f>
        <v>42173</v>
      </c>
      <c r="H12" s="39">
        <f>_xll.qlIndexFixing(L12,E12,TRUE,InterestRateTrigger)</f>
        <v>-1.0000000000091299E-3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obj_0033d#0000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68</v>
      </c>
      <c r="C13" s="16" t="s">
        <v>20</v>
      </c>
      <c r="D13" s="24" t="s">
        <v>53</v>
      </c>
      <c r="E13" s="40">
        <f t="shared" si="1"/>
        <v>42137</v>
      </c>
      <c r="F13" s="40">
        <f>_xll.qlInterestRateIndexValueDate(L13,E13,Trigger)</f>
        <v>42142</v>
      </c>
      <c r="G13" s="40">
        <f>_xll.qlInterestRateIndexMaturity(L13,F13,Trigger)</f>
        <v>42205</v>
      </c>
      <c r="H13" s="39">
        <f>_xll.qlIndexFixing(L13,E13,TRUE,InterestRateTrigger)</f>
        <v>-1.1600000000162275E-3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obj_00335#0000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97</v>
      </c>
      <c r="C14" s="16" t="s">
        <v>21</v>
      </c>
      <c r="D14" s="24" t="s">
        <v>53</v>
      </c>
      <c r="E14" s="40">
        <f t="shared" si="1"/>
        <v>42137</v>
      </c>
      <c r="F14" s="40">
        <f>_xll.qlInterestRateIndexValueDate(L14,E14,Trigger)</f>
        <v>42142</v>
      </c>
      <c r="G14" s="40">
        <f>_xll.qlInterestRateIndexMaturity(L14,F14,Trigger)</f>
        <v>42234</v>
      </c>
      <c r="H14" s="39">
        <f>_xll.qlIndexFixing(L14,E14,TRUE,InterestRateTrigger)</f>
        <v>-1.3700000000210525E-3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obj_0033e#0000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128</v>
      </c>
      <c r="C15" s="16" t="s">
        <v>22</v>
      </c>
      <c r="D15" s="24" t="s">
        <v>53</v>
      </c>
      <c r="E15" s="40">
        <f t="shared" si="1"/>
        <v>42137</v>
      </c>
      <c r="F15" s="40">
        <f>_xll.qlInterestRateIndexValueDate(L15,E15,Trigger)</f>
        <v>42142</v>
      </c>
      <c r="G15" s="40">
        <f>_xll.qlInterestRateIndexMaturity(L15,F15,Trigger)</f>
        <v>42265</v>
      </c>
      <c r="H15" s="39">
        <f>_xll.qlIndexFixing(L15,E15,TRUE,InterestRateTrigger)</f>
        <v>-1.4700000000303292E-3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obj_00354#0000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159</v>
      </c>
      <c r="C16" s="16" t="s">
        <v>23</v>
      </c>
      <c r="D16" s="24" t="s">
        <v>53</v>
      </c>
      <c r="E16" s="40">
        <f t="shared" si="1"/>
        <v>42137</v>
      </c>
      <c r="F16" s="40">
        <f>_xll.qlInterestRateIndexValueDate(L16,E16,Trigger)</f>
        <v>42142</v>
      </c>
      <c r="G16" s="40">
        <f>_xll.qlInterestRateIndexMaturity(L16,F16,Trigger)</f>
        <v>42296</v>
      </c>
      <c r="H16" s="39">
        <f>_xll.qlIndexFixing(L16,E16,TRUE,InterestRateTrigger)</f>
        <v>-1.489999999999951E-3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obj_0034c#0000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2">
        <f t="shared" si="0"/>
        <v>189</v>
      </c>
      <c r="C17" s="142" t="s">
        <v>14</v>
      </c>
      <c r="D17" s="143" t="s">
        <v>53</v>
      </c>
      <c r="E17" s="144">
        <f t="shared" si="1"/>
        <v>42137</v>
      </c>
      <c r="F17" s="144">
        <f>_xll.qlInterestRateIndexValueDate(IborIndex,E17,Trigger)</f>
        <v>42142</v>
      </c>
      <c r="G17" s="144">
        <f>_xll.qlInterestRateIndexMaturity(IborIndex,F17,Trigger)</f>
        <v>42326</v>
      </c>
      <c r="H17" s="145">
        <f>_xll.qlIndexFixing(IborIndex,E17,TRUE,InterestRateTrigger)</f>
        <v>-1.5499999999999453E-3</v>
      </c>
      <c r="I17" s="146" t="str">
        <f>Contribution!V17</f>
        <v>SEK6M6MD=</v>
      </c>
      <c r="J17" s="146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ref="E25:E27" si="2">EvaluationDate</f>
        <v>42137</v>
      </c>
      <c r="F25" s="37">
        <f>_xll.qlInterestRateIndexValueDate(L25,E25,Trigger)</f>
        <v>42142</v>
      </c>
      <c r="G25" s="37">
        <f>_xll.qlInterestRateIndexMaturity(L25,F25,Trigger)</f>
        <v>42508</v>
      </c>
      <c r="H25" s="38">
        <f>_xll.qlIndexFixing(L25,E25,TRUE,InterestRateTrigger)</f>
        <v>-1.5752471896158804E-3</v>
      </c>
      <c r="I25" s="31" t="str">
        <f>Contribution!V25</f>
        <v>SEK6M1Y=</v>
      </c>
      <c r="J25" s="31" t="str">
        <f t="shared" ref="J25:J39" si="3">Currency&amp;"3S6S"&amp;C25&amp;"=ICAP"</f>
        <v>SEK3S6S1Y=ICAP</v>
      </c>
      <c r="K25" s="33"/>
      <c r="L25" s="60" t="str">
        <f>_xll.qlSwapIndex(,IborIndexFamily,C25,SettlementDays,Currency,Calendar,FixedLegTenor,FixedLegBDC,FixedLegDayCounter,IborIndex,DiscountingCurve,,Trigger)</f>
        <v>obj_00330#0000</v>
      </c>
      <c r="M25" s="3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2"/>
        <v>42137</v>
      </c>
      <c r="F26" s="40">
        <f>_xll.qlInterestRateIndexValueDate(L26,E26,Trigger)</f>
        <v>42142</v>
      </c>
      <c r="G26" s="40">
        <f>_xll.qlInterestRateIndexMaturity(L26,F26,Trigger)</f>
        <v>42873</v>
      </c>
      <c r="H26" s="39">
        <f>_xll.qlIndexFixing(L26,E26,TRUE,InterestRateTrigger)</f>
        <v>-3.9675202601862649E-4</v>
      </c>
      <c r="I26" s="30" t="str">
        <f>Contribution!V26</f>
        <v>SEK6M2Y=</v>
      </c>
      <c r="J26" s="30" t="str">
        <f t="shared" si="3"/>
        <v>SEK3S6S2Y=ICAP</v>
      </c>
      <c r="K26" s="33"/>
      <c r="L26" s="25" t="str">
        <f>_xll.qlSwapIndex(,IborIndexFamily,C26,SettlementDays,Currency,Calendar,FixedLegTenor,FixedLegBDC,FixedLegDayCounter,IborIndex,DiscountingCurve,,Trigger)</f>
        <v>obj_0034b#0000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2"/>
        <v>42137</v>
      </c>
      <c r="F27" s="40">
        <f>_xll.qlInterestRateIndexValueDate(L27,E27,Trigger)</f>
        <v>42142</v>
      </c>
      <c r="G27" s="40">
        <f>_xll.qlInterestRateIndexMaturity(L27,F27,Trigger)</f>
        <v>43238</v>
      </c>
      <c r="H27" s="39">
        <f>_xll.qlIndexFixing(L27,E27,TRUE,InterestRateTrigger)</f>
        <v>1.6799386825871751E-3</v>
      </c>
      <c r="I27" s="30" t="str">
        <f>Contribution!V27</f>
        <v>SEK6M3Y=</v>
      </c>
      <c r="J27" s="30" t="str">
        <f t="shared" si="3"/>
        <v>SEK3S6S3Y=ICAP</v>
      </c>
      <c r="K27" s="33"/>
      <c r="L27" s="25" t="str">
        <f>_xll.qlSwapIndex(,IborIndexFamily,C27,SettlementDays,Currency,Calendar,FixedLegTenor,FixedLegBDC,FixedLegDayCounter,IborIndex,DiscountingCurve,,Trigger)</f>
        <v>obj_0031f#0000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4">EvaluationDate</f>
        <v>42137</v>
      </c>
      <c r="F28" s="40">
        <f>_xll.qlInterestRateIndexValueDate(L28,E28,Trigger)</f>
        <v>42142</v>
      </c>
      <c r="G28" s="40">
        <f>_xll.qlInterestRateIndexMaturity(L28,F28,Trigger)</f>
        <v>43605</v>
      </c>
      <c r="H28" s="39">
        <f>_xll.qlIndexFixing(L28,E28,TRUE,InterestRateTrigger)</f>
        <v>3.9666822915645043E-3</v>
      </c>
      <c r="I28" s="30" t="str">
        <f>Contribution!V28</f>
        <v>SEK6M4Y=</v>
      </c>
      <c r="J28" s="46" t="str">
        <f t="shared" si="3"/>
        <v>SEK3S6S4Y=ICAP</v>
      </c>
      <c r="K28" s="33"/>
      <c r="L28" s="25" t="str">
        <f>_xll.qlSwapIndex(,IborIndexFamily,C28,SettlementDays,Currency,Calendar,FixedLegTenor,FixedLegBDC,FixedLegDayCounter,IborIndex,DiscountingCurve,,Trigger)</f>
        <v>obj_0035b#0000</v>
      </c>
      <c r="M28" s="57"/>
      <c r="N28" s="47"/>
      <c r="O28" s="3"/>
      <c r="P28" s="47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4"/>
        <v>42137</v>
      </c>
      <c r="F29" s="40">
        <f>_xll.qlInterestRateIndexValueDate(L29,E29,Trigger)</f>
        <v>42142</v>
      </c>
      <c r="G29" s="40">
        <f>_xll.qlInterestRateIndexMaturity(L29,F29,Trigger)</f>
        <v>43969</v>
      </c>
      <c r="H29" s="39">
        <f>_xll.qlIndexFixing(L29,E29,TRUE,InterestRateTrigger)</f>
        <v>6.273021632201988E-3</v>
      </c>
      <c r="I29" s="30" t="str">
        <f>Contribution!V29</f>
        <v>SEK6M5Y=</v>
      </c>
      <c r="J29" s="46" t="str">
        <f t="shared" si="3"/>
        <v>SEK3S6S5Y=ICAP</v>
      </c>
      <c r="K29" s="33"/>
      <c r="L29" s="25" t="str">
        <f>_xll.qlSwapIndex(,IborIndexFamily,C29,SettlementDays,Currency,Calendar,FixedLegTenor,FixedLegBDC,FixedLegDayCounter,IborIndex,DiscountingCurve,,Trigger)</f>
        <v>obj_00322#0000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5">EvaluationDate</f>
        <v>42137</v>
      </c>
      <c r="F30" s="40">
        <f>_xll.qlInterestRateIndexValueDate(L30,E30,Trigger)</f>
        <v>42142</v>
      </c>
      <c r="G30" s="40">
        <f>_xll.qlInterestRateIndexMaturity(L30,F30,Trigger)</f>
        <v>44334</v>
      </c>
      <c r="H30" s="39">
        <f>_xll.qlIndexFixing(L30,E30,TRUE,InterestRateTrigger)</f>
        <v>8.3756521366221866E-3</v>
      </c>
      <c r="I30" s="30" t="str">
        <f>Contribution!V30</f>
        <v>SEK6M6Y=</v>
      </c>
      <c r="J30" s="46" t="str">
        <f t="shared" si="3"/>
        <v>SEK3S6S6Y=ICAP</v>
      </c>
      <c r="K30" s="33"/>
      <c r="L30" s="25" t="str">
        <f>_xll.qlSwapIndex(,IborIndexFamily,C30,SettlementDays,Currency,Calendar,FixedLegTenor,FixedLegBDC,FixedLegDayCounter,IborIndex,DiscountingCurve,,Trigger)</f>
        <v>obj_00345#0000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5"/>
        <v>42137</v>
      </c>
      <c r="F31" s="40">
        <f>_xll.qlInterestRateIndexValueDate(L31,E31,Trigger)</f>
        <v>42142</v>
      </c>
      <c r="G31" s="40">
        <f>_xll.qlInterestRateIndexMaturity(L31,F31,Trigger)</f>
        <v>44699</v>
      </c>
      <c r="H31" s="39">
        <f>_xll.qlIndexFixing(L31,E31,TRUE,InterestRateTrigger)</f>
        <v>1.0251214935585427E-2</v>
      </c>
      <c r="I31" s="30" t="str">
        <f>Contribution!V31</f>
        <v>SEK6M7Y=</v>
      </c>
      <c r="J31" s="46" t="str">
        <f t="shared" si="3"/>
        <v>SEK3S6S7Y=ICAP</v>
      </c>
      <c r="K31" s="33"/>
      <c r="L31" s="25" t="str">
        <f>_xll.qlSwapIndex(,IborIndexFamily,C31,SettlementDays,Currency,Calendar,FixedLegTenor,FixedLegBDC,FixedLegDayCounter,IborIndex,DiscountingCurve,,Trigger)</f>
        <v>obj_00323#0000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5"/>
        <v>42137</v>
      </c>
      <c r="F32" s="40">
        <f>_xll.qlInterestRateIndexValueDate(L32,E32,Trigger)</f>
        <v>42142</v>
      </c>
      <c r="G32" s="40">
        <f>_xll.qlInterestRateIndexMaturity(L32,F32,Trigger)</f>
        <v>45065</v>
      </c>
      <c r="H32" s="39">
        <f>_xll.qlIndexFixing(L32,E32,TRUE,InterestRateTrigger)</f>
        <v>1.1825659256964303E-2</v>
      </c>
      <c r="I32" s="30" t="str">
        <f>Contribution!V32</f>
        <v>SEK6M8Y=</v>
      </c>
      <c r="J32" s="46" t="str">
        <f t="shared" si="3"/>
        <v>SEK3S6S8Y=ICAP</v>
      </c>
      <c r="K32" s="33"/>
      <c r="L32" s="25" t="str">
        <f>_xll.qlSwapIndex(,IborIndexFamily,C32,SettlementDays,Currency,Calendar,FixedLegTenor,FixedLegBDC,FixedLegDayCounter,IborIndex,DiscountingCurve,,Trigger)</f>
        <v>obj_00326#0000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5"/>
        <v>42137</v>
      </c>
      <c r="F33" s="40">
        <f>_xll.qlInterestRateIndexValueDate(L33,E33,Trigger)</f>
        <v>42142</v>
      </c>
      <c r="G33" s="40">
        <f>_xll.qlInterestRateIndexMaturity(L33,F33,Trigger)</f>
        <v>45433</v>
      </c>
      <c r="H33" s="39">
        <f>_xll.qlIndexFixing(L33,E33,TRUE,InterestRateTrigger)</f>
        <v>1.3075289451457863E-2</v>
      </c>
      <c r="I33" s="30" t="str">
        <f>Contribution!V33</f>
        <v>SEK6M9Y=</v>
      </c>
      <c r="J33" s="30" t="str">
        <f t="shared" si="3"/>
        <v>SEK3S6S9Y=ICAP</v>
      </c>
      <c r="K33" s="33"/>
      <c r="L33" s="25" t="str">
        <f>_xll.qlSwapIndex(,IborIndexFamily,C33,SettlementDays,Currency,Calendar,FixedLegTenor,FixedLegBDC,FixedLegDayCounter,IborIndex,DiscountingCurve,,Trigger)</f>
        <v>obj_00325#0000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5"/>
        <v>42137</v>
      </c>
      <c r="F34" s="40">
        <f>_xll.qlInterestRateIndexValueDate(L34,E34,Trigger)</f>
        <v>42142</v>
      </c>
      <c r="G34" s="40">
        <f>_xll.qlInterestRateIndexMaturity(L34,F34,Trigger)</f>
        <v>45796</v>
      </c>
      <c r="H34" s="39">
        <f>_xll.qlIndexFixing(L34,E34,TRUE,InterestRateTrigger)</f>
        <v>1.4045452994811174E-2</v>
      </c>
      <c r="I34" s="30" t="str">
        <f>Contribution!V34</f>
        <v>SEK6M10Y=</v>
      </c>
      <c r="J34" s="30" t="str">
        <f t="shared" si="3"/>
        <v>SEK3S6S10Y=ICAP</v>
      </c>
      <c r="K34" s="33"/>
      <c r="L34" s="25" t="str">
        <f>_xll.qlSwapIndex(,IborIndexFamily,C34,SettlementDays,Currency,Calendar,FixedLegTenor,FixedLegBDC,FixedLegDayCounter,IborIndex,DiscountingCurve,,Trigger)</f>
        <v>obj_00341#0000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5"/>
        <v>42137</v>
      </c>
      <c r="F35" s="40">
        <f>_xll.qlInterestRateIndexValueDate(L35,E35,Trigger)</f>
        <v>42142</v>
      </c>
      <c r="G35" s="40">
        <f>_xll.qlInterestRateIndexMaturity(L35,F35,Trigger)</f>
        <v>46525</v>
      </c>
      <c r="H35" s="39">
        <f>_xll.qlIndexFixing(L35,E35,TRUE,InterestRateTrigger)</f>
        <v>1.5521399354079594E-2</v>
      </c>
      <c r="I35" s="30" t="str">
        <f>Contribution!V35</f>
        <v>SEK6M12Y=</v>
      </c>
      <c r="J35" s="30" t="str">
        <f t="shared" si="3"/>
        <v>SEK3S6S12Y=ICAP</v>
      </c>
      <c r="K35" s="33"/>
      <c r="L35" s="25" t="str">
        <f>_xll.qlSwapIndex(,IborIndexFamily,C35,SettlementDays,Currency,Calendar,FixedLegTenor,FixedLegBDC,FixedLegDayCounter,IborIndex,DiscountingCurve,,Trigger)</f>
        <v>obj_00357#0000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5"/>
        <v>42137</v>
      </c>
      <c r="F36" s="40">
        <f>_xll.qlInterestRateIndexValueDate(L36,E36,Trigger)</f>
        <v>42142</v>
      </c>
      <c r="G36" s="40">
        <f>_xll.qlInterestRateIndexMaturity(L36,F36,Trigger)</f>
        <v>47623</v>
      </c>
      <c r="H36" s="39">
        <f>_xll.qlIndexFixing(L36,E36,TRUE,InterestRateTrigger)</f>
        <v>1.7104657664153328E-2</v>
      </c>
      <c r="I36" s="30" t="str">
        <f>Contribution!V36</f>
        <v>SEK6M15Y=</v>
      </c>
      <c r="J36" s="30" t="str">
        <f t="shared" si="3"/>
        <v>SEK3S6S15Y=ICAP</v>
      </c>
      <c r="K36" s="33"/>
      <c r="L36" s="25" t="str">
        <f>_xll.qlSwapIndex(,IborIndexFamily,C36,SettlementDays,Currency,Calendar,FixedLegTenor,FixedLegBDC,FixedLegDayCounter,IborIndex,DiscountingCurve,,Trigger)</f>
        <v>obj_0031d#0000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5"/>
        <v>42137</v>
      </c>
      <c r="F37" s="40">
        <f>_xll.qlInterestRateIndexValueDate(L37,E37,Trigger)</f>
        <v>42142</v>
      </c>
      <c r="G37" s="40">
        <f>_xll.qlInterestRateIndexMaturity(L37,F37,Trigger)</f>
        <v>49447</v>
      </c>
      <c r="H37" s="39">
        <f>_xll.qlIndexFixing(L37,E37,TRUE,InterestRateTrigger)</f>
        <v>1.8730147884245839E-2</v>
      </c>
      <c r="I37" s="30" t="str">
        <f>Contribution!V37</f>
        <v>SEK6M20Y=</v>
      </c>
      <c r="J37" s="30" t="str">
        <f t="shared" si="3"/>
        <v>SEK3S6S20Y=ICAP</v>
      </c>
      <c r="K37" s="33"/>
      <c r="L37" s="25" t="str">
        <f>_xll.qlSwapIndex(,IborIndexFamily,C37,SettlementDays,Currency,Calendar,FixedLegTenor,FixedLegBDC,FixedLegDayCounter,IborIndex,DiscountingCurve,,Trigger)</f>
        <v>obj_0033f#0000</v>
      </c>
      <c r="M37" s="57"/>
      <c r="N37" s="47"/>
      <c r="O37" s="56"/>
      <c r="P37" s="55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5"/>
        <v>42137</v>
      </c>
      <c r="F38" s="40">
        <f>_xll.qlInterestRateIndexValueDate(L38,E38,Trigger)</f>
        <v>42142</v>
      </c>
      <c r="G38" s="40">
        <f>_xll.qlInterestRateIndexMaturity(L38,F38,Trigger)</f>
        <v>51274</v>
      </c>
      <c r="H38" s="39">
        <f>_xll.qlIndexFixing(L38,E38,TRUE,InterestRateTrigger)</f>
        <v>1.9457914859059164E-2</v>
      </c>
      <c r="I38" s="30" t="str">
        <f>Contribution!V38</f>
        <v>SEK6M25Y=</v>
      </c>
      <c r="J38" s="30" t="str">
        <f t="shared" si="3"/>
        <v>SEK3S6S25Y=ICAP</v>
      </c>
      <c r="K38" s="33"/>
      <c r="L38" s="25" t="str">
        <f>_xll.qlSwapIndex(,IborIndexFamily,C38,SettlementDays,Currency,Calendar,FixedLegTenor,FixedLegBDC,FixedLegDayCounter,IborIndex,DiscountingCurve,,Trigger)</f>
        <v>obj_00340#0000</v>
      </c>
      <c r="M38" s="57"/>
      <c r="N38" s="47"/>
      <c r="O38" s="3"/>
      <c r="P38" s="47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5"/>
        <v>42137</v>
      </c>
      <c r="F39" s="41">
        <f>_xll.qlInterestRateIndexValueDate(L39,E39,Trigger)</f>
        <v>42142</v>
      </c>
      <c r="G39" s="41">
        <f>_xll.qlInterestRateIndexMaturity(L39,F39,Trigger)</f>
        <v>53101</v>
      </c>
      <c r="H39" s="42">
        <f>_xll.qlIndexFixing(L39,E39,TRUE,InterestRateTrigger)</f>
        <v>1.9698736787406145E-2</v>
      </c>
      <c r="I39" s="32" t="str">
        <f>Contribution!V39</f>
        <v>SEK6M30Y=</v>
      </c>
      <c r="J39" s="32" t="str">
        <f t="shared" si="3"/>
        <v>SEK3S6S30Y=ICAP</v>
      </c>
      <c r="K39" s="33"/>
      <c r="L39" s="27" t="str">
        <f>_xll.qlSwapIndex(,IborIndexFamily,C39,SettlementDays,Currency,Calendar,FixedLegTenor,FixedLegBDC,FixedLegDayCounter,IborIndex,DiscountingCurve,,Trigger)</f>
        <v>obj_00333#0000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2015-05-13T10:59:53Z</dcterms:modified>
</cp:coreProperties>
</file>