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18600" windowHeight="13635" firstSheet="1" activeTab="6"/>
  </bookViews>
  <sheets>
    <sheet name="General Settings" sheetId="29" r:id="rId1"/>
    <sheet name="1MSynthDepo" sheetId="45" r:id="rId2"/>
    <sheet name="3MSynthDepo" sheetId="51" r:id="rId3"/>
    <sheet name="6MSynthDepo" sheetId="40" r:id="rId4"/>
    <sheet name="1YSynthDepo" sheetId="52" r:id="rId5"/>
    <sheet name="SynthFra" sheetId="35" r:id="rId6"/>
    <sheet name="Contribution" sheetId="33" r:id="rId7"/>
  </sheets>
  <externalReferences>
    <externalReference r:id="rId8"/>
  </externalReferences>
  <definedNames>
    <definedName name="AllTriggers">'General Settings'!$I$17:$I$21</definedName>
    <definedName name="BasisInterpolation">'General Settings'!$D$18</definedName>
    <definedName name="BasisInterpolator">'General Settings'!$D$19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Tenor1M">'General Settings'!$D$26</definedName>
    <definedName name="IborType">'General Settings'!$D$6</definedName>
    <definedName name="InterestRatesTrigger">'General Settings'!$I$19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N_12M_index">'1YSynthDepo'!$R$3</definedName>
    <definedName name="ON_1M_index" localSheetId="1">'1MSynthDepo'!$AE$3</definedName>
    <definedName name="ON_3M_index">'3MSynthDepo'!$R$3</definedName>
    <definedName name="ON_6M_index">'6MSynthDepo'!$R$3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Contribution!$L$3:$L$63</definedName>
    <definedName name="QuoteLive" localSheetId="6">Contribution!$H$3:$H$63</definedName>
    <definedName name="QuoteStatic" localSheetId="6">Contribution!$J$3:$J$63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solver_adj" localSheetId="4" hidden="1">'1YSynthDepo'!$T$13:$T$17</definedName>
    <definedName name="solver_adj" localSheetId="2" hidden="1">'3MSynthDepo'!$T$13:$T$17</definedName>
    <definedName name="solver_adj" localSheetId="3" hidden="1">'6MSynthDepo'!$T$13:$T$17</definedName>
    <definedName name="solver_cvg" localSheetId="4" hidden="1">0.0000000000001</definedName>
    <definedName name="solver_cvg" localSheetId="2" hidden="1">0.0000000000001</definedName>
    <definedName name="solver_cvg" localSheetId="3" hidden="1">0.0000000000001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4" hidden="1">2</definedName>
    <definedName name="solver_neg" localSheetId="2" hidden="1">2</definedName>
    <definedName name="solver_neg" localSheetId="3" hidden="1">2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4" hidden="1">'1YSynthDepo'!$R$8</definedName>
    <definedName name="solver_opt" localSheetId="2" hidden="1">'3MSynthDepo'!$R$8</definedName>
    <definedName name="solver_opt" localSheetId="3" hidden="1">'6MSynthDepo'!$R$8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2" hidden="1">3</definedName>
    <definedName name="solver_ver" localSheetId="3" hidden="1">3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enorBasis12M" localSheetId="4">'1YSynthDepo'!$R$18</definedName>
    <definedName name="TenorBasis1M" localSheetId="1">'1MSynthDepo'!$AE$18</definedName>
    <definedName name="TenorBasis3M" localSheetId="2">'3MSynthDepo'!$R$18</definedName>
    <definedName name="TenorBasis6M">'6MSynthDepo'!$R$18</definedName>
    <definedName name="Trigger">'General Settings'!$I$17</definedName>
    <definedName name="TriggerCounter">'General Settings'!$I$21</definedName>
  </definedNames>
  <calcPr calcId="145621"/>
</workbook>
</file>

<file path=xl/calcChain.xml><?xml version="1.0" encoding="utf-8"?>
<calcChain xmlns="http://schemas.openxmlformats.org/spreadsheetml/2006/main">
  <c r="L3" i="33" l="1" a="1"/>
  <c r="G63" i="33" l="1"/>
  <c r="Q3" i="45"/>
  <c r="D17" i="52" l="1"/>
  <c r="C6" i="52"/>
  <c r="D6" i="52" s="1"/>
  <c r="C5" i="52"/>
  <c r="D5" i="52" s="1"/>
  <c r="A7" i="52"/>
  <c r="C7" i="52" s="1"/>
  <c r="C4" i="52"/>
  <c r="C3" i="52"/>
  <c r="D3" i="52" s="1"/>
  <c r="G2" i="52"/>
  <c r="D2" i="52"/>
  <c r="AE3" i="45"/>
  <c r="R3" i="52"/>
  <c r="R3" i="40"/>
  <c r="R3" i="51"/>
  <c r="D7" i="52" l="1"/>
  <c r="A8" i="52"/>
  <c r="C8" i="52" s="1"/>
  <c r="A7" i="51"/>
  <c r="C7" i="51" s="1"/>
  <c r="C6" i="51"/>
  <c r="D6" i="51"/>
  <c r="C5" i="51"/>
  <c r="C4" i="51"/>
  <c r="D3" i="51" s="1"/>
  <c r="C3" i="51"/>
  <c r="G2" i="51"/>
  <c r="D2" i="51"/>
  <c r="A8" i="51" l="1"/>
  <c r="A9" i="51" s="1"/>
  <c r="D8" i="52"/>
  <c r="A9" i="52"/>
  <c r="C9" i="52" s="1"/>
  <c r="D7" i="51"/>
  <c r="D5" i="51"/>
  <c r="C8" i="51" l="1"/>
  <c r="D8" i="51" s="1"/>
  <c r="A10" i="52"/>
  <c r="C10" i="52" s="1"/>
  <c r="C9" i="51"/>
  <c r="D9" i="51" s="1"/>
  <c r="A10" i="51"/>
  <c r="D10" i="52" l="1"/>
  <c r="A11" i="52"/>
  <c r="C11" i="52" s="1"/>
  <c r="D9" i="52"/>
  <c r="C10" i="51"/>
  <c r="D10" i="51" s="1"/>
  <c r="C3" i="40"/>
  <c r="A12" i="52" l="1"/>
  <c r="C12" i="52" s="1"/>
  <c r="D11" i="52"/>
  <c r="A13" i="52" l="1"/>
  <c r="C13" i="52" s="1"/>
  <c r="D12" i="52"/>
  <c r="A14" i="52" l="1"/>
  <c r="C14" i="52" s="1"/>
  <c r="D14" i="52" l="1"/>
  <c r="A15" i="52"/>
  <c r="C15" i="52" s="1"/>
  <c r="D13" i="52"/>
  <c r="A16" i="52" l="1"/>
  <c r="C16" i="52" s="1"/>
  <c r="D15" i="52" l="1"/>
  <c r="D3" i="40"/>
  <c r="D16" i="52" l="1"/>
  <c r="G2" i="40" l="1"/>
  <c r="D2" i="40"/>
  <c r="C6" i="40"/>
  <c r="C5" i="40"/>
  <c r="P6" i="45"/>
  <c r="Q6" i="45" s="1"/>
  <c r="P7" i="45"/>
  <c r="Q7" i="45" s="1"/>
  <c r="P8" i="45"/>
  <c r="Q8" i="45" s="1"/>
  <c r="P5" i="45"/>
  <c r="Q5" i="45" s="1"/>
  <c r="T2" i="45"/>
  <c r="Q2" i="45"/>
  <c r="B24" i="29"/>
  <c r="K1" i="45"/>
  <c r="J5" i="45" l="1"/>
  <c r="J6" i="45"/>
  <c r="J7" i="45"/>
  <c r="J8" i="45"/>
  <c r="J9" i="45"/>
  <c r="J4" i="45"/>
  <c r="L1" i="45"/>
  <c r="K9" i="45"/>
  <c r="K4" i="45"/>
  <c r="K6" i="45"/>
  <c r="L6" i="45" s="1"/>
  <c r="K7" i="45"/>
  <c r="K8" i="45"/>
  <c r="K5" i="45"/>
  <c r="D6" i="40" l="1"/>
  <c r="D5" i="40"/>
  <c r="A7" i="40"/>
  <c r="L8" i="45"/>
  <c r="L5" i="45"/>
  <c r="L9" i="45"/>
  <c r="L7" i="45"/>
  <c r="L4" i="45"/>
  <c r="A8" i="40" l="1"/>
  <c r="C7" i="40"/>
  <c r="D7" i="40" l="1"/>
  <c r="A9" i="40"/>
  <c r="C8" i="40"/>
  <c r="D8" i="40" l="1"/>
  <c r="C9" i="40"/>
  <c r="A10" i="40"/>
  <c r="D9" i="40" l="1"/>
  <c r="C10" i="40"/>
  <c r="A11" i="40"/>
  <c r="D10" i="40" l="1"/>
  <c r="C11" i="40"/>
  <c r="A12" i="40"/>
  <c r="D11" i="40" l="1"/>
  <c r="C12" i="40"/>
  <c r="A13" i="40"/>
  <c r="D12" i="40" l="1"/>
  <c r="C13" i="40"/>
  <c r="A14" i="40"/>
  <c r="I21" i="29"/>
  <c r="I18" i="29"/>
  <c r="D13" i="40" l="1"/>
  <c r="C14" i="40"/>
  <c r="A15" i="40"/>
  <c r="D17" i="29"/>
  <c r="G33" i="52"/>
  <c r="G20" i="52"/>
  <c r="H25" i="40"/>
  <c r="E10" i="51"/>
  <c r="G28" i="40"/>
  <c r="G26" i="51"/>
  <c r="H20" i="52"/>
  <c r="G32" i="40"/>
  <c r="G27" i="40"/>
  <c r="E9" i="51"/>
  <c r="G29" i="52"/>
  <c r="L10" i="51"/>
  <c r="G26" i="52"/>
  <c r="E14" i="52"/>
  <c r="E13" i="52"/>
  <c r="G30" i="51"/>
  <c r="E15" i="52"/>
  <c r="R8" i="45"/>
  <c r="E7" i="52"/>
  <c r="H27" i="40"/>
  <c r="G34" i="40"/>
  <c r="G33" i="40"/>
  <c r="G25" i="51"/>
  <c r="H26" i="52"/>
  <c r="G21" i="52"/>
  <c r="H32" i="52"/>
  <c r="R5" i="45"/>
  <c r="E5" i="51"/>
  <c r="H30" i="52"/>
  <c r="H31" i="52"/>
  <c r="H27" i="52"/>
  <c r="R7" i="45"/>
  <c r="T14" i="45"/>
  <c r="E9" i="52"/>
  <c r="H28" i="51"/>
  <c r="E17" i="52"/>
  <c r="H29" i="51"/>
  <c r="M15" i="52"/>
  <c r="G31" i="52"/>
  <c r="G27" i="51"/>
  <c r="H23" i="52"/>
  <c r="G29" i="40"/>
  <c r="H29" i="40"/>
  <c r="E7" i="51"/>
  <c r="H24" i="52"/>
  <c r="M14" i="52"/>
  <c r="H35" i="52"/>
  <c r="H29" i="52"/>
  <c r="E10" i="52"/>
  <c r="H25" i="52"/>
  <c r="L5" i="51"/>
  <c r="E11" i="52"/>
  <c r="M7" i="52"/>
  <c r="U11" i="45"/>
  <c r="G27" i="52"/>
  <c r="G25" i="52"/>
  <c r="T13" i="45"/>
  <c r="M9" i="52"/>
  <c r="E16" i="52"/>
  <c r="G25" i="40"/>
  <c r="H26" i="40"/>
  <c r="H28" i="52"/>
  <c r="H25" i="51"/>
  <c r="G28" i="51"/>
  <c r="G35" i="52"/>
  <c r="H32" i="40"/>
  <c r="H33" i="52"/>
  <c r="L7" i="51"/>
  <c r="T11" i="45"/>
  <c r="H27" i="51"/>
  <c r="H26" i="51"/>
  <c r="G30" i="52"/>
  <c r="G28" i="52"/>
  <c r="G31" i="51"/>
  <c r="U14" i="45"/>
  <c r="G24" i="52"/>
  <c r="G31" i="40"/>
  <c r="G26" i="40"/>
  <c r="E5" i="52"/>
  <c r="M5" i="52" s="1"/>
  <c r="H22" i="52"/>
  <c r="H34" i="52"/>
  <c r="E8" i="52"/>
  <c r="H21" i="52"/>
  <c r="L9" i="51"/>
  <c r="E8" i="51"/>
  <c r="E12" i="52"/>
  <c r="M12" i="52" s="1"/>
  <c r="H34" i="40"/>
  <c r="G32" i="52"/>
  <c r="R6" i="45"/>
  <c r="E6" i="51"/>
  <c r="H28" i="40"/>
  <c r="G34" i="52"/>
  <c r="H30" i="51"/>
  <c r="U12" i="45"/>
  <c r="M8" i="52"/>
  <c r="H31" i="51"/>
  <c r="G30" i="40"/>
  <c r="H33" i="40"/>
  <c r="U15" i="45"/>
  <c r="G22" i="52"/>
  <c r="E6" i="52"/>
  <c r="M6" i="52" s="1"/>
  <c r="C11" i="51"/>
  <c r="H31" i="40"/>
  <c r="U13" i="45"/>
  <c r="G23" i="52"/>
  <c r="H30" i="40"/>
  <c r="T12" i="45"/>
  <c r="M10" i="52"/>
  <c r="T15" i="45"/>
  <c r="G29" i="51"/>
  <c r="M17" i="52"/>
  <c r="M11" i="52"/>
  <c r="F11" i="52"/>
  <c r="F8" i="51"/>
  <c r="L8" i="51"/>
  <c r="L6" i="51"/>
  <c r="F6" i="51"/>
  <c r="C12" i="51"/>
  <c r="E11" i="51"/>
  <c r="E12" i="51"/>
  <c r="C13" i="51"/>
  <c r="L11" i="51"/>
  <c r="F11" i="51"/>
  <c r="L12" i="51"/>
  <c r="F12" i="51"/>
  <c r="E13" i="51"/>
  <c r="C14" i="51"/>
  <c r="L13" i="51"/>
  <c r="F13" i="51"/>
  <c r="E14" i="51"/>
  <c r="C15" i="51"/>
  <c r="F14" i="51"/>
  <c r="L14" i="51"/>
  <c r="C16" i="51"/>
  <c r="E15" i="51"/>
  <c r="E16" i="51"/>
  <c r="C17" i="51"/>
  <c r="F15" i="51"/>
  <c r="L15" i="51"/>
  <c r="F16" i="51"/>
  <c r="L16" i="51"/>
  <c r="C18" i="51"/>
  <c r="E17" i="51"/>
  <c r="E18" i="51"/>
  <c r="C19" i="51"/>
  <c r="F17" i="51"/>
  <c r="L17" i="51"/>
  <c r="L18" i="51"/>
  <c r="F18" i="51"/>
  <c r="C20" i="51"/>
  <c r="E19" i="51"/>
  <c r="E20" i="51"/>
  <c r="C21" i="51"/>
  <c r="L19" i="51"/>
  <c r="F19" i="51"/>
  <c r="F20" i="51"/>
  <c r="L20" i="51"/>
  <c r="C22" i="51"/>
  <c r="E21" i="51"/>
  <c r="L21" i="51"/>
  <c r="F21" i="51"/>
  <c r="R4" i="45" l="1"/>
  <c r="E3" i="40"/>
  <c r="R3" i="45"/>
  <c r="D22" i="51"/>
  <c r="D21" i="51"/>
  <c r="D20" i="51"/>
  <c r="D19" i="51"/>
  <c r="D18" i="51"/>
  <c r="D17" i="51"/>
  <c r="D16" i="51"/>
  <c r="D15" i="51"/>
  <c r="D14" i="51"/>
  <c r="D13" i="51"/>
  <c r="D12" i="51"/>
  <c r="D11" i="51"/>
  <c r="E3" i="52"/>
  <c r="E4" i="52"/>
  <c r="E4" i="51"/>
  <c r="E3" i="51"/>
  <c r="D14" i="40"/>
  <c r="E4" i="40"/>
  <c r="C15" i="40"/>
  <c r="A16" i="40"/>
  <c r="C2" i="33"/>
  <c r="A9" i="33"/>
  <c r="M16" i="52"/>
  <c r="F3" i="52"/>
  <c r="F9" i="52"/>
  <c r="F3" i="51"/>
  <c r="F10" i="52"/>
  <c r="F13" i="52"/>
  <c r="F9" i="51"/>
  <c r="E22" i="51"/>
  <c r="L22" i="51" s="1"/>
  <c r="F17" i="52"/>
  <c r="F6" i="52"/>
  <c r="F5" i="51"/>
  <c r="F16" i="52"/>
  <c r="F15" i="52"/>
  <c r="F10" i="51"/>
  <c r="L3" i="51"/>
  <c r="F14" i="52"/>
  <c r="M13" i="52"/>
  <c r="Z3" i="45"/>
  <c r="F5" i="52"/>
  <c r="F8" i="52"/>
  <c r="F7" i="51"/>
  <c r="Z4" i="45"/>
  <c r="F4" i="51"/>
  <c r="F12" i="52"/>
  <c r="F7" i="52"/>
  <c r="M4" i="52"/>
  <c r="L4" i="51"/>
  <c r="F4" i="52"/>
  <c r="M3" i="52"/>
  <c r="F22" i="51"/>
  <c r="L4" i="40"/>
  <c r="D15" i="40" l="1"/>
  <c r="C16" i="40"/>
  <c r="A17" i="40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D16" i="40" l="1"/>
  <c r="C17" i="40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41" i="33"/>
  <c r="D48" i="33"/>
  <c r="D60" i="33"/>
  <c r="D58" i="33"/>
  <c r="D55" i="33"/>
  <c r="D61" i="33"/>
  <c r="D49" i="33"/>
  <c r="D43" i="33"/>
  <c r="D56" i="33"/>
  <c r="D59" i="33"/>
  <c r="D41" i="33"/>
  <c r="D53" i="33"/>
  <c r="D46" i="33"/>
  <c r="D63" i="33"/>
  <c r="D44" i="33"/>
  <c r="D42" i="33"/>
  <c r="D45" i="33"/>
  <c r="D54" i="33"/>
  <c r="D47" i="33"/>
  <c r="D62" i="33"/>
  <c r="D50" i="33"/>
  <c r="D52" i="33"/>
  <c r="D57" i="33"/>
  <c r="D51" i="33"/>
  <c r="D17" i="40" l="1"/>
  <c r="C18" i="40"/>
  <c r="A19" i="40"/>
  <c r="C9" i="33"/>
  <c r="C12" i="33"/>
  <c r="C13" i="33"/>
  <c r="C8" i="33"/>
  <c r="C14" i="33"/>
  <c r="C11" i="33"/>
  <c r="C10" i="33"/>
  <c r="A26" i="33"/>
  <c r="A4" i="33"/>
  <c r="A16" i="33"/>
  <c r="E43" i="33"/>
  <c r="E58" i="33"/>
  <c r="E50" i="33"/>
  <c r="E56" i="33"/>
  <c r="E48" i="33"/>
  <c r="E47" i="33"/>
  <c r="E55" i="33"/>
  <c r="E59" i="33"/>
  <c r="E63" i="33"/>
  <c r="E53" i="33"/>
  <c r="E57" i="33"/>
  <c r="E49" i="33"/>
  <c r="E51" i="33"/>
  <c r="E45" i="33"/>
  <c r="E60" i="33"/>
  <c r="E54" i="33"/>
  <c r="E52" i="33"/>
  <c r="E42" i="33"/>
  <c r="E62" i="33"/>
  <c r="E46" i="33"/>
  <c r="E44" i="33"/>
  <c r="E61" i="33"/>
  <c r="E41" i="33"/>
  <c r="D18" i="40" l="1"/>
  <c r="C19" i="40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Q4" i="45" s="1"/>
  <c r="D4" i="52" l="1"/>
  <c r="D4" i="51"/>
  <c r="D19" i="40"/>
  <c r="C20" i="40"/>
  <c r="A21" i="40"/>
  <c r="D4" i="40"/>
  <c r="H11" i="45"/>
  <c r="J3" i="45"/>
  <c r="D20" i="40" l="1"/>
  <c r="C21" i="40"/>
  <c r="A22" i="40"/>
  <c r="Z5" i="45"/>
  <c r="L3" i="40"/>
  <c r="D21" i="40" l="1"/>
  <c r="C22" i="40"/>
  <c r="D2" i="33"/>
  <c r="D22" i="40" l="1"/>
  <c r="C16" i="35"/>
  <c r="E12" i="40"/>
  <c r="C17" i="35"/>
  <c r="D26" i="33"/>
  <c r="C8" i="35"/>
  <c r="D9" i="33"/>
  <c r="E13" i="40"/>
  <c r="E19" i="40"/>
  <c r="F4" i="40"/>
  <c r="D12" i="33"/>
  <c r="C3" i="35"/>
  <c r="D8" i="33"/>
  <c r="C26" i="35"/>
  <c r="D35" i="33"/>
  <c r="C7" i="35"/>
  <c r="D18" i="33"/>
  <c r="B26" i="35"/>
  <c r="D37" i="33"/>
  <c r="E18" i="40"/>
  <c r="D28" i="33"/>
  <c r="C25" i="35"/>
  <c r="D40" i="33"/>
  <c r="C6" i="35"/>
  <c r="C13" i="35"/>
  <c r="C11" i="35"/>
  <c r="D16" i="33"/>
  <c r="C21" i="35"/>
  <c r="E15" i="40"/>
  <c r="D32" i="33"/>
  <c r="D38" i="33"/>
  <c r="E8" i="40"/>
  <c r="D13" i="33"/>
  <c r="E22" i="40"/>
  <c r="B25" i="35"/>
  <c r="D34" i="33"/>
  <c r="B11" i="35"/>
  <c r="D11" i="33"/>
  <c r="C15" i="35"/>
  <c r="D17" i="33"/>
  <c r="B13" i="35"/>
  <c r="E5" i="40"/>
  <c r="K3" i="45"/>
  <c r="C12" i="35"/>
  <c r="D12" i="35" s="1"/>
  <c r="D7" i="33"/>
  <c r="D15" i="35"/>
  <c r="E16" i="40"/>
  <c r="C5" i="35"/>
  <c r="D5" i="35" s="1"/>
  <c r="L15" i="40"/>
  <c r="D10" i="33"/>
  <c r="D29" i="33"/>
  <c r="D4" i="33"/>
  <c r="E10" i="40"/>
  <c r="D14" i="33"/>
  <c r="D13" i="35"/>
  <c r="E6" i="40"/>
  <c r="B16" i="35"/>
  <c r="C10" i="35"/>
  <c r="D6" i="33"/>
  <c r="D7" i="35"/>
  <c r="C20" i="35"/>
  <c r="D39" i="33"/>
  <c r="D22" i="33"/>
  <c r="C19" i="35"/>
  <c r="D20" i="33"/>
  <c r="C18" i="35"/>
  <c r="D3" i="33"/>
  <c r="E7" i="40"/>
  <c r="C22" i="35"/>
  <c r="E14" i="40"/>
  <c r="B15" i="35"/>
  <c r="D36" i="33"/>
  <c r="D21" i="33"/>
  <c r="D27" i="33"/>
  <c r="C27" i="35"/>
  <c r="C4" i="35"/>
  <c r="B4" i="35" s="1"/>
  <c r="D33" i="33"/>
  <c r="D22" i="35"/>
  <c r="D5" i="33"/>
  <c r="F7" i="40"/>
  <c r="D19" i="35"/>
  <c r="C9" i="35"/>
  <c r="B3" i="35"/>
  <c r="E20" i="40"/>
  <c r="C14" i="35"/>
  <c r="B14" i="35" s="1"/>
  <c r="B10" i="35"/>
  <c r="D25" i="33"/>
  <c r="F3" i="40"/>
  <c r="E17" i="40"/>
  <c r="D8" i="35"/>
  <c r="D10" i="35"/>
  <c r="D19" i="33"/>
  <c r="E9" i="40"/>
  <c r="F9" i="40" s="1"/>
  <c r="C24" i="35"/>
  <c r="B24" i="35" s="1"/>
  <c r="D23" i="33"/>
  <c r="D15" i="33"/>
  <c r="B5" i="35"/>
  <c r="B22" i="35"/>
  <c r="D31" i="33"/>
  <c r="E11" i="40"/>
  <c r="D24" i="33"/>
  <c r="E21" i="40"/>
  <c r="D17" i="35"/>
  <c r="D30" i="33"/>
  <c r="B1" i="29"/>
  <c r="C23" i="35"/>
  <c r="D26" i="35"/>
  <c r="D27" i="35"/>
  <c r="L3" i="45"/>
  <c r="G13" i="45" a="1"/>
  <c r="D9" i="35"/>
  <c r="B9" i="35"/>
  <c r="B23" i="35"/>
  <c r="D23" i="35"/>
  <c r="G20" i="45" l="1"/>
  <c r="G16" i="45"/>
  <c r="G17" i="45"/>
  <c r="G14" i="45"/>
  <c r="G13" i="45"/>
  <c r="G18" i="45"/>
  <c r="G19" i="45"/>
  <c r="G21" i="45"/>
  <c r="G15" i="45"/>
  <c r="D18" i="35"/>
  <c r="B7" i="35"/>
  <c r="F16" i="40"/>
  <c r="F10" i="40"/>
  <c r="H18" i="45"/>
  <c r="F17" i="40"/>
  <c r="L14" i="45"/>
  <c r="E23" i="33"/>
  <c r="E3" i="33"/>
  <c r="D34" i="29"/>
  <c r="K20" i="45"/>
  <c r="J21" i="45"/>
  <c r="J13" i="45"/>
  <c r="K13" i="45"/>
  <c r="E16" i="33"/>
  <c r="Z8" i="45"/>
  <c r="L19" i="45"/>
  <c r="D24" i="35"/>
  <c r="B19" i="35"/>
  <c r="J17" i="45"/>
  <c r="D4" i="35"/>
  <c r="J16" i="45"/>
  <c r="H13" i="45"/>
  <c r="L20" i="40"/>
  <c r="E17" i="33"/>
  <c r="E24" i="33"/>
  <c r="L12" i="40"/>
  <c r="J18" i="45"/>
  <c r="F18" i="40"/>
  <c r="L14" i="40"/>
  <c r="J19" i="45"/>
  <c r="K19" i="45"/>
  <c r="Z7" i="45"/>
  <c r="E15" i="33"/>
  <c r="C37" i="29"/>
  <c r="D20" i="35"/>
  <c r="D3" i="35"/>
  <c r="F20" i="40"/>
  <c r="D21" i="35"/>
  <c r="E34" i="33"/>
  <c r="L18" i="45"/>
  <c r="I14" i="45"/>
  <c r="E7" i="33"/>
  <c r="K17" i="45"/>
  <c r="D25" i="35"/>
  <c r="L21" i="45"/>
  <c r="I20" i="45"/>
  <c r="F6" i="40"/>
  <c r="J14" i="45"/>
  <c r="K15" i="45"/>
  <c r="B17" i="35"/>
  <c r="B18" i="35"/>
  <c r="E39" i="33"/>
  <c r="F5" i="40"/>
  <c r="B12" i="35"/>
  <c r="E37" i="33"/>
  <c r="L15" i="45"/>
  <c r="E33" i="33"/>
  <c r="H20" i="45"/>
  <c r="L17" i="45"/>
  <c r="E31" i="33"/>
  <c r="I16" i="45"/>
  <c r="L11" i="40"/>
  <c r="F13" i="40"/>
  <c r="I13" i="45"/>
  <c r="D35" i="29"/>
  <c r="F22" i="40"/>
  <c r="F11" i="40"/>
  <c r="L13" i="40"/>
  <c r="K16" i="45"/>
  <c r="E21" i="33"/>
  <c r="E18" i="33"/>
  <c r="F19" i="40"/>
  <c r="L19" i="40"/>
  <c r="H15" i="45"/>
  <c r="E5" i="33"/>
  <c r="E22" i="33"/>
  <c r="F15" i="40"/>
  <c r="E38" i="33"/>
  <c r="F21" i="40"/>
  <c r="H17" i="45"/>
  <c r="E25" i="33"/>
  <c r="H21" i="45"/>
  <c r="E36" i="33"/>
  <c r="E26" i="33"/>
  <c r="L5" i="40"/>
  <c r="B21" i="35"/>
  <c r="F12" i="40"/>
  <c r="F14" i="40"/>
  <c r="E27" i="33"/>
  <c r="L16" i="40"/>
  <c r="D28" i="29"/>
  <c r="K18" i="45"/>
  <c r="K21" i="45"/>
  <c r="D6" i="35"/>
  <c r="B8" i="35"/>
  <c r="I15" i="45"/>
  <c r="L7" i="40"/>
  <c r="L9" i="40"/>
  <c r="H16" i="45"/>
  <c r="I17" i="45"/>
  <c r="L20" i="45"/>
  <c r="J20" i="45"/>
  <c r="L10" i="40"/>
  <c r="F8" i="40"/>
  <c r="L18" i="40"/>
  <c r="E20" i="33"/>
  <c r="L8" i="40"/>
  <c r="C38" i="29"/>
  <c r="D38" i="29" s="1"/>
  <c r="E35" i="33"/>
  <c r="S5" i="45"/>
  <c r="L16" i="45"/>
  <c r="L17" i="40"/>
  <c r="E4" i="33"/>
  <c r="D11" i="35"/>
  <c r="L22" i="40"/>
  <c r="J15" i="45"/>
  <c r="E30" i="33"/>
  <c r="H14" i="45"/>
  <c r="L6" i="40"/>
  <c r="E6" i="33"/>
  <c r="I19" i="45"/>
  <c r="L21" i="40"/>
  <c r="E28" i="33"/>
  <c r="D16" i="35"/>
  <c r="B27" i="35"/>
  <c r="L13" i="45"/>
  <c r="B6" i="35"/>
  <c r="B20" i="35"/>
  <c r="H19" i="45"/>
  <c r="E29" i="33"/>
  <c r="I21" i="45"/>
  <c r="K14" i="45"/>
  <c r="D14" i="35"/>
  <c r="E32" i="33"/>
  <c r="S4" i="45"/>
  <c r="Z6" i="45"/>
  <c r="E19" i="33"/>
  <c r="E40" i="33"/>
  <c r="I18" i="45"/>
  <c r="S3" i="45"/>
  <c r="S6" i="45"/>
  <c r="S7" i="45"/>
  <c r="S8" i="45"/>
  <c r="D37" i="29"/>
  <c r="I19" i="29" l="1"/>
  <c r="I20" i="29"/>
  <c r="E17" i="35"/>
  <c r="N15" i="40"/>
  <c r="G22" i="51"/>
  <c r="N14" i="52"/>
  <c r="U8" i="45"/>
  <c r="G21" i="51"/>
  <c r="H18" i="40"/>
  <c r="N18" i="40"/>
  <c r="N15" i="51"/>
  <c r="N4" i="52"/>
  <c r="G15" i="40"/>
  <c r="H12" i="40"/>
  <c r="H15" i="51"/>
  <c r="E5" i="35"/>
  <c r="G11" i="51"/>
  <c r="AA6" i="45"/>
  <c r="G9" i="52"/>
  <c r="AA3" i="45"/>
  <c r="H16" i="52"/>
  <c r="H4" i="52"/>
  <c r="N20" i="40"/>
  <c r="N11" i="52"/>
  <c r="N17" i="51"/>
  <c r="H9" i="52"/>
  <c r="N13" i="51"/>
  <c r="G12" i="40"/>
  <c r="G9" i="40"/>
  <c r="H11" i="52"/>
  <c r="E19" i="35"/>
  <c r="N16" i="52"/>
  <c r="G14" i="52"/>
  <c r="G6" i="40"/>
  <c r="G8" i="51"/>
  <c r="G12" i="52"/>
  <c r="T5" i="45"/>
  <c r="N4" i="40"/>
  <c r="H19" i="51"/>
  <c r="N12" i="40"/>
  <c r="N9" i="52"/>
  <c r="E6" i="35"/>
  <c r="G16" i="51"/>
  <c r="H15" i="40"/>
  <c r="E26" i="35"/>
  <c r="E9" i="35"/>
  <c r="AA5" i="45"/>
  <c r="G19" i="51"/>
  <c r="H11" i="40"/>
  <c r="H17" i="51"/>
  <c r="N22" i="40"/>
  <c r="H6" i="40"/>
  <c r="N4" i="51"/>
  <c r="H20" i="51"/>
  <c r="H20" i="40"/>
  <c r="N6" i="40"/>
  <c r="G15" i="51"/>
  <c r="G10" i="52"/>
  <c r="N20" i="51"/>
  <c r="N7" i="51"/>
  <c r="E7" i="35"/>
  <c r="H10" i="52"/>
  <c r="G19" i="40"/>
  <c r="N14" i="51"/>
  <c r="N19" i="40"/>
  <c r="G10" i="40"/>
  <c r="G10" i="51"/>
  <c r="N6" i="52"/>
  <c r="N16" i="40"/>
  <c r="N10" i="40"/>
  <c r="N9" i="40"/>
  <c r="H6" i="52"/>
  <c r="H7" i="40"/>
  <c r="H12" i="52"/>
  <c r="G21" i="40"/>
  <c r="G12" i="51"/>
  <c r="E8" i="35"/>
  <c r="H5" i="51"/>
  <c r="H15" i="52"/>
  <c r="N6" i="51"/>
  <c r="T7" i="45"/>
  <c r="H10" i="51"/>
  <c r="N5" i="51"/>
  <c r="N9" i="51"/>
  <c r="N13" i="40"/>
  <c r="H14" i="52"/>
  <c r="G5" i="52"/>
  <c r="N17" i="40"/>
  <c r="G11" i="52"/>
  <c r="N11" i="51"/>
  <c r="N18" i="51"/>
  <c r="E21" i="35"/>
  <c r="H16" i="51"/>
  <c r="H5" i="40"/>
  <c r="G17" i="51"/>
  <c r="E10" i="35"/>
  <c r="N15" i="52"/>
  <c r="E27" i="35"/>
  <c r="G15" i="52"/>
  <c r="T8" i="45"/>
  <c r="H13" i="51"/>
  <c r="G13" i="52"/>
  <c r="N16" i="51"/>
  <c r="E4" i="35"/>
  <c r="H7" i="51"/>
  <c r="E3" i="35"/>
  <c r="G6" i="52"/>
  <c r="H22" i="40"/>
  <c r="G22" i="40"/>
  <c r="G9" i="51"/>
  <c r="E25" i="35"/>
  <c r="U5" i="45"/>
  <c r="G16" i="40"/>
  <c r="G7" i="40"/>
  <c r="G5" i="40"/>
  <c r="H19" i="40"/>
  <c r="N21" i="51"/>
  <c r="AA4" i="45"/>
  <c r="T6" i="45"/>
  <c r="H16" i="40"/>
  <c r="E23" i="35"/>
  <c r="H11" i="51"/>
  <c r="E22" i="35"/>
  <c r="H13" i="52"/>
  <c r="G17" i="52"/>
  <c r="H9" i="51"/>
  <c r="H18" i="51"/>
  <c r="H8" i="51"/>
  <c r="H21" i="51"/>
  <c r="E24" i="35"/>
  <c r="N21" i="40"/>
  <c r="N12" i="51"/>
  <c r="G5" i="51"/>
  <c r="N14" i="40"/>
  <c r="N5" i="52"/>
  <c r="G20" i="40"/>
  <c r="G7" i="51"/>
  <c r="E13" i="35"/>
  <c r="E12" i="35"/>
  <c r="N8" i="40"/>
  <c r="E20" i="35"/>
  <c r="H22" i="51"/>
  <c r="N13" i="52"/>
  <c r="N12" i="52"/>
  <c r="G8" i="52"/>
  <c r="N8" i="51"/>
  <c r="U7" i="45"/>
  <c r="N11" i="40"/>
  <c r="H21" i="40"/>
  <c r="H4" i="40"/>
  <c r="H9" i="40"/>
  <c r="M12" i="45" a="1"/>
  <c r="H17" i="40"/>
  <c r="E16" i="35"/>
  <c r="N10" i="51"/>
  <c r="H5" i="52"/>
  <c r="N5" i="40"/>
  <c r="E11" i="35"/>
  <c r="U6" i="45"/>
  <c r="AA7" i="45"/>
  <c r="N7" i="52"/>
  <c r="N8" i="52"/>
  <c r="G8" i="40"/>
  <c r="H7" i="52"/>
  <c r="H17" i="52"/>
  <c r="H13" i="40"/>
  <c r="T3" i="45"/>
  <c r="N17" i="52"/>
  <c r="E18" i="35"/>
  <c r="N19" i="51"/>
  <c r="H10" i="40"/>
  <c r="H14" i="51"/>
  <c r="U4" i="45"/>
  <c r="E15" i="35"/>
  <c r="G6" i="51"/>
  <c r="AA8" i="45"/>
  <c r="H8" i="40"/>
  <c r="G17" i="40"/>
  <c r="G16" i="52"/>
  <c r="H6" i="51"/>
  <c r="H4" i="51"/>
  <c r="G14" i="40"/>
  <c r="G18" i="40"/>
  <c r="G20" i="51"/>
  <c r="H8" i="52"/>
  <c r="H12" i="51"/>
  <c r="N10" i="52"/>
  <c r="G13" i="40"/>
  <c r="N7" i="40"/>
  <c r="H14" i="40"/>
  <c r="G7" i="52"/>
  <c r="N22" i="51"/>
  <c r="G18" i="51"/>
  <c r="G11" i="40"/>
  <c r="G13" i="51"/>
  <c r="E14" i="35"/>
  <c r="G14" i="51"/>
  <c r="G4" i="51"/>
  <c r="G4" i="52"/>
  <c r="G4" i="40"/>
  <c r="T4" i="45"/>
  <c r="V4" i="45" l="1"/>
  <c r="I4" i="40"/>
  <c r="I4" i="52"/>
  <c r="I4" i="51"/>
  <c r="I14" i="51"/>
  <c r="I13" i="51"/>
  <c r="I11" i="40"/>
  <c r="I18" i="51"/>
  <c r="I7" i="52"/>
  <c r="I13" i="40"/>
  <c r="I20" i="51"/>
  <c r="I18" i="40"/>
  <c r="I14" i="40"/>
  <c r="I16" i="52"/>
  <c r="I17" i="40"/>
  <c r="I6" i="51"/>
  <c r="I8" i="40"/>
  <c r="M13" i="45"/>
  <c r="M12" i="45"/>
  <c r="M19" i="45"/>
  <c r="M14" i="45"/>
  <c r="M17" i="45"/>
  <c r="M16" i="45"/>
  <c r="M20" i="45"/>
  <c r="M18" i="45"/>
  <c r="M21" i="45"/>
  <c r="M15" i="45"/>
  <c r="I8" i="52"/>
  <c r="I7" i="51"/>
  <c r="I20" i="40"/>
  <c r="I5" i="51"/>
  <c r="I17" i="52"/>
  <c r="V6" i="45"/>
  <c r="I5" i="40"/>
  <c r="I7" i="40"/>
  <c r="I16" i="40"/>
  <c r="I9" i="51"/>
  <c r="I22" i="40"/>
  <c r="I6" i="52"/>
  <c r="I13" i="52"/>
  <c r="V8" i="45"/>
  <c r="I15" i="52"/>
  <c r="I17" i="51"/>
  <c r="I11" i="52"/>
  <c r="I5" i="52"/>
  <c r="V7" i="45"/>
  <c r="I12" i="51"/>
  <c r="I21" i="40"/>
  <c r="I10" i="51"/>
  <c r="I10" i="40"/>
  <c r="I19" i="40"/>
  <c r="I10" i="52"/>
  <c r="I15" i="51"/>
  <c r="I19" i="51"/>
  <c r="I16" i="51"/>
  <c r="V5" i="45"/>
  <c r="I12" i="52"/>
  <c r="I8" i="51"/>
  <c r="I6" i="40"/>
  <c r="I14" i="52"/>
  <c r="I9" i="40"/>
  <c r="I12" i="40"/>
  <c r="I9" i="52"/>
  <c r="I11" i="51"/>
  <c r="I15" i="40"/>
  <c r="I21" i="51"/>
  <c r="I22" i="51"/>
  <c r="D19" i="29" l="1"/>
  <c r="F11" i="35"/>
  <c r="F26" i="35"/>
  <c r="F14" i="35"/>
  <c r="F10" i="35"/>
  <c r="F19" i="35"/>
  <c r="F23" i="35"/>
  <c r="AE6" i="45"/>
  <c r="R6" i="52"/>
  <c r="AE8" i="45"/>
  <c r="R6" i="40"/>
  <c r="F7" i="35"/>
  <c r="F27" i="35"/>
  <c r="AE10" i="45"/>
  <c r="R10" i="52"/>
  <c r="F22" i="35"/>
  <c r="F16" i="35"/>
  <c r="R9" i="40"/>
  <c r="R8" i="40"/>
  <c r="F17" i="35"/>
  <c r="F13" i="35"/>
  <c r="F15" i="35"/>
  <c r="F25" i="35"/>
  <c r="F5" i="35"/>
  <c r="F12" i="35"/>
  <c r="F8" i="35"/>
  <c r="F21" i="35"/>
  <c r="R8" i="52"/>
  <c r="F24" i="35"/>
  <c r="F3" i="35"/>
  <c r="R6" i="51"/>
  <c r="AE9" i="45"/>
  <c r="F6" i="35"/>
  <c r="F20" i="35"/>
  <c r="F18" i="35"/>
  <c r="F9" i="35"/>
  <c r="F4" i="35"/>
  <c r="R9" i="52"/>
  <c r="R10" i="40"/>
  <c r="R8" i="51"/>
  <c r="R9" i="51"/>
  <c r="R10" i="51"/>
  <c r="R7" i="40"/>
  <c r="R13" i="40" s="1" a="1"/>
  <c r="R7" i="52"/>
  <c r="R13" i="52" s="1" a="1"/>
  <c r="AE7" i="45"/>
  <c r="AE13" i="45" s="1" a="1"/>
  <c r="R7" i="51"/>
  <c r="R13" i="51" s="1" a="1"/>
  <c r="R13" i="52" l="1"/>
  <c r="R14" i="52"/>
  <c r="R15" i="52"/>
  <c r="R16" i="52"/>
  <c r="R17" i="52"/>
  <c r="AE13" i="45"/>
  <c r="AE14" i="45"/>
  <c r="AE15" i="45"/>
  <c r="AE16" i="45"/>
  <c r="AE17" i="45"/>
  <c r="R13" i="51"/>
  <c r="R14" i="51"/>
  <c r="R15" i="51"/>
  <c r="R16" i="51"/>
  <c r="R17" i="51"/>
  <c r="R13" i="40"/>
  <c r="R14" i="40"/>
  <c r="R15" i="40"/>
  <c r="R16" i="40"/>
  <c r="R17" i="40"/>
  <c r="G18" i="35" l="1"/>
  <c r="H54" i="33" s="1"/>
  <c r="L54" i="33" s="1"/>
  <c r="M54" i="33"/>
  <c r="G12" i="35"/>
  <c r="H49" i="33" s="1"/>
  <c r="L49" i="33" s="1"/>
  <c r="M49" i="33"/>
  <c r="G23" i="35"/>
  <c r="H59" i="33"/>
  <c r="L59" i="33" s="1"/>
  <c r="M59" i="33"/>
  <c r="G26" i="35"/>
  <c r="H62" i="33" s="1"/>
  <c r="L62" i="33" s="1"/>
  <c r="M62" i="33"/>
  <c r="G19" i="35"/>
  <c r="H55" i="33" s="1"/>
  <c r="L55" i="33" s="1"/>
  <c r="M55" i="33"/>
  <c r="G13" i="35"/>
  <c r="H50" i="33" s="1"/>
  <c r="L50" i="33" s="1"/>
  <c r="M50" i="33"/>
  <c r="G3" i="35"/>
  <c r="G21" i="35"/>
  <c r="H57" i="33" s="1"/>
  <c r="L57" i="33" s="1"/>
  <c r="M57" i="33"/>
  <c r="G17" i="35"/>
  <c r="H53" i="33"/>
  <c r="L53" i="33" s="1"/>
  <c r="M53" i="33"/>
  <c r="G11" i="35"/>
  <c r="H48" i="33"/>
  <c r="L48" i="33"/>
  <c r="M48" i="33"/>
  <c r="G4" i="35"/>
  <c r="H41" i="33" s="1"/>
  <c r="L41" i="33" s="1"/>
  <c r="M41" i="33"/>
  <c r="G6" i="35"/>
  <c r="H43" i="33"/>
  <c r="L43" i="33"/>
  <c r="M43" i="33"/>
  <c r="G14" i="35"/>
  <c r="H51" i="33" s="1"/>
  <c r="L51" i="33" s="1"/>
  <c r="M51" i="33"/>
  <c r="G16" i="35"/>
  <c r="H52" i="33"/>
  <c r="L52" i="33"/>
  <c r="M52" i="33"/>
  <c r="G7" i="35"/>
  <c r="H44" i="33" s="1"/>
  <c r="L44" i="33" s="1"/>
  <c r="M44" i="33"/>
  <c r="G24" i="35"/>
  <c r="H60" i="33" s="1"/>
  <c r="L60" i="33" s="1"/>
  <c r="M60" i="33"/>
  <c r="G25" i="35"/>
  <c r="H61" i="33"/>
  <c r="L61" i="33" s="1"/>
  <c r="M61" i="33"/>
  <c r="G8" i="35"/>
  <c r="H45" i="33"/>
  <c r="L45" i="33"/>
  <c r="M45" i="33"/>
  <c r="G5" i="35"/>
  <c r="H42" i="33"/>
  <c r="L42" i="33"/>
  <c r="M42" i="33"/>
  <c r="G27" i="35"/>
  <c r="H63" i="33" s="1"/>
  <c r="L63" i="33" s="1"/>
  <c r="M63" i="33"/>
  <c r="G15" i="35"/>
  <c r="G20" i="35"/>
  <c r="H56" i="33" s="1"/>
  <c r="L56" i="33" s="1"/>
  <c r="M56" i="33"/>
  <c r="G22" i="35"/>
  <c r="H58" i="33" s="1"/>
  <c r="L58" i="33" s="1"/>
  <c r="M58" i="33"/>
  <c r="G10" i="35"/>
  <c r="H47" i="33"/>
  <c r="L47" i="33" s="1"/>
  <c r="M47" i="33"/>
  <c r="G9" i="35"/>
  <c r="H46" i="33"/>
  <c r="L46" i="33" s="1"/>
  <c r="M46" i="33"/>
  <c r="N41" i="33"/>
  <c r="R18" i="40"/>
  <c r="I30" i="40"/>
  <c r="H20" i="33"/>
  <c r="L20" i="33" s="1"/>
  <c r="M20" i="33"/>
  <c r="J4" i="40"/>
  <c r="M4" i="40"/>
  <c r="K4" i="40"/>
  <c r="I26" i="40"/>
  <c r="H16" i="33"/>
  <c r="L16" i="33" s="1"/>
  <c r="M16" i="33"/>
  <c r="J11" i="40"/>
  <c r="M11" i="40"/>
  <c r="K11" i="40" s="1"/>
  <c r="J12" i="40"/>
  <c r="M12" i="40"/>
  <c r="K12" i="40" s="1"/>
  <c r="J21" i="40"/>
  <c r="M21" i="40"/>
  <c r="K21" i="40" s="1"/>
  <c r="J16" i="40"/>
  <c r="M16" i="40"/>
  <c r="K16" i="40" s="1"/>
  <c r="R18" i="52"/>
  <c r="J5" i="52"/>
  <c r="L5" i="52"/>
  <c r="K5" i="52"/>
  <c r="I28" i="52"/>
  <c r="H33" i="33"/>
  <c r="L33" i="33" s="1"/>
  <c r="M33" i="33"/>
  <c r="J3" i="52"/>
  <c r="G3" i="52"/>
  <c r="I23" i="52"/>
  <c r="H28" i="33"/>
  <c r="L28" i="33" s="1"/>
  <c r="M28" i="33"/>
  <c r="J17" i="52"/>
  <c r="L17" i="52"/>
  <c r="K17" i="52"/>
  <c r="AE18" i="45"/>
  <c r="V12" i="45"/>
  <c r="H4" i="33"/>
  <c r="L4" i="33"/>
  <c r="M4" i="33"/>
  <c r="V13" i="45"/>
  <c r="H5" i="33"/>
  <c r="L5" i="33"/>
  <c r="M5" i="33"/>
  <c r="J13" i="40"/>
  <c r="M13" i="40"/>
  <c r="K13" i="40"/>
  <c r="I28" i="40"/>
  <c r="H18" i="33"/>
  <c r="L18" i="33"/>
  <c r="M18" i="33"/>
  <c r="I20" i="52"/>
  <c r="H25" i="33"/>
  <c r="L25" i="33" s="1"/>
  <c r="M25" i="33"/>
  <c r="I21" i="52"/>
  <c r="H26" i="33"/>
  <c r="L26" i="33" s="1"/>
  <c r="M26" i="33"/>
  <c r="I22" i="52"/>
  <c r="H27" i="33"/>
  <c r="L27" i="33"/>
  <c r="M27" i="33"/>
  <c r="I24" i="52"/>
  <c r="H29" i="33"/>
  <c r="L29" i="33"/>
  <c r="M29" i="33"/>
  <c r="I25" i="52"/>
  <c r="H30" i="33"/>
  <c r="L30" i="33" s="1"/>
  <c r="M30" i="33"/>
  <c r="I26" i="52"/>
  <c r="H31" i="33"/>
  <c r="L31" i="33" s="1"/>
  <c r="M31" i="33"/>
  <c r="I27" i="52"/>
  <c r="H32" i="33"/>
  <c r="L32" i="33" s="1"/>
  <c r="M32" i="33"/>
  <c r="I29" i="52"/>
  <c r="H34" i="33"/>
  <c r="L34" i="33"/>
  <c r="M34" i="33"/>
  <c r="I30" i="52"/>
  <c r="H35" i="33"/>
  <c r="L35" i="33"/>
  <c r="M35" i="33"/>
  <c r="I31" i="52"/>
  <c r="H36" i="33"/>
  <c r="L36" i="33"/>
  <c r="M36" i="33"/>
  <c r="I32" i="52"/>
  <c r="H37" i="33"/>
  <c r="L37" i="33" s="1"/>
  <c r="M37" i="33"/>
  <c r="I33" i="52"/>
  <c r="H38" i="33"/>
  <c r="L38" i="33" s="1"/>
  <c r="M38" i="33"/>
  <c r="I34" i="52"/>
  <c r="H39" i="33"/>
  <c r="L39" i="33" s="1"/>
  <c r="M39" i="33"/>
  <c r="I35" i="52"/>
  <c r="H40" i="33"/>
  <c r="L40" i="33" s="1"/>
  <c r="M40" i="33"/>
  <c r="N25" i="33"/>
  <c r="W8" i="45"/>
  <c r="Y8" i="45"/>
  <c r="X8" i="45" s="1"/>
  <c r="J7" i="52"/>
  <c r="L7" i="52"/>
  <c r="K7" i="52" s="1"/>
  <c r="J13" i="52"/>
  <c r="L13" i="52"/>
  <c r="K13" i="52"/>
  <c r="V11" i="45"/>
  <c r="H3" i="33"/>
  <c r="L3" i="33" s="1"/>
  <c r="M3" i="33"/>
  <c r="V14" i="45"/>
  <c r="H6" i="33"/>
  <c r="L6" i="33"/>
  <c r="M6" i="33"/>
  <c r="V15" i="45"/>
  <c r="H7" i="33"/>
  <c r="L7" i="33" s="1"/>
  <c r="M7" i="33"/>
  <c r="N2" i="33"/>
  <c r="J20" i="40"/>
  <c r="M20" i="40"/>
  <c r="K20" i="40" s="1"/>
  <c r="J4" i="52"/>
  <c r="L4" i="52"/>
  <c r="K4" i="52" s="1"/>
  <c r="J18" i="40"/>
  <c r="M18" i="40"/>
  <c r="K18" i="40" s="1"/>
  <c r="J11" i="52"/>
  <c r="L11" i="52"/>
  <c r="K11" i="52"/>
  <c r="J16" i="52"/>
  <c r="L16" i="52"/>
  <c r="K16" i="52"/>
  <c r="J14" i="40"/>
  <c r="M14" i="40"/>
  <c r="K14" i="40"/>
  <c r="J8" i="40"/>
  <c r="M8" i="40"/>
  <c r="K8" i="40"/>
  <c r="I33" i="40"/>
  <c r="H23" i="33"/>
  <c r="L23" i="33"/>
  <c r="M23" i="33"/>
  <c r="J10" i="52"/>
  <c r="L10" i="52"/>
  <c r="K10" i="52"/>
  <c r="W6" i="45"/>
  <c r="Y6" i="45"/>
  <c r="X6" i="45" s="1"/>
  <c r="W5" i="45"/>
  <c r="Y5" i="45"/>
  <c r="X5" i="45"/>
  <c r="J19" i="40"/>
  <c r="M19" i="40"/>
  <c r="K19" i="40" s="1"/>
  <c r="I25" i="40"/>
  <c r="H15" i="33"/>
  <c r="L15" i="33" s="1"/>
  <c r="M15" i="33"/>
  <c r="I27" i="40"/>
  <c r="H17" i="33"/>
  <c r="L17" i="33"/>
  <c r="M17" i="33"/>
  <c r="I29" i="40"/>
  <c r="H19" i="33"/>
  <c r="L19" i="33"/>
  <c r="M19" i="33"/>
  <c r="I31" i="40"/>
  <c r="H21" i="33"/>
  <c r="L21" i="33"/>
  <c r="M21" i="33"/>
  <c r="I32" i="40"/>
  <c r="H22" i="33"/>
  <c r="L22" i="33" s="1"/>
  <c r="M22" i="33"/>
  <c r="I34" i="40"/>
  <c r="H24" i="33"/>
  <c r="L24" i="33"/>
  <c r="M24" i="33"/>
  <c r="N15" i="33"/>
  <c r="J6" i="52"/>
  <c r="L6" i="52"/>
  <c r="K6" i="52"/>
  <c r="J12" i="52"/>
  <c r="L12" i="52"/>
  <c r="K12" i="52"/>
  <c r="J14" i="52"/>
  <c r="L14" i="52"/>
  <c r="K14" i="52"/>
  <c r="J22" i="40"/>
  <c r="M22" i="40"/>
  <c r="K22" i="40" s="1"/>
  <c r="J15" i="40"/>
  <c r="M15" i="40"/>
  <c r="K15" i="40"/>
  <c r="J7" i="40"/>
  <c r="M7" i="40"/>
  <c r="K7" i="40"/>
  <c r="J9" i="52"/>
  <c r="L9" i="52"/>
  <c r="K9" i="52" s="1"/>
  <c r="J15" i="52"/>
  <c r="L15" i="52"/>
  <c r="K15" i="52" s="1"/>
  <c r="J10" i="40"/>
  <c r="M10" i="40"/>
  <c r="K10" i="40"/>
  <c r="J5" i="40"/>
  <c r="M5" i="40"/>
  <c r="K5" i="40" s="1"/>
  <c r="W3" i="45"/>
  <c r="W7" i="45"/>
  <c r="Y7" i="45"/>
  <c r="X7" i="45"/>
  <c r="J8" i="52"/>
  <c r="L8" i="52"/>
  <c r="K8" i="52"/>
  <c r="W4" i="45"/>
  <c r="Y4" i="45"/>
  <c r="X4" i="45"/>
  <c r="J17" i="40"/>
  <c r="M17" i="40"/>
  <c r="K17" i="40" s="1"/>
  <c r="J3" i="40"/>
  <c r="G3" i="40"/>
  <c r="J9" i="40"/>
  <c r="M9" i="40"/>
  <c r="K9" i="40"/>
  <c r="R18" i="51"/>
  <c r="J5" i="51"/>
  <c r="M5" i="51"/>
  <c r="K5" i="51" s="1"/>
  <c r="J3" i="51"/>
  <c r="G3" i="51"/>
  <c r="J13" i="51"/>
  <c r="M13" i="51"/>
  <c r="K13" i="51"/>
  <c r="I29" i="51"/>
  <c r="H12" i="33"/>
  <c r="L12" i="33"/>
  <c r="M12" i="33"/>
  <c r="J14" i="51"/>
  <c r="M14" i="51"/>
  <c r="K14" i="51" s="1"/>
  <c r="J8" i="51"/>
  <c r="M8" i="51"/>
  <c r="K8" i="51" s="1"/>
  <c r="J17" i="51"/>
  <c r="M17" i="51"/>
  <c r="K17" i="51"/>
  <c r="J21" i="51"/>
  <c r="M21" i="51"/>
  <c r="K21" i="51" s="1"/>
  <c r="J4" i="51"/>
  <c r="M4" i="51"/>
  <c r="K4" i="51" s="1"/>
  <c r="I31" i="51"/>
  <c r="H14" i="33"/>
  <c r="L14" i="33"/>
  <c r="M14" i="33"/>
  <c r="J22" i="51"/>
  <c r="M22" i="51"/>
  <c r="K22" i="51" s="1"/>
  <c r="J6" i="51"/>
  <c r="M6" i="51"/>
  <c r="K6" i="51"/>
  <c r="I27" i="51"/>
  <c r="H10" i="33"/>
  <c r="L10" i="33"/>
  <c r="M10" i="33"/>
  <c r="J20" i="51"/>
  <c r="M20" i="51"/>
  <c r="K20" i="51"/>
  <c r="J12" i="51"/>
  <c r="M12" i="51"/>
  <c r="K12" i="51" s="1"/>
  <c r="I26" i="51"/>
  <c r="H9" i="33"/>
  <c r="L9" i="33"/>
  <c r="M9" i="33"/>
  <c r="J10" i="51"/>
  <c r="M10" i="51"/>
  <c r="K10" i="51" s="1"/>
  <c r="J15" i="51"/>
  <c r="M15" i="51"/>
  <c r="K15" i="51" s="1"/>
  <c r="J11" i="51"/>
  <c r="M11" i="51"/>
  <c r="K11" i="51" s="1"/>
  <c r="J16" i="51"/>
  <c r="M16" i="51"/>
  <c r="K16" i="51"/>
  <c r="J7" i="51"/>
  <c r="M7" i="51"/>
  <c r="K7" i="51"/>
  <c r="I28" i="51"/>
  <c r="H11" i="33"/>
  <c r="L11" i="33"/>
  <c r="M11" i="33"/>
  <c r="J9" i="51"/>
  <c r="M9" i="51"/>
  <c r="K9" i="51"/>
  <c r="I30" i="51"/>
  <c r="H13" i="33"/>
  <c r="L13" i="33"/>
  <c r="M13" i="33"/>
  <c r="J18" i="51"/>
  <c r="M18" i="51"/>
  <c r="K18" i="51" s="1"/>
  <c r="J6" i="40"/>
  <c r="M6" i="40"/>
  <c r="K6" i="40" s="1"/>
  <c r="J19" i="51"/>
  <c r="M19" i="51"/>
  <c r="K19" i="51"/>
  <c r="I25" i="51"/>
  <c r="H8" i="33"/>
  <c r="L8" i="33" s="1"/>
  <c r="M8" i="33"/>
  <c r="N8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<sst xmlns="http://schemas.openxmlformats.org/spreadsheetml/2006/main" count="406" uniqueCount="139">
  <si>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</si>
  <si>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</si>
  <si>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</si>
  <si>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</si>
  <si>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</si>
  <si>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</si>
  <si>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</si>
  <si>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</si>
  <si>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</si>
  <si>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</si>
  <si>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</si>
  <si>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</si>
  <si>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</si>
  <si>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</si>
  <si>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</si>
  <si>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</si>
  <si>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</si>
  <si>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</si>
  <si>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</si>
  <si>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</si>
  <si>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</si>
  <si>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</si>
  <si>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</si>
  <si>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</si>
  <si>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</si>
  <si>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</si>
  <si>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</si>
  <si>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</si>
  <si>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</si>
  <si>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</si>
  <si>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</si>
  <si>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</si>
  <si>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</si>
  <si>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error</t>
  </si>
  <si>
    <t>x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</si>
  <si>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</si>
  <si>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</si>
  <si>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</si>
  <si>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</si>
  <si>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</si>
  <si>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</si>
  <si>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</si>
  <si>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</si>
  <si>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</si>
  <si>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</si>
  <si>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</si>
  <si>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</si>
  <si>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</si>
  <si>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</si>
  <si>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</si>
  <si>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</si>
  <si>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</si>
  <si>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</si>
  <si>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</si>
  <si>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</si>
  <si>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</si>
  <si>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</si>
  <si>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</si>
  <si>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</si>
  <si>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</si>
  <si>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</si>
  <si>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</si>
  <si>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</si>
  <si>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</si>
  <si>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</si>
  <si>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</si>
  <si>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</si>
  <si>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</si>
  <si>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</si>
  <si>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</si>
  <si>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</si>
  <si>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</si>
  <si>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</si>
  <si>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</si>
  <si>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Include Flag</t>
  </si>
  <si>
    <t>Earliest Date</t>
  </si>
  <si>
    <t>Latest Date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</si>
  <si>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</si>
  <si>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</si>
  <si>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</si>
  <si>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</si>
  <si>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</si>
  <si>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</si>
  <si>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</si>
  <si>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</si>
  <si>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</si>
  <si>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</si>
  <si>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</si>
  <si>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</si>
  <si>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</si>
  <si>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</si>
  <si>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tenor</t>
  </si>
  <si>
    <t>start date</t>
  </si>
  <si>
    <t>maturity date</t>
  </si>
  <si>
    <t>Discounting</t>
  </si>
  <si>
    <t>EURON</t>
  </si>
  <si>
    <t>Fwd start</t>
  </si>
  <si>
    <t>Freq</t>
  </si>
  <si>
    <t>Business Day Convention</t>
  </si>
  <si>
    <t>Day Count Convention</t>
  </si>
  <si>
    <t>Spread</t>
  </si>
  <si>
    <t>Modified Following</t>
  </si>
  <si>
    <t>0D</t>
  </si>
  <si>
    <t>X1S</t>
  </si>
  <si>
    <t>Annual</t>
  </si>
  <si>
    <t>LogLinear</t>
  </si>
  <si>
    <t>Additional Settings</t>
  </si>
  <si>
    <t>F ON</t>
  </si>
  <si>
    <t>Daycounter</t>
  </si>
  <si>
    <t>Basis</t>
  </si>
  <si>
    <t>Discount Factor</t>
  </si>
  <si>
    <t>Best Fit</t>
  </si>
  <si>
    <t>Weigth</t>
  </si>
  <si>
    <t>c0</t>
  </si>
  <si>
    <t>c1</t>
  </si>
  <si>
    <t>c2</t>
  </si>
  <si>
    <t>c3</t>
  </si>
  <si>
    <t>c4</t>
  </si>
  <si>
    <t>Tenor Basis</t>
  </si>
  <si>
    <t>Basis BestFit</t>
  </si>
  <si>
    <t>BestFit Selection</t>
  </si>
  <si>
    <t>Error (bps)</t>
  </si>
  <si>
    <t>Include</t>
  </si>
  <si>
    <t>t</t>
  </si>
  <si>
    <t>Max Error</t>
  </si>
  <si>
    <t>Calibration</t>
  </si>
  <si>
    <t>obj</t>
  </si>
  <si>
    <t>Compute</t>
  </si>
  <si>
    <t>EndCriteria</t>
  </si>
  <si>
    <t>Synth Depo</t>
  </si>
  <si>
    <t>ON index 3M</t>
  </si>
  <si>
    <t>ON index 6M</t>
  </si>
  <si>
    <t>Start Date</t>
  </si>
  <si>
    <t>guess</t>
  </si>
  <si>
    <t>ON index 12M</t>
  </si>
  <si>
    <t>ON index 1M</t>
  </si>
  <si>
    <t xml:space="preserve">Tenor </t>
  </si>
  <si>
    <t>Rate Helpers</t>
  </si>
  <si>
    <t>FRA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</si>
</sst>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E+00"/>
    <numFmt numFmtId="179" formatCode="dd\-mmm\-yy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auto="1"/>
        <bgColor theme="0" tint="-0.14996795556505021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4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6" borderId="2" xfId="11" applyNumberFormat="1" applyFont="1" applyFill="1" applyBorder="1" applyAlignment="1">
      <alignment horizontal="center"/>
    </xf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0" fontId="11" fillId="7" borderId="0" xfId="15" applyFont="1" applyFill="1" applyBorder="1"/>
    <xf numFmtId="170" fontId="14" fillId="9" borderId="3" xfId="14" applyNumberFormat="1" applyFont="1" applyFill="1" applyBorder="1" applyAlignment="1" applyProtection="1">
      <alignment horizontal="center"/>
    </xf>
    <xf numFmtId="170" fontId="14" fillId="9" borderId="3" xfId="14" quotePrefix="1" applyNumberFormat="1" applyFont="1" applyFill="1" applyBorder="1" applyAlignment="1" applyProtection="1">
      <alignment horizontal="left"/>
    </xf>
    <xf numFmtId="170" fontId="14" fillId="9" borderId="3" xfId="14" quotePrefix="1" applyNumberFormat="1" applyFont="1" applyFill="1" applyBorder="1" applyAlignment="1" applyProtection="1">
      <alignment horizontal="center"/>
    </xf>
    <xf numFmtId="172" fontId="14" fillId="9" borderId="3" xfId="14" quotePrefix="1" applyNumberFormat="1" applyFont="1" applyFill="1" applyBorder="1" applyAlignment="1" applyProtection="1">
      <alignment horizontal="center"/>
    </xf>
    <xf numFmtId="173" fontId="14" fillId="9" borderId="3" xfId="14" quotePrefix="1" applyNumberFormat="1" applyFont="1" applyFill="1" applyBorder="1" applyAlignment="1" applyProtection="1">
      <alignment horizontal="center"/>
    </xf>
    <xf numFmtId="176" fontId="11" fillId="9" borderId="10" xfId="0" quotePrefix="1" applyNumberFormat="1" applyFont="1" applyFill="1" applyBorder="1" applyAlignment="1">
      <alignment horizontal="center"/>
    </xf>
    <xf numFmtId="1" fontId="16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172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173" fontId="11" fillId="10" borderId="4" xfId="0" applyNumberFormat="1" applyFont="1" applyFill="1" applyBorder="1"/>
    <xf numFmtId="173" fontId="11" fillId="10" borderId="11" xfId="0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2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172" fontId="11" fillId="10" borderId="11" xfId="0" applyNumberFormat="1" applyFont="1" applyFill="1" applyBorder="1"/>
    <xf numFmtId="172" fontId="11" fillId="10" borderId="2" xfId="0" applyNumberFormat="1" applyFont="1" applyFill="1" applyBorder="1" applyAlignment="1">
      <alignment horizontal="center" vertical="center"/>
    </xf>
    <xf numFmtId="172" fontId="11" fillId="10" borderId="9" xfId="0" applyNumberFormat="1" applyFont="1" applyFill="1" applyBorder="1"/>
    <xf numFmtId="0" fontId="11" fillId="8" borderId="2" xfId="8" applyFont="1" applyFill="1" applyBorder="1" applyAlignment="1">
      <alignment horizontal="center" vertical="center" wrapText="1"/>
    </xf>
    <xf numFmtId="0" fontId="11" fillId="7" borderId="0" xfId="8" applyFont="1" applyFill="1"/>
    <xf numFmtId="0" fontId="0" fillId="7" borderId="0" xfId="0" applyFill="1"/>
    <xf numFmtId="172" fontId="11" fillId="7" borderId="0" xfId="8" applyNumberFormat="1" applyFont="1" applyFill="1"/>
    <xf numFmtId="177" fontId="11" fillId="7" borderId="0" xfId="8" applyNumberFormat="1" applyFont="1" applyFill="1"/>
    <xf numFmtId="0" fontId="11" fillId="10" borderId="9" xfId="8" applyFont="1" applyFill="1" applyBorder="1"/>
    <xf numFmtId="171" fontId="11" fillId="10" borderId="9" xfId="8" applyNumberFormat="1" applyFont="1" applyFill="1" applyBorder="1"/>
    <xf numFmtId="172" fontId="11" fillId="10" borderId="9" xfId="11" applyNumberFormat="1" applyFont="1" applyFill="1" applyBorder="1"/>
    <xf numFmtId="172" fontId="11" fillId="10" borderId="9" xfId="8" applyNumberFormat="1" applyFont="1" applyFill="1" applyBorder="1"/>
    <xf numFmtId="0" fontId="11" fillId="10" borderId="4" xfId="8" applyFont="1" applyFill="1" applyBorder="1"/>
    <xf numFmtId="171" fontId="11" fillId="10" borderId="4" xfId="8" applyNumberFormat="1" applyFont="1" applyFill="1" applyBorder="1"/>
    <xf numFmtId="172" fontId="11" fillId="10" borderId="4" xfId="11" applyNumberFormat="1" applyFont="1" applyFill="1" applyBorder="1"/>
    <xf numFmtId="172" fontId="11" fillId="10" borderId="4" xfId="8" applyNumberFormat="1" applyFont="1" applyFill="1" applyBorder="1"/>
    <xf numFmtId="0" fontId="11" fillId="10" borderId="11" xfId="8" applyFont="1" applyFill="1" applyBorder="1"/>
    <xf numFmtId="171" fontId="11" fillId="10" borderId="11" xfId="8" applyNumberFormat="1" applyFont="1" applyFill="1" applyBorder="1"/>
    <xf numFmtId="172" fontId="11" fillId="10" borderId="11" xfId="11" applyNumberFormat="1" applyFont="1" applyFill="1" applyBorder="1"/>
    <xf numFmtId="172" fontId="11" fillId="10" borderId="11" xfId="8" applyNumberFormat="1" applyFont="1" applyFill="1" applyBorder="1"/>
    <xf numFmtId="0" fontId="11" fillId="8" borderId="12" xfId="14" applyFont="1" applyFill="1" applyBorder="1"/>
    <xf numFmtId="0" fontId="11" fillId="8" borderId="3" xfId="14" applyFont="1" applyFill="1" applyBorder="1"/>
    <xf numFmtId="0" fontId="22" fillId="8" borderId="2" xfId="14" applyFont="1" applyFill="1" applyBorder="1" applyAlignment="1">
      <alignment horizontal="left"/>
    </xf>
    <xf numFmtId="0" fontId="22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left"/>
    </xf>
    <xf numFmtId="0" fontId="5" fillId="8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2" fontId="17" fillId="8" borderId="12" xfId="21" applyNumberFormat="1" applyFont="1" applyFill="1" applyBorder="1" applyAlignment="1">
      <alignment horizontal="center" vertical="center" wrapText="1"/>
    </xf>
    <xf numFmtId="173" fontId="17" fillId="8" borderId="3" xfId="21" applyNumberFormat="1" applyFont="1" applyFill="1" applyBorder="1" applyAlignment="1">
      <alignment horizontal="center" vertical="center" wrapText="1"/>
    </xf>
    <xf numFmtId="172" fontId="17" fillId="8" borderId="2" xfId="21" applyNumberFormat="1" applyFont="1" applyFill="1" applyBorder="1" applyAlignment="1">
      <alignment horizontal="center" vertical="center" wrapText="1"/>
    </xf>
    <xf numFmtId="172" fontId="17" fillId="8" borderId="3" xfId="21" applyNumberFormat="1" applyFont="1" applyFill="1" applyBorder="1" applyAlignment="1">
      <alignment horizontal="center" vertical="center" wrapText="1"/>
    </xf>
    <xf numFmtId="0" fontId="11" fillId="3" borderId="18" xfId="14" applyFont="1" applyFill="1" applyBorder="1"/>
    <xf numFmtId="0" fontId="11" fillId="3" borderId="17" xfId="18" applyFont="1" applyFill="1" applyBorder="1"/>
    <xf numFmtId="0" fontId="11" fillId="0" borderId="5" xfId="20" applyFont="1" applyFill="1" applyBorder="1" applyAlignment="1">
      <alignment horizontal="center"/>
    </xf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8" borderId="4" xfId="14" applyFont="1" applyFill="1" applyBorder="1" applyAlignment="1">
      <alignment horizontal="center"/>
    </xf>
    <xf numFmtId="0" fontId="5" fillId="8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2" fontId="11" fillId="10" borderId="6" xfId="21" applyNumberFormat="1" applyFont="1" applyFill="1" applyBorder="1" applyAlignment="1"/>
    <xf numFmtId="172" fontId="11" fillId="10" borderId="5" xfId="21" applyNumberFormat="1" applyFont="1" applyFill="1" applyBorder="1" applyAlignment="1"/>
    <xf numFmtId="172" fontId="11" fillId="10" borderId="7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14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6" xfId="11" applyNumberFormat="1" applyFont="1" applyFill="1" applyBorder="1"/>
    <xf numFmtId="172" fontId="11" fillId="10" borderId="5" xfId="11" applyNumberFormat="1" applyFont="1" applyFill="1" applyBorder="1" applyAlignment="1"/>
    <xf numFmtId="172" fontId="11" fillId="10" borderId="7" xfId="11" applyNumberFormat="1" applyFont="1" applyFill="1" applyBorder="1"/>
    <xf numFmtId="172" fontId="11" fillId="10" borderId="8" xfId="11" applyNumberFormat="1" applyFont="1" applyFill="1" applyBorder="1" applyAlignment="1"/>
    <xf numFmtId="172" fontId="11" fillId="10" borderId="4" xfId="21" applyNumberFormat="1" applyFont="1" applyFill="1" applyBorder="1" applyAlignment="1"/>
    <xf numFmtId="172" fontId="11" fillId="10" borderId="11" xfId="2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9" xfId="21" applyNumberFormat="1" applyFont="1" applyFill="1" applyBorder="1" applyAlignment="1"/>
    <xf numFmtId="172" fontId="11" fillId="10" borderId="4" xfId="11" applyNumberFormat="1" applyFont="1" applyFill="1" applyBorder="1" applyAlignment="1"/>
    <xf numFmtId="172" fontId="11" fillId="10" borderId="11" xfId="11" applyNumberFormat="1" applyFont="1" applyFill="1" applyBorder="1" applyAlignment="1"/>
    <xf numFmtId="0" fontId="11" fillId="10" borderId="6" xfId="21" applyNumberFormat="1" applyFont="1" applyFill="1" applyBorder="1" applyAlignment="1">
      <alignment vertical="center"/>
    </xf>
    <xf numFmtId="172" fontId="11" fillId="10" borderId="5" xfId="21" quotePrefix="1" applyNumberFormat="1" applyFont="1" applyFill="1" applyBorder="1" applyAlignment="1"/>
    <xf numFmtId="0" fontId="11" fillId="10" borderId="7" xfId="21" applyNumberFormat="1" applyFont="1" applyFill="1" applyBorder="1" applyAlignment="1">
      <alignment vertical="center"/>
    </xf>
    <xf numFmtId="0" fontId="11" fillId="10" borderId="1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14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6" xfId="21" applyNumberFormat="1" applyFont="1" applyFill="1" applyBorder="1" applyAlignment="1"/>
    <xf numFmtId="0" fontId="11" fillId="10" borderId="7" xfId="21" applyNumberFormat="1" applyFont="1" applyFill="1" applyBorder="1" applyAlignment="1"/>
    <xf numFmtId="172" fontId="11" fillId="10" borderId="8" xfId="21" quotePrefix="1" applyNumberFormat="1" applyFont="1" applyFill="1" applyBorder="1" applyAlignment="1"/>
    <xf numFmtId="0" fontId="11" fillId="10" borderId="14" xfId="21" applyNumberFormat="1" applyFont="1" applyFill="1" applyBorder="1" applyAlignment="1">
      <alignment horizontal="left"/>
    </xf>
    <xf numFmtId="0" fontId="11" fillId="10" borderId="6" xfId="21" applyNumberFormat="1" applyFont="1" applyFill="1" applyBorder="1" applyAlignment="1">
      <alignment horizontal="left"/>
    </xf>
    <xf numFmtId="0" fontId="11" fillId="10" borderId="7" xfId="21" applyNumberFormat="1" applyFont="1" applyFill="1" applyBorder="1" applyAlignment="1">
      <alignment horizontal="left"/>
    </xf>
    <xf numFmtId="0" fontId="11" fillId="10" borderId="14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0" fontId="11" fillId="10" borderId="6" xfId="19" applyFont="1" applyFill="1" applyBorder="1" applyAlignment="1">
      <alignment horizontal="left"/>
    </xf>
    <xf numFmtId="172" fontId="11" fillId="10" borderId="5" xfId="19" quotePrefix="1" applyNumberFormat="1" applyFont="1" applyFill="1" applyBorder="1"/>
    <xf numFmtId="0" fontId="11" fillId="10" borderId="7" xfId="19" applyFont="1" applyFill="1" applyBorder="1" applyAlignment="1">
      <alignment horizontal="left"/>
    </xf>
    <xf numFmtId="172" fontId="11" fillId="10" borderId="8" xfId="19" quotePrefix="1" applyNumberFormat="1" applyFont="1" applyFill="1" applyBorder="1"/>
    <xf numFmtId="0" fontId="17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7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7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7" fillId="8" borderId="2" xfId="14" applyFont="1" applyFill="1" applyBorder="1" applyAlignment="1">
      <alignment horizontal="center" vertical="center" wrapText="1"/>
    </xf>
    <xf numFmtId="0" fontId="17" fillId="8" borderId="2" xfId="32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2" applyFont="1" applyFill="1"/>
    <xf numFmtId="172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171" fontId="11" fillId="7" borderId="0" xfId="0" applyNumberFormat="1" applyFont="1" applyFill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0" fontId="11" fillId="10" borderId="11" xfId="0" applyNumberFormat="1" applyFont="1" applyFill="1" applyBorder="1"/>
    <xf numFmtId="172" fontId="20" fillId="10" borderId="2" xfId="0" applyNumberFormat="1" applyFont="1" applyFill="1" applyBorder="1"/>
    <xf numFmtId="2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172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6" xfId="14" applyFont="1" applyFill="1" applyBorder="1"/>
    <xf numFmtId="172" fontId="11" fillId="10" borderId="4" xfId="14" applyNumberFormat="1" applyFont="1" applyFill="1" applyBorder="1"/>
    <xf numFmtId="172" fontId="11" fillId="10" borderId="4" xfId="14" applyNumberFormat="1" applyFont="1" applyFill="1" applyBorder="1" applyAlignment="1">
      <alignment horizontal="center" vertical="center"/>
    </xf>
    <xf numFmtId="175" fontId="11" fillId="10" borderId="4" xfId="14" applyNumberFormat="1" applyFont="1" applyFill="1" applyBorder="1"/>
    <xf numFmtId="0" fontId="11" fillId="10" borderId="7" xfId="14" applyFont="1" applyFill="1" applyBorder="1"/>
    <xf numFmtId="172" fontId="11" fillId="10" borderId="11" xfId="14" applyNumberFormat="1" applyFont="1" applyFill="1" applyBorder="1"/>
    <xf numFmtId="172" fontId="11" fillId="10" borderId="11" xfId="14" applyNumberFormat="1" applyFont="1" applyFill="1" applyBorder="1" applyAlignment="1">
      <alignment horizontal="center" vertical="center"/>
    </xf>
    <xf numFmtId="175" fontId="11" fillId="10" borderId="11" xfId="14" applyNumberFormat="1" applyFont="1" applyFill="1" applyBorder="1"/>
    <xf numFmtId="175" fontId="11" fillId="10" borderId="9" xfId="14" applyNumberFormat="1" applyFont="1" applyFill="1" applyBorder="1"/>
    <xf numFmtId="0" fontId="11" fillId="10" borderId="4" xfId="14" applyFont="1" applyFill="1" applyBorder="1"/>
    <xf numFmtId="0" fontId="11" fillId="10" borderId="11" xfId="14" applyFont="1" applyFill="1" applyBorder="1"/>
    <xf numFmtId="0" fontId="21" fillId="10" borderId="4" xfId="43" applyFont="1" applyFill="1" applyBorder="1"/>
    <xf numFmtId="0" fontId="21" fillId="10" borderId="11" xfId="43" applyFont="1" applyFill="1" applyBorder="1"/>
    <xf numFmtId="173" fontId="11" fillId="10" borderId="5" xfId="0" applyNumberFormat="1" applyFont="1" applyFill="1" applyBorder="1"/>
    <xf numFmtId="173" fontId="11" fillId="10" borderId="8" xfId="0" applyNumberFormat="1" applyFont="1" applyFill="1" applyBorder="1"/>
    <xf numFmtId="0" fontId="13" fillId="8" borderId="23" xfId="16" applyFont="1" applyFill="1" applyBorder="1" applyAlignment="1">
      <alignment horizontal="centerContinuous" vertical="center"/>
    </xf>
    <xf numFmtId="0" fontId="13" fillId="8" borderId="24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5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1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1" xfId="15" applyFont="1" applyFill="1" applyBorder="1"/>
    <xf numFmtId="0" fontId="16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19" xfId="16" applyFont="1" applyFill="1" applyBorder="1" applyAlignment="1">
      <alignment horizontal="centerContinuous" vertical="center"/>
    </xf>
    <xf numFmtId="171" fontId="11" fillId="11" borderId="2" xfId="15" applyNumberFormat="1" applyFont="1" applyFill="1" applyBorder="1" applyAlignment="1">
      <alignment horizontal="center"/>
    </xf>
    <xf numFmtId="178" fontId="11" fillId="10" borderId="4" xfId="0" applyNumberFormat="1" applyFont="1" applyFill="1" applyBorder="1"/>
    <xf numFmtId="178" fontId="11" fillId="10" borderId="11" xfId="0" applyNumberFormat="1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/>
    </xf>
    <xf numFmtId="172" fontId="11" fillId="12" borderId="2" xfId="0" applyNumberFormat="1" applyFont="1" applyFill="1" applyBorder="1"/>
    <xf numFmtId="2" fontId="11" fillId="10" borderId="9" xfId="0" applyNumberFormat="1" applyFont="1" applyFill="1" applyBorder="1"/>
    <xf numFmtId="0" fontId="11" fillId="11" borderId="9" xfId="0" applyFont="1" applyFill="1" applyBorder="1" applyAlignment="1">
      <alignment horizontal="center"/>
    </xf>
    <xf numFmtId="0" fontId="11" fillId="7" borderId="14" xfId="0" applyFont="1" applyFill="1" applyBorder="1"/>
    <xf numFmtId="0" fontId="11" fillId="7" borderId="15" xfId="0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7" borderId="21" xfId="0" applyFont="1" applyFill="1" applyBorder="1"/>
    <xf numFmtId="0" fontId="11" fillId="10" borderId="3" xfId="0" applyFont="1" applyFill="1" applyBorder="1"/>
    <xf numFmtId="0" fontId="11" fillId="10" borderId="10" xfId="0" applyFont="1" applyFill="1" applyBorder="1"/>
    <xf numFmtId="0" fontId="11" fillId="10" borderId="5" xfId="0" applyFont="1" applyFill="1" applyBorder="1"/>
    <xf numFmtId="0" fontId="11" fillId="10" borderId="8" xfId="0" applyFont="1" applyFill="1" applyBorder="1"/>
    <xf numFmtId="0" fontId="11" fillId="7" borderId="5" xfId="0" applyFont="1" applyFill="1" applyBorder="1"/>
    <xf numFmtId="0" fontId="11" fillId="7" borderId="10" xfId="0" applyFont="1" applyFill="1" applyBorder="1"/>
    <xf numFmtId="0" fontId="11" fillId="7" borderId="8" xfId="0" applyFont="1" applyFill="1" applyBorder="1"/>
    <xf numFmtId="0" fontId="11" fillId="7" borderId="12" xfId="0" applyFont="1" applyFill="1" applyBorder="1"/>
    <xf numFmtId="0" fontId="11" fillId="7" borderId="13" xfId="0" applyFont="1" applyFill="1" applyBorder="1"/>
    <xf numFmtId="0" fontId="11" fillId="7" borderId="3" xfId="0" applyFont="1" applyFill="1" applyBorder="1" applyAlignment="1">
      <alignment horizontal="right"/>
    </xf>
    <xf numFmtId="0" fontId="11" fillId="12" borderId="2" xfId="0" applyFont="1" applyFill="1" applyBorder="1" applyAlignment="1">
      <alignment horizontal="center"/>
    </xf>
    <xf numFmtId="172" fontId="11" fillId="11" borderId="2" xfId="0" applyNumberFormat="1" applyFont="1" applyFill="1" applyBorder="1"/>
    <xf numFmtId="0" fontId="11" fillId="10" borderId="3" xfId="0" applyFont="1" applyFill="1" applyBorder="1" applyAlignment="1">
      <alignment vertical="center"/>
    </xf>
    <xf numFmtId="172" fontId="11" fillId="11" borderId="11" xfId="0" applyNumberFormat="1" applyFont="1" applyFill="1" applyBorder="1"/>
    <xf numFmtId="0" fontId="11" fillId="8" borderId="12" xfId="0" applyFont="1" applyFill="1" applyBorder="1" applyAlignment="1">
      <alignment horizontal="centerContinuous" vertical="center" wrapText="1"/>
    </xf>
    <xf numFmtId="0" fontId="11" fillId="8" borderId="3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172" fontId="11" fillId="11" borderId="4" xfId="0" applyNumberFormat="1" applyFont="1" applyFill="1" applyBorder="1"/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15" fontId="11" fillId="10" borderId="9" xfId="0" applyNumberFormat="1" applyFont="1" applyFill="1" applyBorder="1" applyAlignment="1"/>
    <xf numFmtId="15" fontId="11" fillId="10" borderId="9" xfId="0" applyNumberFormat="1" applyFont="1" applyFill="1" applyBorder="1"/>
    <xf numFmtId="15" fontId="11" fillId="10" borderId="4" xfId="0" applyNumberFormat="1" applyFont="1" applyFill="1" applyBorder="1" applyAlignment="1"/>
    <xf numFmtId="15" fontId="11" fillId="10" borderId="4" xfId="0" applyNumberFormat="1" applyFont="1" applyFill="1" applyBorder="1"/>
    <xf numFmtId="15" fontId="11" fillId="10" borderId="25" xfId="0" applyNumberFormat="1" applyFont="1" applyFill="1" applyBorder="1" applyAlignment="1"/>
    <xf numFmtId="15" fontId="11" fillId="10" borderId="25" xfId="0" applyNumberFormat="1" applyFont="1" applyFill="1" applyBorder="1"/>
    <xf numFmtId="15" fontId="11" fillId="10" borderId="2" xfId="0" applyNumberFormat="1" applyFont="1" applyFill="1" applyBorder="1" applyAlignment="1"/>
    <xf numFmtId="15" fontId="11" fillId="10" borderId="2" xfId="0" applyNumberFormat="1" applyFont="1" applyFill="1" applyBorder="1"/>
    <xf numFmtId="15" fontId="11" fillId="10" borderId="26" xfId="0" applyNumberFormat="1" applyFont="1" applyFill="1" applyBorder="1" applyAlignment="1"/>
    <xf numFmtId="0" fontId="11" fillId="8" borderId="2" xfId="0" applyFont="1" applyFill="1" applyBorder="1" applyAlignment="1">
      <alignment horizontal="right" vertical="center" wrapText="1"/>
    </xf>
    <xf numFmtId="178" fontId="20" fillId="10" borderId="2" xfId="0" applyNumberFormat="1" applyFont="1" applyFill="1" applyBorder="1"/>
    <xf numFmtId="178" fontId="11" fillId="10" borderId="9" xfId="0" applyNumberFormat="1" applyFont="1" applyFill="1" applyBorder="1"/>
    <xf numFmtId="172" fontId="11" fillId="11" borderId="9" xfId="0" applyNumberFormat="1" applyFont="1" applyFill="1" applyBorder="1"/>
    <xf numFmtId="1" fontId="20" fillId="10" borderId="2" xfId="0" applyNumberFormat="1" applyFont="1" applyFill="1" applyBorder="1"/>
    <xf numFmtId="0" fontId="11" fillId="10" borderId="2" xfId="0" applyFont="1" applyFill="1" applyBorder="1"/>
    <xf numFmtId="173" fontId="11" fillId="10" borderId="3" xfId="0" applyNumberFormat="1" applyFont="1" applyFill="1" applyBorder="1" applyAlignment="1">
      <alignment vertical="center"/>
    </xf>
    <xf numFmtId="173" fontId="11" fillId="10" borderId="3" xfId="0" applyNumberFormat="1" applyFont="1" applyFill="1" applyBorder="1"/>
    <xf numFmtId="173" fontId="11" fillId="10" borderId="10" xfId="0" applyNumberFormat="1" applyFont="1" applyFill="1" applyBorder="1"/>
    <xf numFmtId="0" fontId="11" fillId="8" borderId="9" xfId="0" applyFont="1" applyFill="1" applyBorder="1" applyAlignment="1">
      <alignment horizontal="center" vertical="center" wrapText="1"/>
    </xf>
    <xf numFmtId="172" fontId="11" fillId="11" borderId="27" xfId="0" applyNumberFormat="1" applyFont="1" applyFill="1" applyBorder="1"/>
    <xf numFmtId="172" fontId="11" fillId="11" borderId="28" xfId="0" applyNumberFormat="1" applyFont="1" applyFill="1" applyBorder="1"/>
    <xf numFmtId="172" fontId="11" fillId="11" borderId="29" xfId="0" applyNumberFormat="1" applyFont="1" applyFill="1" applyBorder="1"/>
    <xf numFmtId="172" fontId="11" fillId="11" borderId="30" xfId="0" applyNumberFormat="1" applyFont="1" applyFill="1" applyBorder="1"/>
    <xf numFmtId="172" fontId="11" fillId="8" borderId="31" xfId="0" applyNumberFormat="1" applyFont="1" applyFill="1" applyBorder="1"/>
    <xf numFmtId="0" fontId="11" fillId="7" borderId="15" xfId="0" applyNumberFormat="1" applyFont="1" applyFill="1" applyBorder="1" applyAlignment="1">
      <alignment horizontal="centerContinuous" vertical="center"/>
    </xf>
    <xf numFmtId="0" fontId="11" fillId="7" borderId="14" xfId="0" applyNumberFormat="1" applyFont="1" applyFill="1" applyBorder="1" applyAlignment="1">
      <alignment vertical="center" wrapText="1"/>
    </xf>
    <xf numFmtId="179" fontId="11" fillId="10" borderId="2" xfId="0" applyNumberFormat="1" applyFont="1" applyFill="1" applyBorder="1"/>
    <xf numFmtId="179" fontId="11" fillId="10" borderId="9" xfId="0" applyNumberFormat="1" applyFont="1" applyFill="1" applyBorder="1"/>
    <xf numFmtId="179" fontId="11" fillId="10" borderId="4" xfId="0" applyNumberFormat="1" applyFont="1" applyFill="1" applyBorder="1"/>
    <xf numFmtId="179" fontId="11" fillId="10" borderId="11" xfId="0" applyNumberFormat="1" applyFont="1" applyFill="1" applyBorder="1"/>
    <xf numFmtId="179" fontId="11" fillId="10" borderId="9" xfId="0" applyNumberFormat="1" applyFont="1" applyFill="1" applyBorder="1" applyAlignment="1"/>
    <xf numFmtId="179" fontId="11" fillId="10" borderId="4" xfId="0" applyNumberFormat="1" applyFont="1" applyFill="1" applyBorder="1" applyAlignment="1"/>
    <xf numFmtId="179" fontId="11" fillId="10" borderId="25" xfId="0" applyNumberFormat="1" applyFont="1" applyFill="1" applyBorder="1" applyAlignment="1"/>
    <xf numFmtId="179" fontId="11" fillId="10" borderId="25" xfId="0" applyNumberFormat="1" applyFont="1" applyFill="1" applyBorder="1"/>
    <xf numFmtId="179" fontId="11" fillId="10" borderId="11" xfId="0" applyNumberFormat="1" applyFont="1" applyFill="1" applyBorder="1" applyAlignment="1"/>
    <xf numFmtId="179" fontId="11" fillId="10" borderId="2" xfId="0" applyNumberFormat="1" applyFont="1" applyFill="1" applyBorder="1" applyAlignment="1"/>
    <xf numFmtId="0" fontId="11" fillId="10" borderId="4" xfId="14" applyNumberFormat="1" applyFont="1" applyFill="1" applyBorder="1" applyAlignment="1">
      <alignment horizontal="center"/>
    </xf>
    <xf numFmtId="0" fontId="11" fillId="10" borderId="14" xfId="14" applyFont="1" applyFill="1" applyBorder="1"/>
    <xf numFmtId="0" fontId="11" fillId="10" borderId="15" xfId="32" applyFont="1" applyFill="1" applyBorder="1"/>
    <xf numFmtId="0" fontId="11" fillId="10" borderId="15" xfId="14" applyFont="1" applyFill="1" applyBorder="1"/>
    <xf numFmtId="0" fontId="11" fillId="10" borderId="10" xfId="14" applyFont="1" applyFill="1" applyBorder="1"/>
    <xf numFmtId="0" fontId="11" fillId="10" borderId="9" xfId="14" applyFont="1" applyFill="1" applyBorder="1"/>
    <xf numFmtId="0" fontId="11" fillId="10" borderId="9" xfId="14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center"/>
    </xf>
    <xf numFmtId="0" fontId="11" fillId="10" borderId="9" xfId="35" applyNumberFormat="1" applyFont="1" applyFill="1" applyBorder="1" applyAlignment="1">
      <alignment horizontal="center"/>
    </xf>
    <xf numFmtId="0" fontId="11" fillId="10" borderId="9" xfId="32" applyNumberFormat="1" applyFont="1" applyFill="1" applyBorder="1" applyAlignment="1">
      <alignment horizontal="center"/>
    </xf>
    <xf numFmtId="0" fontId="11" fillId="10" borderId="9" xfId="14" applyFont="1" applyFill="1" applyBorder="1" applyAlignment="1">
      <alignment horizontal="center"/>
    </xf>
    <xf numFmtId="172" fontId="11" fillId="10" borderId="9" xfId="14" applyNumberFormat="1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left"/>
    </xf>
    <xf numFmtId="0" fontId="11" fillId="10" borderId="4" xfId="35" applyNumberFormat="1" applyFont="1" applyFill="1" applyBorder="1" applyAlignment="1">
      <alignment horizontal="center"/>
    </xf>
    <xf numFmtId="0" fontId="11" fillId="10" borderId="4" xfId="32" applyNumberFormat="1" applyFont="1" applyFill="1" applyBorder="1" applyAlignment="1">
      <alignment horizontal="center"/>
    </xf>
    <xf numFmtId="0" fontId="11" fillId="10" borderId="4" xfId="14" applyFont="1" applyFill="1" applyBorder="1" applyAlignment="1">
      <alignment horizontal="center"/>
    </xf>
    <xf numFmtId="172" fontId="11" fillId="10" borderId="4" xfId="14" applyNumberFormat="1" applyFont="1" applyFill="1" applyBorder="1" applyAlignment="1">
      <alignment horizontal="left"/>
    </xf>
    <xf numFmtId="0" fontId="11" fillId="10" borderId="4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center"/>
    </xf>
    <xf numFmtId="0" fontId="11" fillId="10" borderId="11" xfId="35" applyNumberFormat="1" applyFont="1" applyFill="1" applyBorder="1" applyAlignment="1">
      <alignment horizontal="center"/>
    </xf>
    <xf numFmtId="0" fontId="11" fillId="10" borderId="11" xfId="32" applyNumberFormat="1" applyFont="1" applyFill="1" applyBorder="1" applyAlignment="1">
      <alignment horizontal="center"/>
    </xf>
    <xf numFmtId="0" fontId="11" fillId="10" borderId="11" xfId="14" applyFont="1" applyFill="1" applyBorder="1" applyAlignment="1">
      <alignment horizontal="center"/>
    </xf>
    <xf numFmtId="172" fontId="11" fillId="10" borderId="11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left"/>
    </xf>
    <xf numFmtId="0" fontId="11" fillId="8" borderId="2" xfId="0" applyFont="1" applyFill="1" applyBorder="1" applyAlignment="1">
      <alignment horizontal="center" wrapText="1"/>
    </xf>
    <xf numFmtId="179" fontId="11" fillId="10" borderId="4" xfId="14" applyNumberFormat="1" applyFont="1" applyFill="1" applyBorder="1"/>
    <xf numFmtId="179" fontId="11" fillId="10" borderId="11" xfId="14" applyNumberFormat="1" applyFont="1" applyFill="1" applyBorder="1"/>
    <xf numFmtId="179" fontId="21" fillId="10" borderId="4" xfId="43" applyNumberFormat="1" applyFont="1" applyFill="1" applyBorder="1"/>
    <xf numFmtId="179" fontId="21" fillId="10" borderId="11" xfId="43" applyNumberFormat="1" applyFont="1" applyFill="1" applyBorder="1"/>
    <xf numFmtId="0" fontId="11" fillId="11" borderId="2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173" fontId="20" fillId="10" borderId="2" xfId="0" applyNumberFormat="1" applyFont="1" applyFill="1" applyBorder="1"/>
    <xf numFmtId="15" fontId="11" fillId="10" borderId="26" xfId="0" applyNumberFormat="1" applyFont="1" applyFill="1" applyBorder="1"/>
    <xf numFmtId="172" fontId="11" fillId="11" borderId="32" xfId="0" applyNumberFormat="1" applyFont="1" applyFill="1" applyBorder="1"/>
    <xf numFmtId="0" fontId="11" fillId="10" borderId="2" xfId="8" applyFont="1" applyFill="1" applyBorder="1"/>
    <xf numFmtId="171" fontId="11" fillId="10" borderId="2" xfId="8" applyNumberFormat="1" applyFont="1" applyFill="1" applyBorder="1"/>
    <xf numFmtId="172" fontId="11" fillId="10" borderId="2" xfId="11" applyNumberFormat="1" applyFont="1" applyFill="1" applyBorder="1"/>
    <xf numFmtId="172" fontId="11" fillId="10" borderId="2" xfId="8" applyNumberFormat="1" applyFont="1" applyFill="1" applyBorder="1"/>
    <xf numFmtId="0" fontId="11" fillId="5" borderId="0" xfId="15" applyFont="1" applyFill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25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M5</v>
          </cell>
        </row>
        <row r="7">
          <cell r="D7" t="str">
            <v>N5</v>
          </cell>
        </row>
      </sheetData>
      <sheetData sheetId="10">
        <row r="6">
          <cell r="D6" t="str">
            <v>Future Code</v>
          </cell>
        </row>
        <row r="7">
          <cell r="D7" t="str">
            <v>M5</v>
          </cell>
        </row>
      </sheetData>
      <sheetData sheetId="11">
        <row r="6">
          <cell r="D6" t="str">
            <v>M5</v>
          </cell>
        </row>
        <row r="7">
          <cell r="D7" t="str">
            <v>N5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Z5</v>
          </cell>
        </row>
        <row r="7">
          <cell r="D7" t="str">
            <v>H6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42158</v>
          </cell>
        </row>
        <row r="7">
          <cell r="D7">
            <v>42157</v>
          </cell>
        </row>
      </sheetData>
      <sheetData sheetId="29">
        <row r="6">
          <cell r="D6">
            <v>42158</v>
          </cell>
        </row>
        <row r="7">
          <cell r="D7">
            <v>42157</v>
          </cell>
        </row>
      </sheetData>
      <sheetData sheetId="30">
        <row r="6">
          <cell r="D6">
            <v>42159</v>
          </cell>
        </row>
        <row r="7">
          <cell r="D7">
            <v>42158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9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44" customWidth="1"/>
    <col min="3" max="3" width="24.33203125" style="44" customWidth="1"/>
    <col min="4" max="4" width="35.83203125" style="44" customWidth="1"/>
    <col min="5" max="7" width="2.83203125" style="44" customWidth="1"/>
    <col min="8" max="8" width="27.5" style="44" bestFit="1" customWidth="1"/>
    <col min="9" max="9" width="39.33203125" style="44" bestFit="1" customWidth="1"/>
    <col min="10" max="10" width="2.83203125" style="44" customWidth="1"/>
    <col min="11" max="16384" width="10.6640625" style="44"/>
  </cols>
  <sheetData>
    <row r="1" spans="1:34" x14ac:dyDescent="0.2">
      <c r="B1" s="44" t="str">
        <f>_xll.qlxlVersion(TRUE,EvaluationDate)</f>
        <v>QuantLibXL 1.6.0 - MS VC++ (version unknown) - Multithreaded Dynamic Runtime library - Release Configuration - Jun  1 2015 10:45:27</v>
      </c>
    </row>
    <row r="2" spans="1:34" ht="19.5" thickBot="1" x14ac:dyDescent="0.25">
      <c r="B2" s="208" t="s">
        <v>0</v>
      </c>
      <c r="C2" s="209"/>
      <c r="D2" s="209"/>
      <c r="E2" s="210"/>
      <c r="G2" s="208" t="s">
        <v>106</v>
      </c>
      <c r="H2" s="209"/>
      <c r="I2" s="209"/>
      <c r="J2" s="210"/>
    </row>
    <row r="3" spans="1:34" x14ac:dyDescent="0.2">
      <c r="B3" s="211"/>
      <c r="C3" s="1"/>
      <c r="D3" s="1"/>
      <c r="E3" s="212"/>
      <c r="G3" s="219"/>
      <c r="H3" s="5"/>
      <c r="I3" s="5"/>
      <c r="J3" s="220"/>
    </row>
    <row r="4" spans="1:34" x14ac:dyDescent="0.2">
      <c r="B4" s="211"/>
      <c r="C4" s="2" t="s">
        <v>1</v>
      </c>
      <c r="D4" s="3" t="s">
        <v>2</v>
      </c>
      <c r="E4" s="212"/>
      <c r="G4" s="219"/>
      <c r="H4" s="7" t="s">
        <v>8</v>
      </c>
      <c r="I4" s="47" t="b">
        <v>1</v>
      </c>
      <c r="J4" s="221"/>
    </row>
    <row r="5" spans="1:34" s="45" customFormat="1" x14ac:dyDescent="0.2">
      <c r="A5" s="44"/>
      <c r="B5" s="211"/>
      <c r="C5" s="2" t="s">
        <v>3</v>
      </c>
      <c r="D5" s="4" t="s">
        <v>4</v>
      </c>
      <c r="E5" s="212"/>
      <c r="F5" s="44"/>
      <c r="G5" s="219"/>
      <c r="H5" s="7" t="s">
        <v>9</v>
      </c>
      <c r="I5" s="47" t="b">
        <v>1</v>
      </c>
      <c r="J5" s="221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spans="1:34" s="45" customFormat="1" x14ac:dyDescent="0.2">
      <c r="A6" s="44"/>
      <c r="B6" s="211"/>
      <c r="C6" s="2" t="s">
        <v>5</v>
      </c>
      <c r="D6" s="4" t="str">
        <f>IF(UPPER(Currency)&lt;&gt;"EUR","L","")&amp;"ibor"</f>
        <v>ibor</v>
      </c>
      <c r="E6" s="212"/>
      <c r="F6" s="44"/>
      <c r="G6" s="219"/>
      <c r="H6" s="7" t="s">
        <v>11</v>
      </c>
      <c r="I6" s="47" t="b">
        <v>0</v>
      </c>
      <c r="J6" s="221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4" x14ac:dyDescent="0.2">
      <c r="B7" s="211"/>
      <c r="C7" s="2" t="s">
        <v>6</v>
      </c>
      <c r="D7" s="6" t="s">
        <v>7</v>
      </c>
      <c r="E7" s="212"/>
      <c r="G7" s="219"/>
      <c r="H7" s="7" t="s">
        <v>12</v>
      </c>
      <c r="I7" s="48"/>
      <c r="J7" s="221"/>
    </row>
    <row r="8" spans="1:34" x14ac:dyDescent="0.2">
      <c r="B8" s="211"/>
      <c r="C8" s="2" t="s">
        <v>94</v>
      </c>
      <c r="D8" s="9" t="s">
        <v>95</v>
      </c>
      <c r="E8" s="212"/>
      <c r="G8" s="219"/>
      <c r="H8" s="7" t="s">
        <v>13</v>
      </c>
      <c r="I8" s="49" t="b">
        <v>1</v>
      </c>
      <c r="J8" s="221"/>
    </row>
    <row r="9" spans="1:34" x14ac:dyDescent="0.2">
      <c r="B9" s="211"/>
      <c r="C9" s="2" t="s">
        <v>108</v>
      </c>
      <c r="D9" s="9" t="s">
        <v>14</v>
      </c>
      <c r="E9" s="212"/>
      <c r="G9" s="219"/>
      <c r="H9" s="5"/>
      <c r="I9" s="5"/>
      <c r="J9" s="220"/>
    </row>
    <row r="10" spans="1:34" x14ac:dyDescent="0.2">
      <c r="B10" s="213"/>
      <c r="C10" s="214"/>
      <c r="D10" s="214"/>
      <c r="E10" s="212"/>
      <c r="G10" s="219"/>
      <c r="H10" s="7" t="s">
        <v>15</v>
      </c>
      <c r="I10" s="49" t="s">
        <v>16</v>
      </c>
      <c r="J10" s="221"/>
    </row>
    <row r="11" spans="1:34" x14ac:dyDescent="0.2">
      <c r="B11" s="211"/>
      <c r="C11" s="30" t="s">
        <v>19</v>
      </c>
      <c r="D11" s="31">
        <v>42121.73238425926</v>
      </c>
      <c r="E11" s="212"/>
      <c r="G11" s="219"/>
      <c r="H11" s="7" t="s">
        <v>17</v>
      </c>
      <c r="I11" s="50">
        <v>1E-4</v>
      </c>
      <c r="J11" s="221"/>
    </row>
    <row r="12" spans="1:34" x14ac:dyDescent="0.2">
      <c r="B12" s="211"/>
      <c r="C12" s="30" t="s">
        <v>20</v>
      </c>
      <c r="D12" s="32" t="b">
        <v>1</v>
      </c>
      <c r="E12" s="212"/>
      <c r="G12" s="219"/>
      <c r="H12" s="7" t="s">
        <v>18</v>
      </c>
      <c r="I12" s="51">
        <v>-0.01</v>
      </c>
      <c r="J12" s="221"/>
    </row>
    <row r="13" spans="1:34" x14ac:dyDescent="0.2">
      <c r="B13" s="215"/>
      <c r="C13" s="216"/>
      <c r="D13" s="217"/>
      <c r="E13" s="218"/>
      <c r="G13" s="222"/>
      <c r="H13" s="223"/>
      <c r="I13" s="223"/>
      <c r="J13" s="224"/>
    </row>
    <row r="14" spans="1:34" x14ac:dyDescent="0.2">
      <c r="C14" s="46"/>
      <c r="D14" s="46"/>
      <c r="E14" s="46"/>
    </row>
    <row r="15" spans="1:34" ht="18.75" x14ac:dyDescent="0.2">
      <c r="B15" s="230" t="s">
        <v>138</v>
      </c>
      <c r="C15" s="231"/>
      <c r="D15" s="231"/>
      <c r="E15" s="232"/>
      <c r="G15" s="230" t="s">
        <v>90</v>
      </c>
      <c r="H15" s="231"/>
      <c r="I15" s="231"/>
      <c r="J15" s="232"/>
    </row>
    <row r="16" spans="1:34" x14ac:dyDescent="0.2">
      <c r="B16" s="213"/>
      <c r="C16" s="20"/>
      <c r="D16" s="21"/>
      <c r="E16" s="227"/>
      <c r="G16" s="225"/>
      <c r="H16" s="10"/>
      <c r="I16" s="10"/>
      <c r="J16" s="111"/>
    </row>
    <row r="17" spans="2:10" x14ac:dyDescent="0.2">
      <c r="B17" s="211"/>
      <c r="C17" s="24" t="s">
        <v>10</v>
      </c>
      <c r="D17" s="8">
        <f>_xll.qlCalendarAdvance(Calendar,_xll.qlCalendarAdjust(Calendar,EvaluationDate,"f",Trigger),"2D","f")</f>
        <v>42163</v>
      </c>
      <c r="E17" s="212"/>
      <c r="G17" s="225"/>
      <c r="H17" s="2" t="s">
        <v>21</v>
      </c>
      <c r="I17" s="233">
        <v>42159.757060185184</v>
      </c>
      <c r="J17" s="111"/>
    </row>
    <row r="18" spans="2:10" x14ac:dyDescent="0.2">
      <c r="B18" s="211"/>
      <c r="C18" s="2" t="s">
        <v>85</v>
      </c>
      <c r="D18" s="23" t="s">
        <v>87</v>
      </c>
      <c r="E18" s="212"/>
      <c r="G18" s="225"/>
      <c r="H18" s="2" t="s">
        <v>22</v>
      </c>
      <c r="I18" s="33">
        <f>_xll.qlSettingsEvaluationDate(Trigger)</f>
        <v>42159</v>
      </c>
      <c r="J18" s="111"/>
    </row>
    <row r="19" spans="2:10" x14ac:dyDescent="0.2">
      <c r="B19" s="211"/>
      <c r="C19" s="2" t="s">
        <v>86</v>
      </c>
      <c r="D19" s="25" t="str">
        <f>_xll.qlInterpolation(,BasisInterpolation,'1YSynthDepo'!E5:E17,'1YSynthDepo'!I5:I17)</f>
        <v>obj_005dd#0024</v>
      </c>
      <c r="E19" s="212"/>
      <c r="G19" s="225"/>
      <c r="H19" s="2" t="s">
        <v>23</v>
      </c>
      <c r="I19" s="34">
        <f>[1]!TriggerCounter</f>
        <v>25</v>
      </c>
      <c r="J19" s="111"/>
    </row>
    <row r="20" spans="2:10" x14ac:dyDescent="0.2">
      <c r="B20" s="211"/>
      <c r="C20" s="343"/>
      <c r="D20" s="343"/>
      <c r="E20" s="212"/>
      <c r="G20" s="225"/>
      <c r="H20" s="2" t="s">
        <v>24</v>
      </c>
      <c r="I20" s="35">
        <f>[1]!LastFixingsTrigger</f>
        <v>1</v>
      </c>
      <c r="J20" s="111"/>
    </row>
    <row r="21" spans="2:10" x14ac:dyDescent="0.2">
      <c r="B21" s="211"/>
      <c r="C21" s="343"/>
      <c r="D21" s="343"/>
      <c r="E21" s="212"/>
      <c r="G21" s="225"/>
      <c r="H21" s="2" t="s">
        <v>27</v>
      </c>
      <c r="I21" s="3">
        <f>_xll.ohTrigger(Contribution!U16,Contribution!U22,Contribution!U29,Contribution!U39,Contribution!U55)</f>
        <v>0</v>
      </c>
      <c r="J21" s="111"/>
    </row>
    <row r="22" spans="2:10" x14ac:dyDescent="0.2">
      <c r="B22" s="215"/>
      <c r="C22" s="228"/>
      <c r="D22" s="228"/>
      <c r="E22" s="218"/>
      <c r="G22" s="226"/>
      <c r="H22" s="118"/>
      <c r="I22" s="118"/>
      <c r="J22" s="119"/>
    </row>
    <row r="24" spans="2:10" ht="18.75" x14ac:dyDescent="0.2">
      <c r="B24" s="230" t="str">
        <f>D26&amp;" Curve Settings"</f>
        <v>1M Curve Settings</v>
      </c>
      <c r="C24" s="231"/>
      <c r="D24" s="231"/>
      <c r="E24" s="232"/>
    </row>
    <row r="25" spans="2:10" x14ac:dyDescent="0.2">
      <c r="B25" s="211"/>
      <c r="C25" s="1"/>
      <c r="D25" s="1"/>
      <c r="E25" s="212"/>
    </row>
    <row r="26" spans="2:10" x14ac:dyDescent="0.2">
      <c r="B26" s="211"/>
      <c r="C26" s="24" t="s">
        <v>25</v>
      </c>
      <c r="D26" s="3" t="s">
        <v>35</v>
      </c>
      <c r="E26" s="212"/>
    </row>
    <row r="27" spans="2:10" x14ac:dyDescent="0.2">
      <c r="B27" s="211"/>
      <c r="C27" s="24" t="s">
        <v>28</v>
      </c>
      <c r="D27" s="22">
        <v>2</v>
      </c>
      <c r="E27" s="212"/>
    </row>
    <row r="28" spans="2:10" x14ac:dyDescent="0.2">
      <c r="B28" s="211"/>
      <c r="C28" s="2" t="s">
        <v>84</v>
      </c>
      <c r="D28" s="36" t="str">
        <f>_xll.qlEuribor(,"1M",D34,,Trigger)</f>
        <v>obj_005dc#0000</v>
      </c>
      <c r="E28" s="212"/>
    </row>
    <row r="29" spans="2:10" x14ac:dyDescent="0.2">
      <c r="B29" s="213"/>
      <c r="C29" s="214"/>
      <c r="D29" s="214"/>
      <c r="E29" s="227"/>
    </row>
    <row r="30" spans="2:10" x14ac:dyDescent="0.2">
      <c r="B30" s="211"/>
      <c r="C30" s="24" t="s">
        <v>29</v>
      </c>
      <c r="D30" s="4" t="e">
        <v>#N/A</v>
      </c>
      <c r="E30" s="212"/>
    </row>
    <row r="31" spans="2:10" x14ac:dyDescent="0.2">
      <c r="B31" s="211"/>
      <c r="C31" s="24" t="s">
        <v>30</v>
      </c>
      <c r="D31" s="6" t="s">
        <v>31</v>
      </c>
      <c r="E31" s="212"/>
    </row>
    <row r="32" spans="2:10" x14ac:dyDescent="0.2">
      <c r="B32" s="211"/>
      <c r="C32" s="24" t="s">
        <v>32</v>
      </c>
      <c r="D32" s="9" t="s">
        <v>105</v>
      </c>
      <c r="E32" s="212"/>
    </row>
    <row r="33" spans="2:5" x14ac:dyDescent="0.2">
      <c r="B33" s="213"/>
      <c r="C33" s="42"/>
      <c r="D33" s="43"/>
      <c r="E33" s="212"/>
    </row>
    <row r="34" spans="2:5" x14ac:dyDescent="0.2">
      <c r="B34" s="211"/>
      <c r="C34" s="28" t="s">
        <v>88</v>
      </c>
      <c r="D34" s="52" t="str">
        <f>_xll.qlPiecewiseYieldCurve(,2,Calendar,_xll.ohPack('1MSynthDepo'!G13:G21),"actual/365",,,,D31,D32,,Trigger)</f>
        <v>obj_005db#0000</v>
      </c>
      <c r="E34" s="212"/>
    </row>
    <row r="35" spans="2:5" x14ac:dyDescent="0.2">
      <c r="B35" s="211"/>
      <c r="C35" s="29" t="s">
        <v>89</v>
      </c>
      <c r="D35" s="53" t="str">
        <f>_xll.ohRangeRetrieveError($D$34)</f>
        <v/>
      </c>
      <c r="E35" s="229"/>
    </row>
    <row r="36" spans="2:5" x14ac:dyDescent="0.2">
      <c r="B36" s="213"/>
      <c r="C36" s="214"/>
      <c r="D36" s="214"/>
      <c r="E36" s="229"/>
    </row>
    <row r="37" spans="2:5" x14ac:dyDescent="0.2">
      <c r="B37" s="211"/>
      <c r="C37" s="26">
        <f>_xll.qlTermStructureReferenceDate(D34)</f>
        <v>42163</v>
      </c>
      <c r="D37" s="37">
        <f>_xll.qlYieldTSDiscount(D34,C37,,Trigger)</f>
        <v>1</v>
      </c>
      <c r="E37" s="229"/>
    </row>
    <row r="38" spans="2:5" x14ac:dyDescent="0.2">
      <c r="B38" s="211"/>
      <c r="C38" s="27">
        <f>_xll.qlTermStructureMaxDate(D34)</f>
        <v>42377</v>
      </c>
      <c r="D38" s="38">
        <f>_xll.qlYieldTSDiscount(D34,C38,,Trigger)</f>
        <v>1.0003746867120111</v>
      </c>
      <c r="E38" s="229"/>
    </row>
    <row r="39" spans="2:5" x14ac:dyDescent="0.2">
      <c r="B39" s="215"/>
      <c r="C39" s="228"/>
      <c r="D39" s="228"/>
      <c r="E39" s="2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:D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18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37"/>
  <sheetViews>
    <sheetView showGridLines="0" topLeftCell="N1" workbookViewId="0">
      <selection activeCell="S1" sqref="S1"/>
    </sheetView>
  </sheetViews>
  <sheetFormatPr defaultRowHeight="11.25" outlineLevelCol="1" x14ac:dyDescent="0.2"/>
  <cols>
    <col min="1" max="1" width="3.1640625" style="167" hidden="1" customWidth="1" outlineLevel="1"/>
    <col min="2" max="2" width="7" style="167" hidden="1" customWidth="1" outlineLevel="1"/>
    <col min="3" max="3" width="3.5" style="167" hidden="1" customWidth="1" outlineLevel="1"/>
    <col min="4" max="4" width="2.33203125" style="179" hidden="1" customWidth="1" outlineLevel="1"/>
    <col min="5" max="5" width="4.6640625" style="179" hidden="1" customWidth="1" outlineLevel="1"/>
    <col min="6" max="6" width="8.1640625" style="167" hidden="1" customWidth="1" outlineLevel="1"/>
    <col min="7" max="7" width="22.6640625" style="167" hidden="1" customWidth="1" outlineLevel="1"/>
    <col min="8" max="8" width="23" style="167" hidden="1" customWidth="1" outlineLevel="1"/>
    <col min="9" max="9" width="10.5" style="167" hidden="1" customWidth="1" outlineLevel="1"/>
    <col min="10" max="10" width="16.1640625" style="167" hidden="1" customWidth="1" outlineLevel="1"/>
    <col min="11" max="11" width="17.83203125" style="181" hidden="1" customWidth="1" outlineLevel="1"/>
    <col min="12" max="12" width="14.1640625" style="167" hidden="1" customWidth="1" outlineLevel="1"/>
    <col min="13" max="13" width="19" style="167" hidden="1" customWidth="1" outlineLevel="1"/>
    <col min="14" max="14" width="7" style="167" customWidth="1" collapsed="1"/>
    <col min="15" max="15" width="2.33203125" style="167" bestFit="1" customWidth="1"/>
    <col min="16" max="16" width="3.5" style="167" customWidth="1"/>
    <col min="17" max="17" width="22.83203125" style="167" customWidth="1"/>
    <col min="18" max="18" width="12.83203125" style="167" bestFit="1" customWidth="1"/>
    <col min="19" max="19" width="12.83203125" style="167" customWidth="1"/>
    <col min="20" max="21" width="11.33203125" style="167" customWidth="1"/>
    <col min="22" max="22" width="12.83203125" style="167" bestFit="1" customWidth="1"/>
    <col min="23" max="23" width="9.33203125" style="167" bestFit="1" customWidth="1"/>
    <col min="24" max="24" width="10.5" style="167" customWidth="1"/>
    <col min="25" max="25" width="9.33203125" style="167" hidden="1" customWidth="1" outlineLevel="1"/>
    <col min="26" max="26" width="8.1640625" style="167" hidden="1" customWidth="1" outlineLevel="1"/>
    <col min="27" max="27" width="8.1640625" style="167" bestFit="1" customWidth="1" collapsed="1"/>
    <col min="28" max="28" width="11.5" style="167" customWidth="1"/>
    <col min="29" max="29" width="2.83203125" style="167" customWidth="1"/>
    <col min="30" max="30" width="15.33203125" style="167" customWidth="1"/>
    <col min="31" max="31" width="17" style="167" customWidth="1"/>
    <col min="32" max="32" width="9.33203125" style="167"/>
    <col min="33" max="33" width="10.5" style="167" bestFit="1" customWidth="1"/>
    <col min="34" max="16384" width="9.33203125" style="167"/>
  </cols>
  <sheetData>
    <row r="1" spans="1:33" ht="11.25" customHeight="1" x14ac:dyDescent="0.2">
      <c r="D1" s="167"/>
      <c r="E1" s="167"/>
      <c r="K1" s="167" t="str">
        <f>_xll.qlEuribor(,S1,,,Trigger)</f>
        <v>obj_00596#0000</v>
      </c>
      <c r="L1" s="167" t="str">
        <f>_xll.ohRangeRetrieveError(K1)</f>
        <v/>
      </c>
      <c r="R1" s="328" t="s">
        <v>136</v>
      </c>
      <c r="S1" s="66" t="s">
        <v>35</v>
      </c>
      <c r="Z1" s="54"/>
      <c r="AA1" s="54"/>
      <c r="AB1" s="54"/>
    </row>
    <row r="2" spans="1:33" ht="21.95" customHeight="1" x14ac:dyDescent="0.2">
      <c r="A2" s="175"/>
      <c r="B2" s="168" t="s">
        <v>96</v>
      </c>
      <c r="C2" s="168"/>
      <c r="D2" s="169"/>
      <c r="E2" s="169"/>
      <c r="F2" s="168" t="s">
        <v>97</v>
      </c>
      <c r="G2" s="168" t="s">
        <v>98</v>
      </c>
      <c r="H2" s="168" t="s">
        <v>99</v>
      </c>
      <c r="I2" s="168" t="s">
        <v>100</v>
      </c>
      <c r="J2" s="168" t="s">
        <v>72</v>
      </c>
      <c r="K2" s="168" t="s">
        <v>73</v>
      </c>
      <c r="L2" s="170" t="s">
        <v>33</v>
      </c>
      <c r="M2" s="171" t="s">
        <v>74</v>
      </c>
      <c r="N2" s="178"/>
      <c r="Q2" s="58" t="str">
        <f>S1&amp;" Instruments"</f>
        <v>1M Instruments</v>
      </c>
      <c r="R2" s="58" t="s">
        <v>92</v>
      </c>
      <c r="S2" s="58" t="s">
        <v>93</v>
      </c>
      <c r="T2" s="58" t="str">
        <f>"F "&amp;S1</f>
        <v>F 1M</v>
      </c>
      <c r="U2" s="58" t="s">
        <v>107</v>
      </c>
      <c r="V2" s="58" t="s">
        <v>109</v>
      </c>
      <c r="W2" s="58" t="s">
        <v>119</v>
      </c>
      <c r="X2" s="58" t="s">
        <v>121</v>
      </c>
      <c r="Y2" s="58" t="s">
        <v>89</v>
      </c>
      <c r="Z2" s="58" t="s">
        <v>123</v>
      </c>
      <c r="AA2" s="58" t="s">
        <v>112</v>
      </c>
      <c r="AB2" s="58" t="s">
        <v>120</v>
      </c>
    </row>
    <row r="3" spans="1:33" ht="11.25" customHeight="1" x14ac:dyDescent="0.2">
      <c r="A3" s="176"/>
      <c r="B3" s="304" t="s">
        <v>102</v>
      </c>
      <c r="C3" s="305"/>
      <c r="D3" s="306"/>
      <c r="E3" s="306"/>
      <c r="F3" s="307"/>
      <c r="G3" s="307"/>
      <c r="H3" s="307"/>
      <c r="I3" s="308"/>
      <c r="J3" s="309" t="str">
        <f>PROPER((Currency))&amp;IborType&amp;S1&amp;"LastFixing"&amp;QuoteSuffix</f>
        <v>Euribor1MLastFixing_Quote</v>
      </c>
      <c r="K3" s="310" t="str">
        <f>_xll.qlDepositRateHelper(,J3,K1,,Trigger)</f>
        <v>obj_005c4#0000</v>
      </c>
      <c r="L3" s="309" t="str">
        <f>_xll.ohRangeRetrieveError(K3)</f>
        <v/>
      </c>
      <c r="M3" s="333" t="b">
        <v>1</v>
      </c>
      <c r="N3" s="167">
        <v>0</v>
      </c>
      <c r="O3" s="167" t="s">
        <v>34</v>
      </c>
      <c r="P3" s="167">
        <v>1</v>
      </c>
      <c r="Q3" s="204" t="str">
        <f>Currency&amp;N3&amp;O3&amp;P3&amp;"F_Estimated"</f>
        <v>EUR0x1F_Estimated</v>
      </c>
      <c r="R3" s="331">
        <f>SettlementDate</f>
        <v>42163</v>
      </c>
      <c r="S3" s="331">
        <f>_xll.qlInterestRateIndexMaturity(iborindex1M,R3,Trigger)</f>
        <v>42193</v>
      </c>
      <c r="T3" s="62">
        <f>_xll.qlIndexFixing(iborindex1M,_xll.qlInterestRateIndexFixingDate(iborindex1M,R3,Trigger),TRUE,AllTriggers)</f>
        <v>-6.2000000000139721E-4</v>
      </c>
      <c r="U3" s="239"/>
      <c r="V3" s="239"/>
      <c r="W3" s="190">
        <f>_xll.qlTenorBasisValue(TenorBasis1M,R3,Trigger)</f>
        <v>5.7451089661331167E-4</v>
      </c>
      <c r="X3" s="239"/>
      <c r="Y3" s="239"/>
      <c r="Z3" s="59">
        <f>_xll.qlDayCounterYearFraction("actual/365 (fixed)",SettlementDate,R3,,,Trigger)</f>
        <v>0</v>
      </c>
      <c r="AA3" s="59">
        <f>_xll.qlYieldTSDiscount(Discounting,R3,,AllTriggers)</f>
        <v>1.0000111112116115</v>
      </c>
      <c r="AB3" s="257"/>
      <c r="AD3" s="277" t="s">
        <v>135</v>
      </c>
      <c r="AE3" s="190" t="str">
        <f>_xll.qlIborIndex(,,S1,2,Currency,Calendar,"mf",TRUE,DayCounter,Discounting,,Trigger)</f>
        <v>obj_00592#0000</v>
      </c>
      <c r="AF3" s="54"/>
      <c r="AG3" s="54"/>
    </row>
    <row r="4" spans="1:33" ht="11.25" customHeight="1" x14ac:dyDescent="0.2">
      <c r="A4" s="176"/>
      <c r="B4" s="311" t="s">
        <v>102</v>
      </c>
      <c r="C4" s="312" t="s">
        <v>42</v>
      </c>
      <c r="D4" s="313">
        <v>2</v>
      </c>
      <c r="E4" s="313" t="s">
        <v>103</v>
      </c>
      <c r="F4" s="311" t="s">
        <v>104</v>
      </c>
      <c r="G4" s="314" t="s">
        <v>101</v>
      </c>
      <c r="H4" s="314" t="s">
        <v>14</v>
      </c>
      <c r="I4" s="315">
        <v>0</v>
      </c>
      <c r="J4" s="316" t="str">
        <f t="shared" ref="J4:J9" si="0">Currency&amp;$D4&amp;$E4&amp;"_Quote"</f>
        <v>EUR2X1S_Quote</v>
      </c>
      <c r="K4" s="158" t="str">
        <f>_xll.qlSwapRateHelper2(,$J4,,C4,Calendar,$F4,$G4,$H4,$K$1,$I4,B4,Discounting,Permanent,Trigger,ObjectOverwrite)</f>
        <v>obj_00598#0000</v>
      </c>
      <c r="L4" s="309" t="str">
        <f>_xll.ohRangeRetrieveError(K4)</f>
        <v/>
      </c>
      <c r="M4" s="334" t="b">
        <v>1</v>
      </c>
      <c r="N4" s="254">
        <v>1</v>
      </c>
      <c r="O4" s="255" t="s">
        <v>34</v>
      </c>
      <c r="P4" s="256">
        <v>2</v>
      </c>
      <c r="Q4" s="247" t="str">
        <f>PROPER((Currency))&amp;IborType&amp;S1&amp;"LastFixing"&amp;QuoteSuffix</f>
        <v>Euribor1MLastFixing_Quote</v>
      </c>
      <c r="R4" s="294">
        <f>SettlementDate</f>
        <v>42163</v>
      </c>
      <c r="S4" s="294">
        <f>_xll.qlInterestRateIndexMaturity(iborindex1M,R4,Trigger)</f>
        <v>42193</v>
      </c>
      <c r="T4" s="190">
        <f>_xll.qlQuoteValue(Q4,LastFixingsTrigger)</f>
        <v>-6.2E-4</v>
      </c>
      <c r="U4" s="190">
        <f>_xll.qlIndexFixing(ON_1M_index,_xll.qlInterestRateIndexFixingDate(ON_1M_index,R4),,AllTriggers)</f>
        <v>-1.1945108966147089E-3</v>
      </c>
      <c r="V4" s="258">
        <f>T4-U4</f>
        <v>5.7451089661470888E-4</v>
      </c>
      <c r="W4" s="186">
        <f>_xll.qlTenorBasisValue(TenorBasis1M,R4,Trigger)</f>
        <v>5.7451089661331167E-4</v>
      </c>
      <c r="X4" s="187">
        <f>Y4*10000</f>
        <v>1.3972113396820696E-11</v>
      </c>
      <c r="Y4" s="278">
        <f>V4-W4</f>
        <v>1.3972113396820696E-15</v>
      </c>
      <c r="Z4" s="284">
        <f>_xll.qlDayCounterYearFraction("actual/365 (fixed)",SettlementDate,R4,,,Trigger)</f>
        <v>0</v>
      </c>
      <c r="AA4" s="336">
        <f>_xll.qlYieldTSDiscount(Discounting,R4,,AllTriggers)</f>
        <v>1.0000111112116115</v>
      </c>
      <c r="AB4" s="241" t="b">
        <v>0</v>
      </c>
      <c r="AD4" s="54"/>
      <c r="AE4" s="54"/>
      <c r="AF4" s="54"/>
      <c r="AG4" s="54"/>
    </row>
    <row r="5" spans="1:33" ht="11.25" customHeight="1" x14ac:dyDescent="0.2">
      <c r="A5" s="176"/>
      <c r="B5" s="304" t="s">
        <v>102</v>
      </c>
      <c r="C5" s="317" t="s">
        <v>36</v>
      </c>
      <c r="D5" s="318">
        <v>3</v>
      </c>
      <c r="E5" s="318" t="s">
        <v>103</v>
      </c>
      <c r="F5" s="304" t="s">
        <v>104</v>
      </c>
      <c r="G5" s="319" t="s">
        <v>101</v>
      </c>
      <c r="H5" s="319" t="s">
        <v>14</v>
      </c>
      <c r="I5" s="320">
        <v>0</v>
      </c>
      <c r="J5" s="321" t="str">
        <f t="shared" si="0"/>
        <v>EUR3X1S_Quote</v>
      </c>
      <c r="K5" s="160" t="str">
        <f>_xll.qlSwapRateHelper2(,$J5,,C5,Calendar,$F5,$G5,$H5,$K$1,$I5,B5,Discounting,Permanent,Trigger,ObjectOverwrite)</f>
        <v>obj_0059c#0000</v>
      </c>
      <c r="L5" s="202" t="str">
        <f>_xll.ohRangeRetrieveError(K5)</f>
        <v/>
      </c>
      <c r="M5" s="334" t="b">
        <v>1</v>
      </c>
      <c r="N5" s="167">
        <v>0</v>
      </c>
      <c r="O5" s="167" t="s">
        <v>34</v>
      </c>
      <c r="P5" s="167">
        <f>N5+SUBSTITUTE($S$1,"M","")</f>
        <v>1</v>
      </c>
      <c r="Q5" s="204" t="str">
        <f>Currency&amp;N5&amp;O5&amp;P5&amp;"F"</f>
        <v>EUR0x1F</v>
      </c>
      <c r="R5" s="331">
        <f>_xll.qlCalendarAdvance("target",SettlementDate,N5&amp;"M","mf",,Trigger)</f>
        <v>42163</v>
      </c>
      <c r="S5" s="331">
        <f>_xll.qlInterestRateIndexMaturity(iborindex1M,R5,Trigger)</f>
        <v>42193</v>
      </c>
      <c r="T5" s="62">
        <f>_xll.qlIndexFixing(iborindex1M,_xll.qlInterestRateIndexFixingDate(iborindex1M,R5,Trigger),TRUE,AllTriggers)</f>
        <v>-6.2000000000139721E-4</v>
      </c>
      <c r="U5" s="62">
        <f>_xll.qlIndexFixing(ON_1M_index,_xll.qlInterestRateIndexFixingDate(ON_1M_index,R5),,AllTriggers)</f>
        <v>-1.1945108966147089E-3</v>
      </c>
      <c r="V5" s="265">
        <f>T5-U5</f>
        <v>5.7451089661331167E-4</v>
      </c>
      <c r="W5" s="67">
        <f>_xll.qlTenorBasisValue(TenorBasis1M,R5,Trigger)</f>
        <v>5.7451089661331167E-4</v>
      </c>
      <c r="X5" s="240">
        <f>Y5*10000</f>
        <v>0</v>
      </c>
      <c r="Y5" s="234">
        <f>V5-W5</f>
        <v>0</v>
      </c>
      <c r="Z5" s="59">
        <f>_xll.qlDayCounterYearFraction("actual/365 (fixed)",SettlementDate,R5,,,Trigger)</f>
        <v>0</v>
      </c>
      <c r="AA5" s="59">
        <f>_xll.qlYieldTSDiscount(Discounting,R5,,AllTriggers)</f>
        <v>1.0000111112116115</v>
      </c>
      <c r="AB5" s="241" t="b">
        <v>1</v>
      </c>
      <c r="AD5" s="261" t="s">
        <v>125</v>
      </c>
      <c r="AE5" s="262"/>
      <c r="AF5" s="54"/>
      <c r="AG5" s="55"/>
    </row>
    <row r="6" spans="1:33" ht="11.25" customHeight="1" x14ac:dyDescent="0.2">
      <c r="A6" s="175"/>
      <c r="B6" s="304" t="s">
        <v>102</v>
      </c>
      <c r="C6" s="317" t="s">
        <v>43</v>
      </c>
      <c r="D6" s="318">
        <v>4</v>
      </c>
      <c r="E6" s="318" t="s">
        <v>103</v>
      </c>
      <c r="F6" s="304" t="s">
        <v>104</v>
      </c>
      <c r="G6" s="319" t="s">
        <v>101</v>
      </c>
      <c r="H6" s="319" t="s">
        <v>14</v>
      </c>
      <c r="I6" s="320">
        <v>0</v>
      </c>
      <c r="J6" s="321" t="str">
        <f t="shared" si="0"/>
        <v>EUR4X1S_Quote</v>
      </c>
      <c r="K6" s="160" t="str">
        <f>_xll.qlSwapRateHelper2(,$J6,,C6,Calendar,$F6,$G6,$H6,$K$1,$I6,B6,Discounting,Permanent,Trigger,ObjectOverwrite)</f>
        <v>obj_00599#0000</v>
      </c>
      <c r="L6" s="202" t="str">
        <f>_xll.ohRangeRetrieveError(K6)</f>
        <v/>
      </c>
      <c r="M6" s="334" t="b">
        <v>1</v>
      </c>
      <c r="N6" s="167">
        <v>1</v>
      </c>
      <c r="O6" s="167" t="s">
        <v>34</v>
      </c>
      <c r="P6" s="167">
        <f>N6+SUBSTITUTE($S$1,"M","")</f>
        <v>2</v>
      </c>
      <c r="Q6" s="204" t="str">
        <f>Currency&amp;N6&amp;O6&amp;P6&amp;"F"</f>
        <v>EUR1x2F</v>
      </c>
      <c r="R6" s="331">
        <f>_xll.qlCalendarAdvance("target",SettlementDate,N6&amp;"M","mf",,Trigger)</f>
        <v>42193</v>
      </c>
      <c r="S6" s="331">
        <f>_xll.qlInterestRateIndexMaturity(iborindex1M,R6,Trigger)</f>
        <v>42226</v>
      </c>
      <c r="T6" s="62">
        <f>_xll.qlIndexFixing(iborindex1M,_xll.qlInterestRateIndexFixingDate(iborindex1M,R6,Trigger),TRUE,AllTriggers)</f>
        <v>-7.1551957077854353E-4</v>
      </c>
      <c r="U6" s="62">
        <f>_xll.qlIndexFixing(ON_1M_index,_xll.qlInterestRateIndexFixingDate(ON_1M_index,R6),,AllTriggers)</f>
        <v>-1.2585546559221426E-3</v>
      </c>
      <c r="V6" s="265">
        <f>T6-U6</f>
        <v>5.4303508514359907E-4</v>
      </c>
      <c r="W6" s="62">
        <f>_xll.qlTenorBasisValue(TenorBasis1M,R6,Trigger)</f>
        <v>5.4303508514359918E-4</v>
      </c>
      <c r="X6" s="188">
        <f t="shared" ref="X6:X8" si="1">Y6*10000</f>
        <v>0</v>
      </c>
      <c r="Y6" s="234">
        <f t="shared" ref="Y6:Y8" si="2">V6-W6</f>
        <v>0</v>
      </c>
      <c r="Z6" s="59">
        <f>_xll.qlDayCounterYearFraction("actual/365 (fixed)",SettlementDate,R6,,,Trigger)</f>
        <v>8.2191780821917804E-2</v>
      </c>
      <c r="AA6" s="59">
        <f>_xll.qlYieldTSDiscount(Discounting,R6,,AllTriggers)</f>
        <v>1.0001106648021887</v>
      </c>
      <c r="AB6" s="237" t="b">
        <v>1</v>
      </c>
      <c r="AD6" s="277" t="s">
        <v>126</v>
      </c>
      <c r="AE6" s="282" t="str">
        <f>_xll.qlPolynomialCalibration(,_xll.ohFilter($Z$5:$Z$8,$AB$5:$AB$8),_xll.ohFilter($V$5:$V$8,$AB$5:$AB$8),_xll.ohFilter($AA$5:$AA$8,$AB$5:$AB$8),_xll.ohFilter(AG13:AG17,AF13:AF17),,,,,Trigger)</f>
        <v>obj_005de#0024</v>
      </c>
      <c r="AF6" s="54"/>
      <c r="AG6" s="55"/>
    </row>
    <row r="7" spans="1:33" ht="11.25" customHeight="1" x14ac:dyDescent="0.2">
      <c r="A7" s="175"/>
      <c r="B7" s="304" t="s">
        <v>102</v>
      </c>
      <c r="C7" s="317" t="s">
        <v>44</v>
      </c>
      <c r="D7" s="318">
        <v>5</v>
      </c>
      <c r="E7" s="318" t="s">
        <v>103</v>
      </c>
      <c r="F7" s="304" t="s">
        <v>104</v>
      </c>
      <c r="G7" s="319" t="s">
        <v>101</v>
      </c>
      <c r="H7" s="319" t="s">
        <v>14</v>
      </c>
      <c r="I7" s="320">
        <v>0</v>
      </c>
      <c r="J7" s="321" t="str">
        <f t="shared" si="0"/>
        <v>EUR5X1S_Quote</v>
      </c>
      <c r="K7" s="160" t="str">
        <f>_xll.qlSwapRateHelper2(,$J7,,C7,Calendar,$F7,$G7,$H7,$K$1,$I7,B7,Discounting,Permanent,Trigger,ObjectOverwrite)</f>
        <v>obj_0059a#0000</v>
      </c>
      <c r="L7" s="202" t="str">
        <f>_xll.ohRangeRetrieveError(K7)</f>
        <v/>
      </c>
      <c r="M7" s="334" t="b">
        <v>1</v>
      </c>
      <c r="N7" s="167">
        <v>2</v>
      </c>
      <c r="O7" s="167" t="s">
        <v>34</v>
      </c>
      <c r="P7" s="167">
        <f>N7+SUBSTITUTE($S$1,"M","")</f>
        <v>3</v>
      </c>
      <c r="Q7" s="204" t="str">
        <f>Currency&amp;N7&amp;O7&amp;P7&amp;"F"</f>
        <v>EUR2x3F</v>
      </c>
      <c r="R7" s="331">
        <f>_xll.qlCalendarAdvance("target",SettlementDate,N7&amp;"M","mf",,Trigger)</f>
        <v>42226</v>
      </c>
      <c r="S7" s="331">
        <f>_xll.qlInterestRateIndexMaturity(iborindex1M,R7,Trigger)</f>
        <v>42257</v>
      </c>
      <c r="T7" s="62">
        <f>_xll.qlIndexFixing(iborindex1M,_xll.qlInterestRateIndexFixingDate(iborindex1M,R7,Trigger),TRUE,AllTriggers)</f>
        <v>-7.6112488975690624E-4</v>
      </c>
      <c r="U7" s="62">
        <f>_xll.qlIndexFixing(ON_1M_index,_xll.qlInterestRateIndexFixingDate(ON_1M_index,R7),,AllTriggers)</f>
        <v>-1.3125535425984763E-3</v>
      </c>
      <c r="V7" s="265">
        <f>T7-U7</f>
        <v>5.5142865284157005E-4</v>
      </c>
      <c r="W7" s="62">
        <f>_xll.qlTenorBasisValue(TenorBasis1M,R7,Trigger)</f>
        <v>5.5142865284157016E-4</v>
      </c>
      <c r="X7" s="188">
        <f t="shared" si="1"/>
        <v>0</v>
      </c>
      <c r="Y7" s="234">
        <f t="shared" si="2"/>
        <v>0</v>
      </c>
      <c r="Z7" s="59">
        <f>_xll.qlDayCounterYearFraction("actual/365 (fixed)",SettlementDate,R7,,,Trigger)</f>
        <v>0.17260273972602741</v>
      </c>
      <c r="AA7" s="59">
        <f>_xll.qlYieldTSDiscount(Discounting,R7,,AllTriggers)</f>
        <v>1.0002260583921088</v>
      </c>
      <c r="AB7" s="237" t="b">
        <v>1</v>
      </c>
      <c r="AD7" s="277" t="s">
        <v>127</v>
      </c>
      <c r="AE7" s="282" t="b">
        <f>_xll.qlPolynomialCalibrationCompute($AE$6,AllTriggers)</f>
        <v>1</v>
      </c>
      <c r="AF7" s="54"/>
      <c r="AG7" s="55"/>
    </row>
    <row r="8" spans="1:33" ht="11.25" customHeight="1" x14ac:dyDescent="0.2">
      <c r="A8" s="175"/>
      <c r="B8" s="304" t="s">
        <v>102</v>
      </c>
      <c r="C8" s="317" t="s">
        <v>37</v>
      </c>
      <c r="D8" s="318">
        <v>6</v>
      </c>
      <c r="E8" s="318" t="s">
        <v>103</v>
      </c>
      <c r="F8" s="304" t="s">
        <v>104</v>
      </c>
      <c r="G8" s="319" t="s">
        <v>101</v>
      </c>
      <c r="H8" s="319" t="s">
        <v>14</v>
      </c>
      <c r="I8" s="320">
        <v>0</v>
      </c>
      <c r="J8" s="321" t="str">
        <f t="shared" si="0"/>
        <v>EUR6X1S_Quote</v>
      </c>
      <c r="K8" s="160" t="str">
        <f>_xll.qlSwapRateHelper2(,$J8,,C8,Calendar,$F8,$G8,$H8,$K$1,$I8,B8,Discounting,Permanent,Trigger,ObjectOverwrite)</f>
        <v>obj_0059b#0000</v>
      </c>
      <c r="L8" s="202" t="str">
        <f>_xll.ohRangeRetrieveError(K8)</f>
        <v/>
      </c>
      <c r="M8" s="334" t="b">
        <v>1</v>
      </c>
      <c r="N8" s="167">
        <v>3</v>
      </c>
      <c r="O8" s="167" t="s">
        <v>34</v>
      </c>
      <c r="P8" s="167">
        <f>N8+SUBSTITUTE($S$1,"M","")</f>
        <v>4</v>
      </c>
      <c r="Q8" s="205" t="str">
        <f>Currency&amp;N8&amp;O8&amp;P8&amp;"F"</f>
        <v>EUR3x4F</v>
      </c>
      <c r="R8" s="332">
        <f>_xll.qlCalendarAdvance("target",SettlementDate,N8&amp;"M","mf",,Trigger)</f>
        <v>42255</v>
      </c>
      <c r="S8" s="332">
        <f>_xll.qlInterestRateIndexMaturity(iborindex1M,R8,Trigger)</f>
        <v>42285</v>
      </c>
      <c r="T8" s="65">
        <f>_xll.qlIndexFixing(iborindex1M,_xll.qlInterestRateIndexFixingDate(iborindex1M,R8,Trigger),TRUE,AllTriggers)</f>
        <v>-7.002275399488056E-4</v>
      </c>
      <c r="U8" s="65">
        <f>_xll.qlIndexFixing(ON_1M_index,_xll.qlInterestRateIndexFixingDate(ON_1M_index,R8),,AllTriggers)</f>
        <v>-1.2719624587398393E-3</v>
      </c>
      <c r="V8" s="260">
        <f>T8-U8</f>
        <v>5.7173491879103366E-4</v>
      </c>
      <c r="W8" s="65">
        <f>_xll.qlTenorBasisValue(TenorBasis1M,R8,Trigger)</f>
        <v>5.7173491879103366E-4</v>
      </c>
      <c r="X8" s="189">
        <f t="shared" si="1"/>
        <v>0</v>
      </c>
      <c r="Y8" s="235">
        <f t="shared" si="2"/>
        <v>0</v>
      </c>
      <c r="Z8" s="60">
        <f>_xll.qlDayCounterYearFraction("actual/365 (fixed)",SettlementDate,R8,,,Trigger)</f>
        <v>0.25205479452054796</v>
      </c>
      <c r="AA8" s="60">
        <f>_xll.qlYieldTSDiscount(Discounting,R8,,AllTriggers)</f>
        <v>1.0003318671850669</v>
      </c>
      <c r="AB8" s="238" t="b">
        <v>1</v>
      </c>
      <c r="AD8" s="277" t="s">
        <v>128</v>
      </c>
      <c r="AE8" s="282" t="str">
        <f>_xll.qlPolynomialCalibrationEndCriteria(AE6,)</f>
        <v>None</v>
      </c>
      <c r="AF8" s="54"/>
      <c r="AG8" s="55"/>
    </row>
    <row r="9" spans="1:33" ht="11.25" customHeight="1" x14ac:dyDescent="0.2">
      <c r="B9" s="322" t="s">
        <v>102</v>
      </c>
      <c r="C9" s="323" t="s">
        <v>45</v>
      </c>
      <c r="D9" s="324">
        <v>7</v>
      </c>
      <c r="E9" s="324" t="s">
        <v>103</v>
      </c>
      <c r="F9" s="322" t="s">
        <v>104</v>
      </c>
      <c r="G9" s="325" t="s">
        <v>101</v>
      </c>
      <c r="H9" s="325" t="s">
        <v>14</v>
      </c>
      <c r="I9" s="326">
        <v>0</v>
      </c>
      <c r="J9" s="327" t="str">
        <f t="shared" si="0"/>
        <v>EUR7X1S_Quote</v>
      </c>
      <c r="K9" s="162" t="str">
        <f>_xll.qlSwapRateHelper2(,$J9,,C9,Calendar,$F9,$G9,$H9,$K$1,$I9,B9,Discounting,Permanent,Trigger,ObjectOverwrite)</f>
        <v>obj_00597#0000</v>
      </c>
      <c r="L9" s="203" t="str">
        <f>_xll.ohRangeRetrieveError(K9)</f>
        <v/>
      </c>
      <c r="M9" s="335" t="b">
        <v>1</v>
      </c>
      <c r="AD9" s="277" t="s">
        <v>89</v>
      </c>
      <c r="AE9" s="190">
        <f>_xll.qlPolynomialCalibrationError(AE6,)</f>
        <v>5.0555231468282793E-5</v>
      </c>
      <c r="AF9" s="54"/>
      <c r="AG9" s="55"/>
    </row>
    <row r="10" spans="1:33" ht="11.25" customHeight="1" thickBot="1" x14ac:dyDescent="0.25">
      <c r="D10" s="167"/>
      <c r="E10" s="167"/>
      <c r="K10" s="167"/>
      <c r="L10" s="177"/>
      <c r="S10" s="58" t="s">
        <v>91</v>
      </c>
      <c r="T10" s="58" t="s">
        <v>80</v>
      </c>
      <c r="U10" s="58" t="s">
        <v>81</v>
      </c>
      <c r="V10" s="286" t="s">
        <v>129</v>
      </c>
      <c r="AD10" s="277" t="s">
        <v>124</v>
      </c>
      <c r="AE10" s="190">
        <f>_xll.qlPolynomialCalibrationMaxError(AE6,)</f>
        <v>6.4126947188822346E-5</v>
      </c>
      <c r="AF10" s="54"/>
      <c r="AG10" s="55"/>
    </row>
    <row r="11" spans="1:33" x14ac:dyDescent="0.2">
      <c r="G11" s="179"/>
      <c r="H11" s="172" t="str">
        <f>S1&amp;" "&amp;PROPER(Currency)&amp;IborType&amp;" Curve"</f>
        <v>1M Euribor Curve</v>
      </c>
      <c r="I11" s="173"/>
      <c r="J11" s="173"/>
      <c r="K11" s="173"/>
      <c r="L11" s="173"/>
      <c r="M11" s="174" t="s">
        <v>110</v>
      </c>
      <c r="S11" s="61" t="s">
        <v>38</v>
      </c>
      <c r="T11" s="268">
        <f>_xll.qlCalendarAdvance(Calendar,SettlementDate,0&amp;"M","mf",TRUE,Trigger)</f>
        <v>42163</v>
      </c>
      <c r="U11" s="269">
        <f>_xll.qlCalendarAdvance(Calendar,SettlementDate,S11,"Following",,Trigger)</f>
        <v>42164</v>
      </c>
      <c r="V11" s="287">
        <f>_xll.qlTenorBasisForwardRate2(TenorBasis1M,T11,U11,AllTriggers)</f>
        <v>-5.9043666484015489E-4</v>
      </c>
      <c r="AD11" s="54"/>
      <c r="AE11" s="54"/>
      <c r="AF11" s="54"/>
      <c r="AG11" s="55"/>
    </row>
    <row r="12" spans="1:33" ht="11.25" customHeight="1" x14ac:dyDescent="0.2">
      <c r="G12" s="171" t="s">
        <v>137</v>
      </c>
      <c r="H12" s="171" t="s">
        <v>77</v>
      </c>
      <c r="I12" s="171" t="s">
        <v>78</v>
      </c>
      <c r="J12" s="171" t="s">
        <v>100</v>
      </c>
      <c r="K12" s="171" t="s">
        <v>75</v>
      </c>
      <c r="L12" s="171" t="s">
        <v>76</v>
      </c>
      <c r="M12" s="201">
        <f t="array" ref="M12:M21">_xll.qlPiecewiseYieldCurveData('General Settings'!D34,InterestRatesTrigger)</f>
        <v>1</v>
      </c>
      <c r="S12" s="63" t="s">
        <v>39</v>
      </c>
      <c r="T12" s="270">
        <f>_xll.qlCalendarAdvance(Calendar,SettlementDate,0&amp;"M","mf",TRUE,Trigger)</f>
        <v>42163</v>
      </c>
      <c r="U12" s="271">
        <f>_xll.qlCalendarAdvance(Calendar,SettlementDate,S12,"Following",,Trigger)</f>
        <v>42170</v>
      </c>
      <c r="V12" s="288">
        <f>_xll.qlTenorBasisForwardRate2(TenorBasis1M,T12,U12,AllTriggers)</f>
        <v>-5.9885151029488118E-4</v>
      </c>
      <c r="AD12" s="261" t="s">
        <v>111</v>
      </c>
      <c r="AE12" s="262"/>
      <c r="AF12" s="263" t="s">
        <v>122</v>
      </c>
      <c r="AG12" s="262" t="s">
        <v>133</v>
      </c>
    </row>
    <row r="13" spans="1:33" ht="11.25" customHeight="1" x14ac:dyDescent="0.2">
      <c r="G13" s="309" t="str">
        <f t="array" ref="G13:G21">_xll.ohFilter(K3:K9,M3:M9)</f>
        <v>obj_005c4#0000</v>
      </c>
      <c r="H13" s="193" t="str">
        <f>_xll.qlRateHelperQuoteName(G13,Trigger)</f>
        <v>Euribor1MLastFixing_Quote</v>
      </c>
      <c r="I13" s="194">
        <f>_xll.qlRateHelperRate(G13,Trigger)</f>
        <v>-4.8000000000000001E-4</v>
      </c>
      <c r="J13" s="195" t="str">
        <f>IFERROR(_xll.qlSwapRateHelperSpread(G13),"--")</f>
        <v>--</v>
      </c>
      <c r="K13" s="329">
        <f>_xll.qlRateHelperEarliestDate(G13,Trigger)</f>
        <v>42163</v>
      </c>
      <c r="L13" s="329">
        <f>_xll.qlRateHelperLatestDate(G13,Trigger)</f>
        <v>42193</v>
      </c>
      <c r="M13" s="196">
        <v>1.0000516693362491</v>
      </c>
      <c r="S13" s="63" t="s">
        <v>40</v>
      </c>
      <c r="T13" s="270">
        <f>_xll.qlCalendarAdvance(Calendar,SettlementDate,0&amp;"M","mf",TRUE,Trigger)</f>
        <v>42163</v>
      </c>
      <c r="U13" s="271">
        <f>_xll.qlCalendarAdvance(Calendar,SettlementDate,S13,"Following",,Trigger)</f>
        <v>42177</v>
      </c>
      <c r="V13" s="288">
        <f>_xll.qlTenorBasisForwardRate2(TenorBasis1M,T13,U13,AllTriggers)</f>
        <v>-5.8752678013267764E-4</v>
      </c>
      <c r="AD13" s="277" t="s">
        <v>113</v>
      </c>
      <c r="AE13" s="190">
        <f t="array" ref="AE13:AE17">_xll.qlPolynomialCalibrationCoefficients($AE$6,AE7)</f>
        <v>5.7451089661331167E-4</v>
      </c>
      <c r="AF13" s="190" t="b">
        <v>1</v>
      </c>
      <c r="AG13" s="190">
        <v>5.9000000185571722E-4</v>
      </c>
    </row>
    <row r="14" spans="1:33" ht="11.25" customHeight="1" x14ac:dyDescent="0.2">
      <c r="G14" s="202" t="str">
        <v>obj_00598#0000</v>
      </c>
      <c r="H14" s="193" t="str">
        <f>_xll.qlRateHelperQuoteName(G14,Trigger)</f>
        <v>EUR2X1S_Quote</v>
      </c>
      <c r="I14" s="194">
        <f>_xll.qlRateHelperRate(G14,Trigger)</f>
        <v>-5.5000000000000003E-4</v>
      </c>
      <c r="J14" s="195">
        <f>IFERROR(_xll.qlSwapRateHelperSpread(G14),"--")</f>
        <v>0</v>
      </c>
      <c r="K14" s="329">
        <f>_xll.qlRateHelperEarliestDate(G14,Trigger)</f>
        <v>42163</v>
      </c>
      <c r="L14" s="329">
        <f>_xll.qlRateHelperLatestDate(G14,Trigger)</f>
        <v>42226</v>
      </c>
      <c r="M14" s="196">
        <v>1.0001172663216524</v>
      </c>
      <c r="S14" s="63" t="s">
        <v>41</v>
      </c>
      <c r="T14" s="270">
        <f>_xll.qlCalendarAdvance(Calendar,SettlementDate,0&amp;"M","mf",TRUE,Trigger)</f>
        <v>42163</v>
      </c>
      <c r="U14" s="271">
        <f>_xll.qlCalendarAdvance(Calendar,SettlementDate,S14,"Following",,Trigger)</f>
        <v>42184</v>
      </c>
      <c r="V14" s="288">
        <f>_xll.qlTenorBasisForwardRate2(TenorBasis1M,T14,U14,AllTriggers)</f>
        <v>-6.0502935140022932E-4</v>
      </c>
      <c r="AD14" s="277" t="s">
        <v>114</v>
      </c>
      <c r="AE14" s="190">
        <v>-7.1075059440715903E-4</v>
      </c>
      <c r="AF14" s="190" t="b">
        <v>1</v>
      </c>
      <c r="AG14" s="190">
        <v>1.0608355953064148E-3</v>
      </c>
    </row>
    <row r="15" spans="1:33" ht="11.25" customHeight="1" thickBot="1" x14ac:dyDescent="0.25">
      <c r="G15" s="202" t="str">
        <v>obj_0059c#0000</v>
      </c>
      <c r="H15" s="193" t="str">
        <f>_xll.qlRateHelperQuoteName(G15,Trigger)</f>
        <v>EUR3X1S_Quote</v>
      </c>
      <c r="I15" s="194">
        <f>_xll.qlRateHelperRate(G15,Trigger)</f>
        <v>-5.8E-4</v>
      </c>
      <c r="J15" s="195">
        <f>IFERROR(_xll.qlSwapRateHelperSpread(G15),"--")</f>
        <v>0</v>
      </c>
      <c r="K15" s="329">
        <f>_xll.qlRateHelperEarliestDate(G15,Trigger)</f>
        <v>42163</v>
      </c>
      <c r="L15" s="329">
        <f>_xll.qlRateHelperLatestDate(G15,Trigger)</f>
        <v>42255</v>
      </c>
      <c r="M15" s="196">
        <v>1.0001789286436884</v>
      </c>
      <c r="S15" s="267" t="s">
        <v>35</v>
      </c>
      <c r="T15" s="276">
        <f>_xll.qlCalendarAdvance(Calendar,SettlementDate,0&amp;"M","mf",TRUE,Trigger)</f>
        <v>42163</v>
      </c>
      <c r="U15" s="337">
        <f>_xll.qlCalendarAdvance(Calendar,SettlementDate,S15,"mf",TRUE,Trigger)</f>
        <v>42193</v>
      </c>
      <c r="V15" s="338">
        <f>_xll.qlTenorBasisForwardRate2(TenorBasis1M,T15,U15,AllTriggers)</f>
        <v>-6.2758270029439345E-4</v>
      </c>
      <c r="AD15" s="277" t="s">
        <v>115</v>
      </c>
      <c r="AE15" s="190">
        <v>4.5746420303168422E-3</v>
      </c>
      <c r="AF15" s="190" t="b">
        <v>1</v>
      </c>
      <c r="AG15" s="190">
        <v>-1.3619500903228911E-2</v>
      </c>
    </row>
    <row r="16" spans="1:33" ht="11.25" customHeight="1" x14ac:dyDescent="0.2">
      <c r="G16" s="202" t="str">
        <v>obj_00599#0000</v>
      </c>
      <c r="H16" s="193" t="str">
        <f>_xll.qlRateHelperQuoteName(G16,Trigger)</f>
        <v>EUR4X1S_Quote</v>
      </c>
      <c r="I16" s="194">
        <f>_xll.qlRateHelperRate(G16,Trigger)</f>
        <v>-5.8999999999999992E-4</v>
      </c>
      <c r="J16" s="195">
        <f>IFERROR(_xll.qlSwapRateHelperSpread(G16),"--")</f>
        <v>0</v>
      </c>
      <c r="K16" s="329">
        <f>_xll.qlRateHelperEarliestDate(G16,Trigger)</f>
        <v>42163</v>
      </c>
      <c r="L16" s="329">
        <f>_xll.qlRateHelperLatestDate(G16,Trigger)</f>
        <v>42285</v>
      </c>
      <c r="M16" s="196">
        <v>1.0002372947853795</v>
      </c>
      <c r="AD16" s="277" t="s">
        <v>116</v>
      </c>
      <c r="AE16" s="190">
        <v>-7.1353958361635916E-3</v>
      </c>
      <c r="AF16" s="190" t="b">
        <v>1</v>
      </c>
      <c r="AG16" s="190">
        <v>3.957968823756635E-2</v>
      </c>
    </row>
    <row r="17" spans="4:33" ht="11.25" customHeight="1" x14ac:dyDescent="0.2">
      <c r="G17" s="202" t="str">
        <v>obj_0059a#0000</v>
      </c>
      <c r="H17" s="193" t="str">
        <f>_xll.qlRateHelperQuoteName(G17,Trigger)</f>
        <v>EUR5X1S_Quote</v>
      </c>
      <c r="I17" s="194">
        <f>_xll.qlRateHelperRate(G17,Trigger)</f>
        <v>-5.9999999999999995E-4</v>
      </c>
      <c r="J17" s="195">
        <f>IFERROR(_xll.qlSwapRateHelperSpread(G17),"--")</f>
        <v>0</v>
      </c>
      <c r="K17" s="329">
        <f>_xll.qlRateHelperEarliestDate(G17,Trigger)</f>
        <v>42163</v>
      </c>
      <c r="L17" s="329">
        <f>_xll.qlRateHelperLatestDate(G17,Trigger)</f>
        <v>42317</v>
      </c>
      <c r="M17" s="196">
        <v>1.000299563311839</v>
      </c>
      <c r="AD17" s="277" t="s">
        <v>117</v>
      </c>
      <c r="AE17" s="190" t="e">
        <v>#N/A</v>
      </c>
      <c r="AF17" s="190" t="b">
        <v>0</v>
      </c>
      <c r="AG17" s="190">
        <v>0</v>
      </c>
    </row>
    <row r="18" spans="4:33" ht="11.25" customHeight="1" x14ac:dyDescent="0.2">
      <c r="G18" s="202" t="str">
        <v>obj_0059b#0000</v>
      </c>
      <c r="H18" s="193" t="str">
        <f>_xll.qlRateHelperQuoteName(G18,Trigger)</f>
        <v>EUR6X1S_Quote</v>
      </c>
      <c r="I18" s="194">
        <f>_xll.qlRateHelperRate(G18,Trigger)</f>
        <v>-5.9999999999999995E-4</v>
      </c>
      <c r="J18" s="195">
        <f>IFERROR(_xll.qlSwapRateHelperSpread(G18),"--")</f>
        <v>0</v>
      </c>
      <c r="K18" s="329">
        <f>_xll.qlRateHelperEarliestDate(G18,Trigger)</f>
        <v>42163</v>
      </c>
      <c r="L18" s="329">
        <f>_xll.qlRateHelperLatestDate(G18,Trigger)</f>
        <v>42346</v>
      </c>
      <c r="M18" s="196">
        <v>1.000361089009117</v>
      </c>
      <c r="AD18" s="277" t="s">
        <v>118</v>
      </c>
      <c r="AE18" s="190" t="str">
        <f>_xll.qlPolynomialTenorBasis(,PROPER(Currency)&amp;IborType&amp;$S1,Discounting,SettlementDate,TRUE,_xll.ohFilter(AE13:AE17,AF13:AF17),,Trigger)</f>
        <v>obj_005e3#0023</v>
      </c>
      <c r="AF18" s="54"/>
      <c r="AG18" s="55"/>
    </row>
    <row r="19" spans="4:33" ht="11.25" customHeight="1" x14ac:dyDescent="0.2">
      <c r="G19" s="202" t="str">
        <v>obj_00597#0000</v>
      </c>
      <c r="H19" s="193" t="str">
        <f>_xll.qlRateHelperQuoteName(G19,Trigger)</f>
        <v>EUR7X1S_Quote</v>
      </c>
      <c r="I19" s="194">
        <f>_xll.qlRateHelperRate(G19,Trigger)</f>
        <v>-6.3000000000000003E-4</v>
      </c>
      <c r="J19" s="195">
        <f>IFERROR(_xll.qlSwapRateHelperSpread(G19),"--")</f>
        <v>0</v>
      </c>
      <c r="K19" s="329">
        <f>_xll.qlRateHelperEarliestDate(G19,Trigger)</f>
        <v>42163</v>
      </c>
      <c r="L19" s="329">
        <f>_xll.qlRateHelperLatestDate(G19,Trigger)</f>
        <v>42377</v>
      </c>
      <c r="M19" s="196">
        <v>1.000410394120663</v>
      </c>
      <c r="X19" s="54"/>
      <c r="Y19" s="54"/>
      <c r="Z19" s="54"/>
      <c r="AA19" s="55"/>
      <c r="AB19" s="54"/>
    </row>
    <row r="20" spans="4:33" ht="11.25" customHeight="1" x14ac:dyDescent="0.2">
      <c r="D20" s="167"/>
      <c r="E20" s="167"/>
      <c r="G20" s="202" t="e">
        <v>#N/A</v>
      </c>
      <c r="H20" s="193" t="e">
        <f>_xll.qlRateHelperQuoteName(G20,Trigger)</f>
        <v>#VALUE!</v>
      </c>
      <c r="I20" s="194" t="e">
        <f>_xll.qlRateHelperRate(G20,Trigger)</f>
        <v>#VALUE!</v>
      </c>
      <c r="J20" s="195" t="str">
        <f>IFERROR(_xll.qlSwapRateHelperSpread(G20),"--")</f>
        <v>--</v>
      </c>
      <c r="K20" s="329" t="e">
        <f>_xll.qlRateHelperEarliestDate(G20,Trigger)</f>
        <v>#VALUE!</v>
      </c>
      <c r="L20" s="329" t="e">
        <f>_xll.qlRateHelperLatestDate(G20,Trigger)</f>
        <v>#VALUE!</v>
      </c>
      <c r="M20" s="196" t="e">
        <v>#N/A</v>
      </c>
      <c r="X20" s="54"/>
      <c r="Y20" s="54"/>
      <c r="Z20" s="54"/>
      <c r="AA20" s="54"/>
      <c r="AB20" s="54"/>
    </row>
    <row r="21" spans="4:33" ht="11.25" customHeight="1" x14ac:dyDescent="0.2">
      <c r="G21" s="203" t="e">
        <v>#N/A</v>
      </c>
      <c r="H21" s="197" t="e">
        <f>_xll.qlRateHelperQuoteName(G21,Trigger)</f>
        <v>#VALUE!</v>
      </c>
      <c r="I21" s="198" t="e">
        <f>_xll.qlRateHelperRate(G21,Trigger)</f>
        <v>#VALUE!</v>
      </c>
      <c r="J21" s="199" t="str">
        <f>IFERROR(_xll.qlSwapRateHelperSpread(G21),"--")</f>
        <v>--</v>
      </c>
      <c r="K21" s="330" t="e">
        <f>_xll.qlRateHelperEarliestDate(G21,Trigger)</f>
        <v>#VALUE!</v>
      </c>
      <c r="L21" s="330" t="e">
        <f>_xll.qlRateHelperLatestDate(G21,Trigger)</f>
        <v>#VALUE!</v>
      </c>
      <c r="M21" s="200" t="e">
        <v>#N/A</v>
      </c>
      <c r="X21" s="54"/>
      <c r="Y21" s="54"/>
      <c r="Z21" s="54"/>
      <c r="AA21" s="54"/>
      <c r="AB21" s="54"/>
    </row>
    <row r="23" spans="4:33" ht="11.25" customHeight="1" x14ac:dyDescent="0.2"/>
    <row r="24" spans="4:33" ht="11.25" customHeight="1" x14ac:dyDescent="0.2"/>
    <row r="25" spans="4:33" ht="11.25" customHeight="1" x14ac:dyDescent="0.2"/>
    <row r="26" spans="4:33" ht="11.25" customHeight="1" x14ac:dyDescent="0.2"/>
    <row r="27" spans="4:33" ht="11.25" customHeight="1" x14ac:dyDescent="0.2"/>
    <row r="28" spans="4:33" ht="11.25" customHeight="1" x14ac:dyDescent="0.2"/>
    <row r="29" spans="4:33" ht="11.25" customHeight="1" x14ac:dyDescent="0.2">
      <c r="AA29" s="54"/>
      <c r="AB29" s="54"/>
    </row>
    <row r="30" spans="4:33" ht="11.25" customHeight="1" x14ac:dyDescent="0.2"/>
    <row r="31" spans="4:33" ht="11.25" customHeight="1" x14ac:dyDescent="0.2"/>
    <row r="35" spans="9:10" x14ac:dyDescent="0.2">
      <c r="I35" s="180"/>
      <c r="J35" s="180"/>
    </row>
    <row r="37" spans="9:10" x14ac:dyDescent="0.2">
      <c r="I37" s="180"/>
      <c r="J37" s="180"/>
    </row>
  </sheetData>
  <dataValidations count="5">
    <dataValidation type="list" allowBlank="1" showInputMessage="1" showErrorMessage="1" sqref="M3:M9 AB6:AB8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AF13:AF17 AB4:AB5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4" x14ac:dyDescent="0.2">
      <c r="E1" s="263" t="s">
        <v>91</v>
      </c>
      <c r="F1" s="264" t="s">
        <v>36</v>
      </c>
      <c r="X1" s="57"/>
    </row>
    <row r="2" spans="1:24" ht="21.95" customHeight="1" x14ac:dyDescent="0.2">
      <c r="D2" s="58" t="str">
        <f>F1&amp;" Instruments"</f>
        <v>3M Instruments</v>
      </c>
      <c r="E2" s="58" t="s">
        <v>92</v>
      </c>
      <c r="F2" s="58" t="s">
        <v>93</v>
      </c>
      <c r="G2" s="58" t="str">
        <f>F1&amp;" Market quote"</f>
        <v>3M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  <c r="X2" s="57"/>
    </row>
    <row r="3" spans="1:24" ht="11.25" customHeight="1" x14ac:dyDescent="0.2">
      <c r="A3" s="254">
        <v>0</v>
      </c>
      <c r="B3" s="255" t="s">
        <v>34</v>
      </c>
      <c r="C3" s="256" t="str">
        <f>SUBSTITUTE($F$1,"M","")</f>
        <v>3</v>
      </c>
      <c r="D3" s="259" t="str">
        <f>Currency&amp;A4&amp;B4&amp;C4&amp;"F"&amp;"_Estimated"</f>
        <v>EUR0x3F_Estimated</v>
      </c>
      <c r="E3" s="294">
        <f>SettlementDate</f>
        <v>42163</v>
      </c>
      <c r="F3" s="294">
        <f>_xll.qlInterestRateIndexMaturity(PROPER(Currency)&amp;"ibor"&amp;$F$1,E3)</f>
        <v>42255</v>
      </c>
      <c r="G3" s="258">
        <f>J3+$H$4</f>
        <v>-1.1736446947011449E-4</v>
      </c>
      <c r="H3" s="239"/>
      <c r="I3" s="239"/>
      <c r="J3" s="190">
        <f>_xll.qlTenorBasisValue($R$18,E3,Trigger)</f>
        <v>1.1373512016151796E-3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130</v>
      </c>
      <c r="R3" s="190" t="str">
        <f>_xll.qlIborIndex(,,F1,2,Currency,Calendar,"mf",TRUE,DayCounter,Discounting,,Trigger)</f>
        <v>obj_00595#0000</v>
      </c>
      <c r="X3" s="57"/>
    </row>
    <row r="4" spans="1:24" ht="11.25" customHeight="1" x14ac:dyDescent="0.2">
      <c r="A4" s="254">
        <v>0</v>
      </c>
      <c r="B4" s="255" t="s">
        <v>34</v>
      </c>
      <c r="C4" s="256" t="str">
        <f>SUBSTITUTE($F$1,"M","")</f>
        <v>3</v>
      </c>
      <c r="D4" s="247" t="str">
        <f>PROPER(Currency&amp;IborType)&amp;F1&amp;"LastFixing"&amp;QuoteSuffix</f>
        <v>Euribor3MLastFixing_Quote</v>
      </c>
      <c r="E4" s="294">
        <f>SettlementDate</f>
        <v>42163</v>
      </c>
      <c r="F4" s="294">
        <f>_xll.qlInterestRateIndexMaturity(ON_6M_index,E4)</f>
        <v>42346</v>
      </c>
      <c r="G4" s="190">
        <f>_xll.qlQuoteValue(D4,LastFixingsTrigger)</f>
        <v>-1.3000000000000002E-4</v>
      </c>
      <c r="H4" s="190">
        <f>_xll.qlIndexFixing(ON_3M_index,_xll.qlInterestRateIndexFixingDate(ON_3M_index,E4),,AllTriggers)</f>
        <v>-1.2547156710852941E-3</v>
      </c>
      <c r="I4" s="258">
        <f t="shared" ref="I4:I22" si="0">G4-H4</f>
        <v>1.1247156710852942E-3</v>
      </c>
      <c r="J4" s="186">
        <f>_xll.qlTenorBasisValue($R$18,E4,Trigger)</f>
        <v>1.1373512016151796E-3</v>
      </c>
      <c r="K4" s="187">
        <f>M4*10000</f>
        <v>-0.12635530529885422</v>
      </c>
      <c r="L4" s="284">
        <f>_xll.qlDayCounterYearFraction("actual/365 (fixed)",SettlementDate,E4,,,Trigger)</f>
        <v>0</v>
      </c>
      <c r="M4" s="278">
        <f t="shared" ref="M4:M22" si="1">I4-J4</f>
        <v>-1.2635530529885421E-5</v>
      </c>
      <c r="N4" s="281">
        <f>_xll.qlYieldTSDiscount(Discounting,E4,,AllTriggers)</f>
        <v>1.0000111112116115</v>
      </c>
      <c r="O4" s="236" t="b">
        <v>0</v>
      </c>
      <c r="X4" s="57"/>
    </row>
    <row r="5" spans="1:24" ht="11.25" customHeight="1" x14ac:dyDescent="0.2">
      <c r="A5" s="244">
        <v>1</v>
      </c>
      <c r="B5" s="56" t="s">
        <v>34</v>
      </c>
      <c r="C5" s="251">
        <f t="shared" ref="C5:C10" si="2">A5+SUBSTITUTE($F$1,"M","")</f>
        <v>4</v>
      </c>
      <c r="D5" s="248" t="str">
        <f t="shared" ref="D5:D10" si="3">Currency&amp;A5&amp;B5&amp;C5&amp;"F"&amp;QuoteSuffix</f>
        <v>EUR1x4F_Quote</v>
      </c>
      <c r="E5" s="295">
        <f>_xll.qlCalendarAdvance("target",SettlementDate,A5&amp;"M","mf",,Trigger)</f>
        <v>42193</v>
      </c>
      <c r="F5" s="295">
        <f>_xll.qlInterestRateIndexMaturity(ON_6M_index,E5)</f>
        <v>42377</v>
      </c>
      <c r="G5" s="67">
        <f>_xll.qlQuoteValue(D5,AllTriggers)</f>
        <v>-6.0000000000000002E-5</v>
      </c>
      <c r="H5" s="67">
        <f>_xll.qlIndexFixing(ON_3M_index,_xll.qlInterestRateIndexFixingDate(ON_3M_index,E5),,AllTriggers)</f>
        <v>-1.2799660304352312E-3</v>
      </c>
      <c r="I5" s="280">
        <f t="shared" si="0"/>
        <v>1.2199660304352312E-3</v>
      </c>
      <c r="J5" s="67">
        <f>_xll.qlTenorBasisValue($R$18,E5,Trigger)</f>
        <v>1.1853752726288034E-3</v>
      </c>
      <c r="K5" s="240">
        <f t="shared" ref="K5:K22" si="4">M5*10000</f>
        <v>0.34590757806427774</v>
      </c>
      <c r="L5" s="285">
        <f>_xll.qlDayCounterYearFraction("actual/365 (fixed)",SettlementDate,E5,,,Trigger)</f>
        <v>8.2191780821917804E-2</v>
      </c>
      <c r="M5" s="279">
        <f t="shared" si="1"/>
        <v>3.4590757806427777E-5</v>
      </c>
      <c r="N5" s="183">
        <f>_xll.qlYieldTSDiscount(Discounting,E5,,AllTriggers)</f>
        <v>1.0001106648021887</v>
      </c>
      <c r="O5" s="241" t="b">
        <v>0</v>
      </c>
      <c r="Q5" s="261" t="s">
        <v>125</v>
      </c>
      <c r="R5" s="262"/>
      <c r="T5" s="55"/>
      <c r="X5" s="57"/>
    </row>
    <row r="6" spans="1:24" ht="11.25" customHeight="1" x14ac:dyDescent="0.2">
      <c r="A6" s="244">
        <v>2</v>
      </c>
      <c r="B6" s="56" t="s">
        <v>34</v>
      </c>
      <c r="C6" s="251">
        <f t="shared" si="2"/>
        <v>5</v>
      </c>
      <c r="D6" s="249" t="str">
        <f t="shared" si="3"/>
        <v>EUR2x5F_Quote</v>
      </c>
      <c r="E6" s="296">
        <f>_xll.qlCalendarAdvance("target",SettlementDate,A6&amp;"M","mf",,Trigger)</f>
        <v>42226</v>
      </c>
      <c r="F6" s="296">
        <f>_xll.qlInterestRateIndexMaturity(ON_6M_index,E6)</f>
        <v>42410</v>
      </c>
      <c r="G6" s="62">
        <f>_xll.qlQuoteValue(D6,AllTriggers)</f>
        <v>-1.0000000000000009E-5</v>
      </c>
      <c r="H6" s="62">
        <f>_xll.qlIndexFixing(ON_3M_index,_xll.qlInterestRateIndexFixingDate(ON_3M_index,E6),,AllTriggers)</f>
        <v>-1.2992983497784256E-3</v>
      </c>
      <c r="I6" s="265">
        <f t="shared" si="0"/>
        <v>1.2892983497784255E-3</v>
      </c>
      <c r="J6" s="62">
        <f>_xll.qlTenorBasisValue($R$18,E6,Trigger)</f>
        <v>1.230172166130715E-3</v>
      </c>
      <c r="K6" s="188">
        <f t="shared" si="4"/>
        <v>0.59126183647710595</v>
      </c>
      <c r="L6" s="206">
        <f>_xll.qlDayCounterYearFraction("actual/365 (fixed)",SettlementDate,E6,,,Trigger)</f>
        <v>0.17260273972602741</v>
      </c>
      <c r="M6" s="234">
        <f t="shared" si="1"/>
        <v>5.9126183647710594E-5</v>
      </c>
      <c r="N6" s="184">
        <f>_xll.qlYieldTSDiscount(Discounting,E6,,AllTriggers)</f>
        <v>1.0002260583921088</v>
      </c>
      <c r="O6" s="237" t="b">
        <v>0</v>
      </c>
      <c r="Q6" s="277" t="s">
        <v>126</v>
      </c>
      <c r="R6" s="282" t="str">
        <f>_xll.qlPolynomialCalibration(,_xll.ohFilter($L$4:$L$22,$O$4:$O$22),_xll.ohFilter($I$4:$I$22,$O$4:$O$22),_xll.ohFilter($N$4:$N$22,$O$4:$O$22),_xll.ohFilter(T13:T17,S13:S17),,,,,Trigger)</f>
        <v>obj_00844#0022</v>
      </c>
      <c r="T6" s="55"/>
      <c r="X6" s="57"/>
    </row>
    <row r="7" spans="1:24" ht="11.25" customHeight="1" x14ac:dyDescent="0.2">
      <c r="A7" s="244">
        <f>A6+1</f>
        <v>3</v>
      </c>
      <c r="B7" s="56" t="s">
        <v>34</v>
      </c>
      <c r="C7" s="251">
        <f t="shared" si="2"/>
        <v>6</v>
      </c>
      <c r="D7" s="249" t="str">
        <f t="shared" si="3"/>
        <v>EUR3x6F_Quote</v>
      </c>
      <c r="E7" s="296">
        <f>_xll.qlCalendarAdvance("target",SettlementDate,A7&amp;"M","mf",,Trigger)</f>
        <v>42255</v>
      </c>
      <c r="F7" s="296">
        <f>_xll.qlInterestRateIndexMaturity(ON_6M_index,E7)</f>
        <v>42437</v>
      </c>
      <c r="G7" s="62">
        <f>_xll.qlQuoteValue(D7,AllTriggers)</f>
        <v>0</v>
      </c>
      <c r="H7" s="62">
        <f>_xll.qlIndexFixing(ON_3M_index,_xll.qlInterestRateIndexFixingDate(ON_3M_index,E7),,AllTriggers)</f>
        <v>-1.2934759462484332E-3</v>
      </c>
      <c r="I7" s="265">
        <f t="shared" si="0"/>
        <v>1.2934759462484332E-3</v>
      </c>
      <c r="J7" s="62">
        <f>_xll.qlTenorBasisValue($R$18,E7,Trigger)</f>
        <v>1.2630991130362958E-3</v>
      </c>
      <c r="K7" s="188">
        <f t="shared" si="4"/>
        <v>0.3037683321213745</v>
      </c>
      <c r="L7" s="206">
        <f>_xll.qlDayCounterYearFraction("actual/365 (fixed)",SettlementDate,E7,,,Trigger)</f>
        <v>0.25205479452054796</v>
      </c>
      <c r="M7" s="234">
        <f t="shared" si="1"/>
        <v>3.0376833212137451E-5</v>
      </c>
      <c r="N7" s="184">
        <f>_xll.qlYieldTSDiscount(Discounting,E7,,AllTriggers)</f>
        <v>1.0003318671850669</v>
      </c>
      <c r="O7" s="237" t="b">
        <v>0</v>
      </c>
      <c r="Q7" s="277" t="s">
        <v>127</v>
      </c>
      <c r="R7" s="282" t="b">
        <f>_xll.qlPolynomialCalibrationCompute($R$6,AllTriggers)</f>
        <v>1</v>
      </c>
      <c r="T7" s="55"/>
      <c r="X7" s="57"/>
    </row>
    <row r="8" spans="1:24" ht="11.25" customHeight="1" x14ac:dyDescent="0.2">
      <c r="A8" s="244">
        <f t="shared" ref="A8:A10" si="5">A7+1</f>
        <v>4</v>
      </c>
      <c r="B8" s="56" t="s">
        <v>34</v>
      </c>
      <c r="C8" s="251">
        <f t="shared" si="2"/>
        <v>7</v>
      </c>
      <c r="D8" s="249" t="str">
        <f t="shared" si="3"/>
        <v>EUR4x7F_Quote</v>
      </c>
      <c r="E8" s="296">
        <f>_xll.qlCalendarAdvance("target",SettlementDate,A8&amp;"M","mf",,Trigger)</f>
        <v>42285</v>
      </c>
      <c r="F8" s="296">
        <f>_xll.qlInterestRateIndexMaturity(ON_6M_index,E8)</f>
        <v>42468</v>
      </c>
      <c r="G8" s="62">
        <f>_xll.qlQuoteValue(D8,AllTriggers)</f>
        <v>3.9999999999999983E-5</v>
      </c>
      <c r="H8" s="62">
        <f>_xll.qlIndexFixing(ON_3M_index,_xll.qlInterestRateIndexFixingDate(ON_3M_index,E8),,AllTriggers)</f>
        <v>-1.2428793081029428E-3</v>
      </c>
      <c r="I8" s="265">
        <f t="shared" si="0"/>
        <v>1.2828793081029427E-3</v>
      </c>
      <c r="J8" s="62">
        <f>_xll.qlTenorBasisValue($R$18,E8,Trigger)</f>
        <v>1.2913181650166697E-3</v>
      </c>
      <c r="K8" s="188">
        <f t="shared" si="4"/>
        <v>-8.4388569137269775E-2</v>
      </c>
      <c r="L8" s="206">
        <f>_xll.qlDayCounterYearFraction("actual/365 (fixed)",SettlementDate,E8,,,Trigger)</f>
        <v>0.33424657534246577</v>
      </c>
      <c r="M8" s="234">
        <f t="shared" si="1"/>
        <v>-8.4388569137269775E-6</v>
      </c>
      <c r="N8" s="184">
        <f>_xll.qlYieldTSDiscount(Discounting,E8,,AllTriggers)</f>
        <v>1.0004379104737688</v>
      </c>
      <c r="O8" s="237" t="b">
        <v>0</v>
      </c>
      <c r="Q8" s="277" t="s">
        <v>128</v>
      </c>
      <c r="R8" s="282" t="str">
        <f>_xll.qlPolynomialCalibrationEndCriteria(R6,)</f>
        <v>None</v>
      </c>
      <c r="T8" s="55"/>
      <c r="X8" s="57"/>
    </row>
    <row r="9" spans="1:24" ht="11.25" customHeight="1" x14ac:dyDescent="0.2">
      <c r="A9" s="244">
        <f t="shared" si="5"/>
        <v>5</v>
      </c>
      <c r="B9" s="56" t="s">
        <v>34</v>
      </c>
      <c r="C9" s="251">
        <f t="shared" si="2"/>
        <v>8</v>
      </c>
      <c r="D9" s="249" t="str">
        <f t="shared" si="3"/>
        <v>EUR5x8F_Quote</v>
      </c>
      <c r="E9" s="296">
        <f>_xll.qlCalendarAdvance("target",SettlementDate,A9&amp;"M","mf",,Trigger)</f>
        <v>42317</v>
      </c>
      <c r="F9" s="296">
        <f>_xll.qlInterestRateIndexMaturity(ON_6M_index,E9)</f>
        <v>42499</v>
      </c>
      <c r="G9" s="62">
        <f>_xll.qlQuoteValue(D9,AllTriggers)</f>
        <v>7.9999999999999979E-5</v>
      </c>
      <c r="H9" s="62">
        <f>_xll.qlIndexFixing(ON_3M_index,_xll.qlInterestRateIndexFixingDate(ON_3M_index,E9),,AllTriggers)</f>
        <v>-1.2433280090124142E-3</v>
      </c>
      <c r="I9" s="265">
        <f t="shared" si="0"/>
        <v>1.3233280090124142E-3</v>
      </c>
      <c r="J9" s="62">
        <f>_xll.qlTenorBasisValue($R$18,E9,Trigger)</f>
        <v>1.3154190963221551E-3</v>
      </c>
      <c r="K9" s="188">
        <f t="shared" si="4"/>
        <v>7.9089126902591372E-2</v>
      </c>
      <c r="L9" s="206">
        <f>_xll.qlDayCounterYearFraction("actual/365 (fixed)",SettlementDate,E9,,,Trigger)</f>
        <v>0.42191780821917807</v>
      </c>
      <c r="M9" s="234">
        <f t="shared" si="1"/>
        <v>7.9089126902591369E-6</v>
      </c>
      <c r="N9" s="184">
        <f>_xll.qlYieldTSDiscount(Discounting,E9,,AllTriggers)</f>
        <v>1.0005545597248136</v>
      </c>
      <c r="O9" s="237" t="b">
        <v>0</v>
      </c>
      <c r="Q9" s="277" t="s">
        <v>89</v>
      </c>
      <c r="R9" s="190">
        <f>_xll.qlPolynomialCalibrationError(R6,)</f>
        <v>9.0835833190229179E-5</v>
      </c>
      <c r="T9" s="55"/>
      <c r="X9" s="57"/>
    </row>
    <row r="10" spans="1:24" ht="11.25" customHeight="1" x14ac:dyDescent="0.2">
      <c r="A10" s="244">
        <f t="shared" si="5"/>
        <v>6</v>
      </c>
      <c r="B10" s="56" t="s">
        <v>34</v>
      </c>
      <c r="C10" s="251">
        <f t="shared" si="2"/>
        <v>9</v>
      </c>
      <c r="D10" s="249" t="str">
        <f t="shared" si="3"/>
        <v>EUR6x9F_Quote</v>
      </c>
      <c r="E10" s="296">
        <f>_xll.qlCalendarAdvance("target",SettlementDate,A10&amp;"M","mf",,Trigger)</f>
        <v>42346</v>
      </c>
      <c r="F10" s="296">
        <f>_xll.qlInterestRateIndexMaturity(ON_6M_index,E10)</f>
        <v>42529</v>
      </c>
      <c r="G10" s="62">
        <f>_xll.qlQuoteValue(D10,AllTriggers)</f>
        <v>1.1999999999999999E-4</v>
      </c>
      <c r="H10" s="62">
        <f>_xll.qlIndexFixing(ON_3M_index,_xll.qlInterestRateIndexFixingDate(ON_3M_index,E10),,AllTriggers)</f>
        <v>-1.2012494672821216E-3</v>
      </c>
      <c r="I10" s="265">
        <f t="shared" si="0"/>
        <v>1.3212494672821215E-3</v>
      </c>
      <c r="J10" s="62">
        <f>_xll.qlTenorBasisValue($R$18,E10,Trigger)</f>
        <v>1.332402060481094E-3</v>
      </c>
      <c r="K10" s="188">
        <f t="shared" si="4"/>
        <v>-0.11152593198972532</v>
      </c>
      <c r="L10" s="206">
        <f>_xll.qlDayCounterYearFraction("actual/365 (fixed)",SettlementDate,E10,,,Trigger)</f>
        <v>0.50136986301369868</v>
      </c>
      <c r="M10" s="234">
        <f t="shared" si="1"/>
        <v>-1.1152593198972532E-5</v>
      </c>
      <c r="N10" s="184">
        <f>_xll.qlYieldTSDiscount(Discounting,E10,,AllTriggers)</f>
        <v>1.0006590446429069</v>
      </c>
      <c r="O10" s="237" t="b">
        <v>0</v>
      </c>
      <c r="Q10" s="277" t="s">
        <v>124</v>
      </c>
      <c r="R10" s="190">
        <f>_xll.qlPolynomialCalibrationMaxError(R6,)</f>
        <v>1.1840412657839979E-4</v>
      </c>
      <c r="T10" s="55"/>
      <c r="X10" s="57"/>
    </row>
    <row r="11" spans="1:24" ht="11.25" customHeight="1" x14ac:dyDescent="0.2">
      <c r="A11" s="293" t="b">
        <v>0</v>
      </c>
      <c r="B11" s="292"/>
      <c r="C11" s="252" t="str">
        <f>_xll.qlIMMNextCode(SettlementDate,A12)</f>
        <v>M5</v>
      </c>
      <c r="D11" s="248" t="str">
        <f t="shared" ref="D11:D22" si="6">Currency&amp;"FUT"&amp;"3M"&amp;C11&amp;QuoteSuffix</f>
        <v>EURFUT3MM5_Quote</v>
      </c>
      <c r="E11" s="295">
        <f>_xll.qlIMMdate(C11,SettlementDate,Trigger)</f>
        <v>42172</v>
      </c>
      <c r="F11" s="295">
        <f>_xll.qlInterestRateIndexMaturity(ON_6M_index,E11)</f>
        <v>42355</v>
      </c>
      <c r="G11" s="67">
        <f>1-_xll.qlQuoteValue(D11,AllTriggers)/100-_xll.qlQuoteValue(Currency&amp;"FUT"&amp;"3M"&amp;C11&amp;"ConvAdj_Quote")</f>
        <v>-1.2499999999993072E-4</v>
      </c>
      <c r="H11" s="67">
        <f>_xll.qlIndexFixing(ON_3M_index,_xll.qlInterestRateIndexFixingDate(ON_3M_index,E11),,AllTriggers)</f>
        <v>-1.2660080829982408E-3</v>
      </c>
      <c r="I11" s="280">
        <f t="shared" si="0"/>
        <v>1.14100808299831E-3</v>
      </c>
      <c r="J11" s="67">
        <f>_xll.qlTenorBasisValue($R$18,E11,Trigger)</f>
        <v>1.1525194985213846E-3</v>
      </c>
      <c r="K11" s="240">
        <f t="shared" si="4"/>
        <v>-0.11511415523074572</v>
      </c>
      <c r="L11" s="285">
        <f>_xll.qlDayCounterYearFraction("actual/365 (fixed)",SettlementDate,E11,,,Trigger)</f>
        <v>2.4657534246575342E-2</v>
      </c>
      <c r="M11" s="279">
        <f t="shared" si="1"/>
        <v>-1.1511415523074572E-5</v>
      </c>
      <c r="N11" s="183">
        <f>_xll.qlYieldTSDiscount(Discounting,E11,,AllTriggers)</f>
        <v>1.0000406402405491</v>
      </c>
      <c r="O11" s="241" t="b">
        <v>1</v>
      </c>
      <c r="T11" s="55"/>
      <c r="X11" s="57"/>
    </row>
    <row r="12" spans="1:24" ht="11.25" customHeight="1" x14ac:dyDescent="0.2">
      <c r="A12" s="244" t="b">
        <v>0</v>
      </c>
      <c r="B12" s="56"/>
      <c r="C12" s="251" t="str">
        <f>_xll.qlIMMNextCode(C11,A12)</f>
        <v>N5</v>
      </c>
      <c r="D12" s="249" t="str">
        <f t="shared" si="6"/>
        <v>EURFUT3MN5_Quote</v>
      </c>
      <c r="E12" s="296">
        <f>_xll.qlIMMdate(C12,SettlementDate,Trigger)</f>
        <v>42200</v>
      </c>
      <c r="F12" s="296">
        <f>_xll.qlInterestRateIndexMaturity(ON_6M_index,E12)</f>
        <v>42384</v>
      </c>
      <c r="G12" s="62">
        <f>1-_xll.qlQuoteValue(D12,AllTriggers)/100-_xll.qlQuoteValue(Currency&amp;"FUT"&amp;"3M"&amp;C12&amp;"ConvAdj_Quote")</f>
        <v>-7.4999999999825206E-5</v>
      </c>
      <c r="H12" s="62">
        <f>_xll.qlIndexFixing(ON_3M_index,_xll.qlInterestRateIndexFixingDate(ON_3M_index,E12),,AllTriggers)</f>
        <v>-1.2794790482033001E-3</v>
      </c>
      <c r="I12" s="265">
        <f t="shared" si="0"/>
        <v>1.2044790482034749E-3</v>
      </c>
      <c r="J12" s="62">
        <f>_xll.qlTenorBasisValue($R$18,E12,Trigger)</f>
        <v>1.1955600417313363E-3</v>
      </c>
      <c r="K12" s="188">
        <f t="shared" si="4"/>
        <v>8.9190064721386075E-2</v>
      </c>
      <c r="L12" s="206">
        <f>_xll.qlDayCounterYearFraction("actual/365 (fixed)",SettlementDate,E12,,,Trigger)</f>
        <v>0.10136986301369863</v>
      </c>
      <c r="M12" s="234">
        <f t="shared" si="1"/>
        <v>8.9190064721386079E-6</v>
      </c>
      <c r="N12" s="184">
        <f>_xll.qlYieldTSDiscount(Discounting,E12,,AllTriggers)</f>
        <v>1.0001359548980997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  <c r="X12" s="57"/>
    </row>
    <row r="13" spans="1:24" ht="11.25" customHeight="1" x14ac:dyDescent="0.2">
      <c r="A13" s="244" t="b">
        <v>1</v>
      </c>
      <c r="B13" s="56"/>
      <c r="C13" s="251" t="str">
        <f>_xll.qlIMMNextCode(C12,A13)</f>
        <v>U5</v>
      </c>
      <c r="D13" s="249" t="str">
        <f t="shared" si="6"/>
        <v>EURFUT3MU5_Quote</v>
      </c>
      <c r="E13" s="296">
        <f>_xll.qlIMMdate(C13,SettlementDate,Trigger)</f>
        <v>42263</v>
      </c>
      <c r="F13" s="296">
        <f>_xll.qlInterestRateIndexMaturity(ON_6M_index,E13)</f>
        <v>42445</v>
      </c>
      <c r="G13" s="62">
        <f>1-_xll.qlQuoteValue(D13,AllTriggers)/100-_xll.qlQuoteValue(Currency&amp;"FUT"&amp;"3M"&amp;C13&amp;"ConvAdj_Quote")</f>
        <v>-2.4999999999941735E-5</v>
      </c>
      <c r="H13" s="62">
        <f>_xll.qlIndexFixing(ON_3M_index,_xll.qlInterestRateIndexFixingDate(ON_3M_index,E13),,AllTriggers)</f>
        <v>-1.3014906239984724E-3</v>
      </c>
      <c r="I13" s="265">
        <f t="shared" si="0"/>
        <v>1.2764906239985307E-3</v>
      </c>
      <c r="J13" s="62">
        <f>_xll.qlTenorBasisValue($R$18,E13,Trigger)</f>
        <v>1.2711853708794602E-3</v>
      </c>
      <c r="K13" s="188">
        <f t="shared" si="4"/>
        <v>5.3052531190705618E-2</v>
      </c>
      <c r="L13" s="206">
        <f>_xll.qlDayCounterYearFraction("actual/365 (fixed)",SettlementDate,E13,,,Trigger)</f>
        <v>0.27397260273972601</v>
      </c>
      <c r="M13" s="234">
        <f t="shared" si="1"/>
        <v>5.3052531190705618E-6</v>
      </c>
      <c r="N13" s="184">
        <f>_xll.qlYieldTSDiscount(Discounting,E13,,AllTriggers)</f>
        <v>1.0003606975574753</v>
      </c>
      <c r="O13" s="237" t="b">
        <v>1</v>
      </c>
      <c r="Q13" s="277" t="s">
        <v>113</v>
      </c>
      <c r="R13" s="190">
        <f t="array" ref="R13:R17">_xll.qlPolynomialCalibrationCoefficients($R$6,R7)</f>
        <v>1.1373512016151796E-3</v>
      </c>
      <c r="S13" s="190" t="b">
        <v>1</v>
      </c>
      <c r="T13" s="190">
        <v>1.2093474798235784E-3</v>
      </c>
      <c r="X13" s="57"/>
    </row>
    <row r="14" spans="1:24" ht="11.25" customHeight="1" x14ac:dyDescent="0.2">
      <c r="A14" s="244" t="b">
        <v>1</v>
      </c>
      <c r="B14" s="56"/>
      <c r="C14" s="251" t="str">
        <f>_xll.qlIMMNextCode(C13,A14)</f>
        <v>Z5</v>
      </c>
      <c r="D14" s="249" t="str">
        <f t="shared" si="6"/>
        <v>EURFUT3MZ5_Quote</v>
      </c>
      <c r="E14" s="296">
        <f>_xll.qlIMMdate(C14,SettlementDate,Trigger)</f>
        <v>42354</v>
      </c>
      <c r="F14" s="296">
        <f>_xll.qlInterestRateIndexMaturity(ON_6M_index,E14)</f>
        <v>42537</v>
      </c>
      <c r="G14" s="62">
        <f>1-_xll.qlQuoteValue(D14,AllTriggers)/100-_xll.qlQuoteValue(Currency&amp;"FUT"&amp;"3M"&amp;C14&amp;"ConvAdj_Quote")</f>
        <v>1.4999999999998348E-4</v>
      </c>
      <c r="H14" s="62">
        <f>_xll.qlIndexFixing(ON_3M_index,_xll.qlInterestRateIndexFixingDate(ON_3M_index,E14),,AllTriggers)</f>
        <v>-1.2009812777807455E-3</v>
      </c>
      <c r="I14" s="265">
        <f t="shared" si="0"/>
        <v>1.350981277780729E-3</v>
      </c>
      <c r="J14" s="62">
        <f>_xll.qlTenorBasisValue($R$18,E14,Trigger)</f>
        <v>1.3363363244019988E-3</v>
      </c>
      <c r="K14" s="188">
        <f t="shared" si="4"/>
        <v>0.14644953378730199</v>
      </c>
      <c r="L14" s="206">
        <f>_xll.qlDayCounterYearFraction("actual/365 (fixed)",SettlementDate,E14,,,Trigger)</f>
        <v>0.52328767123287667</v>
      </c>
      <c r="M14" s="234">
        <f t="shared" si="1"/>
        <v>1.46449533787302E-5</v>
      </c>
      <c r="N14" s="184">
        <f>_xll.qlYieldTSDiscount(Discounting,E14,,AllTriggers)</f>
        <v>1.0006899124380577</v>
      </c>
      <c r="O14" s="237" t="b">
        <v>1</v>
      </c>
      <c r="Q14" s="277" t="s">
        <v>114</v>
      </c>
      <c r="R14" s="190">
        <v>6.2868735994365502E-4</v>
      </c>
      <c r="S14" s="190" t="b">
        <v>1</v>
      </c>
      <c r="T14" s="190">
        <v>5.6902754313964399E-4</v>
      </c>
    </row>
    <row r="15" spans="1:24" ht="11.25" customHeight="1" x14ac:dyDescent="0.2">
      <c r="A15" s="244" t="b">
        <v>1</v>
      </c>
      <c r="B15" s="56"/>
      <c r="C15" s="251" t="str">
        <f>_xll.qlIMMNextCode(C14,A15)</f>
        <v>H6</v>
      </c>
      <c r="D15" s="249" t="str">
        <f t="shared" si="6"/>
        <v>EURFUT3MH6_Quote</v>
      </c>
      <c r="E15" s="296">
        <f>_xll.qlIMMdate(C15,SettlementDate,Trigger)</f>
        <v>42445</v>
      </c>
      <c r="F15" s="296">
        <f>_xll.qlInterestRateIndexMaturity(ON_6M_index,E15)</f>
        <v>42629</v>
      </c>
      <c r="G15" s="62">
        <f>1-_xll.qlQuoteValue(D15,AllTriggers)/100-_xll.qlQuoteValue(Currency&amp;"FUT"&amp;"3M"&amp;C15&amp;"ConvAdj_Quote")</f>
        <v>2.7500000000002522E-4</v>
      </c>
      <c r="H15" s="62">
        <f>_xll.qlIndexFixing(ON_3M_index,_xll.qlInterestRateIndexFixingDate(ON_3M_index,E15),,AllTriggers)</f>
        <v>-1.0530182213731925E-3</v>
      </c>
      <c r="I15" s="265">
        <f t="shared" si="0"/>
        <v>1.3280182213732178E-3</v>
      </c>
      <c r="J15" s="62">
        <f>_xll.qlTenorBasisValue($R$18,E15,Trigger)</f>
        <v>1.3617560917457393E-3</v>
      </c>
      <c r="K15" s="188">
        <f t="shared" si="4"/>
        <v>-0.337378703725215</v>
      </c>
      <c r="L15" s="206">
        <f>_xll.qlDayCounterYearFraction("actual/365 (fixed)",SettlementDate,E15,,,Trigger)</f>
        <v>0.77260273972602744</v>
      </c>
      <c r="M15" s="234">
        <f t="shared" si="1"/>
        <v>-3.3737870372521498E-5</v>
      </c>
      <c r="N15" s="184">
        <f>_xll.qlYieldTSDiscount(Discounting,E15,,AllTriggers)</f>
        <v>1.0009937955144201</v>
      </c>
      <c r="O15" s="237" t="b">
        <v>1</v>
      </c>
      <c r="Q15" s="277" t="s">
        <v>115</v>
      </c>
      <c r="R15" s="190">
        <v>-5.5231727265848745E-4</v>
      </c>
      <c r="S15" s="190" t="b">
        <v>1</v>
      </c>
      <c r="T15" s="190">
        <v>-4.3660782585958248E-4</v>
      </c>
    </row>
    <row r="16" spans="1:24" ht="11.25" customHeight="1" x14ac:dyDescent="0.2">
      <c r="A16" s="244" t="b">
        <v>1</v>
      </c>
      <c r="B16" s="56"/>
      <c r="C16" s="251" t="str">
        <f>_xll.qlIMMNextCode(C15,A16)</f>
        <v>M6</v>
      </c>
      <c r="D16" s="249" t="str">
        <f t="shared" si="6"/>
        <v>EURFUT3MM6_Quote</v>
      </c>
      <c r="E16" s="296">
        <f>_xll.qlIMMdate(C16,SettlementDate,Trigger)</f>
        <v>42536</v>
      </c>
      <c r="F16" s="296">
        <f>_xll.qlInterestRateIndexMaturity(ON_6M_index,E16)</f>
        <v>42719</v>
      </c>
      <c r="G16" s="62">
        <f>1-_xll.qlQuoteValue(D16,AllTriggers)/100-_xll.qlQuoteValue(Currency&amp;"FUT"&amp;"3M"&amp;C16&amp;"ConvAdj_Quote")</f>
        <v>4.750000000000032E-4</v>
      </c>
      <c r="H16" s="62">
        <f>_xll.qlIndexFixing(ON_3M_index,_xll.qlInterestRateIndexFixingDate(ON_3M_index,E16),,AllTriggers)</f>
        <v>-9.028799615529643E-4</v>
      </c>
      <c r="I16" s="265">
        <f t="shared" si="0"/>
        <v>1.3778799615529675E-3</v>
      </c>
      <c r="J16" s="62">
        <f>_xll.qlTenorBasisValue($R$18,E16,Trigger)</f>
        <v>1.3612284055674203E-3</v>
      </c>
      <c r="K16" s="188">
        <f t="shared" si="4"/>
        <v>0.1665155598554722</v>
      </c>
      <c r="L16" s="206">
        <f>_xll.qlDayCounterYearFraction("actual/365 (fixed)",SettlementDate,E16,,,Trigger)</f>
        <v>1.021917808219178</v>
      </c>
      <c r="M16" s="234">
        <f t="shared" si="1"/>
        <v>1.665155598554722E-5</v>
      </c>
      <c r="N16" s="184">
        <f>_xll.qlYieldTSDiscount(Discounting,E16,,AllTriggers)</f>
        <v>1.0012603889303364</v>
      </c>
      <c r="O16" s="237" t="b">
        <v>1</v>
      </c>
      <c r="Q16" s="277" t="s">
        <v>116</v>
      </c>
      <c r="R16" s="190">
        <v>1.4824157043946009E-4</v>
      </c>
      <c r="S16" s="190" t="b">
        <v>1</v>
      </c>
      <c r="T16" s="190">
        <v>1.147272926255198E-4</v>
      </c>
    </row>
    <row r="17" spans="1:20" ht="11.25" customHeight="1" x14ac:dyDescent="0.2">
      <c r="A17" s="244" t="b">
        <v>1</v>
      </c>
      <c r="B17" s="56"/>
      <c r="C17" s="251" t="str">
        <f>_xll.qlIMMNextCode(C16,A17)</f>
        <v>U6</v>
      </c>
      <c r="D17" s="249" t="str">
        <f t="shared" si="6"/>
        <v>EURFUT3MU6_Quote</v>
      </c>
      <c r="E17" s="296">
        <f>_xll.qlIMMdate(C17,SettlementDate,Trigger)</f>
        <v>42634</v>
      </c>
      <c r="F17" s="296">
        <f>_xll.qlInterestRateIndexMaturity(ON_6M_index,E17)</f>
        <v>42815</v>
      </c>
      <c r="G17" s="62">
        <f>1-_xll.qlQuoteValue(D17,AllTriggers)/100-_xll.qlQuoteValue(Currency&amp;"FUT"&amp;"3M"&amp;C17&amp;"ConvAdj_Quote")</f>
        <v>7.7499999999997016E-4</v>
      </c>
      <c r="H17" s="62">
        <f>_xll.qlIndexFixing(ON_3M_index,_xll.qlInterestRateIndexFixingDate(ON_3M_index,E17),,AllTriggers)</f>
        <v>-6.3984893502863106E-4</v>
      </c>
      <c r="I17" s="265">
        <f t="shared" si="0"/>
        <v>1.4148489350286012E-3</v>
      </c>
      <c r="J17" s="62">
        <f>_xll.qlTenorBasisValue($R$18,E17,Trigger)</f>
        <v>1.3474521686504316E-3</v>
      </c>
      <c r="K17" s="188">
        <f t="shared" si="4"/>
        <v>0.67396766378169637</v>
      </c>
      <c r="L17" s="206">
        <f>_xll.qlDayCounterYearFraction("actual/365 (fixed)",SettlementDate,E17,,,Trigger)</f>
        <v>1.2904109589041095</v>
      </c>
      <c r="M17" s="234">
        <f t="shared" si="1"/>
        <v>6.7396766378169642E-5</v>
      </c>
      <c r="N17" s="184">
        <f>_xll.qlYieldTSDiscount(Discounting,E17,,AllTriggers)</f>
        <v>1.0015040607956092</v>
      </c>
      <c r="O17" s="237" t="b">
        <v>0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A18" s="244" t="b">
        <v>1</v>
      </c>
      <c r="B18" s="56"/>
      <c r="C18" s="251" t="str">
        <f>_xll.qlIMMNextCode(C17,A18)</f>
        <v>Z6</v>
      </c>
      <c r="D18" s="249" t="str">
        <f t="shared" si="6"/>
        <v>EURFUT3MZ6_Quote</v>
      </c>
      <c r="E18" s="296">
        <f>_xll.qlIMMdate(C18,SettlementDate,Trigger)</f>
        <v>42725</v>
      </c>
      <c r="F18" s="296">
        <f>_xll.qlInterestRateIndexMaturity(ON_6M_index,E18)</f>
        <v>42907</v>
      </c>
      <c r="G18" s="62">
        <f>1-_xll.qlQuoteValue(D18,AllTriggers)/100-_xll.qlQuoteValue(Currency&amp;"FUT"&amp;"3M"&amp;C18&amp;"ConvAdj_Quote")</f>
        <v>1.2000000000000899E-3</v>
      </c>
      <c r="H18" s="62">
        <f>_xll.qlIndexFixing(ON_3M_index,_xll.qlInterestRateIndexFixingDate(ON_3M_index,E18),,AllTriggers)</f>
        <v>-2.2373818386567379E-4</v>
      </c>
      <c r="I18" s="265">
        <f t="shared" si="0"/>
        <v>1.4237381838657637E-3</v>
      </c>
      <c r="J18" s="62">
        <f>_xll.qlTenorBasisValue($R$18,E18,Trigger)</f>
        <v>1.3370763135277092E-3</v>
      </c>
      <c r="K18" s="188">
        <f t="shared" si="4"/>
        <v>0.86661870338054481</v>
      </c>
      <c r="L18" s="206">
        <f>_xll.qlDayCounterYearFraction("actual/365 (fixed)",SettlementDate,E18,,,Trigger)</f>
        <v>1.5397260273972602</v>
      </c>
      <c r="M18" s="234">
        <f t="shared" si="1"/>
        <v>8.6661870338054477E-5</v>
      </c>
      <c r="N18" s="184">
        <f>_xll.qlYieldTSDiscount(Discounting,E18,,AllTriggers)</f>
        <v>1.0016660698569779</v>
      </c>
      <c r="O18" s="237" t="b">
        <v>0</v>
      </c>
      <c r="Q18" s="277" t="s">
        <v>118</v>
      </c>
      <c r="R18" s="190" t="str">
        <f>_xll.qlPolynomialTenorBasis(,PROPER(Currency)&amp;IborType&amp;$F$1,Discounting,SettlementDate,TRUE,_xll.ohFilter(R13:R17,S13:S17),,Trigger)</f>
        <v>obj_00845#0022</v>
      </c>
      <c r="T18" s="55"/>
    </row>
    <row r="19" spans="1:20" ht="11.25" customHeight="1" x14ac:dyDescent="0.2">
      <c r="A19" s="244" t="b">
        <v>1</v>
      </c>
      <c r="B19" s="56"/>
      <c r="C19" s="251" t="str">
        <f>_xll.qlIMMNextCode(C18,A19)</f>
        <v>H7</v>
      </c>
      <c r="D19" s="249" t="str">
        <f t="shared" si="6"/>
        <v>EURFUT3MH7_Quote</v>
      </c>
      <c r="E19" s="296">
        <f>_xll.qlIMMdate(C19,SettlementDate,Trigger)</f>
        <v>42809</v>
      </c>
      <c r="F19" s="296">
        <f>_xll.qlInterestRateIndexMaturity(ON_6M_index,E19)</f>
        <v>42993</v>
      </c>
      <c r="G19" s="62">
        <f>1-_xll.qlQuoteValue(D19,AllTriggers)/100-_xll.qlQuoteValue(Currency&amp;"FUT"&amp;"3M"&amp;C19&amp;"ConvAdj_Quote")</f>
        <v>1.7249999999999766E-3</v>
      </c>
      <c r="H19" s="62">
        <f>_xll.qlIndexFixing(ON_3M_index,_xll.qlInterestRateIndexFixingDate(ON_3M_index,E19),,AllTriggers)</f>
        <v>1.9609339663789993E-4</v>
      </c>
      <c r="I19" s="265">
        <f t="shared" si="0"/>
        <v>1.5289066033620767E-3</v>
      </c>
      <c r="J19" s="62">
        <f>_xll.qlTenorBasisValue($R$18,E19,Trigger)</f>
        <v>1.3417979524674895E-3</v>
      </c>
      <c r="K19" s="188">
        <f t="shared" si="4"/>
        <v>1.8710865089458721</v>
      </c>
      <c r="L19" s="206">
        <f>_xll.qlDayCounterYearFraction("actual/365 (fixed)",SettlementDate,E19,,,Trigger)</f>
        <v>1.7698630136986302</v>
      </c>
      <c r="M19" s="234">
        <f t="shared" si="1"/>
        <v>1.8710865089458721E-4</v>
      </c>
      <c r="N19" s="184">
        <f>_xll.qlYieldTSDiscount(Discounting,E19,,AllTriggers)</f>
        <v>1.0017206050325747</v>
      </c>
      <c r="O19" s="237" t="b">
        <v>0</v>
      </c>
      <c r="T19" s="55"/>
    </row>
    <row r="20" spans="1:20" ht="11.25" customHeight="1" x14ac:dyDescent="0.2">
      <c r="A20" s="244" t="b">
        <v>1</v>
      </c>
      <c r="B20" s="56"/>
      <c r="C20" s="251" t="str">
        <f>_xll.qlIMMNextCode(C19,A20)</f>
        <v>M7</v>
      </c>
      <c r="D20" s="249" t="str">
        <f t="shared" si="6"/>
        <v>EURFUT3MM7_Quote</v>
      </c>
      <c r="E20" s="296">
        <f>_xll.qlIMMdate(C20,SettlementDate,Trigger)</f>
        <v>42907</v>
      </c>
      <c r="F20" s="296">
        <f>_xll.qlInterestRateIndexMaturity(ON_6M_index,E20)</f>
        <v>43090</v>
      </c>
      <c r="G20" s="62">
        <f>1-_xll.qlQuoteValue(D20,AllTriggers)/100-_xll.qlQuoteValue(Currency&amp;"FUT"&amp;"3M"&amp;C20&amp;"ConvAdj_Quote")</f>
        <v>2.2999999999998577E-3</v>
      </c>
      <c r="H20" s="62">
        <f>_xll.qlIndexFixing(ON_3M_index,_xll.qlInterestRateIndexFixingDate(ON_3M_index,E20),,AllTriggers)</f>
        <v>7.4066595276283027E-4</v>
      </c>
      <c r="I20" s="265">
        <f t="shared" si="0"/>
        <v>1.5593340472370276E-3</v>
      </c>
      <c r="J20" s="62">
        <f>_xll.qlTenorBasisValue($R$18,E20,Trigger)</f>
        <v>1.3795004306657948E-3</v>
      </c>
      <c r="K20" s="188">
        <f t="shared" si="4"/>
        <v>1.7983361657123278</v>
      </c>
      <c r="L20" s="206">
        <f>_xll.qlDayCounterYearFraction("actual/365 (fixed)",SettlementDate,E20,,,Trigger)</f>
        <v>2.0383561643835617</v>
      </c>
      <c r="M20" s="234">
        <f t="shared" si="1"/>
        <v>1.7983361657123277E-4</v>
      </c>
      <c r="N20" s="184">
        <f>_xll.qlYieldTSDiscount(Discounting,E20,,AllTriggers)</f>
        <v>1.0016625220341084</v>
      </c>
      <c r="O20" s="237" t="b">
        <v>0</v>
      </c>
      <c r="T20" s="55"/>
    </row>
    <row r="21" spans="1:20" ht="11.25" customHeight="1" x14ac:dyDescent="0.2">
      <c r="A21" s="244" t="b">
        <v>1</v>
      </c>
      <c r="B21" s="56"/>
      <c r="C21" s="251" t="str">
        <f>_xll.qlIMMNextCode(C20,A21)</f>
        <v>U7</v>
      </c>
      <c r="D21" s="249" t="str">
        <f t="shared" si="6"/>
        <v>EURFUT3MU7_Quote</v>
      </c>
      <c r="E21" s="296">
        <f>_xll.qlIMMdate(C21,SettlementDate,Trigger)</f>
        <v>42998</v>
      </c>
      <c r="F21" s="296">
        <f>_xll.qlInterestRateIndexMaturity(ON_6M_index,E21)</f>
        <v>43179</v>
      </c>
      <c r="G21" s="62">
        <f>1-_xll.qlQuoteValue(D21,AllTriggers)/100-_xll.qlQuoteValue(Currency&amp;"FUT"&amp;"3M"&amp;C21&amp;"ConvAdj_Quote")</f>
        <v>2.9250000000000664E-3</v>
      </c>
      <c r="H21" s="62">
        <f>_xll.qlIndexFixing(ON_3M_index,_xll.qlInterestRateIndexFixingDate(ON_3M_index,E21),,AllTriggers)</f>
        <v>1.3218346333841527E-3</v>
      </c>
      <c r="I21" s="265">
        <f t="shared" si="0"/>
        <v>1.6031653666159138E-3</v>
      </c>
      <c r="J21" s="62">
        <f>_xll.qlTenorBasisValue($R$18,E21,Trigger)</f>
        <v>1.4598678682400791E-3</v>
      </c>
      <c r="K21" s="188">
        <f t="shared" si="4"/>
        <v>1.4329749837583465</v>
      </c>
      <c r="L21" s="206">
        <f>_xll.qlDayCounterYearFraction("actual/365 (fixed)",SettlementDate,E21,,,Trigger)</f>
        <v>2.2876712328767121</v>
      </c>
      <c r="M21" s="234">
        <f t="shared" si="1"/>
        <v>1.4329749837583465E-4</v>
      </c>
      <c r="N21" s="184">
        <f>_xll.qlYieldTSDiscount(Discounting,E21,,AllTriggers)</f>
        <v>1.0014757769563836</v>
      </c>
      <c r="O21" s="237" t="b">
        <v>0</v>
      </c>
      <c r="T21" s="55"/>
    </row>
    <row r="22" spans="1:20" ht="11.25" customHeight="1" x14ac:dyDescent="0.2">
      <c r="A22" s="245" t="b">
        <v>1</v>
      </c>
      <c r="B22" s="246"/>
      <c r="C22" s="253" t="str">
        <f>_xll.qlIMMNextCode(C21,A22)</f>
        <v>Z7</v>
      </c>
      <c r="D22" s="250" t="str">
        <f t="shared" si="6"/>
        <v>EURFUT3MZ7_Quote</v>
      </c>
      <c r="E22" s="297">
        <f>_xll.qlIMMdate(C22,SettlementDate,Trigger)</f>
        <v>43089</v>
      </c>
      <c r="F22" s="297">
        <f>_xll.qlInterestRateIndexMaturity(ON_6M_index,E22)</f>
        <v>43271</v>
      </c>
      <c r="G22" s="65">
        <f>1-_xll.qlQuoteValue(D22,AllTriggers)/100-_xll.qlQuoteValue(Currency&amp;"FUT"&amp;"3M"&amp;C22&amp;"ConvAdj_Quote")</f>
        <v>3.6249999999999893E-3</v>
      </c>
      <c r="H22" s="65">
        <f>_xll.qlIndexFixing(ON_3M_index,_xll.qlInterestRateIndexFixingDate(ON_3M_index,E22),,AllTriggers)</f>
        <v>2.027220858942691E-3</v>
      </c>
      <c r="I22" s="260">
        <f t="shared" si="0"/>
        <v>1.5977791410572983E-3</v>
      </c>
      <c r="J22" s="65">
        <f>_xll.qlTenorBasisValue($R$18,E22,Trigger)</f>
        <v>1.5980505353601774E-3</v>
      </c>
      <c r="K22" s="189">
        <f t="shared" si="4"/>
        <v>-2.7139430287901473E-3</v>
      </c>
      <c r="L22" s="207">
        <f>_xll.qlDayCounterYearFraction("actual/365 (fixed)",SettlementDate,E22,,,Trigger)</f>
        <v>2.536986301369863</v>
      </c>
      <c r="M22" s="235">
        <f t="shared" si="1"/>
        <v>-2.7139430287901473E-7</v>
      </c>
      <c r="N22" s="185">
        <f>_xll.qlYieldTSDiscount(Discounting,E22,,AllTriggers)</f>
        <v>1.0011412652037437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L23" s="56"/>
      <c r="M23" s="56"/>
      <c r="N23" s="56"/>
      <c r="O23" s="56"/>
      <c r="T23" s="55"/>
    </row>
    <row r="24" spans="1:20" ht="21.95" customHeight="1" thickBot="1" x14ac:dyDescent="0.25">
      <c r="E24" s="182"/>
      <c r="F24" s="58" t="s">
        <v>91</v>
      </c>
      <c r="G24" s="58" t="s">
        <v>80</v>
      </c>
      <c r="H24" s="58" t="s">
        <v>81</v>
      </c>
      <c r="I24" s="286" t="s">
        <v>129</v>
      </c>
      <c r="T24" s="55"/>
    </row>
    <row r="25" spans="1:20" ht="11.25" customHeight="1" x14ac:dyDescent="0.2">
      <c r="E25" s="182"/>
      <c r="F25" s="61" t="s">
        <v>38</v>
      </c>
      <c r="G25" s="268">
        <f>_xll.qlCalendarAdvance(Calendar,SettlementDate,0&amp;"M","mf",TRUE,Trigger)</f>
        <v>42163</v>
      </c>
      <c r="H25" s="269">
        <f>_xll.qlCalendarAdvance(Calendar,SettlementDate,F25,"Following",,Trigger)</f>
        <v>42164</v>
      </c>
      <c r="I25" s="287">
        <f>_xll.qlTenorBasisForwardRate2(TenorBasis3M,G25,H25,AllTriggers)</f>
        <v>-1.5235886164699508E-4</v>
      </c>
    </row>
    <row r="26" spans="1:20" ht="11.25" customHeight="1" x14ac:dyDescent="0.2">
      <c r="E26" s="182"/>
      <c r="F26" s="63" t="s">
        <v>39</v>
      </c>
      <c r="G26" s="270">
        <f>_xll.qlCalendarAdvance(Calendar,SettlementDate,0&amp;"M","mf",TRUE,Trigger)</f>
        <v>42163</v>
      </c>
      <c r="H26" s="271">
        <f>_xll.qlCalendarAdvance(Calendar,SettlementDate,F26,"Following",,Trigger)</f>
        <v>42170</v>
      </c>
      <c r="I26" s="288">
        <f>_xll.qlTenorBasisForwardRate2(TenorBasis3M,G26,H26,AllTriggers)</f>
        <v>-1.4615060688529167E-4</v>
      </c>
    </row>
    <row r="27" spans="1:20" ht="11.25" customHeight="1" x14ac:dyDescent="0.2">
      <c r="E27" s="182"/>
      <c r="F27" s="63" t="s">
        <v>40</v>
      </c>
      <c r="G27" s="270">
        <f>_xll.qlCalendarAdvance(Calendar,SettlementDate,0&amp;"M","mf",TRUE,Trigger)</f>
        <v>42163</v>
      </c>
      <c r="H27" s="271">
        <f>_xll.qlCalendarAdvance(Calendar,SettlementDate,F27,"Following",,Trigger)</f>
        <v>42177</v>
      </c>
      <c r="I27" s="288">
        <f>_xll.qlTenorBasisForwardRate2(TenorBasis3M,G27,H27,AllTriggers)</f>
        <v>-1.1905590967087321E-4</v>
      </c>
    </row>
    <row r="28" spans="1:20" ht="11.25" customHeight="1" x14ac:dyDescent="0.2">
      <c r="E28" s="182"/>
      <c r="F28" s="63" t="s">
        <v>41</v>
      </c>
      <c r="G28" s="270">
        <f>_xll.qlCalendarAdvance(Calendar,SettlementDate,0&amp;"M","mf",TRUE,Trigger)</f>
        <v>42163</v>
      </c>
      <c r="H28" s="271">
        <f>_xll.qlCalendarAdvance(Calendar,SettlementDate,F28,"Following",,Trigger)</f>
        <v>42184</v>
      </c>
      <c r="I28" s="288">
        <f>_xll.qlTenorBasisForwardRate2(TenorBasis3M,G28,H28,AllTriggers)</f>
        <v>-1.2210649579267953E-4</v>
      </c>
    </row>
    <row r="29" spans="1:20" ht="11.25" customHeight="1" x14ac:dyDescent="0.2">
      <c r="E29" s="182"/>
      <c r="F29" s="266" t="s">
        <v>35</v>
      </c>
      <c r="G29" s="272">
        <f>_xll.qlCalendarAdvance(Calendar,SettlementDate,0&amp;"M","mf",TRUE,Trigger)</f>
        <v>42163</v>
      </c>
      <c r="H29" s="273">
        <f>_xll.qlCalendarAdvance(Calendar,SettlementDate,F29,"mf",TRUE,Trigger)</f>
        <v>42193</v>
      </c>
      <c r="I29" s="289">
        <f>_xll.qlTenorBasisForwardRate2(TenorBasis3M,G29,H29,AllTriggers)</f>
        <v>-1.2789266630397478E-4</v>
      </c>
    </row>
    <row r="30" spans="1:20" ht="11.25" customHeight="1" x14ac:dyDescent="0.2">
      <c r="E30" s="182"/>
      <c r="F30" s="63" t="s">
        <v>42</v>
      </c>
      <c r="G30" s="270">
        <f>_xll.qlCalendarAdvance(Calendar,SettlementDate,0&amp;"M","mf",TRUE,Trigger)</f>
        <v>42163</v>
      </c>
      <c r="H30" s="271">
        <f>_xll.qlCalendarAdvance(Calendar,SettlementDate,F30,"mf",TRUE,Trigger)</f>
        <v>42226</v>
      </c>
      <c r="I30" s="288">
        <f>_xll.qlTenorBasisForwardRate2(TenorBasis3M,G30,H30,AllTriggers)</f>
        <v>-1.3135129780675724E-4</v>
      </c>
    </row>
    <row r="31" spans="1:20" ht="11.25" customHeight="1" thickBot="1" x14ac:dyDescent="0.25">
      <c r="E31" s="182"/>
      <c r="F31" s="264" t="s">
        <v>36</v>
      </c>
      <c r="G31" s="274">
        <f>_xll.qlCalendarAdvance(Calendar,SettlementDate,0&amp;"M","mf",TRUE,Trigger)</f>
        <v>42163</v>
      </c>
      <c r="H31" s="275">
        <f>_xll.qlCalendarAdvance(Calendar,SettlementDate,F31,"mf",TRUE,Trigger)</f>
        <v>42255</v>
      </c>
      <c r="I31" s="291">
        <f>_xll.qlTenorBasisForwardRate2(TenorBasis3M,G31,H31,AllTriggers)</f>
        <v>-1.3414978244339639E-4</v>
      </c>
    </row>
    <row r="32" spans="1:20" ht="11.25" customHeight="1" x14ac:dyDescent="0.2">
      <c r="E32" s="182"/>
      <c r="F32" s="182"/>
      <c r="G32" s="57"/>
      <c r="H32" s="57"/>
      <c r="I32" s="57"/>
    </row>
    <row r="33" spans="5:9" ht="11.25" customHeight="1" x14ac:dyDescent="0.2">
      <c r="E33" s="182"/>
      <c r="F33" s="182"/>
      <c r="G33" s="57"/>
      <c r="H33" s="57"/>
      <c r="I33" s="57"/>
    </row>
    <row r="34" spans="5:9" ht="11.25" customHeight="1" x14ac:dyDescent="0.2">
      <c r="E34" s="182"/>
      <c r="F34" s="182"/>
      <c r="G34" s="57"/>
      <c r="H34" s="57"/>
      <c r="I34" s="57"/>
    </row>
    <row r="35" spans="5:9" ht="11.25" customHeight="1" x14ac:dyDescent="0.2">
      <c r="E35" s="182"/>
      <c r="F35" s="182"/>
      <c r="G35" s="57"/>
      <c r="H35" s="57"/>
      <c r="I35" s="57"/>
    </row>
    <row r="36" spans="5:9" ht="11.25" customHeight="1" x14ac:dyDescent="0.2">
      <c r="E36" s="182"/>
      <c r="F36" s="182"/>
      <c r="G36" s="57"/>
      <c r="H36" s="57"/>
      <c r="I36" s="57"/>
    </row>
    <row r="37" spans="5:9" ht="11.25" customHeight="1" x14ac:dyDescent="0.2">
      <c r="E37" s="182"/>
      <c r="F37" s="182"/>
      <c r="G37" s="57"/>
      <c r="H37" s="57"/>
      <c r="I37" s="57"/>
    </row>
    <row r="38" spans="5:9" ht="11.25" customHeight="1" x14ac:dyDescent="0.2">
      <c r="E38" s="182"/>
      <c r="F38" s="182"/>
      <c r="G38" s="57"/>
      <c r="H38" s="57"/>
      <c r="I38" s="57"/>
    </row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  <c r="F53" s="182"/>
      <c r="G53" s="57"/>
      <c r="H53" s="57"/>
      <c r="I53" s="57"/>
    </row>
  </sheetData>
  <dataValidations disablePrompts="1"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bestFit="1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8.1640625" style="54" hidden="1" customWidth="1" outlineLevel="1"/>
    <col min="13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1" width="10.5" style="54" bestFit="1" customWidth="1"/>
    <col min="22" max="22" width="9.33203125" style="54" bestFit="1" customWidth="1"/>
    <col min="23" max="23" width="10.5" style="54" bestFit="1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37</v>
      </c>
    </row>
    <row r="2" spans="1:20" ht="21.95" customHeight="1" x14ac:dyDescent="0.2">
      <c r="D2" s="58" t="str">
        <f>F1&amp;" Instruments"</f>
        <v>6M Instruments</v>
      </c>
      <c r="E2" s="58" t="s">
        <v>92</v>
      </c>
      <c r="F2" s="58" t="s">
        <v>93</v>
      </c>
      <c r="G2" s="58" t="str">
        <f>F1&amp;" Market quote"</f>
        <v>6M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6</v>
      </c>
      <c r="D3" s="259" t="str">
        <f>Currency&amp;A3&amp;B3&amp;C3&amp;"F"&amp;"_Estimated"</f>
        <v>EUR0x6F_Estimated</v>
      </c>
      <c r="E3" s="294">
        <f>SettlementDate</f>
        <v>42163</v>
      </c>
      <c r="F3" s="294">
        <f>_xll.qlInterestRateIndexMaturity(PROPER(Currency)&amp;"ibor"&amp;$F$1,E3)</f>
        <v>42346</v>
      </c>
      <c r="G3" s="258">
        <f>J3+$H$4</f>
        <v>5.0796159643381458E-4</v>
      </c>
      <c r="H3" s="239"/>
      <c r="I3" s="239"/>
      <c r="J3" s="190">
        <f>_xll.qlTenorBasisValue($R$18,E3,Trigger)</f>
        <v>1.781745259666332E-3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131</v>
      </c>
      <c r="R3" s="190" t="str">
        <f>_xll.qlIborIndex(,,F1,2,Currency,Calendar,"mf",TRUE,DayCounter,Discounting,,Trigger)</f>
        <v>obj_00594#0000</v>
      </c>
    </row>
    <row r="4" spans="1:20" ht="11.25" customHeight="1" x14ac:dyDescent="0.2">
      <c r="A4" s="254">
        <v>0</v>
      </c>
      <c r="B4" s="255" t="s">
        <v>34</v>
      </c>
      <c r="C4" s="256">
        <v>6</v>
      </c>
      <c r="D4" s="247" t="str">
        <f>PROPER(Currency&amp;IborType)&amp;F1&amp;"LastFixing"&amp;QuoteSuffix</f>
        <v>Euribor6MLastFixing_Quote</v>
      </c>
      <c r="E4" s="294">
        <f>SettlementDate</f>
        <v>42163</v>
      </c>
      <c r="F4" s="294">
        <f>_xll.qlInterestRateIndexMaturity(ON_6M_index,E4)</f>
        <v>42346</v>
      </c>
      <c r="G4" s="190">
        <f>_xll.qlQuoteValue(D4,LastFixingsTrigger)</f>
        <v>4.8999999999999998E-4</v>
      </c>
      <c r="H4" s="190">
        <f>_xll.qlIndexFixing(ON_6M_index,_xll.qlInterestRateIndexFixingDate(ON_6M_index,E4),,AllTriggers)</f>
        <v>-1.2737836632325174E-3</v>
      </c>
      <c r="I4" s="258">
        <f t="shared" ref="I4:I22" si="0">G4-H4</f>
        <v>1.7637836632325174E-3</v>
      </c>
      <c r="J4" s="186">
        <f>_xll.qlTenorBasisValue($R$18,E4,Trigger)</f>
        <v>1.781745259666332E-3</v>
      </c>
      <c r="K4" s="187">
        <f>M4*10000</f>
        <v>-0.17961596433814594</v>
      </c>
      <c r="L4" s="284">
        <f>_xll.qlDayCounterYearFraction("actual/365 (fixed)",SettlementDate,E4,,,Trigger)</f>
        <v>0</v>
      </c>
      <c r="M4" s="278">
        <f t="shared" ref="M4:M22" si="1">I4-J4</f>
        <v>-1.7961596433814595E-5</v>
      </c>
      <c r="N4" s="281">
        <f>_xll.qlYieldTSDiscount(Discounting,E4,,AllTriggers)</f>
        <v>1.0000111112116115</v>
      </c>
      <c r="O4" s="236" t="b">
        <v>0</v>
      </c>
    </row>
    <row r="5" spans="1:20" ht="11.25" customHeight="1" x14ac:dyDescent="0.2">
      <c r="A5" s="244">
        <v>1</v>
      </c>
      <c r="B5" s="56" t="s">
        <v>34</v>
      </c>
      <c r="C5" s="251">
        <f t="shared" ref="C5:C22" si="2">A5+SUBSTITUTE($F$1,"M","")</f>
        <v>7</v>
      </c>
      <c r="D5" s="248" t="str">
        <f t="shared" ref="D5:D22" si="3">Currency&amp;A5&amp;B5&amp;C5&amp;"F"&amp;QuoteSuffix</f>
        <v>EUR1x7F_Quote</v>
      </c>
      <c r="E5" s="295">
        <f>_xll.qlCalendarAdvance("target",SettlementDate,A5&amp;"M","mf",,Trigger)</f>
        <v>42193</v>
      </c>
      <c r="F5" s="295">
        <f>_xll.qlInterestRateIndexMaturity(ON_6M_index,E5)</f>
        <v>42377</v>
      </c>
      <c r="G5" s="67">
        <f>_xll.qlQuoteValue(D5,AllTriggers)</f>
        <v>5.8E-4</v>
      </c>
      <c r="H5" s="67">
        <f>_xll.qlIndexFixing(ON_6M_index,_xll.qlInterestRateIndexFixingDate(ON_6M_index,E5),,AllTriggers)</f>
        <v>-1.2612193948480957E-3</v>
      </c>
      <c r="I5" s="280">
        <f t="shared" si="0"/>
        <v>1.8412193948480957E-3</v>
      </c>
      <c r="J5" s="67">
        <f>_xll.qlTenorBasisValue($R$18,E5,Trigger)</f>
        <v>1.8476373915875027E-3</v>
      </c>
      <c r="K5" s="240">
        <f t="shared" ref="K5:K22" si="4">M5*10000</f>
        <v>-6.4179967394070378E-2</v>
      </c>
      <c r="L5" s="285">
        <f>_xll.qlDayCounterYearFraction("actual/365 (fixed)",SettlementDate,E5,,,Trigger)</f>
        <v>8.2191780821917804E-2</v>
      </c>
      <c r="M5" s="279">
        <f t="shared" si="1"/>
        <v>-6.4179967394070378E-6</v>
      </c>
      <c r="N5" s="183">
        <f>_xll.qlYieldTSDiscount(Discounting,E5,,AllTriggers)</f>
        <v>1.0001106648021887</v>
      </c>
      <c r="O5" s="241" t="b">
        <v>1</v>
      </c>
      <c r="Q5" s="261" t="s">
        <v>125</v>
      </c>
      <c r="R5" s="262"/>
    </row>
    <row r="6" spans="1:20" ht="11.25" customHeight="1" x14ac:dyDescent="0.2">
      <c r="A6" s="244">
        <v>2</v>
      </c>
      <c r="B6" s="56" t="s">
        <v>34</v>
      </c>
      <c r="C6" s="251">
        <f t="shared" si="2"/>
        <v>8</v>
      </c>
      <c r="D6" s="249" t="str">
        <f t="shared" si="3"/>
        <v>EUR2x8F_Quote</v>
      </c>
      <c r="E6" s="296">
        <f>_xll.qlCalendarAdvance("target",SettlementDate,A6&amp;"M","mf",,Trigger)</f>
        <v>42226</v>
      </c>
      <c r="F6" s="296">
        <f>_xll.qlInterestRateIndexMaturity(ON_6M_index,E6)</f>
        <v>42410</v>
      </c>
      <c r="G6" s="62">
        <f>_xll.qlQuoteValue(D6,AllTriggers)</f>
        <v>6.4999999999999997E-4</v>
      </c>
      <c r="H6" s="62">
        <f>_xll.qlIndexFixing(ON_6M_index,_xll.qlInterestRateIndexFixingDate(ON_6M_index,E6),,AllTriggers)</f>
        <v>-1.2713463090453128E-3</v>
      </c>
      <c r="I6" s="265">
        <f t="shared" si="0"/>
        <v>1.9213463090453128E-3</v>
      </c>
      <c r="J6" s="62">
        <f>_xll.qlTenorBasisValue($R$18,E6,Trigger)</f>
        <v>1.9100868542743217E-3</v>
      </c>
      <c r="K6" s="188">
        <f t="shared" si="4"/>
        <v>0.11259454770991056</v>
      </c>
      <c r="L6" s="206">
        <f>_xll.qlDayCounterYearFraction("actual/365 (fixed)",SettlementDate,E6,,,Trigger)</f>
        <v>0.17260273972602741</v>
      </c>
      <c r="M6" s="234">
        <f t="shared" si="1"/>
        <v>1.1259454770991056E-5</v>
      </c>
      <c r="N6" s="184">
        <f>_xll.qlYieldTSDiscount(Discounting,E6,,AllTriggers)</f>
        <v>1.0002260583921088</v>
      </c>
      <c r="O6" s="237" t="b">
        <v>1</v>
      </c>
      <c r="Q6" s="277" t="s">
        <v>126</v>
      </c>
      <c r="R6" s="282" t="str">
        <f>_xll.qlPolynomialCalibration(,_xll.ohFilter($L$4:$L$22,$O$4:$O$22),_xll.ohFilter($I$4:$I$22,$O$4:$O$22),_xll.ohFilter($N$4:$N$22,$O$4:$O$22),_xll.ohFilter(T13:T17,S13:S17),,,,,Trigger)</f>
        <v>obj_005e0#0024</v>
      </c>
    </row>
    <row r="7" spans="1:20" ht="11.25" customHeight="1" x14ac:dyDescent="0.2">
      <c r="A7" s="244">
        <f>A6+1</f>
        <v>3</v>
      </c>
      <c r="B7" s="56" t="s">
        <v>34</v>
      </c>
      <c r="C7" s="251">
        <f t="shared" si="2"/>
        <v>9</v>
      </c>
      <c r="D7" s="249" t="str">
        <f t="shared" si="3"/>
        <v>EUR3x9F_Quote</v>
      </c>
      <c r="E7" s="296">
        <f>_xll.qlCalendarAdvance("target",SettlementDate,A7&amp;"M","mf",,Trigger)</f>
        <v>42255</v>
      </c>
      <c r="F7" s="296">
        <f>_xll.qlInterestRateIndexMaturity(ON_6M_index,E7)</f>
        <v>42437</v>
      </c>
      <c r="G7" s="62">
        <f>_xll.qlQuoteValue(D7,AllTriggers)</f>
        <v>7.1000000000000013E-4</v>
      </c>
      <c r="H7" s="62">
        <f>_xll.qlIndexFixing(ON_6M_index,_xll.qlInterestRateIndexFixingDate(ON_6M_index,E7),,AllTriggers)</f>
        <v>-1.2471663253159333E-3</v>
      </c>
      <c r="I7" s="265">
        <f t="shared" si="0"/>
        <v>1.9571663253159337E-3</v>
      </c>
      <c r="J7" s="62">
        <f>_xll.qlTenorBasisValue($R$18,E7,Trigger)</f>
        <v>1.9570716758657287E-3</v>
      </c>
      <c r="K7" s="188">
        <f t="shared" si="4"/>
        <v>9.4649450204948443E-4</v>
      </c>
      <c r="L7" s="206">
        <f>_xll.qlDayCounterYearFraction("actual/365 (fixed)",SettlementDate,E7,,,Trigger)</f>
        <v>0.25205479452054796</v>
      </c>
      <c r="M7" s="234">
        <f t="shared" si="1"/>
        <v>9.4649450204948443E-8</v>
      </c>
      <c r="N7" s="184">
        <f>_xll.qlYieldTSDiscount(Discounting,E7,,AllTriggers)</f>
        <v>1.0003318671850669</v>
      </c>
      <c r="O7" s="237" t="b">
        <v>1</v>
      </c>
      <c r="Q7" s="277" t="s">
        <v>127</v>
      </c>
      <c r="R7" s="282" t="b">
        <f>_xll.qlPolynomialCalibrationCompute($R$6,AllTriggers)</f>
        <v>1</v>
      </c>
    </row>
    <row r="8" spans="1:20" ht="11.25" customHeight="1" x14ac:dyDescent="0.2">
      <c r="A8" s="244">
        <f t="shared" ref="A8:A22" si="5">A7+1</f>
        <v>4</v>
      </c>
      <c r="B8" s="56" t="s">
        <v>34</v>
      </c>
      <c r="C8" s="251">
        <f t="shared" si="2"/>
        <v>10</v>
      </c>
      <c r="D8" s="249" t="str">
        <f t="shared" si="3"/>
        <v>EUR4x10F_Quote</v>
      </c>
      <c r="E8" s="296">
        <f>_xll.qlCalendarAdvance("target",SettlementDate,A8&amp;"M","mf",,Trigger)</f>
        <v>42285</v>
      </c>
      <c r="F8" s="296">
        <f>_xll.qlInterestRateIndexMaturity(ON_6M_index,E8)</f>
        <v>42468</v>
      </c>
      <c r="G8" s="62">
        <f>_xll.qlQuoteValue(D8,AllTriggers)</f>
        <v>7.8000000000000009E-4</v>
      </c>
      <c r="H8" s="62">
        <f>_xll.qlIndexFixing(ON_6M_index,_xll.qlInterestRateIndexFixingDate(ON_6M_index,E8),,AllTriggers)</f>
        <v>-1.2188863600502994E-3</v>
      </c>
      <c r="I8" s="265">
        <f t="shared" si="0"/>
        <v>1.9988863600502995E-3</v>
      </c>
      <c r="J8" s="62">
        <f>_xll.qlTenorBasisValue($R$18,E8,Trigger)</f>
        <v>1.9986733932196312E-3</v>
      </c>
      <c r="K8" s="188">
        <f t="shared" si="4"/>
        <v>2.1296683066834507E-3</v>
      </c>
      <c r="L8" s="206">
        <f>_xll.qlDayCounterYearFraction("actual/365 (fixed)",SettlementDate,E8,,,Trigger)</f>
        <v>0.33424657534246577</v>
      </c>
      <c r="M8" s="234">
        <f t="shared" si="1"/>
        <v>2.1296683066834507E-7</v>
      </c>
      <c r="N8" s="184">
        <f>_xll.qlYieldTSDiscount(Discounting,E8,,AllTriggers)</f>
        <v>1.0004379104737688</v>
      </c>
      <c r="O8" s="237" t="b">
        <v>1</v>
      </c>
      <c r="Q8" s="277" t="s">
        <v>128</v>
      </c>
      <c r="R8" s="282" t="str">
        <f>_xll.qlPolynomialCalibrationEndCriteria(R6,)</f>
        <v>None</v>
      </c>
    </row>
    <row r="9" spans="1:20" ht="11.25" customHeight="1" x14ac:dyDescent="0.2">
      <c r="A9" s="244">
        <f t="shared" si="5"/>
        <v>5</v>
      </c>
      <c r="B9" s="56" t="s">
        <v>34</v>
      </c>
      <c r="C9" s="251">
        <f t="shared" si="2"/>
        <v>11</v>
      </c>
      <c r="D9" s="249" t="str">
        <f t="shared" si="3"/>
        <v>EUR5x11F_Quote</v>
      </c>
      <c r="E9" s="296">
        <f>_xll.qlCalendarAdvance("target",SettlementDate,A9&amp;"M","mf",,Trigger)</f>
        <v>42317</v>
      </c>
      <c r="F9" s="296">
        <f>_xll.qlInterestRateIndexMaturity(ON_6M_index,E9)</f>
        <v>42499</v>
      </c>
      <c r="G9" s="62">
        <f>_xll.qlQuoteValue(D9,AllTriggers)</f>
        <v>8.5000000000000006E-4</v>
      </c>
      <c r="H9" s="62">
        <f>_xll.qlIndexFixing(ON_6M_index,_xll.qlInterestRateIndexFixingDate(ON_6M_index,E9),,AllTriggers)</f>
        <v>-1.1758696454302951E-3</v>
      </c>
      <c r="I9" s="265">
        <f t="shared" si="0"/>
        <v>2.0258696454302952E-3</v>
      </c>
      <c r="J9" s="62">
        <f>_xll.qlTenorBasisValue($R$18,E9,Trigger)</f>
        <v>2.0360509388013428E-3</v>
      </c>
      <c r="K9" s="188">
        <f t="shared" si="4"/>
        <v>-0.10181293371047673</v>
      </c>
      <c r="L9" s="206">
        <f>_xll.qlDayCounterYearFraction("actual/365 (fixed)",SettlementDate,E9,,,Trigger)</f>
        <v>0.42191780821917807</v>
      </c>
      <c r="M9" s="234">
        <f t="shared" si="1"/>
        <v>-1.0181293371047673E-5</v>
      </c>
      <c r="N9" s="184">
        <f>_xll.qlYieldTSDiscount(Discounting,E9,,AllTriggers)</f>
        <v>1.0005545597248136</v>
      </c>
      <c r="O9" s="237" t="b">
        <v>1</v>
      </c>
      <c r="Q9" s="277" t="s">
        <v>89</v>
      </c>
      <c r="R9" s="190">
        <f>_xll.qlPolynomialCalibrationError(R6,)</f>
        <v>5.6448440012852806E-5</v>
      </c>
    </row>
    <row r="10" spans="1:20" ht="11.25" customHeight="1" x14ac:dyDescent="0.2">
      <c r="A10" s="244">
        <f t="shared" si="5"/>
        <v>6</v>
      </c>
      <c r="B10" s="56" t="s">
        <v>34</v>
      </c>
      <c r="C10" s="251">
        <f t="shared" si="2"/>
        <v>12</v>
      </c>
      <c r="D10" s="249" t="str">
        <f t="shared" si="3"/>
        <v>EUR6x12F_Quote</v>
      </c>
      <c r="E10" s="296">
        <f>_xll.qlCalendarAdvance("target",SettlementDate,A10&amp;"M","mf",,Trigger)</f>
        <v>42346</v>
      </c>
      <c r="F10" s="296">
        <f>_xll.qlInterestRateIndexMaturity(ON_6M_index,E10)</f>
        <v>42529</v>
      </c>
      <c r="G10" s="62">
        <f>_xll.qlQuoteValue(D10,AllTriggers)</f>
        <v>9.2000000000000003E-4</v>
      </c>
      <c r="H10" s="62">
        <f>_xll.qlIndexFixing(ON_6M_index,_xll.qlInterestRateIndexFixingDate(ON_6M_index,E10),,AllTriggers)</f>
        <v>-1.1419431047384435E-3</v>
      </c>
      <c r="I10" s="265">
        <f t="shared" si="0"/>
        <v>2.0619431047384437E-3</v>
      </c>
      <c r="J10" s="62">
        <f>_xll.qlTenorBasisValue($R$18,E10,Trigger)</f>
        <v>2.064445035325034E-3</v>
      </c>
      <c r="K10" s="188">
        <f t="shared" si="4"/>
        <v>-2.5019305865902307E-2</v>
      </c>
      <c r="L10" s="206">
        <f>_xll.qlDayCounterYearFraction("actual/365 (fixed)",SettlementDate,E10,,,Trigger)</f>
        <v>0.50136986301369868</v>
      </c>
      <c r="M10" s="234">
        <f t="shared" si="1"/>
        <v>-2.5019305865902307E-6</v>
      </c>
      <c r="N10" s="184">
        <f>_xll.qlYieldTSDiscount(Discounting,E10,,AllTriggers)</f>
        <v>1.0006590446429069</v>
      </c>
      <c r="O10" s="237" t="b">
        <v>1</v>
      </c>
      <c r="Q10" s="277" t="s">
        <v>124</v>
      </c>
      <c r="R10" s="190">
        <f>_xll.qlPolynomialCalibrationMaxError(R6,)</f>
        <v>7.4152523860773626E-5</v>
      </c>
    </row>
    <row r="11" spans="1:20" ht="11.25" customHeight="1" x14ac:dyDescent="0.2">
      <c r="A11" s="242">
        <f t="shared" si="5"/>
        <v>7</v>
      </c>
      <c r="B11" s="243" t="s">
        <v>34</v>
      </c>
      <c r="C11" s="252">
        <f t="shared" si="2"/>
        <v>13</v>
      </c>
      <c r="D11" s="248" t="str">
        <f t="shared" si="3"/>
        <v>EUR7x13F_Quote</v>
      </c>
      <c r="E11" s="295">
        <f>_xll.qlCalendarAdvance("target",SettlementDate,A11&amp;"M","mf",,Trigger)</f>
        <v>42377</v>
      </c>
      <c r="F11" s="295">
        <f>_xll.qlInterestRateIndexMaturity(ON_6M_index,E11)</f>
        <v>42559</v>
      </c>
      <c r="G11" s="67">
        <f>_xll.qlQuoteValue(D11,AllTriggers)</f>
        <v>9.7999999999999997E-4</v>
      </c>
      <c r="H11" s="67">
        <f>_xll.qlIndexFixing(ON_6M_index,_xll.qlInterestRateIndexFixingDate(ON_6M_index,E11),,AllTriggers)</f>
        <v>-1.1230104452715755E-3</v>
      </c>
      <c r="I11" s="280">
        <f t="shared" si="0"/>
        <v>2.1030104452715755E-3</v>
      </c>
      <c r="J11" s="67">
        <f>_xll.qlTenorBasisValue($R$18,E11,Trigger)</f>
        <v>2.0898440596130085E-3</v>
      </c>
      <c r="K11" s="240">
        <f t="shared" si="4"/>
        <v>0.13166385658566931</v>
      </c>
      <c r="L11" s="285">
        <f>_xll.qlDayCounterYearFraction("actual/365 (fixed)",SettlementDate,E11,,,Trigger)</f>
        <v>0.58630136986301373</v>
      </c>
      <c r="M11" s="279">
        <f t="shared" si="1"/>
        <v>1.3166385658566933E-5</v>
      </c>
      <c r="N11" s="183">
        <f>_xll.qlYieldTSDiscount(Discounting,E11,,AllTriggers)</f>
        <v>1.0007557752387322</v>
      </c>
      <c r="O11" s="241" t="b">
        <v>1</v>
      </c>
    </row>
    <row r="12" spans="1:20" ht="11.25" customHeight="1" x14ac:dyDescent="0.2">
      <c r="A12" s="244">
        <f t="shared" si="5"/>
        <v>8</v>
      </c>
      <c r="B12" s="56" t="s">
        <v>34</v>
      </c>
      <c r="C12" s="251">
        <f t="shared" si="2"/>
        <v>14</v>
      </c>
      <c r="D12" s="249" t="str">
        <f t="shared" si="3"/>
        <v>EUR8x14F_Quote</v>
      </c>
      <c r="E12" s="296">
        <f>_xll.qlCalendarAdvance("target",SettlementDate,A12&amp;"M","mf",,Trigger)</f>
        <v>42408</v>
      </c>
      <c r="F12" s="296">
        <f>_xll.qlInterestRateIndexMaturity(ON_6M_index,E12)</f>
        <v>42590</v>
      </c>
      <c r="G12" s="62">
        <f>_xll.qlQuoteValue(D12,AllTriggers)</f>
        <v>1.0500000000000002E-3</v>
      </c>
      <c r="H12" s="62">
        <f>_xll.qlIndexFixing(ON_6M_index,_xll.qlInterestRateIndexFixingDate(ON_6M_index,E12),,AllTriggers)</f>
        <v>-1.0578451458745394E-3</v>
      </c>
      <c r="I12" s="265">
        <f t="shared" si="0"/>
        <v>2.1078451458745396E-3</v>
      </c>
      <c r="J12" s="62">
        <f>_xll.qlTenorBasisValue($R$18,E12,Trigger)</f>
        <v>2.1109504259014056E-3</v>
      </c>
      <c r="K12" s="188">
        <f t="shared" si="4"/>
        <v>-3.105280026866053E-2</v>
      </c>
      <c r="L12" s="206">
        <f>_xll.qlDayCounterYearFraction("actual/365 (fixed)",SettlementDate,E12,,,Trigger)</f>
        <v>0.67123287671232879</v>
      </c>
      <c r="M12" s="234">
        <f t="shared" si="1"/>
        <v>-3.105280026866053E-6</v>
      </c>
      <c r="N12" s="184">
        <f>_xll.qlYieldTSDiscount(Discounting,E12,,AllTriggers)</f>
        <v>1.000868725609952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5"/>
        <v>9</v>
      </c>
      <c r="B13" s="56" t="s">
        <v>34</v>
      </c>
      <c r="C13" s="251">
        <f t="shared" si="2"/>
        <v>15</v>
      </c>
      <c r="D13" s="249" t="str">
        <f t="shared" si="3"/>
        <v>EUR9x15F_Quote</v>
      </c>
      <c r="E13" s="296">
        <f>_xll.qlCalendarAdvance("target",SettlementDate,A13&amp;"M","mf",,Trigger)</f>
        <v>42437</v>
      </c>
      <c r="F13" s="296">
        <f>_xll.qlInterestRateIndexMaturity(ON_6M_index,E13)</f>
        <v>42621</v>
      </c>
      <c r="G13" s="62">
        <f>_xll.qlQuoteValue(D13,AllTriggers)</f>
        <v>1.1200000000000001E-3</v>
      </c>
      <c r="H13" s="62">
        <f>_xll.qlIndexFixing(ON_6M_index,_xll.qlInterestRateIndexFixingDate(ON_6M_index,E13),,AllTriggers)</f>
        <v>-1.0029806753152977E-3</v>
      </c>
      <c r="I13" s="265">
        <f t="shared" si="0"/>
        <v>2.1229806753152976E-3</v>
      </c>
      <c r="J13" s="62">
        <f>_xll.qlTenorBasisValue($R$18,E13,Trigger)</f>
        <v>2.1275564636728762E-3</v>
      </c>
      <c r="K13" s="188">
        <f t="shared" si="4"/>
        <v>-4.575788357578589E-2</v>
      </c>
      <c r="L13" s="206">
        <f>_xll.qlDayCounterYearFraction("actual/365 (fixed)",SettlementDate,E13,,,Trigger)</f>
        <v>0.75068493150684934</v>
      </c>
      <c r="M13" s="234">
        <f t="shared" si="1"/>
        <v>-4.575788357578589E-6</v>
      </c>
      <c r="N13" s="184">
        <f>_xll.qlYieldTSDiscount(Discounting,E13,,AllTriggers)</f>
        <v>1.0009629862237717</v>
      </c>
      <c r="O13" s="237" t="b">
        <v>1</v>
      </c>
      <c r="Q13" s="277" t="s">
        <v>113</v>
      </c>
      <c r="R13" s="190">
        <f t="array" ref="R13:R17">_xll.qlPolynomialCalibrationCoefficients($R$6,R7)</f>
        <v>1.781745259666332E-3</v>
      </c>
      <c r="S13" s="190" t="b">
        <v>1</v>
      </c>
      <c r="T13" s="190">
        <v>1.8584799330034713E-3</v>
      </c>
    </row>
    <row r="14" spans="1:20" ht="11.25" customHeight="1" x14ac:dyDescent="0.2">
      <c r="A14" s="244">
        <f t="shared" si="5"/>
        <v>10</v>
      </c>
      <c r="B14" s="56" t="s">
        <v>34</v>
      </c>
      <c r="C14" s="251">
        <f t="shared" si="2"/>
        <v>16</v>
      </c>
      <c r="D14" s="249" t="str">
        <f t="shared" si="3"/>
        <v>EUR10x16F_Quote</v>
      </c>
      <c r="E14" s="296">
        <f>_xll.qlCalendarAdvance("target",SettlementDate,A14&amp;"M","mf",,Trigger)</f>
        <v>42468</v>
      </c>
      <c r="F14" s="296">
        <f>_xll.qlInterestRateIndexMaturity(ON_6M_index,E14)</f>
        <v>42653</v>
      </c>
      <c r="G14" s="62">
        <f>_xll.qlQuoteValue(D14,AllTriggers)</f>
        <v>1.1999999999999999E-3</v>
      </c>
      <c r="H14" s="62">
        <f>_xll.qlIndexFixing(ON_6M_index,_xll.qlInterestRateIndexFixingDate(ON_6M_index,E14),,AllTriggers)</f>
        <v>-9.4007823058665828E-4</v>
      </c>
      <c r="I14" s="265">
        <f t="shared" si="0"/>
        <v>2.1400782305866584E-3</v>
      </c>
      <c r="J14" s="62">
        <f>_xll.qlTenorBasisValue($R$18,E14,Trigger)</f>
        <v>2.1427517615240925E-3</v>
      </c>
      <c r="K14" s="188">
        <f t="shared" si="4"/>
        <v>-2.6735309374341203E-2</v>
      </c>
      <c r="L14" s="206">
        <f>_xll.qlDayCounterYearFraction("actual/365 (fixed)",SettlementDate,E14,,,Trigger)</f>
        <v>0.83561643835616439</v>
      </c>
      <c r="M14" s="234">
        <f t="shared" si="1"/>
        <v>-2.6735309374341203E-6</v>
      </c>
      <c r="N14" s="184">
        <f>_xll.qlYieldTSDiscount(Discounting,E14,,AllTriggers)</f>
        <v>1.0010581666808025</v>
      </c>
      <c r="O14" s="237" t="b">
        <v>1</v>
      </c>
      <c r="Q14" s="277" t="s">
        <v>114</v>
      </c>
      <c r="R14" s="190">
        <v>8.5778196137636063E-4</v>
      </c>
      <c r="S14" s="190" t="b">
        <v>1</v>
      </c>
      <c r="T14" s="190">
        <v>7.3438583964840934E-4</v>
      </c>
    </row>
    <row r="15" spans="1:20" ht="11.25" customHeight="1" x14ac:dyDescent="0.2">
      <c r="A15" s="244">
        <f t="shared" si="5"/>
        <v>11</v>
      </c>
      <c r="B15" s="56" t="s">
        <v>34</v>
      </c>
      <c r="C15" s="251">
        <f t="shared" si="2"/>
        <v>17</v>
      </c>
      <c r="D15" s="249" t="str">
        <f t="shared" si="3"/>
        <v>EUR11x17F_Quote</v>
      </c>
      <c r="E15" s="296">
        <f>_xll.qlCalendarAdvance("target",SettlementDate,A15&amp;"M","mf",,Trigger)</f>
        <v>42499</v>
      </c>
      <c r="F15" s="296">
        <f>_xll.qlInterestRateIndexMaturity(ON_6M_index,E15)</f>
        <v>42683</v>
      </c>
      <c r="G15" s="62">
        <f>_xll.qlQuoteValue(D15,AllTriggers)</f>
        <v>1.2900000000000001E-3</v>
      </c>
      <c r="H15" s="62">
        <f>_xll.qlIndexFixing(ON_6M_index,_xll.qlInterestRateIndexFixingDate(ON_6M_index,E15),,AllTriggers)</f>
        <v>-8.734289927631758E-4</v>
      </c>
      <c r="I15" s="265">
        <f t="shared" si="0"/>
        <v>2.1634289927631757E-3</v>
      </c>
      <c r="J15" s="62">
        <f>_xll.qlTenorBasisValue($R$18,E15,Trigger)</f>
        <v>2.1561316133231322E-3</v>
      </c>
      <c r="K15" s="188">
        <f t="shared" si="4"/>
        <v>7.2973794400434805E-2</v>
      </c>
      <c r="L15" s="206">
        <f>_xll.qlDayCounterYearFraction("actual/365 (fixed)",SettlementDate,E15,,,Trigger)</f>
        <v>0.92054794520547945</v>
      </c>
      <c r="M15" s="234">
        <f t="shared" si="1"/>
        <v>7.2973794400434805E-6</v>
      </c>
      <c r="N15" s="184">
        <f>_xll.qlYieldTSDiscount(Discounting,E15,,AllTriggers)</f>
        <v>1.0011497106221909</v>
      </c>
      <c r="O15" s="237" t="b">
        <v>1</v>
      </c>
      <c r="Q15" s="277" t="s">
        <v>115</v>
      </c>
      <c r="R15" s="190">
        <v>-7.0135056285013033E-4</v>
      </c>
      <c r="S15" s="190" t="b">
        <v>1</v>
      </c>
      <c r="T15" s="190">
        <v>-5.2637314717053553E-4</v>
      </c>
    </row>
    <row r="16" spans="1:20" ht="11.25" customHeight="1" x14ac:dyDescent="0.2">
      <c r="A16" s="244">
        <f t="shared" si="5"/>
        <v>12</v>
      </c>
      <c r="B16" s="56" t="s">
        <v>34</v>
      </c>
      <c r="C16" s="251">
        <f t="shared" si="2"/>
        <v>18</v>
      </c>
      <c r="D16" s="249" t="str">
        <f t="shared" si="3"/>
        <v>EUR12x18F_Quote</v>
      </c>
      <c r="E16" s="296">
        <f>_xll.qlCalendarAdvance("target",SettlementDate,A16&amp;"M","mf",,Trigger)</f>
        <v>42529</v>
      </c>
      <c r="F16" s="296">
        <f>_xll.qlInterestRateIndexMaturity(ON_6M_index,E16)</f>
        <v>42712</v>
      </c>
      <c r="G16" s="62">
        <f>_xll.qlQuoteValue(D16,AllTriggers)</f>
        <v>1.3700000000000001E-3</v>
      </c>
      <c r="H16" s="62">
        <f>_xll.qlIndexFixing(ON_6M_index,_xll.qlInterestRateIndexFixingDate(ON_6M_index,E16),,AllTriggers)</f>
        <v>-7.9569614773001825E-4</v>
      </c>
      <c r="I16" s="265">
        <f t="shared" si="0"/>
        <v>2.1656961477300183E-3</v>
      </c>
      <c r="J16" s="62">
        <f>_xll.qlTenorBasisValue($R$18,E16,Trigger)</f>
        <v>2.1681461621500457E-3</v>
      </c>
      <c r="K16" s="188">
        <f t="shared" si="4"/>
        <v>-2.4500144200274333E-2</v>
      </c>
      <c r="L16" s="206">
        <f>_xll.qlDayCounterYearFraction("actual/365 (fixed)",SettlementDate,E16,,,Trigger)</f>
        <v>1.0027397260273974</v>
      </c>
      <c r="M16" s="234">
        <f t="shared" si="1"/>
        <v>-2.4500144200274333E-6</v>
      </c>
      <c r="N16" s="184">
        <f>_xll.qlYieldTSDiscount(Discounting,E16,,AllTriggers)</f>
        <v>1.0012402523390991</v>
      </c>
      <c r="O16" s="237" t="b">
        <v>1</v>
      </c>
      <c r="Q16" s="277" t="s">
        <v>116</v>
      </c>
      <c r="R16" s="190">
        <v>2.2957560046531553E-4</v>
      </c>
      <c r="S16" s="190" t="b">
        <v>1</v>
      </c>
      <c r="T16" s="190">
        <v>1.5743239353164766E-4</v>
      </c>
    </row>
    <row r="17" spans="1:20" ht="11.25" customHeight="1" x14ac:dyDescent="0.2">
      <c r="A17" s="244">
        <f t="shared" si="5"/>
        <v>13</v>
      </c>
      <c r="B17" s="56" t="s">
        <v>34</v>
      </c>
      <c r="C17" s="251">
        <f t="shared" si="2"/>
        <v>19</v>
      </c>
      <c r="D17" s="249" t="str">
        <f t="shared" si="3"/>
        <v>EUR13x19F_Quote</v>
      </c>
      <c r="E17" s="296">
        <f>_xll.qlCalendarAdvance("target",SettlementDate,A17&amp;"M","mf",,Trigger)</f>
        <v>42559</v>
      </c>
      <c r="F17" s="296">
        <f>_xll.qlInterestRateIndexMaturity(ON_6M_index,E17)</f>
        <v>42744</v>
      </c>
      <c r="G17" s="62">
        <f>_xll.qlQuoteValue(D17,AllTriggers)</f>
        <v>1.5E-3</v>
      </c>
      <c r="H17" s="62">
        <f>_xll.qlIndexFixing(ON_6M_index,_xll.qlInterestRateIndexFixingDate(ON_6M_index,E17),,AllTriggers)</f>
        <v>-6.5255104623203298E-4</v>
      </c>
      <c r="I17" s="265">
        <f t="shared" si="0"/>
        <v>2.1525510462320329E-3</v>
      </c>
      <c r="J17" s="62">
        <f>_xll.qlTenorBasisValue($R$18,E17,Trigger)</f>
        <v>2.1800156457889002E-3</v>
      </c>
      <c r="K17" s="188">
        <f t="shared" si="4"/>
        <v>-0.27464599556867308</v>
      </c>
      <c r="L17" s="206">
        <f>_xll.qlDayCounterYearFraction("actual/365 (fixed)",SettlementDate,E17,,,Trigger)</f>
        <v>1.0849315068493151</v>
      </c>
      <c r="M17" s="234">
        <f t="shared" si="1"/>
        <v>-2.7464599556867308E-5</v>
      </c>
      <c r="N17" s="184">
        <f>_xll.qlYieldTSDiscount(Discounting,E17,,AllTriggers)</f>
        <v>1.0013242712555703</v>
      </c>
      <c r="O17" s="237" t="b">
        <v>0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A18" s="244">
        <f t="shared" si="5"/>
        <v>14</v>
      </c>
      <c r="B18" s="56" t="s">
        <v>34</v>
      </c>
      <c r="C18" s="251">
        <f t="shared" si="2"/>
        <v>20</v>
      </c>
      <c r="D18" s="249" t="str">
        <f t="shared" si="3"/>
        <v>EUR14x20F_Quote</v>
      </c>
      <c r="E18" s="296">
        <f>_xll.qlCalendarAdvance("target",SettlementDate,A18&amp;"M","mf",,Trigger)</f>
        <v>42590</v>
      </c>
      <c r="F18" s="296">
        <f>_xll.qlInterestRateIndexMaturity(ON_6M_index,E18)</f>
        <v>42774</v>
      </c>
      <c r="G18" s="62">
        <f>_xll.qlQuoteValue(D18,AllTriggers)</f>
        <v>1.6099999999999997E-3</v>
      </c>
      <c r="H18" s="62">
        <f>_xll.qlIndexFixing(ON_6M_index,_xll.qlInterestRateIndexFixingDate(ON_6M_index,E18),,AllTriggers)</f>
        <v>-5.7142293852804774E-4</v>
      </c>
      <c r="I18" s="265">
        <f t="shared" si="0"/>
        <v>2.1814229385280475E-3</v>
      </c>
      <c r="J18" s="62">
        <f>_xll.qlTenorBasisValue($R$18,E18,Trigger)</f>
        <v>2.1929407988151473E-3</v>
      </c>
      <c r="K18" s="188">
        <f t="shared" si="4"/>
        <v>-0.11517860287099754</v>
      </c>
      <c r="L18" s="206">
        <f>_xll.qlDayCounterYearFraction("actual/365 (fixed)",SettlementDate,E18,,,Trigger)</f>
        <v>1.1698630136986301</v>
      </c>
      <c r="M18" s="234">
        <f t="shared" si="1"/>
        <v>-1.1517860287099755E-5</v>
      </c>
      <c r="N18" s="184">
        <f>_xll.qlYieldTSDiscount(Discounting,E18,,AllTriggers)</f>
        <v>1.0014042761065125</v>
      </c>
      <c r="O18" s="237" t="b">
        <v>0</v>
      </c>
      <c r="Q18" s="277" t="s">
        <v>118</v>
      </c>
      <c r="R18" s="190" t="str">
        <f>_xll.qlPolynomialTenorBasis(,PROPER(Currency)&amp;IborType&amp;$F$1,Discounting,SettlementDate,TRUE,_xll.ohFilter(R13:R17,S13:S17),,Trigger)</f>
        <v>obj_005e1#0025</v>
      </c>
      <c r="T18" s="55"/>
    </row>
    <row r="19" spans="1:20" ht="11.25" customHeight="1" x14ac:dyDescent="0.2">
      <c r="A19" s="244">
        <f t="shared" si="5"/>
        <v>15</v>
      </c>
      <c r="B19" s="56" t="s">
        <v>34</v>
      </c>
      <c r="C19" s="251">
        <f t="shared" si="2"/>
        <v>21</v>
      </c>
      <c r="D19" s="249" t="str">
        <f t="shared" si="3"/>
        <v>EUR15x21F_Quote</v>
      </c>
      <c r="E19" s="296">
        <f>_xll.qlCalendarAdvance("target",SettlementDate,A19&amp;"M","mf",,Trigger)</f>
        <v>42621</v>
      </c>
      <c r="F19" s="296">
        <f>_xll.qlInterestRateIndexMaturity(ON_6M_index,E19)</f>
        <v>42802</v>
      </c>
      <c r="G19" s="62">
        <f>_xll.qlQuoteValue(D19,AllTriggers)</f>
        <v>1.7299999999999998E-3</v>
      </c>
      <c r="H19" s="62">
        <f>_xll.qlIndexFixing(ON_6M_index,_xll.qlInterestRateIndexFixingDate(ON_6M_index,E19),,AllTriggers)</f>
        <v>-4.7950303744178778E-4</v>
      </c>
      <c r="I19" s="265">
        <f t="shared" si="0"/>
        <v>2.2095030374417873E-3</v>
      </c>
      <c r="J19" s="62">
        <f>_xll.qlTenorBasisValue($R$18,E19,Trigger)</f>
        <v>2.2073716031252933E-3</v>
      </c>
      <c r="K19" s="188">
        <f t="shared" si="4"/>
        <v>2.1314343164940616E-2</v>
      </c>
      <c r="L19" s="206">
        <f>_xll.qlDayCounterYearFraction("actual/365 (fixed)",SettlementDate,E19,,,Trigger)</f>
        <v>1.2547945205479452</v>
      </c>
      <c r="M19" s="234">
        <f t="shared" si="1"/>
        <v>2.1314343164940616E-6</v>
      </c>
      <c r="N19" s="184">
        <f>_xll.qlYieldTSDiscount(Discounting,E19,,AllTriggers)</f>
        <v>1.0014763776333644</v>
      </c>
      <c r="O19" s="237" t="b">
        <v>0</v>
      </c>
      <c r="T19" s="55"/>
    </row>
    <row r="20" spans="1:20" ht="11.25" customHeight="1" x14ac:dyDescent="0.2">
      <c r="A20" s="244">
        <f t="shared" si="5"/>
        <v>16</v>
      </c>
      <c r="B20" s="56" t="s">
        <v>34</v>
      </c>
      <c r="C20" s="251">
        <f t="shared" si="2"/>
        <v>22</v>
      </c>
      <c r="D20" s="249" t="str">
        <f t="shared" si="3"/>
        <v>EUR16x22F_Quote</v>
      </c>
      <c r="E20" s="296">
        <f>_xll.qlCalendarAdvance("target",SettlementDate,A20&amp;"M","mf",,Trigger)</f>
        <v>42653</v>
      </c>
      <c r="F20" s="296">
        <f>_xll.qlInterestRateIndexMaturity(ON_6M_index,E20)</f>
        <v>42835</v>
      </c>
      <c r="G20" s="62">
        <f>_xll.qlQuoteValue(D20,AllTriggers)</f>
        <v>1.89E-3</v>
      </c>
      <c r="H20" s="62">
        <f>_xll.qlIndexFixing(ON_6M_index,_xll.qlInterestRateIndexFixingDate(ON_6M_index,E20),,AllTriggers)</f>
        <v>-3.5488975786727859E-4</v>
      </c>
      <c r="I20" s="265">
        <f t="shared" si="0"/>
        <v>2.2448897578672784E-3</v>
      </c>
      <c r="J20" s="62">
        <f>_xll.qlTenorBasisValue($R$18,E20,Trigger)</f>
        <v>2.2247418814503182E-3</v>
      </c>
      <c r="K20" s="188">
        <f t="shared" si="4"/>
        <v>0.20147876416960145</v>
      </c>
      <c r="L20" s="206">
        <f>_xll.qlDayCounterYearFraction("actual/365 (fixed)",SettlementDate,E20,,,Trigger)</f>
        <v>1.3424657534246576</v>
      </c>
      <c r="M20" s="234">
        <f t="shared" si="1"/>
        <v>2.0147876416960146E-5</v>
      </c>
      <c r="N20" s="184">
        <f>_xll.qlYieldTSDiscount(Discounting,E20,,AllTriggers)</f>
        <v>1.0015420073754082</v>
      </c>
      <c r="O20" s="237" t="b">
        <v>0</v>
      </c>
      <c r="T20" s="55"/>
    </row>
    <row r="21" spans="1:20" ht="11.25" customHeight="1" x14ac:dyDescent="0.2">
      <c r="A21" s="244">
        <f t="shared" si="5"/>
        <v>17</v>
      </c>
      <c r="B21" s="56" t="s">
        <v>34</v>
      </c>
      <c r="C21" s="251">
        <f t="shared" si="2"/>
        <v>23</v>
      </c>
      <c r="D21" s="249" t="str">
        <f t="shared" si="3"/>
        <v>EUR17x23F_Quote</v>
      </c>
      <c r="E21" s="296">
        <f>_xll.qlCalendarAdvance("target",SettlementDate,A21&amp;"M","mf",,Trigger)</f>
        <v>42682</v>
      </c>
      <c r="F21" s="296">
        <f>_xll.qlInterestRateIndexMaturity(ON_6M_index,E21)</f>
        <v>42863</v>
      </c>
      <c r="G21" s="62">
        <f>_xll.qlQuoteValue(D21,AllTriggers)</f>
        <v>2.0400000000000001E-3</v>
      </c>
      <c r="H21" s="62">
        <f>_xll.qlIndexFixing(ON_6M_index,_xll.qlInterestRateIndexFixingDate(ON_6M_index,E21),,AllTriggers)</f>
        <v>-2.252396820272476E-4</v>
      </c>
      <c r="I21" s="265">
        <f t="shared" si="0"/>
        <v>2.2652396820272477E-3</v>
      </c>
      <c r="J21" s="62">
        <f>_xll.qlTenorBasisValue($R$18,E21,Trigger)</f>
        <v>2.2434229072262591E-3</v>
      </c>
      <c r="K21" s="188">
        <f t="shared" si="4"/>
        <v>0.21816774800988581</v>
      </c>
      <c r="L21" s="206">
        <f>_xll.qlDayCounterYearFraction("actual/365 (fixed)",SettlementDate,E21,,,Trigger)</f>
        <v>1.4219178082191781</v>
      </c>
      <c r="M21" s="234">
        <f t="shared" si="1"/>
        <v>2.1816774800988582E-5</v>
      </c>
      <c r="N21" s="184">
        <f>_xll.qlYieldTSDiscount(Discounting,E21,,AllTriggers)</f>
        <v>1.0015950999006336</v>
      </c>
      <c r="O21" s="237" t="b">
        <v>0</v>
      </c>
      <c r="T21" s="55"/>
    </row>
    <row r="22" spans="1:20" ht="11.25" customHeight="1" x14ac:dyDescent="0.2">
      <c r="A22" s="245">
        <f t="shared" si="5"/>
        <v>18</v>
      </c>
      <c r="B22" s="246" t="s">
        <v>34</v>
      </c>
      <c r="C22" s="253">
        <f t="shared" si="2"/>
        <v>24</v>
      </c>
      <c r="D22" s="250" t="str">
        <f t="shared" si="3"/>
        <v>EUR18x24F_Quote</v>
      </c>
      <c r="E22" s="297">
        <f>_xll.qlCalendarAdvance("target",SettlementDate,A22&amp;"M","mf",,Trigger)</f>
        <v>42712</v>
      </c>
      <c r="F22" s="297">
        <f>_xll.qlInterestRateIndexMaturity(ON_6M_index,E22)</f>
        <v>42894</v>
      </c>
      <c r="G22" s="65">
        <f>_xll.qlQuoteValue(D22,AllTriggers)</f>
        <v>2.2000000000000001E-3</v>
      </c>
      <c r="H22" s="65">
        <f>_xll.qlIndexFixing(ON_6M_index,_xll.qlInterestRateIndexFixingDate(ON_6M_index,E22),,AllTriggers)</f>
        <v>-6.6324583335551803E-5</v>
      </c>
      <c r="I22" s="260">
        <f t="shared" si="0"/>
        <v>2.2663245833355519E-3</v>
      </c>
      <c r="J22" s="65">
        <f>_xll.qlTenorBasisValue($R$18,E22,Trigger)</f>
        <v>2.2664494133273877E-3</v>
      </c>
      <c r="K22" s="189">
        <f t="shared" si="4"/>
        <v>-1.2482999183589458E-3</v>
      </c>
      <c r="L22" s="207">
        <f>_xll.qlDayCounterYearFraction("actual/365 (fixed)",SettlementDate,E22,,,Trigger)</f>
        <v>1.5041095890410958</v>
      </c>
      <c r="M22" s="235">
        <f t="shared" si="1"/>
        <v>-1.2482999183589458E-7</v>
      </c>
      <c r="N22" s="185">
        <f>_xll.qlYieldTSDiscount(Discounting,E22,,AllTriggers)</f>
        <v>1.0016453967424186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M23" s="56"/>
      <c r="N23" s="56"/>
      <c r="O23" s="56"/>
      <c r="T23" s="55"/>
    </row>
    <row r="24" spans="1:20" ht="21.95" customHeight="1" thickBot="1" x14ac:dyDescent="0.25">
      <c r="F24" s="58" t="s">
        <v>91</v>
      </c>
      <c r="G24" s="58" t="s">
        <v>132</v>
      </c>
      <c r="H24" s="58" t="s">
        <v>81</v>
      </c>
      <c r="I24" s="286" t="s">
        <v>129</v>
      </c>
      <c r="T24" s="55"/>
    </row>
    <row r="25" spans="1:20" ht="11.25" customHeight="1" x14ac:dyDescent="0.2">
      <c r="F25" s="61" t="s">
        <v>38</v>
      </c>
      <c r="G25" s="298">
        <f>_xll.qlCalendarAdvance(Calendar,SettlementDate,"0D","mf",TRUE,Trigger)</f>
        <v>42163</v>
      </c>
      <c r="H25" s="295">
        <f>_xll.qlCalendarAdvance(Calendar,SettlementDate,F25,"Following",,Trigger)</f>
        <v>42164</v>
      </c>
      <c r="I25" s="287">
        <f>_xll.qlTenorBasisForwardRate2(TenorBasis6M,G25,H25,AllTriggers)</f>
        <v>3.241783158713929E-4</v>
      </c>
    </row>
    <row r="26" spans="1:20" ht="11.25" customHeight="1" x14ac:dyDescent="0.2">
      <c r="F26" s="63" t="s">
        <v>39</v>
      </c>
      <c r="G26" s="299">
        <f>_xll.qlCalendarAdvance(Calendar,SettlementDate,"0D","mf",TRUE,Trigger)</f>
        <v>42163</v>
      </c>
      <c r="H26" s="296">
        <f>_xll.qlCalendarAdvance(Calendar,SettlementDate,F26,"Following",,Trigger)</f>
        <v>42170</v>
      </c>
      <c r="I26" s="288">
        <f>_xll.qlTenorBasisForwardRate2(TenorBasis6M,G26,H26,AllTriggers)</f>
        <v>3.3416013810873475E-4</v>
      </c>
    </row>
    <row r="27" spans="1:20" ht="11.25" customHeight="1" x14ac:dyDescent="0.2">
      <c r="F27" s="63" t="s">
        <v>40</v>
      </c>
      <c r="G27" s="299">
        <f>_xll.qlCalendarAdvance(Calendar,SettlementDate,"0D","mf",TRUE,Trigger)</f>
        <v>42163</v>
      </c>
      <c r="H27" s="296">
        <f>_xll.qlCalendarAdvance(Calendar,SettlementDate,F27,"Following",,Trigger)</f>
        <v>42177</v>
      </c>
      <c r="I27" s="288">
        <f>_xll.qlTenorBasisForwardRate2(TenorBasis6M,G27,H27,AllTriggers)</f>
        <v>3.6559869292534283E-4</v>
      </c>
    </row>
    <row r="28" spans="1:20" ht="11.25" customHeight="1" x14ac:dyDescent="0.2">
      <c r="F28" s="63" t="s">
        <v>41</v>
      </c>
      <c r="G28" s="299">
        <f>_xll.qlCalendarAdvance(Calendar,SettlementDate,"0D","mf",TRUE,Trigger)</f>
        <v>42163</v>
      </c>
      <c r="H28" s="296">
        <f>_xll.qlCalendarAdvance(Calendar,SettlementDate,F28,"Following",,Trigger)</f>
        <v>42184</v>
      </c>
      <c r="I28" s="288">
        <f>_xll.qlTenorBasisForwardRate2(TenorBasis6M,G28,H28,AllTriggers)</f>
        <v>3.6682874906799966E-4</v>
      </c>
    </row>
    <row r="29" spans="1:20" ht="11.25" customHeight="1" x14ac:dyDescent="0.2">
      <c r="F29" s="266" t="s">
        <v>35</v>
      </c>
      <c r="G29" s="300">
        <f>_xll.qlCalendarAdvance(Calendar,SettlementDate,"0D","mf",TRUE,Trigger)</f>
        <v>42163</v>
      </c>
      <c r="H29" s="301">
        <f>_xll.qlCalendarAdvance(Calendar,SettlementDate,F29,"mf",TRUE,Trigger)</f>
        <v>42193</v>
      </c>
      <c r="I29" s="289">
        <f>_xll.qlTenorBasisForwardRate2(TenorBasis6M,G29,H29,AllTriggers)</f>
        <v>3.6645507358468166E-4</v>
      </c>
    </row>
    <row r="30" spans="1:20" ht="11.25" customHeight="1" x14ac:dyDescent="0.2">
      <c r="F30" s="63" t="s">
        <v>42</v>
      </c>
      <c r="G30" s="299">
        <f>_xll.qlCalendarAdvance(Calendar,SettlementDate,"0D","mf",TRUE,Trigger)</f>
        <v>42163</v>
      </c>
      <c r="H30" s="296">
        <f>_xll.qlCalendarAdvance(Calendar,SettlementDate,F30,"mf",TRUE,Trigger)</f>
        <v>42226</v>
      </c>
      <c r="I30" s="288">
        <f>_xll.qlTenorBasisForwardRate2(TenorBasis6M,G30,H30,AllTriggers)</f>
        <v>3.81994436043444E-4</v>
      </c>
    </row>
    <row r="31" spans="1:20" ht="11.25" customHeight="1" x14ac:dyDescent="0.2">
      <c r="F31" s="63" t="s">
        <v>36</v>
      </c>
      <c r="G31" s="299">
        <f>_xll.qlCalendarAdvance(Calendar,SettlementDate,"0D","mf",TRUE,Trigger)</f>
        <v>42163</v>
      </c>
      <c r="H31" s="296">
        <f>_xll.qlCalendarAdvance(Calendar,SettlementDate,F31,"mf",TRUE,Trigger)</f>
        <v>42255</v>
      </c>
      <c r="I31" s="288">
        <f>_xll.qlTenorBasisForwardRate2(TenorBasis6M,G31,H31,AllTriggers)</f>
        <v>3.9484329466596776E-4</v>
      </c>
    </row>
    <row r="32" spans="1:20" ht="11.25" customHeight="1" x14ac:dyDescent="0.2">
      <c r="F32" s="63" t="s">
        <v>43</v>
      </c>
      <c r="G32" s="299">
        <f>_xll.qlCalendarAdvance(Calendar,SettlementDate,"0D","mf",TRUE,Trigger)</f>
        <v>42163</v>
      </c>
      <c r="H32" s="296">
        <f>_xll.qlCalendarAdvance(Calendar,SettlementDate,F32,"mf",TRUE,Trigger)</f>
        <v>42285</v>
      </c>
      <c r="I32" s="288">
        <f>_xll.qlTenorBasisForwardRate2(TenorBasis6M,G32,H32,AllTriggers)</f>
        <v>4.2839036714768179E-4</v>
      </c>
    </row>
    <row r="33" spans="5:9" ht="11.25" customHeight="1" x14ac:dyDescent="0.2">
      <c r="F33" s="64" t="s">
        <v>44</v>
      </c>
      <c r="G33" s="302">
        <f>_xll.qlCalendarAdvance(Calendar,SettlementDate,"0D","mf",TRUE,Trigger)</f>
        <v>42163</v>
      </c>
      <c r="H33" s="297">
        <f>_xll.qlCalendarAdvance(Calendar,SettlementDate,F33,"mf",TRUE,Trigger)</f>
        <v>42317</v>
      </c>
      <c r="I33" s="290">
        <f>_xll.qlTenorBasisForwardRate2(TenorBasis6M,G33,H33,AllTriggers)</f>
        <v>4.5430778824257596E-4</v>
      </c>
    </row>
    <row r="34" spans="5:9" ht="11.25" customHeight="1" thickBot="1" x14ac:dyDescent="0.25">
      <c r="F34" s="264" t="s">
        <v>37</v>
      </c>
      <c r="G34" s="303">
        <f>_xll.qlCalendarAdvance(Calendar,SettlementDate,"0D","mf",TRUE,Trigger)</f>
        <v>42163</v>
      </c>
      <c r="H34" s="294">
        <f>_xll.qlCalendarAdvance(Calendar,SettlementDate,F34,"mf",TRUE,Trigger)</f>
        <v>42346</v>
      </c>
      <c r="I34" s="291">
        <f>_xll.qlTenorBasisForwardRate2(TenorBasis6M,G34,H34,AllTriggers)</f>
        <v>4.8065290598658667E-4</v>
      </c>
    </row>
    <row r="35" spans="5:9" ht="11.25" customHeight="1" x14ac:dyDescent="0.2"/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/>
    <row r="40" spans="5:9" ht="11.25" customHeight="1" x14ac:dyDescent="0.2"/>
    <row r="41" spans="5:9" ht="11.25" customHeight="1" x14ac:dyDescent="0.2"/>
    <row r="42" spans="5:9" ht="11.25" customHeight="1" x14ac:dyDescent="0.2">
      <c r="H42" s="57"/>
      <c r="I42" s="57"/>
    </row>
    <row r="43" spans="5:9" ht="11.25" customHeight="1" x14ac:dyDescent="0.2">
      <c r="E43" s="182"/>
      <c r="H43" s="57"/>
      <c r="I43" s="57"/>
    </row>
    <row r="44" spans="5:9" ht="11.25" customHeight="1" x14ac:dyDescent="0.2">
      <c r="E44" s="182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49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10.5" style="54" hidden="1" customWidth="1" outlineLevel="1"/>
    <col min="13" max="13" width="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26</v>
      </c>
    </row>
    <row r="2" spans="1:20" ht="21.95" customHeight="1" x14ac:dyDescent="0.2">
      <c r="D2" s="58" t="str">
        <f>F1&amp;" Instruments"</f>
        <v>1Y Instruments</v>
      </c>
      <c r="E2" s="58" t="s">
        <v>92</v>
      </c>
      <c r="F2" s="58" t="s">
        <v>93</v>
      </c>
      <c r="G2" s="58" t="str">
        <f>F1&amp;" Market quote"</f>
        <v>1Y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89</v>
      </c>
      <c r="M2" s="58" t="s">
        <v>123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1Y</v>
      </c>
      <c r="D3" s="259" t="str">
        <f>Currency&amp;A3&amp;B3&amp;C3&amp;"F"&amp;"_Estimated"</f>
        <v>EUR0x1YF_Estimated</v>
      </c>
      <c r="E3" s="294">
        <f>SettlementDate</f>
        <v>42163</v>
      </c>
      <c r="F3" s="294">
        <f>_xll.qlInterestRateIndexMaturity(PROPER(Currency)&amp;"ibor"&amp;$F$1,E3)</f>
        <v>42529</v>
      </c>
      <c r="G3" s="258">
        <f>J3+$H$4</f>
        <v>1.6784772997037419E-3</v>
      </c>
      <c r="H3" s="239"/>
      <c r="I3" s="239"/>
      <c r="J3" s="190">
        <f>_xll.qlTenorBasisValue($R$18,E3,Trigger)</f>
        <v>2.8859709757861327E-3</v>
      </c>
      <c r="K3" s="239"/>
      <c r="L3" s="239"/>
      <c r="M3" s="283">
        <f>_xll.qlDayCounterYearFraction("actual/365 (fixed)",SettlementDate,E3,,,Trigger)</f>
        <v>0</v>
      </c>
      <c r="N3" s="239"/>
      <c r="O3" s="257"/>
      <c r="Q3" s="277" t="s">
        <v>134</v>
      </c>
      <c r="R3" s="190" t="str">
        <f>_xll.qlIborIndex(,,F1,2,Currency,Calendar,"mf",TRUE,DayCounter,Discounting,,Trigger)</f>
        <v>obj_00593#0000</v>
      </c>
    </row>
    <row r="4" spans="1:20" ht="11.25" customHeight="1" x14ac:dyDescent="0.2">
      <c r="A4" s="254">
        <v>0</v>
      </c>
      <c r="B4" s="255" t="s">
        <v>34</v>
      </c>
      <c r="C4" s="256" t="str">
        <f>SUBSTITUTE($F$1,"M","")</f>
        <v>1Y</v>
      </c>
      <c r="D4" s="247" t="str">
        <f>PROPER(Currency&amp;IborType)&amp;F1&amp;"LastFixing"&amp;QuoteSuffix</f>
        <v>Euribor1YLastFixing_Quote</v>
      </c>
      <c r="E4" s="294">
        <f>SettlementDate</f>
        <v>42163</v>
      </c>
      <c r="F4" s="294">
        <f>_xll.qlInterestRateIndexMaturity(ON_12M_index,E4)</f>
        <v>42529</v>
      </c>
      <c r="G4" s="190">
        <f>_xll.qlQuoteValue(D4,LastFixingsTrigger)</f>
        <v>1.6200000000000001E-3</v>
      </c>
      <c r="H4" s="190">
        <f>_xll.qlIndexFixing(ON_12M_index,_xll.qlInterestRateIndexFixingDate(ON_12M_index,E4),,AllTriggers)</f>
        <v>-1.2074936760823908E-3</v>
      </c>
      <c r="I4" s="258">
        <f t="shared" ref="I4:I14" si="0">G4-H4</f>
        <v>2.827493676082391E-3</v>
      </c>
      <c r="J4" s="186">
        <f>_xll.qlTenorBasisValue($R$18,E4,Trigger)</f>
        <v>2.8859709757861327E-3</v>
      </c>
      <c r="K4" s="187">
        <f>L4*10000</f>
        <v>-0.58477299703741781</v>
      </c>
      <c r="L4" s="278">
        <f t="shared" ref="L4:L16" si="1">I4-J4</f>
        <v>-5.847729970374178E-5</v>
      </c>
      <c r="M4" s="284">
        <f>_xll.qlDayCounterYearFraction("actual/365 (fixed)",SettlementDate,E4,,,Trigger)</f>
        <v>0</v>
      </c>
      <c r="N4" s="281">
        <f>_xll.qlYieldTSDiscount(Discounting,E4,,AllTriggers)</f>
        <v>1.0000111112116115</v>
      </c>
      <c r="O4" s="236" t="b">
        <v>1</v>
      </c>
    </row>
    <row r="5" spans="1:20" ht="11.25" customHeight="1" x14ac:dyDescent="0.2">
      <c r="A5" s="244">
        <v>1</v>
      </c>
      <c r="B5" s="56" t="s">
        <v>34</v>
      </c>
      <c r="C5" s="251">
        <f>A5+12</f>
        <v>13</v>
      </c>
      <c r="D5" s="248" t="str">
        <f t="shared" ref="D5:D17" si="2">Currency&amp;A5&amp;B5&amp;C5&amp;"F"&amp;QuoteSuffix</f>
        <v>EUR1x13F_Quote</v>
      </c>
      <c r="E5" s="295">
        <f>_xll.qlCalendarAdvance("target",SettlementDate,A5&amp;"M","mf",,Trigger)</f>
        <v>42193</v>
      </c>
      <c r="F5" s="295">
        <f>_xll.qlInterestRateIndexMaturity(ON_12M_index,E5)</f>
        <v>42559</v>
      </c>
      <c r="G5" s="67">
        <f>_xll.qlQuoteValue(D5,AllTriggers)</f>
        <v>1.7499999999999998E-3</v>
      </c>
      <c r="H5" s="67">
        <f>_xll.qlIndexFixing(ON_12M_index,_xll.qlInterestRateIndexFixingDate(ON_12M_index,E5),,AllTriggers)</f>
        <v>-1.1921325587408748E-3</v>
      </c>
      <c r="I5" s="280">
        <f t="shared" ref="I5:I13" si="3">G5-H5</f>
        <v>2.9421325587408748E-3</v>
      </c>
      <c r="J5" s="67">
        <f>_xll.qlTenorBasisValue($R$18,E5,Trigger)</f>
        <v>2.9021147022755562E-3</v>
      </c>
      <c r="K5" s="240">
        <f t="shared" ref="K5:K16" si="4">L5*10000</f>
        <v>0.40017856465318635</v>
      </c>
      <c r="L5" s="279">
        <f t="shared" si="1"/>
        <v>4.0017856465318635E-5</v>
      </c>
      <c r="M5" s="285">
        <f>_xll.qlDayCounterYearFraction("actual/365 (fixed)",SettlementDate,E5,,,Trigger)</f>
        <v>8.2191780821917804E-2</v>
      </c>
      <c r="N5" s="183">
        <f>_xll.qlYieldTSDiscount(Discounting,E5,,AllTriggers)</f>
        <v>1.0001106648021887</v>
      </c>
      <c r="O5" s="241" t="b">
        <v>1</v>
      </c>
      <c r="Q5" s="261" t="s">
        <v>125</v>
      </c>
      <c r="R5" s="262"/>
      <c r="T5" s="55"/>
    </row>
    <row r="6" spans="1:20" ht="11.25" customHeight="1" x14ac:dyDescent="0.2">
      <c r="A6" s="244">
        <v>2</v>
      </c>
      <c r="B6" s="56" t="s">
        <v>34</v>
      </c>
      <c r="C6" s="251">
        <f t="shared" ref="C6:C16" si="5">A6+12</f>
        <v>14</v>
      </c>
      <c r="D6" s="249" t="str">
        <f t="shared" si="2"/>
        <v>EUR2x14F_Quote</v>
      </c>
      <c r="E6" s="296">
        <f>_xll.qlCalendarAdvance("target",SettlementDate,A6&amp;"M","mf",,Trigger)</f>
        <v>42226</v>
      </c>
      <c r="F6" s="296">
        <f>_xll.qlInterestRateIndexMaturity(ON_12M_index,E6)</f>
        <v>42592</v>
      </c>
      <c r="G6" s="62">
        <f>_xll.qlQuoteValue(D6,AllTriggers)</f>
        <v>1.8E-3</v>
      </c>
      <c r="H6" s="62">
        <f>_xll.qlIndexFixing(ON_12M_index,_xll.qlInterestRateIndexFixingDate(ON_12M_index,E6),,AllTriggers)</f>
        <v>-1.1620855295020765E-3</v>
      </c>
      <c r="I6" s="265">
        <f t="shared" si="3"/>
        <v>2.9620855295020765E-3</v>
      </c>
      <c r="J6" s="62">
        <f>_xll.qlTenorBasisValue($R$18,E6,Trigger)</f>
        <v>2.9233449638555054E-3</v>
      </c>
      <c r="K6" s="188">
        <f t="shared" si="4"/>
        <v>0.38740565646571029</v>
      </c>
      <c r="L6" s="234">
        <f t="shared" si="1"/>
        <v>3.874056564657103E-5</v>
      </c>
      <c r="M6" s="206">
        <f>_xll.qlDayCounterYearFraction("actual/365 (fixed)",SettlementDate,E6,,,Trigger)</f>
        <v>0.17260273972602741</v>
      </c>
      <c r="N6" s="184">
        <f>_xll.qlYieldTSDiscount(Discounting,E6,,AllTriggers)</f>
        <v>1.0002260583921088</v>
      </c>
      <c r="O6" s="237" t="b">
        <v>1</v>
      </c>
      <c r="Q6" s="277" t="s">
        <v>126</v>
      </c>
      <c r="R6" s="282" t="str">
        <f>_xll.qlPolynomialCalibration(,_xll.ohFilter($M$4:$M$17,$O$4:$O$17),_xll.ohFilter($I$4:$I$17,$O$4:$O$17),_xll.ohFilter($N$4:$N$17,$O$4:$O$17),_xll.ohFilter(T13:T17,S13:S17),,,,,Trigger)</f>
        <v>obj_005df#0024</v>
      </c>
      <c r="T6" s="55"/>
    </row>
    <row r="7" spans="1:20" ht="11.25" customHeight="1" x14ac:dyDescent="0.2">
      <c r="A7" s="244">
        <f>A6+1</f>
        <v>3</v>
      </c>
      <c r="B7" s="56" t="s">
        <v>34</v>
      </c>
      <c r="C7" s="251">
        <f t="shared" si="5"/>
        <v>15</v>
      </c>
      <c r="D7" s="249" t="str">
        <f t="shared" si="2"/>
        <v>EUR3x15F_Quote</v>
      </c>
      <c r="E7" s="296">
        <f>_xll.qlCalendarAdvance("target",SettlementDate,A7&amp;"M","mf",,Trigger)</f>
        <v>42255</v>
      </c>
      <c r="F7" s="296">
        <f>_xll.qlInterestRateIndexMaturity(ON_12M_index,E7)</f>
        <v>42621</v>
      </c>
      <c r="G7" s="62">
        <f>_xll.qlQuoteValue(D7,AllTriggers)</f>
        <v>1.8400000000000001E-3</v>
      </c>
      <c r="H7" s="62">
        <f>_xll.qlIndexFixing(ON_12M_index,_xll.qlInterestRateIndexFixingDate(ON_12M_index,E7),,AllTriggers)</f>
        <v>-1.1240884029558094E-3</v>
      </c>
      <c r="I7" s="265">
        <f t="shared" si="3"/>
        <v>2.9640884029558095E-3</v>
      </c>
      <c r="J7" s="62">
        <f>_xll.qlTenorBasisValue($R$18,E7,Trigger)</f>
        <v>2.9447108336345439E-3</v>
      </c>
      <c r="K7" s="188">
        <f t="shared" si="4"/>
        <v>0.19377569321265586</v>
      </c>
      <c r="L7" s="234">
        <f t="shared" si="1"/>
        <v>1.9377569321265588E-5</v>
      </c>
      <c r="M7" s="206">
        <f>_xll.qlDayCounterYearFraction("actual/365 (fixed)",SettlementDate,E7,,,Trigger)</f>
        <v>0.25205479452054796</v>
      </c>
      <c r="N7" s="184">
        <f>_xll.qlYieldTSDiscount(Discounting,E7,,AllTriggers)</f>
        <v>1.0003318671850669</v>
      </c>
      <c r="O7" s="237" t="b">
        <v>1</v>
      </c>
      <c r="Q7" s="277" t="s">
        <v>127</v>
      </c>
      <c r="R7" s="282" t="b">
        <f>_xll.qlPolynomialCalibrationCompute($R$6,AllTriggers)</f>
        <v>1</v>
      </c>
      <c r="T7" s="55"/>
    </row>
    <row r="8" spans="1:20" ht="11.25" customHeight="1" x14ac:dyDescent="0.2">
      <c r="A8" s="244">
        <f t="shared" ref="A8:A16" si="6">A7+1</f>
        <v>4</v>
      </c>
      <c r="B8" s="56" t="s">
        <v>34</v>
      </c>
      <c r="C8" s="251">
        <f t="shared" si="5"/>
        <v>16</v>
      </c>
      <c r="D8" s="191" t="str">
        <f t="shared" si="2"/>
        <v>EUR4x16F_Quote</v>
      </c>
      <c r="E8" s="296">
        <f>_xll.qlCalendarAdvance("target",SettlementDate,A8&amp;"M","mf",,Trigger)</f>
        <v>42285</v>
      </c>
      <c r="F8" s="296">
        <f>_xll.qlInterestRateIndexMaturity(ON_12M_index,E8)</f>
        <v>42653</v>
      </c>
      <c r="G8" s="62">
        <f>_xll.qlQuoteValue(D8,AllTriggers)</f>
        <v>1.9E-3</v>
      </c>
      <c r="H8" s="62">
        <f>_xll.qlIndexFixing(ON_12M_index,_xll.qlInterestRateIndexFixingDate(ON_12M_index,E8),,AllTriggers)</f>
        <v>-1.0784318452227667E-3</v>
      </c>
      <c r="I8" s="265">
        <f t="shared" si="3"/>
        <v>2.9784318452227669E-3</v>
      </c>
      <c r="J8" s="62">
        <f>_xll.qlTenorBasisValue($R$18,E8,Trigger)</f>
        <v>2.9691909332129509E-3</v>
      </c>
      <c r="K8" s="188">
        <f t="shared" si="4"/>
        <v>9.2409120098159603E-2</v>
      </c>
      <c r="L8" s="234">
        <f t="shared" si="1"/>
        <v>9.240912009815961E-6</v>
      </c>
      <c r="M8" s="206">
        <f>_xll.qlDayCounterYearFraction("actual/365 (fixed)",SettlementDate,E8,,,Trigger)</f>
        <v>0.33424657534246577</v>
      </c>
      <c r="N8" s="184">
        <f>_xll.qlYieldTSDiscount(Discounting,E8,,AllTriggers)</f>
        <v>1.0004379104737688</v>
      </c>
      <c r="O8" s="237" t="b">
        <v>1</v>
      </c>
      <c r="Q8" s="277" t="s">
        <v>128</v>
      </c>
      <c r="R8" s="282" t="str">
        <f>_xll.qlPolynomialCalibrationEndCriteria(R6,)</f>
        <v>None</v>
      </c>
      <c r="T8" s="55"/>
    </row>
    <row r="9" spans="1:20" ht="11.25" customHeight="1" x14ac:dyDescent="0.2">
      <c r="A9" s="244">
        <f t="shared" si="6"/>
        <v>5</v>
      </c>
      <c r="B9" s="56" t="s">
        <v>34</v>
      </c>
      <c r="C9" s="251">
        <f t="shared" si="5"/>
        <v>17</v>
      </c>
      <c r="D9" s="191" t="str">
        <f t="shared" si="2"/>
        <v>EUR5x17F_Quote</v>
      </c>
      <c r="E9" s="296">
        <f>_xll.qlCalendarAdvance("target",SettlementDate,A9&amp;"M","mf",,Trigger)</f>
        <v>42317</v>
      </c>
      <c r="F9" s="296">
        <f>_xll.qlInterestRateIndexMaturity(ON_12M_index,E9)</f>
        <v>42683</v>
      </c>
      <c r="G9" s="62">
        <f>_xll.qlQuoteValue(D9,AllTriggers)</f>
        <v>1.97E-3</v>
      </c>
      <c r="H9" s="62">
        <f>_xll.qlIndexFixing(ON_12M_index,_xll.qlInterestRateIndexFixingDate(ON_12M_index,E9),,AllTriggers)</f>
        <v>-1.0235619473227329E-3</v>
      </c>
      <c r="I9" s="265">
        <f t="shared" si="3"/>
        <v>2.9935619473227329E-3</v>
      </c>
      <c r="J9" s="62">
        <f>_xll.qlTenorBasisValue($R$18,E9,Trigger)</f>
        <v>2.9976471962306589E-3</v>
      </c>
      <c r="K9" s="188">
        <f t="shared" si="4"/>
        <v>-4.0852489079259806E-2</v>
      </c>
      <c r="L9" s="234">
        <f t="shared" si="1"/>
        <v>-4.0852489079259806E-6</v>
      </c>
      <c r="M9" s="206">
        <f>_xll.qlDayCounterYearFraction("actual/365 (fixed)",SettlementDate,E9,,,Trigger)</f>
        <v>0.42191780821917807</v>
      </c>
      <c r="N9" s="184">
        <f>_xll.qlYieldTSDiscount(Discounting,E9,,AllTriggers)</f>
        <v>1.0005545597248136</v>
      </c>
      <c r="O9" s="237" t="b">
        <v>1</v>
      </c>
      <c r="Q9" s="277" t="s">
        <v>89</v>
      </c>
      <c r="R9" s="190">
        <f>_xll.qlPolynomialCalibrationError(R6,)</f>
        <v>1.2836471234633424E-4</v>
      </c>
      <c r="T9" s="55"/>
    </row>
    <row r="10" spans="1:20" ht="11.25" customHeight="1" x14ac:dyDescent="0.2">
      <c r="A10" s="244">
        <f t="shared" si="6"/>
        <v>6</v>
      </c>
      <c r="B10" s="56" t="s">
        <v>34</v>
      </c>
      <c r="C10" s="251">
        <f t="shared" si="5"/>
        <v>18</v>
      </c>
      <c r="D10" s="191" t="str">
        <f t="shared" si="2"/>
        <v>EUR6x18F_Quote</v>
      </c>
      <c r="E10" s="296">
        <f>_xll.qlCalendarAdvance("target",SettlementDate,A10&amp;"M","mf",,Trigger)</f>
        <v>42346</v>
      </c>
      <c r="F10" s="296">
        <f>_xll.qlInterestRateIndexMaturity(ON_12M_index,E10)</f>
        <v>42712</v>
      </c>
      <c r="G10" s="62">
        <f>_xll.qlQuoteValue(D10,AllTriggers)</f>
        <v>2.0299999999999997E-3</v>
      </c>
      <c r="H10" s="62">
        <f>_xll.qlIndexFixing(ON_12M_index,_xll.qlInterestRateIndexFixingDate(ON_12M_index,E10),,AllTriggers)</f>
        <v>-9.6858868030299953E-4</v>
      </c>
      <c r="I10" s="265">
        <f t="shared" si="3"/>
        <v>2.9985886803029992E-3</v>
      </c>
      <c r="J10" s="62">
        <f>_xll.qlTenorBasisValue($R$18,E10,Trigger)</f>
        <v>3.0252398075518937E-3</v>
      </c>
      <c r="K10" s="188">
        <f t="shared" si="4"/>
        <v>-0.26651127248894513</v>
      </c>
      <c r="L10" s="234">
        <f t="shared" si="1"/>
        <v>-2.6651127248894513E-5</v>
      </c>
      <c r="M10" s="206">
        <f>_xll.qlDayCounterYearFraction("actual/365 (fixed)",SettlementDate,E10,,,Trigger)</f>
        <v>0.50136986301369868</v>
      </c>
      <c r="N10" s="184">
        <f>_xll.qlYieldTSDiscount(Discounting,E10,,AllTriggers)</f>
        <v>1.0006590446429069</v>
      </c>
      <c r="O10" s="237" t="b">
        <v>1</v>
      </c>
      <c r="Q10" s="277" t="s">
        <v>124</v>
      </c>
      <c r="R10" s="190">
        <f>_xll.qlPolynomialCalibrationMaxError(R6,)</f>
        <v>1.7883636286524906E-4</v>
      </c>
      <c r="T10" s="55"/>
    </row>
    <row r="11" spans="1:20" ht="11.25" customHeight="1" x14ac:dyDescent="0.2">
      <c r="A11" s="244">
        <f t="shared" si="6"/>
        <v>7</v>
      </c>
      <c r="B11" s="56" t="s">
        <v>34</v>
      </c>
      <c r="C11" s="251">
        <f t="shared" si="5"/>
        <v>19</v>
      </c>
      <c r="D11" s="191" t="str">
        <f t="shared" si="2"/>
        <v>EUR7x19F_Quote</v>
      </c>
      <c r="E11" s="296">
        <f>_xll.qlCalendarAdvance("target",SettlementDate,A11&amp;"M","mf",,Trigger)</f>
        <v>42377</v>
      </c>
      <c r="F11" s="296">
        <f>_xll.qlInterestRateIndexMaturity(ON_12M_index,E11)</f>
        <v>42744</v>
      </c>
      <c r="G11" s="62">
        <f>_xll.qlQuoteValue(D11,AllTriggers)</f>
        <v>2.1400000000000004E-3</v>
      </c>
      <c r="H11" s="62">
        <f>_xll.qlIndexFixing(ON_12M_index,_xll.qlInterestRateIndexFixingDate(ON_12M_index,E11),,AllTriggers)</f>
        <v>-8.8567113191482573E-4</v>
      </c>
      <c r="I11" s="265">
        <f t="shared" si="3"/>
        <v>3.025671131914826E-3</v>
      </c>
      <c r="J11" s="62">
        <f>_xll.qlTenorBasisValue($R$18,E11,Trigger)</f>
        <v>3.0563282654769283E-3</v>
      </c>
      <c r="K11" s="188">
        <f t="shared" si="4"/>
        <v>-0.30657133562102257</v>
      </c>
      <c r="L11" s="234">
        <f t="shared" si="1"/>
        <v>-3.0657133562102257E-5</v>
      </c>
      <c r="M11" s="206">
        <f>_xll.qlDayCounterYearFraction("actual/365 (fixed)",SettlementDate,E11,,,Trigger)</f>
        <v>0.58630136986301373</v>
      </c>
      <c r="N11" s="184">
        <f>_xll.qlYieldTSDiscount(Discounting,E11,,AllTriggers)</f>
        <v>1.0007557752387322</v>
      </c>
      <c r="O11" s="237" t="b">
        <v>1</v>
      </c>
      <c r="T11" s="55"/>
    </row>
    <row r="12" spans="1:20" ht="11.25" customHeight="1" x14ac:dyDescent="0.2">
      <c r="A12" s="244">
        <f t="shared" si="6"/>
        <v>8</v>
      </c>
      <c r="B12" s="56" t="s">
        <v>34</v>
      </c>
      <c r="C12" s="251">
        <f t="shared" si="5"/>
        <v>20</v>
      </c>
      <c r="D12" s="191" t="str">
        <f t="shared" si="2"/>
        <v>EUR8x20F_Quote</v>
      </c>
      <c r="E12" s="296">
        <f>_xll.qlCalendarAdvance("target",SettlementDate,A12&amp;"M","mf",,Trigger)</f>
        <v>42408</v>
      </c>
      <c r="F12" s="296">
        <f>_xll.qlInterestRateIndexMaturity(ON_12M_index,E12)</f>
        <v>42774</v>
      </c>
      <c r="G12" s="62">
        <f>_xll.qlQuoteValue(D12,AllTriggers)</f>
        <v>2.2599999999999999E-3</v>
      </c>
      <c r="H12" s="62">
        <f>_xll.qlIndexFixing(ON_12M_index,_xll.qlInterestRateIndexFixingDate(ON_12M_index,E12),,AllTriggers)</f>
        <v>-8.1315138646498493E-4</v>
      </c>
      <c r="I12" s="265">
        <f t="shared" si="3"/>
        <v>3.0731513864649847E-3</v>
      </c>
      <c r="J12" s="62">
        <f>_xll.qlTenorBasisValue($R$18,E12,Trigger)</f>
        <v>3.0887519870532588E-3</v>
      </c>
      <c r="K12" s="188">
        <f t="shared" si="4"/>
        <v>-0.15600600588274155</v>
      </c>
      <c r="L12" s="234">
        <f t="shared" si="1"/>
        <v>-1.5600600588274154E-5</v>
      </c>
      <c r="M12" s="206">
        <f>_xll.qlDayCounterYearFraction("actual/365 (fixed)",SettlementDate,E12,,,Trigger)</f>
        <v>0.67123287671232879</v>
      </c>
      <c r="N12" s="184">
        <f>_xll.qlYieldTSDiscount(Discounting,E12,,AllTriggers)</f>
        <v>1.000868725609952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6"/>
        <v>9</v>
      </c>
      <c r="B13" s="56" t="s">
        <v>34</v>
      </c>
      <c r="C13" s="251">
        <f t="shared" si="5"/>
        <v>21</v>
      </c>
      <c r="D13" s="191" t="str">
        <f t="shared" si="2"/>
        <v>EUR9x21F_Quote</v>
      </c>
      <c r="E13" s="296">
        <f>_xll.qlCalendarAdvance("target",SettlementDate,A13&amp;"M","mf",,Trigger)</f>
        <v>42437</v>
      </c>
      <c r="F13" s="296">
        <f>_xll.qlInterestRateIndexMaturity(ON_12M_index,E13)</f>
        <v>42802</v>
      </c>
      <c r="G13" s="62">
        <f>_xll.qlQuoteValue(D13,AllTriggers)</f>
        <v>2.3700000000000001E-3</v>
      </c>
      <c r="H13" s="62">
        <f>_xll.qlIndexFixing(ON_12M_index,_xll.qlInterestRateIndexFixingDate(ON_12M_index,E13),,AllTriggers)</f>
        <v>-7.432712396037201E-4</v>
      </c>
      <c r="I13" s="265">
        <f t="shared" si="3"/>
        <v>3.1132712396037205E-3</v>
      </c>
      <c r="J13" s="62">
        <f>_xll.qlTenorBasisValue($R$18,E13,Trigger)</f>
        <v>3.1200113629694672E-3</v>
      </c>
      <c r="K13" s="188">
        <f t="shared" si="4"/>
        <v>-6.7401233657467419E-2</v>
      </c>
      <c r="L13" s="234">
        <f t="shared" si="1"/>
        <v>-6.7401233657467426E-6</v>
      </c>
      <c r="M13" s="206">
        <f>_xll.qlDayCounterYearFraction("actual/365 (fixed)",SettlementDate,E13,,,Trigger)</f>
        <v>0.75068493150684934</v>
      </c>
      <c r="N13" s="184">
        <f>_xll.qlYieldTSDiscount(Discounting,E13,,AllTriggers)</f>
        <v>1.0009629862237717</v>
      </c>
      <c r="O13" s="237" t="b">
        <v>1</v>
      </c>
      <c r="Q13" s="277" t="s">
        <v>113</v>
      </c>
      <c r="R13" s="190">
        <f t="array" ref="R13:R17">_xll.qlPolynomialCalibrationCoefficients($R$6,R7)</f>
        <v>2.8859709757861327E-3</v>
      </c>
      <c r="S13" s="190" t="b">
        <v>1</v>
      </c>
      <c r="T13" s="190">
        <v>2.9266639631714856E-3</v>
      </c>
    </row>
    <row r="14" spans="1:20" ht="11.25" customHeight="1" x14ac:dyDescent="0.2">
      <c r="A14" s="244">
        <f t="shared" si="6"/>
        <v>10</v>
      </c>
      <c r="B14" s="56" t="s">
        <v>34</v>
      </c>
      <c r="C14" s="251">
        <f t="shared" si="5"/>
        <v>22</v>
      </c>
      <c r="D14" s="191" t="str">
        <f t="shared" si="2"/>
        <v>EUR10x22F_Quote</v>
      </c>
      <c r="E14" s="296">
        <f>_xll.qlCalendarAdvance("target",SettlementDate,A14&amp;"M","mf",,Trigger)</f>
        <v>42468</v>
      </c>
      <c r="F14" s="296">
        <f>_xll.qlInterestRateIndexMaturity(ON_12M_index,E14)</f>
        <v>42835</v>
      </c>
      <c r="G14" s="62">
        <f>_xll.qlQuoteValue(D14,AllTriggers)</f>
        <v>2.5100000000000001E-3</v>
      </c>
      <c r="H14" s="62">
        <f>_xll.qlIndexFixing(ON_12M_index,_xll.qlInterestRateIndexFixingDate(ON_12M_index,E14),,AllTriggers)</f>
        <v>-6.4979075058956915E-4</v>
      </c>
      <c r="I14" s="265">
        <f t="shared" si="0"/>
        <v>3.1597907505895692E-3</v>
      </c>
      <c r="J14" s="62">
        <f>_xll.qlTenorBasisValue($R$18,E14,Trigger)</f>
        <v>3.154117314021257E-3</v>
      </c>
      <c r="K14" s="188">
        <f t="shared" si="4"/>
        <v>5.6734365683121929E-2</v>
      </c>
      <c r="L14" s="234">
        <f t="shared" si="1"/>
        <v>5.6734365683121929E-6</v>
      </c>
      <c r="M14" s="206">
        <f>_xll.qlDayCounterYearFraction("actual/365 (fixed)",SettlementDate,E14,,,Trigger)</f>
        <v>0.83561643835616439</v>
      </c>
      <c r="N14" s="184">
        <f>_xll.qlYieldTSDiscount(Discounting,E14,,AllTriggers)</f>
        <v>1.0010581666808025</v>
      </c>
      <c r="O14" s="237" t="b">
        <v>1</v>
      </c>
      <c r="Q14" s="277" t="s">
        <v>114</v>
      </c>
      <c r="R14" s="190">
        <v>1.7690198664969817E-4</v>
      </c>
      <c r="S14" s="190" t="b">
        <v>1</v>
      </c>
      <c r="T14" s="190">
        <v>6.4219614391665956E-4</v>
      </c>
    </row>
    <row r="15" spans="1:20" ht="11.25" customHeight="1" x14ac:dyDescent="0.2">
      <c r="A15" s="244">
        <f t="shared" si="6"/>
        <v>11</v>
      </c>
      <c r="B15" s="56" t="s">
        <v>34</v>
      </c>
      <c r="C15" s="251">
        <f t="shared" si="5"/>
        <v>23</v>
      </c>
      <c r="D15" s="191" t="str">
        <f t="shared" si="2"/>
        <v>EUR11x23F_Quote</v>
      </c>
      <c r="E15" s="296">
        <f>_xll.qlCalendarAdvance("target",SettlementDate,A15&amp;"M","mf",,Trigger)</f>
        <v>42499</v>
      </c>
      <c r="F15" s="296">
        <f>_xll.qlInterestRateIndexMaturity(ON_12M_index,E15)</f>
        <v>42864</v>
      </c>
      <c r="G15" s="62">
        <f>_xll.qlQuoteValue(D15,AllTriggers)</f>
        <v>2.66E-3</v>
      </c>
      <c r="H15" s="62">
        <f>_xll.qlIndexFixing(ON_12M_index,_xll.qlInterestRateIndexFixingDate(ON_12M_index,E15),,AllTriggers)</f>
        <v>-5.4952239367591098E-4</v>
      </c>
      <c r="I15" s="265">
        <f>G15-H15</f>
        <v>3.2095223936759111E-3</v>
      </c>
      <c r="J15" s="62">
        <f>_xll.qlTenorBasisValue($R$18,E15,Trigger)</f>
        <v>3.1886263052130592E-3</v>
      </c>
      <c r="K15" s="188">
        <f t="shared" si="4"/>
        <v>0.20896088462851908</v>
      </c>
      <c r="L15" s="234">
        <f t="shared" si="1"/>
        <v>2.089608846285191E-5</v>
      </c>
      <c r="M15" s="206">
        <f>_xll.qlDayCounterYearFraction("actual/365 (fixed)",SettlementDate,E15,,,Trigger)</f>
        <v>0.92054794520547945</v>
      </c>
      <c r="N15" s="184">
        <f>_xll.qlYieldTSDiscount(Discounting,E15,,AllTriggers)</f>
        <v>1.0011497106221909</v>
      </c>
      <c r="O15" s="237" t="b">
        <v>1</v>
      </c>
      <c r="Q15" s="277" t="s">
        <v>115</v>
      </c>
      <c r="R15" s="190">
        <v>2.4451331394233434E-4</v>
      </c>
      <c r="S15" s="190" t="b">
        <v>1</v>
      </c>
      <c r="T15" s="190">
        <v>-3.4478140344458048E-4</v>
      </c>
    </row>
    <row r="16" spans="1:20" ht="11.25" customHeight="1" x14ac:dyDescent="0.2">
      <c r="A16" s="244">
        <f t="shared" si="6"/>
        <v>12</v>
      </c>
      <c r="B16" s="56" t="s">
        <v>34</v>
      </c>
      <c r="C16" s="251">
        <f t="shared" si="5"/>
        <v>24</v>
      </c>
      <c r="D16" s="191" t="str">
        <f t="shared" si="2"/>
        <v>EUR12x24F_Quote</v>
      </c>
      <c r="E16" s="296">
        <f>_xll.qlCalendarAdvance("target",SettlementDate,A16&amp;"M","mf",,Trigger)</f>
        <v>42529</v>
      </c>
      <c r="F16" s="296">
        <f>_xll.qlInterestRateIndexMaturity(ON_12M_index,E16)</f>
        <v>42894</v>
      </c>
      <c r="G16" s="62">
        <f>_xll.qlQuoteValue(D16,AllTriggers)</f>
        <v>2.8000000000000004E-3</v>
      </c>
      <c r="H16" s="62">
        <f>_xll.qlIndexFixing(ON_12M_index,_xll.qlInterestRateIndexFixingDate(ON_12M_index,E16),,AllTriggers)</f>
        <v>-4.3199612796486318E-4</v>
      </c>
      <c r="I16" s="265">
        <f>G16-H16</f>
        <v>3.2319961279648635E-3</v>
      </c>
      <c r="J16" s="62">
        <f>_xll.qlTenorBasisValue($R$18,E16,Trigger)</f>
        <v>3.2221067327678449E-3</v>
      </c>
      <c r="K16" s="188">
        <f t="shared" si="4"/>
        <v>9.8893951970186772E-2</v>
      </c>
      <c r="L16" s="234">
        <f t="shared" si="1"/>
        <v>9.8893951970186779E-6</v>
      </c>
      <c r="M16" s="206">
        <f>_xll.qlDayCounterYearFraction("actual/365 (fixed)",SettlementDate,E16,,,Trigger)</f>
        <v>1.0027397260273974</v>
      </c>
      <c r="N16" s="184">
        <f>_xll.qlYieldTSDiscount(Discounting,E16,,AllTriggers)</f>
        <v>1.0012402523390991</v>
      </c>
      <c r="O16" s="237" t="b">
        <v>1</v>
      </c>
      <c r="Q16" s="277" t="s">
        <v>116</v>
      </c>
      <c r="R16" s="190">
        <v>-8.6393807601144336E-5</v>
      </c>
      <c r="S16" s="190" t="b">
        <v>1</v>
      </c>
      <c r="T16" s="190">
        <v>9.8448696292782983E-5</v>
      </c>
    </row>
    <row r="17" spans="1:20" ht="11.25" customHeight="1" x14ac:dyDescent="0.2">
      <c r="A17" s="244">
        <v>24</v>
      </c>
      <c r="B17" s="56" t="s">
        <v>34</v>
      </c>
      <c r="C17" s="251">
        <v>36</v>
      </c>
      <c r="D17" s="192" t="str">
        <f t="shared" si="2"/>
        <v>EUR24x36F_Quote</v>
      </c>
      <c r="E17" s="297">
        <f>_xll.qlCalendarAdvance("target",SettlementDate,A17&amp;"M","mf",,Trigger)</f>
        <v>42894</v>
      </c>
      <c r="F17" s="297">
        <f>_xll.qlInterestRateIndexMaturity(ON_12M_index,E17)</f>
        <v>43259</v>
      </c>
      <c r="G17" s="65">
        <f>_xll.qlQuoteValue(D17,AllTriggers)</f>
        <v>5.1700000000000001E-3</v>
      </c>
      <c r="H17" s="65">
        <f>_xll.qlIndexFixing(ON_12M_index,_xll.qlInterestRateIndexFixingDate(ON_12M_index,E17),,AllTriggers)</f>
        <v>1.6446242247501973E-3</v>
      </c>
      <c r="I17" s="260">
        <f>G17-H17</f>
        <v>3.5253757752498026E-3</v>
      </c>
      <c r="J17" s="65">
        <f>_xll.qlTenorBasisValue($R$18,E17,Trigger)</f>
        <v>3.526999603306082E-3</v>
      </c>
      <c r="K17" s="189">
        <f t="shared" ref="K17" si="7">L17*10000</f>
        <v>-1.6238280562794367E-2</v>
      </c>
      <c r="L17" s="235">
        <f t="shared" ref="L17" si="8">I17-J17</f>
        <v>-1.6238280562794367E-6</v>
      </c>
      <c r="M17" s="207">
        <f>_xll.qlDayCounterYearFraction("actual/365 (fixed)",SettlementDate,E17,,,Trigger)</f>
        <v>2.0027397260273974</v>
      </c>
      <c r="N17" s="185">
        <f>_xll.qlYieldTSDiscount(Discounting,E17,,AllTriggers)</f>
        <v>1.0016789838015994</v>
      </c>
      <c r="O17" s="238" t="b">
        <v>1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E18" s="182"/>
      <c r="F18" s="182"/>
      <c r="G18" s="57"/>
      <c r="H18" s="57"/>
      <c r="I18" s="57"/>
      <c r="J18" s="56"/>
      <c r="K18" s="56"/>
      <c r="L18" s="56"/>
      <c r="M18" s="56"/>
      <c r="N18" s="56"/>
      <c r="O18" s="56"/>
      <c r="Q18" s="277" t="s">
        <v>118</v>
      </c>
      <c r="R18" s="190" t="str">
        <f>_xll.qlPolynomialTenorBasis(,PROPER(Currency)&amp;IborType&amp;$F$1,Discounting,SettlementDate,TRUE,_xll.ohFilter(R13:R17,S13:S17),,Trigger)</f>
        <v>obj_005e2#0024</v>
      </c>
      <c r="T18" s="55"/>
    </row>
    <row r="19" spans="1:20" ht="11.25" customHeight="1" thickBot="1" x14ac:dyDescent="0.25">
      <c r="E19" s="182"/>
      <c r="F19" s="58" t="s">
        <v>91</v>
      </c>
      <c r="G19" s="58" t="s">
        <v>80</v>
      </c>
      <c r="H19" s="58" t="s">
        <v>81</v>
      </c>
      <c r="I19" s="286" t="s">
        <v>129</v>
      </c>
      <c r="J19" s="56"/>
      <c r="K19" s="56"/>
      <c r="L19" s="56"/>
      <c r="M19" s="56"/>
      <c r="N19" s="56"/>
      <c r="O19" s="56"/>
      <c r="T19" s="55"/>
    </row>
    <row r="20" spans="1:20" ht="11.25" customHeight="1" x14ac:dyDescent="0.2">
      <c r="F20" s="61" t="s">
        <v>38</v>
      </c>
      <c r="G20" s="268">
        <f>_xll.qlCalendarAdvance(Calendar,SettlementDate,0&amp;"M","mf",TRUE,Trigger)</f>
        <v>42163</v>
      </c>
      <c r="H20" s="269">
        <f>_xll.qlCalendarAdvance(Calendar,SettlementDate,F20,"Following",,Trigger)</f>
        <v>42164</v>
      </c>
      <c r="I20" s="287">
        <f>_xll.qlTenorBasisForwardRate2(TenorBasis12M,G20,H20,AllTriggers)</f>
        <v>1.609122302923538E-3</v>
      </c>
      <c r="T20" s="55"/>
    </row>
    <row r="21" spans="1:20" ht="11.25" customHeight="1" x14ac:dyDescent="0.2">
      <c r="F21" s="63" t="s">
        <v>39</v>
      </c>
      <c r="G21" s="270">
        <f>_xll.qlCalendarAdvance(Calendar,SettlementDate,0&amp;"M","mf",TRUE,Trigger)</f>
        <v>42163</v>
      </c>
      <c r="H21" s="271">
        <f>_xll.qlCalendarAdvance(Calendar,SettlementDate,F21,"Following",,Trigger)</f>
        <v>42170</v>
      </c>
      <c r="I21" s="288">
        <f>_xll.qlTenorBasisForwardRate2(TenorBasis12M,G21,H21,AllTriggers)</f>
        <v>1.6082451892161587E-3</v>
      </c>
    </row>
    <row r="22" spans="1:20" ht="11.25" customHeight="1" x14ac:dyDescent="0.2">
      <c r="F22" s="63" t="s">
        <v>40</v>
      </c>
      <c r="G22" s="270">
        <f>_xll.qlCalendarAdvance(Calendar,SettlementDate,0&amp;"M","mf",TRUE,Trigger)</f>
        <v>42163</v>
      </c>
      <c r="H22" s="271">
        <f>_xll.qlCalendarAdvance(Calendar,SettlementDate,F22,"Following",,Trigger)</f>
        <v>42177</v>
      </c>
      <c r="I22" s="288">
        <f>_xll.qlTenorBasisForwardRate2(TenorBasis12M,G22,H22,AllTriggers)</f>
        <v>1.6272938688897754E-3</v>
      </c>
    </row>
    <row r="23" spans="1:20" ht="11.25" customHeight="1" x14ac:dyDescent="0.2">
      <c r="F23" s="63" t="s">
        <v>41</v>
      </c>
      <c r="G23" s="270">
        <f>_xll.qlCalendarAdvance(Calendar,SettlementDate,0&amp;"M","mf",TRUE,Trigger)</f>
        <v>42163</v>
      </c>
      <c r="H23" s="271">
        <f>_xll.qlCalendarAdvance(Calendar,SettlementDate,F23,"Following",,Trigger)</f>
        <v>42184</v>
      </c>
      <c r="I23" s="288">
        <f>_xll.qlTenorBasisForwardRate2(TenorBasis12M,G23,H23,AllTriggers)</f>
        <v>1.6164289598753964E-3</v>
      </c>
    </row>
    <row r="24" spans="1:20" ht="11.25" customHeight="1" x14ac:dyDescent="0.2">
      <c r="F24" s="266" t="s">
        <v>35</v>
      </c>
      <c r="G24" s="272">
        <f>_xll.qlCalendarAdvance(Calendar,SettlementDate,0&amp;"M","mf",TRUE,Trigger)</f>
        <v>42163</v>
      </c>
      <c r="H24" s="273">
        <f>_xll.qlCalendarAdvance(Calendar,SettlementDate,F24,"mf",TRUE,Trigger)</f>
        <v>42193</v>
      </c>
      <c r="I24" s="289">
        <f>_xll.qlTenorBasisForwardRate2(TenorBasis12M,G24,H24,AllTriggers)</f>
        <v>1.6009335986062467E-3</v>
      </c>
    </row>
    <row r="25" spans="1:20" ht="11.25" customHeight="1" x14ac:dyDescent="0.2">
      <c r="F25" s="63" t="s">
        <v>42</v>
      </c>
      <c r="G25" s="270">
        <f>_xll.qlCalendarAdvance(Calendar,SettlementDate,0&amp;"M","mf",TRUE,Trigger)</f>
        <v>42163</v>
      </c>
      <c r="H25" s="271">
        <f>_xll.qlCalendarAdvance(Calendar,SettlementDate,F25,"mf",TRUE,Trigger)</f>
        <v>42226</v>
      </c>
      <c r="I25" s="288">
        <f>_xll.qlTenorBasisForwardRate2(TenorBasis12M,G25,H25,AllTriggers)</f>
        <v>1.5650524683749217E-3</v>
      </c>
    </row>
    <row r="26" spans="1:20" ht="11.25" customHeight="1" x14ac:dyDescent="0.2">
      <c r="F26" s="63" t="s">
        <v>36</v>
      </c>
      <c r="G26" s="270">
        <f>_xll.qlCalendarAdvance(Calendar,SettlementDate,0&amp;"M","mf",TRUE,Trigger)</f>
        <v>42163</v>
      </c>
      <c r="H26" s="271">
        <f>_xll.qlCalendarAdvance(Calendar,SettlementDate,F26,"mf",TRUE,Trigger)</f>
        <v>42255</v>
      </c>
      <c r="I26" s="288">
        <f>_xll.qlTenorBasisForwardRate2(TenorBasis12M,G26,H26,AllTriggers)</f>
        <v>1.5377312623009118E-3</v>
      </c>
    </row>
    <row r="27" spans="1:20" ht="11.25" customHeight="1" x14ac:dyDescent="0.2">
      <c r="F27" s="63" t="s">
        <v>43</v>
      </c>
      <c r="G27" s="270">
        <f>_xll.qlCalendarAdvance(Calendar,SettlementDate,0&amp;"M","mf",TRUE,Trigger)</f>
        <v>42163</v>
      </c>
      <c r="H27" s="271">
        <f>_xll.qlCalendarAdvance(Calendar,SettlementDate,F27,"mf",TRUE,Trigger)</f>
        <v>42285</v>
      </c>
      <c r="I27" s="288">
        <f>_xll.qlTenorBasisForwardRate2(TenorBasis12M,G27,H27,AllTriggers)</f>
        <v>1.5344112658990528E-3</v>
      </c>
    </row>
    <row r="28" spans="1:20" ht="11.25" customHeight="1" x14ac:dyDescent="0.2">
      <c r="F28" s="63" t="s">
        <v>44</v>
      </c>
      <c r="G28" s="270">
        <f>_xll.qlCalendarAdvance(Calendar,SettlementDate,0&amp;"M","mf",TRUE,Trigger)</f>
        <v>42163</v>
      </c>
      <c r="H28" s="271">
        <f>_xll.qlCalendarAdvance(Calendar,SettlementDate,F28,"mf",TRUE,Trigger)</f>
        <v>42317</v>
      </c>
      <c r="I28" s="288">
        <f>_xll.qlTenorBasisForwardRate2(TenorBasis12M,G28,H28,AllTriggers)</f>
        <v>1.5259618386373067E-3</v>
      </c>
    </row>
    <row r="29" spans="1:20" ht="11.25" customHeight="1" x14ac:dyDescent="0.2">
      <c r="F29" s="63" t="s">
        <v>37</v>
      </c>
      <c r="G29" s="270">
        <f>_xll.qlCalendarAdvance(Calendar,SettlementDate,0&amp;"M","mf",TRUE,Trigger)</f>
        <v>42163</v>
      </c>
      <c r="H29" s="271">
        <f>_xll.qlCalendarAdvance(Calendar,SettlementDate,F29,"mf",TRUE,Trigger)</f>
        <v>42346</v>
      </c>
      <c r="I29" s="288">
        <f>_xll.qlTenorBasisForwardRate2(TenorBasis12M,G29,H29,AllTriggers)</f>
        <v>1.5253302475532371E-3</v>
      </c>
    </row>
    <row r="30" spans="1:20" ht="11.25" customHeight="1" x14ac:dyDescent="0.2">
      <c r="F30" s="63" t="s">
        <v>45</v>
      </c>
      <c r="G30" s="270">
        <f>_xll.qlCalendarAdvance(Calendar,SettlementDate,0&amp;"M","mf",TRUE,Trigger)</f>
        <v>42163</v>
      </c>
      <c r="H30" s="270">
        <f>_xll.qlCalendarAdvance(Calendar,SettlementDate,F30,"mf",TRUE,Trigger)</f>
        <v>42377</v>
      </c>
      <c r="I30" s="288">
        <f>_xll.qlTenorBasisTenorForwardRate(TenorBasis12M,G30,AllTriggers)</f>
        <v>1.6784772998424289E-3</v>
      </c>
    </row>
    <row r="31" spans="1:20" ht="11.25" customHeight="1" x14ac:dyDescent="0.2">
      <c r="F31" s="63" t="s">
        <v>46</v>
      </c>
      <c r="G31" s="270">
        <f>_xll.qlCalendarAdvance(Calendar,SettlementDate,0&amp;"M","mf",TRUE,Trigger)</f>
        <v>42163</v>
      </c>
      <c r="H31" s="270">
        <f>_xll.qlCalendarAdvance(Calendar,SettlementDate,F31,"mf",TRUE,Trigger)</f>
        <v>42408</v>
      </c>
      <c r="I31" s="288">
        <f>_xll.qlTenorBasisTenorForwardRate(TenorBasis12M,G31,AllTriggers)</f>
        <v>1.6784772998424289E-3</v>
      </c>
    </row>
    <row r="32" spans="1:20" ht="11.25" customHeight="1" x14ac:dyDescent="0.2">
      <c r="F32" s="63" t="s">
        <v>47</v>
      </c>
      <c r="G32" s="270">
        <f>_xll.qlCalendarAdvance(Calendar,SettlementDate,0&amp;"M","mf",TRUE,Trigger)</f>
        <v>42163</v>
      </c>
      <c r="H32" s="270">
        <f>_xll.qlCalendarAdvance(Calendar,SettlementDate,F32,"mf",TRUE,Trigger)</f>
        <v>42437</v>
      </c>
      <c r="I32" s="288">
        <f>_xll.qlTenorBasisTenorForwardRate(TenorBasis12M,G32,AllTriggers)</f>
        <v>1.6784772998424289E-3</v>
      </c>
    </row>
    <row r="33" spans="5:9" ht="11.25" customHeight="1" x14ac:dyDescent="0.2">
      <c r="F33" s="63" t="s">
        <v>48</v>
      </c>
      <c r="G33" s="270">
        <f>_xll.qlCalendarAdvance(Calendar,SettlementDate,0&amp;"M","mf",TRUE,Trigger)</f>
        <v>42163</v>
      </c>
      <c r="H33" s="270">
        <f>_xll.qlCalendarAdvance(Calendar,SettlementDate,F33,"mf",TRUE,Trigger)</f>
        <v>42468</v>
      </c>
      <c r="I33" s="288">
        <f>_xll.qlTenorBasisTenorForwardRate(TenorBasis12M,G33,AllTriggers)</f>
        <v>1.6784772998424289E-3</v>
      </c>
    </row>
    <row r="34" spans="5:9" ht="11.25" customHeight="1" x14ac:dyDescent="0.2">
      <c r="F34" s="63" t="s">
        <v>49</v>
      </c>
      <c r="G34" s="270">
        <f>_xll.qlCalendarAdvance(Calendar,SettlementDate,0&amp;"M","mf",TRUE,Trigger)</f>
        <v>42163</v>
      </c>
      <c r="H34" s="270">
        <f>_xll.qlCalendarAdvance(Calendar,SettlementDate,F34,"mf",TRUE,Trigger)</f>
        <v>42499</v>
      </c>
      <c r="I34" s="288">
        <f>_xll.qlTenorBasisTenorForwardRate(TenorBasis12M,G34,AllTriggers)</f>
        <v>1.6784772998424289E-3</v>
      </c>
    </row>
    <row r="35" spans="5:9" ht="11.25" customHeight="1" thickBot="1" x14ac:dyDescent="0.25">
      <c r="F35" s="264" t="s">
        <v>50</v>
      </c>
      <c r="G35" s="303">
        <f>_xll.qlCalendarAdvance(Calendar,SettlementDate,0&amp;"M","mf",TRUE,Trigger)</f>
        <v>42163</v>
      </c>
      <c r="H35" s="294">
        <f>_xll.qlCalendarAdvance(Calendar,SettlementDate,F35,"mf",TRUE,Trigger)</f>
        <v>42529</v>
      </c>
      <c r="I35" s="291">
        <f>_xll.qlTenorBasisTenorForwardRate(TenorBasis12M,G35,AllTriggers)</f>
        <v>1.6784772998424289E-3</v>
      </c>
    </row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</sheetData>
  <dataValidations count="1">
    <dataValidation type="list" allowBlank="1" showInputMessage="1" showErrorMessage="1" sqref="S13:S17 O4:O17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2:AB33"/>
  <sheetViews>
    <sheetView workbookViewId="0">
      <selection activeCell="A2" sqref="A2"/>
    </sheetView>
  </sheetViews>
  <sheetFormatPr defaultRowHeight="11.25" x14ac:dyDescent="0.2"/>
  <cols>
    <col min="1" max="1" width="3.5" style="69" bestFit="1" customWidth="1"/>
    <col min="2" max="4" width="20.1640625" style="69" customWidth="1"/>
    <col min="5" max="7" width="10.5" style="69" bestFit="1" customWidth="1"/>
    <col min="8" max="8" width="17.6640625" style="69" bestFit="1" customWidth="1"/>
    <col min="9" max="9" width="9.33203125" style="69"/>
    <col min="10" max="14" width="9.33203125" style="70"/>
    <col min="15" max="15" width="2.83203125" style="69" customWidth="1"/>
    <col min="16" max="16" width="27.5" style="69" bestFit="1" customWidth="1"/>
    <col min="17" max="17" width="20.1640625" style="69" hidden="1" customWidth="1"/>
    <col min="18" max="18" width="20.1640625" style="69" bestFit="1" customWidth="1"/>
    <col min="19" max="19" width="20.1640625" style="69" customWidth="1"/>
    <col min="20" max="20" width="20.1640625" style="69" hidden="1" customWidth="1"/>
    <col min="21" max="21" width="10" style="69" bestFit="1" customWidth="1"/>
    <col min="22" max="22" width="9.33203125" style="69" customWidth="1"/>
    <col min="23" max="23" width="10" style="69" bestFit="1" customWidth="1"/>
    <col min="24" max="24" width="9.33203125" style="69"/>
    <col min="25" max="25" width="2.83203125" style="69" customWidth="1"/>
    <col min="26" max="16384" width="9.33203125" style="69"/>
  </cols>
  <sheetData>
    <row r="2" spans="1:28" ht="22.5" x14ac:dyDescent="0.2">
      <c r="A2" s="68"/>
      <c r="B2" s="68" t="s">
        <v>79</v>
      </c>
      <c r="C2" s="68" t="s">
        <v>80</v>
      </c>
      <c r="D2" s="68" t="s">
        <v>81</v>
      </c>
      <c r="E2" s="68" t="s">
        <v>107</v>
      </c>
      <c r="F2" s="68" t="s">
        <v>82</v>
      </c>
      <c r="G2" s="68" t="s">
        <v>83</v>
      </c>
    </row>
    <row r="3" spans="1:28" x14ac:dyDescent="0.2">
      <c r="A3" s="73">
        <v>0</v>
      </c>
      <c r="B3" s="74">
        <f>_xll.qlInterestRateIndexFixingDate(ON_12M_index,C3)</f>
        <v>42159</v>
      </c>
      <c r="C3" s="74">
        <f>_xll.qlCalendarAdvance(Calendar,SettlementDate,A3&amp;"M","mf")</f>
        <v>42163</v>
      </c>
      <c r="D3" s="74">
        <f>_xll.qlInterestRateIndexMaturity(ON_12M_index,C3)</f>
        <v>42529</v>
      </c>
      <c r="E3" s="75">
        <f>_xll.qlIndexFixing(ON_12M_index,B3,,AllTriggers)</f>
        <v>-1.2074936760823908E-3</v>
      </c>
      <c r="F3" s="76">
        <f>_xll.qlInterpolationInterpolate(BasisInterpolator,C3,TRUE,E3)</f>
        <v>2.9249878924715112E-3</v>
      </c>
      <c r="G3" s="75">
        <f t="shared" ref="G3:G27" si="0">E3+F3</f>
        <v>1.7174942163891203E-3</v>
      </c>
      <c r="Z3" s="71"/>
      <c r="AA3" s="71"/>
      <c r="AB3" s="72"/>
    </row>
    <row r="4" spans="1:28" x14ac:dyDescent="0.2">
      <c r="A4" s="77">
        <v>1</v>
      </c>
      <c r="B4" s="78">
        <f>_xll.qlInterestRateIndexFixingDate(ON_12M_index,C4)</f>
        <v>42191</v>
      </c>
      <c r="C4" s="78">
        <f>_xll.qlCalendarAdvance(Calendar,SettlementDate,A4&amp;"M","mf")</f>
        <v>42193</v>
      </c>
      <c r="D4" s="78">
        <f>_xll.qlInterestRateIndexMaturity(ON_12M_index,C4)</f>
        <v>42559</v>
      </c>
      <c r="E4" s="79">
        <f>_xll.qlIndexFixing(ON_12M_index,B4,,AllTriggers)</f>
        <v>-1.1921325587408748E-3</v>
      </c>
      <c r="F4" s="80">
        <f>_xll.qlInterpolationInterpolate(BasisInterpolator,C4,TRUE,E4)</f>
        <v>2.9421325587408748E-3</v>
      </c>
      <c r="G4" s="79">
        <f t="shared" si="0"/>
        <v>1.75E-3</v>
      </c>
      <c r="Z4" s="71"/>
      <c r="AA4" s="71"/>
      <c r="AB4" s="72"/>
    </row>
    <row r="5" spans="1:28" x14ac:dyDescent="0.2">
      <c r="A5" s="77">
        <v>2</v>
      </c>
      <c r="B5" s="78">
        <f>_xll.qlInterestRateIndexFixingDate(ON_12M_index,C5)</f>
        <v>42222</v>
      </c>
      <c r="C5" s="78">
        <f>_xll.qlCalendarAdvance(Calendar,SettlementDate,A5&amp;"M","mf")</f>
        <v>42226</v>
      </c>
      <c r="D5" s="78">
        <f>_xll.qlInterestRateIndexMaturity(ON_12M_index,C5)</f>
        <v>42592</v>
      </c>
      <c r="E5" s="79">
        <f>_xll.qlIndexFixing(ON_12M_index,B5,,AllTriggers)</f>
        <v>-1.1620855295020765E-3</v>
      </c>
      <c r="F5" s="80">
        <f>_xll.qlInterpolationInterpolate(BasisInterpolator,C5,TRUE,E5)</f>
        <v>2.9620855295020765E-3</v>
      </c>
      <c r="G5" s="79">
        <f t="shared" si="0"/>
        <v>1.8E-3</v>
      </c>
      <c r="Z5" s="71"/>
      <c r="AA5" s="71"/>
      <c r="AB5" s="72"/>
    </row>
    <row r="6" spans="1:28" x14ac:dyDescent="0.2">
      <c r="A6" s="77">
        <v>3</v>
      </c>
      <c r="B6" s="78">
        <f>_xll.qlInterestRateIndexFixingDate(ON_12M_index,C6)</f>
        <v>42251</v>
      </c>
      <c r="C6" s="78">
        <f>_xll.qlCalendarAdvance(Calendar,SettlementDate,A6&amp;"M","mf")</f>
        <v>42255</v>
      </c>
      <c r="D6" s="78">
        <f>_xll.qlInterestRateIndexMaturity(ON_12M_index,C6)</f>
        <v>42621</v>
      </c>
      <c r="E6" s="79">
        <f>_xll.qlIndexFixing(ON_12M_index,B6,,AllTriggers)</f>
        <v>-1.1240884029558094E-3</v>
      </c>
      <c r="F6" s="80">
        <f>_xll.qlInterpolationInterpolate(BasisInterpolator,C6,TRUE,E6)</f>
        <v>2.9640884029558095E-3</v>
      </c>
      <c r="G6" s="79">
        <f t="shared" si="0"/>
        <v>1.8400000000000001E-3</v>
      </c>
      <c r="Z6" s="71"/>
      <c r="AA6" s="71"/>
      <c r="AB6" s="72"/>
    </row>
    <row r="7" spans="1:28" x14ac:dyDescent="0.2">
      <c r="A7" s="77">
        <v>4</v>
      </c>
      <c r="B7" s="78">
        <f>_xll.qlInterestRateIndexFixingDate(ON_12M_index,C7)</f>
        <v>42283</v>
      </c>
      <c r="C7" s="78">
        <f>_xll.qlCalendarAdvance(Calendar,SettlementDate,A7&amp;"M","mf")</f>
        <v>42285</v>
      </c>
      <c r="D7" s="78">
        <f>_xll.qlInterestRateIndexMaturity(ON_12M_index,C7)</f>
        <v>42653</v>
      </c>
      <c r="E7" s="79">
        <f>_xll.qlIndexFixing(ON_12M_index,B7,,AllTriggers)</f>
        <v>-1.0784318452227667E-3</v>
      </c>
      <c r="F7" s="80">
        <f>_xll.qlInterpolationInterpolate(BasisInterpolator,C7,TRUE,E7)</f>
        <v>2.9784318452227669E-3</v>
      </c>
      <c r="G7" s="79">
        <f t="shared" si="0"/>
        <v>1.9000000000000002E-3</v>
      </c>
      <c r="Z7" s="71"/>
      <c r="AA7" s="71"/>
      <c r="AB7" s="72"/>
    </row>
    <row r="8" spans="1:28" x14ac:dyDescent="0.2">
      <c r="A8" s="77">
        <v>5</v>
      </c>
      <c r="B8" s="78">
        <f>_xll.qlInterestRateIndexFixingDate(ON_12M_index,C8)</f>
        <v>42313</v>
      </c>
      <c r="C8" s="78">
        <f>_xll.qlCalendarAdvance(Calendar,SettlementDate,A8&amp;"M","mf")</f>
        <v>42317</v>
      </c>
      <c r="D8" s="78">
        <f>_xll.qlInterestRateIndexMaturity(ON_12M_index,C8)</f>
        <v>42683</v>
      </c>
      <c r="E8" s="79">
        <f>_xll.qlIndexFixing(ON_12M_index,B8,,AllTriggers)</f>
        <v>-1.0235619473227329E-3</v>
      </c>
      <c r="F8" s="80">
        <f>_xll.qlInterpolationInterpolate(BasisInterpolator,C8,TRUE,E8)</f>
        <v>2.9935619473227329E-3</v>
      </c>
      <c r="G8" s="79">
        <f t="shared" si="0"/>
        <v>1.97E-3</v>
      </c>
      <c r="Z8" s="71"/>
      <c r="AA8" s="71"/>
      <c r="AB8" s="72"/>
    </row>
    <row r="9" spans="1:28" x14ac:dyDescent="0.2">
      <c r="A9" s="77">
        <v>6</v>
      </c>
      <c r="B9" s="78">
        <f>_xll.qlInterestRateIndexFixingDate(ON_12M_index,C9)</f>
        <v>42342</v>
      </c>
      <c r="C9" s="78">
        <f>_xll.qlCalendarAdvance(Calendar,SettlementDate,A9&amp;"M","mf")</f>
        <v>42346</v>
      </c>
      <c r="D9" s="78">
        <f>_xll.qlInterestRateIndexMaturity(ON_12M_index,C9)</f>
        <v>42712</v>
      </c>
      <c r="E9" s="79">
        <f>_xll.qlIndexFixing(ON_12M_index,B9,,AllTriggers)</f>
        <v>-9.6858868030299953E-4</v>
      </c>
      <c r="F9" s="80">
        <f>_xll.qlInterpolationInterpolate(BasisInterpolator,C9,TRUE,E9)</f>
        <v>2.9985886803029992E-3</v>
      </c>
      <c r="G9" s="79">
        <f t="shared" si="0"/>
        <v>2.0299999999999997E-3</v>
      </c>
      <c r="Z9" s="71"/>
      <c r="AA9" s="71"/>
      <c r="AB9" s="72"/>
    </row>
    <row r="10" spans="1:28" x14ac:dyDescent="0.2">
      <c r="A10" s="77">
        <v>7</v>
      </c>
      <c r="B10" s="78">
        <f>_xll.qlInterestRateIndexFixingDate(ON_12M_index,C10)</f>
        <v>42375</v>
      </c>
      <c r="C10" s="78">
        <f>_xll.qlCalendarAdvance(Calendar,SettlementDate,A10&amp;"M","mf")</f>
        <v>42377</v>
      </c>
      <c r="D10" s="78">
        <f>_xll.qlInterestRateIndexMaturity(ON_12M_index,C10)</f>
        <v>42744</v>
      </c>
      <c r="E10" s="79">
        <f>_xll.qlIndexFixing(ON_12M_index,B10,,AllTriggers)</f>
        <v>-8.8567113191482573E-4</v>
      </c>
      <c r="F10" s="80">
        <f>_xll.qlInterpolationInterpolate(BasisInterpolator,C10,TRUE,E10)</f>
        <v>3.025671131914826E-3</v>
      </c>
      <c r="G10" s="79">
        <f t="shared" si="0"/>
        <v>2.1400000000000004E-3</v>
      </c>
      <c r="H10" s="72"/>
      <c r="Z10" s="71"/>
      <c r="AA10" s="71"/>
      <c r="AB10" s="72"/>
    </row>
    <row r="11" spans="1:28" x14ac:dyDescent="0.2">
      <c r="A11" s="77">
        <v>8</v>
      </c>
      <c r="B11" s="78">
        <f>_xll.qlInterestRateIndexFixingDate(ON_12M_index,C11)</f>
        <v>42404</v>
      </c>
      <c r="C11" s="78">
        <f>_xll.qlCalendarAdvance(Calendar,SettlementDate,A11&amp;"M","mf")</f>
        <v>42408</v>
      </c>
      <c r="D11" s="78">
        <f>_xll.qlInterestRateIndexMaturity(ON_12M_index,C11)</f>
        <v>42774</v>
      </c>
      <c r="E11" s="79">
        <f>_xll.qlIndexFixing(ON_12M_index,B11,,AllTriggers)</f>
        <v>-8.1315138646498493E-4</v>
      </c>
      <c r="F11" s="80">
        <f>_xll.qlInterpolationInterpolate(BasisInterpolator,C11,TRUE,E11)</f>
        <v>3.0731513864649847E-3</v>
      </c>
      <c r="G11" s="79">
        <f t="shared" si="0"/>
        <v>2.2599999999999999E-3</v>
      </c>
      <c r="H11" s="72"/>
      <c r="Z11" s="71"/>
      <c r="AA11" s="71"/>
      <c r="AB11" s="72"/>
    </row>
    <row r="12" spans="1:28" x14ac:dyDescent="0.2">
      <c r="A12" s="77">
        <v>9</v>
      </c>
      <c r="B12" s="78">
        <f>_xll.qlInterestRateIndexFixingDate(ON_12M_index,C12)</f>
        <v>42433</v>
      </c>
      <c r="C12" s="78">
        <f>_xll.qlCalendarAdvance(Calendar,SettlementDate,A12&amp;"M","mf")</f>
        <v>42437</v>
      </c>
      <c r="D12" s="78">
        <f>_xll.qlInterestRateIndexMaturity(ON_12M_index,C12)</f>
        <v>42802</v>
      </c>
      <c r="E12" s="79">
        <f>_xll.qlIndexFixing(ON_12M_index,B12,,AllTriggers)</f>
        <v>-7.432712396037201E-4</v>
      </c>
      <c r="F12" s="80">
        <f>_xll.qlInterpolationInterpolate(BasisInterpolator,C12,TRUE,E12)</f>
        <v>3.1132712396037205E-3</v>
      </c>
      <c r="G12" s="79">
        <f t="shared" si="0"/>
        <v>2.3700000000000006E-3</v>
      </c>
      <c r="H12" s="72"/>
      <c r="Z12" s="71"/>
      <c r="AA12" s="71"/>
      <c r="AB12" s="72"/>
    </row>
    <row r="13" spans="1:28" x14ac:dyDescent="0.2">
      <c r="A13" s="77">
        <v>10</v>
      </c>
      <c r="B13" s="78">
        <f>_xll.qlInterestRateIndexFixingDate(ON_12M_index,C13)</f>
        <v>42466</v>
      </c>
      <c r="C13" s="78">
        <f>_xll.qlCalendarAdvance(Calendar,SettlementDate,A13&amp;"M","mf")</f>
        <v>42468</v>
      </c>
      <c r="D13" s="78">
        <f>_xll.qlInterestRateIndexMaturity(ON_12M_index,C13)</f>
        <v>42835</v>
      </c>
      <c r="E13" s="79">
        <f>_xll.qlIndexFixing(ON_12M_index,B13,,AllTriggers)</f>
        <v>-6.4979075058956915E-4</v>
      </c>
      <c r="F13" s="80">
        <f>_xll.qlInterpolationInterpolate(BasisInterpolator,C13,TRUE,E13)</f>
        <v>3.1597907505895692E-3</v>
      </c>
      <c r="G13" s="79">
        <f t="shared" si="0"/>
        <v>2.5100000000000001E-3</v>
      </c>
      <c r="H13" s="72"/>
      <c r="Z13" s="71"/>
      <c r="AA13" s="71"/>
      <c r="AB13" s="72"/>
    </row>
    <row r="14" spans="1:28" x14ac:dyDescent="0.2">
      <c r="A14" s="81">
        <v>11</v>
      </c>
      <c r="B14" s="82">
        <f>_xll.qlInterestRateIndexFixingDate(ON_12M_index,C14)</f>
        <v>42495</v>
      </c>
      <c r="C14" s="82">
        <f>_xll.qlCalendarAdvance(Calendar,SettlementDate,A14&amp;"M","mf")</f>
        <v>42499</v>
      </c>
      <c r="D14" s="82">
        <f>_xll.qlInterestRateIndexMaturity(ON_12M_index,C14)</f>
        <v>42864</v>
      </c>
      <c r="E14" s="83">
        <f>_xll.qlIndexFixing(ON_12M_index,B14,,AllTriggers)</f>
        <v>-5.4952239367591098E-4</v>
      </c>
      <c r="F14" s="84">
        <f>_xll.qlInterpolationInterpolate(BasisInterpolator,C14,TRUE,E14)</f>
        <v>3.2095223936759111E-3</v>
      </c>
      <c r="G14" s="83">
        <f t="shared" si="0"/>
        <v>2.66E-3</v>
      </c>
      <c r="H14" s="72"/>
      <c r="Z14" s="71"/>
      <c r="AA14" s="71"/>
      <c r="AB14" s="72"/>
    </row>
    <row r="15" spans="1:28" x14ac:dyDescent="0.2">
      <c r="A15" s="73">
        <v>12</v>
      </c>
      <c r="B15" s="74">
        <f>_xll.qlInterestRateIndexFixingDate(ON_12M_index,C15)</f>
        <v>42527</v>
      </c>
      <c r="C15" s="74">
        <f>_xll.qlCalendarAdvance(Calendar,SettlementDate,A15&amp;"M","mf")</f>
        <v>42529</v>
      </c>
      <c r="D15" s="74">
        <f>_xll.qlInterestRateIndexMaturity(ON_12M_index,C15)</f>
        <v>42894</v>
      </c>
      <c r="E15" s="75">
        <f>_xll.qlIndexFixing(ON_12M_index,B15,,AllTriggers)</f>
        <v>-4.3199612796486318E-4</v>
      </c>
      <c r="F15" s="76">
        <f>_xll.qlInterpolationInterpolate(BasisInterpolator,C15,TRUE,E15)</f>
        <v>3.2319961279648635E-3</v>
      </c>
      <c r="G15" s="75">
        <f t="shared" si="0"/>
        <v>2.8000000000000004E-3</v>
      </c>
      <c r="H15" s="72"/>
      <c r="Z15" s="71"/>
      <c r="AA15" s="71"/>
      <c r="AB15" s="72"/>
    </row>
    <row r="16" spans="1:28" x14ac:dyDescent="0.2">
      <c r="A16" s="77">
        <v>13</v>
      </c>
      <c r="B16" s="78">
        <f>_xll.qlInterestRateIndexFixingDate(ON_12M_index,C16)</f>
        <v>42557</v>
      </c>
      <c r="C16" s="78">
        <f>_xll.qlCalendarAdvance(Calendar,SettlementDate,A16&amp;"M","mf")</f>
        <v>42559</v>
      </c>
      <c r="D16" s="78">
        <f>_xll.qlInterestRateIndexMaturity(ON_12M_index,C16)</f>
        <v>42926</v>
      </c>
      <c r="E16" s="79">
        <f>_xll.qlIndexFixing(ON_12M_index,B16,,AllTriggers)</f>
        <v>-3.034970565257806E-4</v>
      </c>
      <c r="F16" s="80">
        <f>_xll.qlInterpolationInterpolate(BasisInterpolator,C16,TRUE,E16)</f>
        <v>3.2491099821507236E-3</v>
      </c>
      <c r="G16" s="79">
        <f t="shared" si="0"/>
        <v>2.9456129256249432E-3</v>
      </c>
      <c r="H16" s="72"/>
      <c r="Z16" s="71"/>
      <c r="AA16" s="71"/>
      <c r="AB16" s="72"/>
    </row>
    <row r="17" spans="1:28" x14ac:dyDescent="0.2">
      <c r="A17" s="77">
        <v>14</v>
      </c>
      <c r="B17" s="78">
        <f>_xll.qlInterestRateIndexFixingDate(ON_12M_index,C17)</f>
        <v>42586</v>
      </c>
      <c r="C17" s="78">
        <f>_xll.qlCalendarAdvance(Calendar,SettlementDate,A17&amp;"M","mf")</f>
        <v>42590</v>
      </c>
      <c r="D17" s="78">
        <f>_xll.qlInterestRateIndexMaturity(ON_12M_index,C17)</f>
        <v>42955</v>
      </c>
      <c r="E17" s="79">
        <f>_xll.qlIndexFixing(ON_12M_index,B17,,AllTriggers)</f>
        <v>-1.7353360523490223E-4</v>
      </c>
      <c r="F17" s="80">
        <f>_xll.qlInterpolationInterpolate(BasisInterpolator,C17,TRUE,E17)</f>
        <v>3.2686832928084629E-3</v>
      </c>
      <c r="G17" s="79">
        <f t="shared" si="0"/>
        <v>3.0951496875735608E-3</v>
      </c>
      <c r="H17" s="72"/>
      <c r="Z17" s="71"/>
      <c r="AA17" s="71"/>
      <c r="AB17" s="72"/>
    </row>
    <row r="18" spans="1:28" x14ac:dyDescent="0.2">
      <c r="A18" s="77">
        <v>15</v>
      </c>
      <c r="B18" s="78">
        <f>_xll.qlInterestRateIndexFixingDate(ON_12M_index,C18)</f>
        <v>42619</v>
      </c>
      <c r="C18" s="78">
        <f>_xll.qlCalendarAdvance(Calendar,SettlementDate,A18&amp;"M","mf")</f>
        <v>42621</v>
      </c>
      <c r="D18" s="78">
        <f>_xll.qlInterestRateIndexMaturity(ON_12M_index,C18)</f>
        <v>42986</v>
      </c>
      <c r="E18" s="79">
        <f>_xll.qlIndexFixing(ON_12M_index,B18,,AllTriggers)</f>
        <v>-3.1316881745381079E-5</v>
      </c>
      <c r="F18" s="80">
        <f>_xll.qlInterpolationInterpolate(BasisInterpolator,C18,TRUE,E18)</f>
        <v>3.2900006325037633E-3</v>
      </c>
      <c r="G18" s="79">
        <f t="shared" si="0"/>
        <v>3.2586837507583822E-3</v>
      </c>
      <c r="H18" s="72"/>
      <c r="Z18" s="71"/>
      <c r="AA18" s="71"/>
      <c r="AB18" s="72"/>
    </row>
    <row r="19" spans="1:28" x14ac:dyDescent="0.2">
      <c r="A19" s="77">
        <v>16</v>
      </c>
      <c r="B19" s="78">
        <f>_xll.qlInterestRateIndexFixingDate(ON_12M_index,C19)</f>
        <v>42649</v>
      </c>
      <c r="C19" s="78">
        <f>_xll.qlCalendarAdvance(Calendar,SettlementDate,A19&amp;"M","mf")</f>
        <v>42653</v>
      </c>
      <c r="D19" s="78">
        <f>_xll.qlInterestRateIndexMaturity(ON_12M_index,C19)</f>
        <v>43018</v>
      </c>
      <c r="E19" s="79">
        <f>_xll.qlIndexFixing(ON_12M_index,B19,,AllTriggers)</f>
        <v>1.2407591610514126E-4</v>
      </c>
      <c r="F19" s="80">
        <f>_xll.qlInterpolationInterpolate(BasisInterpolator,C19,TRUE,E19)</f>
        <v>3.3136464044181205E-3</v>
      </c>
      <c r="G19" s="79">
        <f t="shared" si="0"/>
        <v>3.4377223205232618E-3</v>
      </c>
      <c r="H19" s="72"/>
      <c r="Z19" s="71"/>
      <c r="AA19" s="71"/>
      <c r="AB19" s="72"/>
    </row>
    <row r="20" spans="1:28" x14ac:dyDescent="0.2">
      <c r="A20" s="77">
        <v>17</v>
      </c>
      <c r="B20" s="78">
        <f>_xll.qlInterestRateIndexFixingDate(ON_12M_index,C20)</f>
        <v>42678</v>
      </c>
      <c r="C20" s="78">
        <f>_xll.qlCalendarAdvance(Calendar,SettlementDate,A20&amp;"M","mf")</f>
        <v>42682</v>
      </c>
      <c r="D20" s="78">
        <f>_xll.qlInterestRateIndexMaturity(ON_12M_index,C20)</f>
        <v>43047</v>
      </c>
      <c r="E20" s="79">
        <f>_xll.qlIndexFixing(ON_12M_index,B20,,AllTriggers)</f>
        <v>2.7488306561570971E-4</v>
      </c>
      <c r="F20" s="80">
        <f>_xll.qlInterpolationInterpolate(BasisInterpolator,C20,TRUE,E20)</f>
        <v>3.336353205986979E-3</v>
      </c>
      <c r="G20" s="79">
        <f t="shared" si="0"/>
        <v>3.6112362716026886E-3</v>
      </c>
      <c r="H20" s="72"/>
      <c r="Z20" s="71"/>
      <c r="AA20" s="71"/>
      <c r="AB20" s="72"/>
    </row>
    <row r="21" spans="1:28" x14ac:dyDescent="0.2">
      <c r="A21" s="77">
        <v>18</v>
      </c>
      <c r="B21" s="78">
        <f>_xll.qlInterestRateIndexFixingDate(ON_12M_index,C21)</f>
        <v>42710</v>
      </c>
      <c r="C21" s="78">
        <f>_xll.qlCalendarAdvance(Calendar,SettlementDate,A21&amp;"M","mf")</f>
        <v>42712</v>
      </c>
      <c r="D21" s="78">
        <f>_xll.qlInterestRateIndexMaturity(ON_12M_index,C21)</f>
        <v>43077</v>
      </c>
      <c r="E21" s="79">
        <f>_xll.qlIndexFixing(ON_12M_index,B21,,AllTriggers)</f>
        <v>4.4373441001084954E-4</v>
      </c>
      <c r="F21" s="80">
        <f>_xll.qlInterpolationInterpolate(BasisInterpolator,C21,TRUE,E21)</f>
        <v>3.3609612856669046E-3</v>
      </c>
      <c r="G21" s="79">
        <f t="shared" si="0"/>
        <v>3.804695695677754E-3</v>
      </c>
      <c r="H21" s="72"/>
      <c r="Z21" s="71"/>
      <c r="AA21" s="71"/>
      <c r="AB21" s="72"/>
    </row>
    <row r="22" spans="1:28" x14ac:dyDescent="0.2">
      <c r="A22" s="77">
        <v>19</v>
      </c>
      <c r="B22" s="78">
        <f>_xll.qlInterestRateIndexFixingDate(ON_12M_index,C22)</f>
        <v>42740</v>
      </c>
      <c r="C22" s="78">
        <f>_xll.qlCalendarAdvance(Calendar,SettlementDate,A22&amp;"M","mf")</f>
        <v>42744</v>
      </c>
      <c r="D22" s="78">
        <f>_xll.qlInterestRateIndexMaturity(ON_12M_index,C22)</f>
        <v>43109</v>
      </c>
      <c r="E22" s="79">
        <f>_xll.qlIndexFixing(ON_12M_index,B22,,AllTriggers)</f>
        <v>6.0629936131333356E-4</v>
      </c>
      <c r="F22" s="80">
        <f>_xll.qlInterpolationInterpolate(BasisInterpolator,C22,TRUE,E22)</f>
        <v>3.3882837600152861E-3</v>
      </c>
      <c r="G22" s="79">
        <f t="shared" si="0"/>
        <v>3.9945831213286194E-3</v>
      </c>
      <c r="H22" s="72"/>
      <c r="Z22" s="71"/>
      <c r="AA22" s="71"/>
      <c r="AB22" s="72"/>
    </row>
    <row r="23" spans="1:28" x14ac:dyDescent="0.2">
      <c r="A23" s="77">
        <v>20</v>
      </c>
      <c r="B23" s="78">
        <f>_xll.qlInterestRateIndexFixingDate(ON_12M_index,C23)</f>
        <v>42772</v>
      </c>
      <c r="C23" s="78">
        <f>_xll.qlCalendarAdvance(Calendar,SettlementDate,A23&amp;"M","mf")</f>
        <v>42774</v>
      </c>
      <c r="D23" s="78">
        <f>_xll.qlInterestRateIndexMaturity(ON_12M_index,C23)</f>
        <v>43139</v>
      </c>
      <c r="E23" s="79">
        <f>_xll.qlIndexFixing(ON_12M_index,B23,,AllTriggers)</f>
        <v>8.018408858130869E-4</v>
      </c>
      <c r="F23" s="80">
        <f>_xll.qlInterpolationInterpolate(BasisInterpolator,C23,TRUE,E23)</f>
        <v>3.4147350622349094E-3</v>
      </c>
      <c r="G23" s="79">
        <f t="shared" si="0"/>
        <v>4.2165759480479962E-3</v>
      </c>
      <c r="H23" s="72"/>
      <c r="Z23" s="71"/>
      <c r="AA23" s="71"/>
      <c r="AB23" s="72"/>
    </row>
    <row r="24" spans="1:28" x14ac:dyDescent="0.2">
      <c r="A24" s="77">
        <v>21</v>
      </c>
      <c r="B24" s="78">
        <f>_xll.qlInterestRateIndexFixingDate(ON_12M_index,C24)</f>
        <v>42800</v>
      </c>
      <c r="C24" s="78">
        <f>_xll.qlCalendarAdvance(Calendar,SettlementDate,A24&amp;"M","mf")</f>
        <v>42802</v>
      </c>
      <c r="D24" s="78">
        <f>_xll.qlInterestRateIndexMaturity(ON_12M_index,C24)</f>
        <v>43167</v>
      </c>
      <c r="E24" s="79">
        <f>_xll.qlIndexFixing(ON_12M_index,B24,,AllTriggers)</f>
        <v>9.9041708585097775E-4</v>
      </c>
      <c r="F24" s="80">
        <f>_xll.qlInterpolationInterpolate(BasisInterpolator,C24,TRUE,E24)</f>
        <v>3.4400078691739938E-3</v>
      </c>
      <c r="G24" s="79">
        <f t="shared" si="0"/>
        <v>4.4304249550249711E-3</v>
      </c>
      <c r="H24" s="72"/>
      <c r="Z24" s="71"/>
      <c r="AA24" s="71"/>
      <c r="AB24" s="72"/>
    </row>
    <row r="25" spans="1:28" x14ac:dyDescent="0.2">
      <c r="A25" s="77">
        <v>22</v>
      </c>
      <c r="B25" s="78">
        <f>_xll.qlInterestRateIndexFixingDate(ON_12M_index,C25)</f>
        <v>42831</v>
      </c>
      <c r="C25" s="78">
        <f>_xll.qlCalendarAdvance(Calendar,SettlementDate,A25&amp;"M","mf")</f>
        <v>42835</v>
      </c>
      <c r="D25" s="78">
        <f>_xll.qlInterestRateIndexMaturity(ON_12M_index,C25)</f>
        <v>43200</v>
      </c>
      <c r="E25" s="79">
        <f>_xll.qlIndexFixing(ON_12M_index,B25,,AllTriggers)</f>
        <v>1.216924080933587E-3</v>
      </c>
      <c r="F25" s="80">
        <f>_xll.qlInterpolationInterpolate(BasisInterpolator,C25,TRUE,E25)</f>
        <v>3.4703364507519953E-3</v>
      </c>
      <c r="G25" s="79">
        <f t="shared" si="0"/>
        <v>4.6872605316855822E-3</v>
      </c>
      <c r="H25" s="72"/>
      <c r="Z25" s="71"/>
      <c r="AA25" s="71"/>
      <c r="AB25" s="72"/>
    </row>
    <row r="26" spans="1:28" x14ac:dyDescent="0.2">
      <c r="A26" s="81">
        <v>23</v>
      </c>
      <c r="B26" s="82">
        <f>_xll.qlInterestRateIndexFixingDate(ON_12M_index,C26)</f>
        <v>42859</v>
      </c>
      <c r="C26" s="82">
        <f>_xll.qlCalendarAdvance(Calendar,SettlementDate,A26&amp;"M","mf")</f>
        <v>42863</v>
      </c>
      <c r="D26" s="82">
        <f>_xll.qlInterestRateIndexMaturity(ON_12M_index,C26)</f>
        <v>43228</v>
      </c>
      <c r="E26" s="83">
        <f>_xll.qlIndexFixing(ON_12M_index,B26,,AllTriggers)</f>
        <v>1.4150636088540642E-3</v>
      </c>
      <c r="F26" s="84">
        <f>_xll.qlInterpolationInterpolate(BasisInterpolator,C26,TRUE,E26)</f>
        <v>3.4963790818891114E-3</v>
      </c>
      <c r="G26" s="83">
        <f t="shared" si="0"/>
        <v>4.9114426907431756E-3</v>
      </c>
      <c r="H26" s="72"/>
      <c r="Z26" s="71"/>
      <c r="AA26" s="71"/>
      <c r="AB26" s="72"/>
    </row>
    <row r="27" spans="1:28" x14ac:dyDescent="0.2">
      <c r="A27" s="339">
        <v>24</v>
      </c>
      <c r="B27" s="340">
        <f>_xll.qlInterestRateIndexFixingDate(ON_12M_index,C27)</f>
        <v>42892</v>
      </c>
      <c r="C27" s="340">
        <f>_xll.qlCalendarAdvance(Calendar,SettlementDate,A27&amp;"M","mf")</f>
        <v>42894</v>
      </c>
      <c r="D27" s="340">
        <f>_xll.qlInterestRateIndexMaturity(ON_12M_index,C27)</f>
        <v>43259</v>
      </c>
      <c r="E27" s="341">
        <f>_xll.qlIndexFixing(ON_12M_index,B27,,AllTriggers)</f>
        <v>1.6446242247501973E-3</v>
      </c>
      <c r="F27" s="342">
        <f>_xll.qlInterpolationInterpolate(BasisInterpolator,C27,TRUE,E27)</f>
        <v>3.5253757752498026E-3</v>
      </c>
      <c r="G27" s="341">
        <f t="shared" si="0"/>
        <v>5.1700000000000001E-3</v>
      </c>
      <c r="H27" s="72"/>
      <c r="Z27" s="71"/>
      <c r="AA27" s="71"/>
      <c r="AB27" s="72"/>
    </row>
    <row r="28" spans="1:28" x14ac:dyDescent="0.2">
      <c r="H28" s="72"/>
    </row>
    <row r="29" spans="1:28" x14ac:dyDescent="0.2">
      <c r="H29" s="72"/>
    </row>
    <row r="30" spans="1:28" x14ac:dyDescent="0.2">
      <c r="H30" s="72"/>
    </row>
    <row r="31" spans="1:28" x14ac:dyDescent="0.2">
      <c r="H31" s="72"/>
    </row>
    <row r="32" spans="1:28" x14ac:dyDescent="0.2">
      <c r="H32" s="72"/>
    </row>
    <row r="33" spans="8:8" x14ac:dyDescent="0.2">
      <c r="H33" s="7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64"/>
  <sheetViews>
    <sheetView tabSelected="1" workbookViewId="0">
      <selection activeCell="G2" sqref="G2"/>
    </sheetView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6" width="4.33203125" style="167" customWidth="1"/>
    <col min="7" max="7" width="7.83203125" style="167" customWidth="1"/>
    <col min="8" max="8" width="10.5" style="167" bestFit="1" customWidth="1"/>
    <col min="9" max="9" width="3.1640625" style="167" customWidth="1"/>
    <col min="10" max="10" width="10.5" style="167" bestFit="1" customWidth="1"/>
    <col min="11" max="11" width="3.1640625" style="167" customWidth="1"/>
    <col min="12" max="12" width="11.6640625" style="167" bestFit="1" customWidth="1"/>
    <col min="13" max="13" width="10.5" style="167" bestFit="1" customWidth="1"/>
    <col min="14" max="14" width="5.83203125" style="167" customWidth="1"/>
    <col min="15" max="16384" width="9.33203125" style="166"/>
  </cols>
  <sheetData>
    <row r="1" spans="1:14" x14ac:dyDescent="0.2">
      <c r="A1" s="100"/>
      <c r="B1" s="39"/>
      <c r="C1" s="39"/>
      <c r="D1" s="11"/>
      <c r="E1" s="11"/>
      <c r="F1" s="13"/>
      <c r="G1" s="12"/>
      <c r="H1" s="12"/>
      <c r="I1" s="13"/>
      <c r="J1" s="13"/>
      <c r="K1" s="13"/>
      <c r="L1" s="12"/>
      <c r="M1" s="39"/>
      <c r="N1" s="101"/>
    </row>
    <row r="2" spans="1:14" ht="12" x14ac:dyDescent="0.25">
      <c r="A2" s="85"/>
      <c r="B2" s="86"/>
      <c r="C2" s="87" t="str">
        <f>Currency&amp;"_015_SyntheticQuotes"&amp;".xml"</f>
        <v>EUR_015_SyntheticQuotes.xml</v>
      </c>
      <c r="D2" s="88" t="str">
        <f>IF(Serialize,_xll.ohObjectSave(D3:D63,SerializationPath&amp;C2,FileOverwrite,Serialize),"---")</f>
        <v>---</v>
      </c>
      <c r="E2" s="88" t="s">
        <v>89</v>
      </c>
      <c r="F2" s="14"/>
      <c r="G2" s="96"/>
      <c r="H2" s="97" t="s">
        <v>51</v>
      </c>
      <c r="I2" s="14"/>
      <c r="J2" s="98" t="s">
        <v>52</v>
      </c>
      <c r="K2" s="14"/>
      <c r="L2" s="96" t="s">
        <v>53</v>
      </c>
      <c r="M2" s="99" t="s">
        <v>54</v>
      </c>
      <c r="N2" s="102">
        <f>_xll.ohTrigger(M3:M7)</f>
        <v>1</v>
      </c>
    </row>
    <row r="3" spans="1:14" x14ac:dyDescent="0.2">
      <c r="A3" s="103">
        <v>1</v>
      </c>
      <c r="B3" s="157" t="s">
        <v>55</v>
      </c>
      <c r="C3" s="158" t="str">
        <f t="shared" ref="C3" si="0">Currency&amp;$B3&amp;"_SYNTH"&amp;Tenor1M&amp;QuoteSuffix</f>
        <v>EURSND_SYNTH1M_Quote</v>
      </c>
      <c r="D3" s="158" t="str">
        <f>_xll.qlSimpleQuote(C3,,RateTickValue,Permanent,EvaluationDate,ObjectOverwrite)</f>
        <v>EURSND_SYNTH1M_Quote#0000</v>
      </c>
      <c r="E3" s="163" t="str">
        <f>_xll.ohRangeRetrieveError(D3)</f>
        <v/>
      </c>
      <c r="F3" s="14"/>
      <c r="G3" s="138" t="s">
        <v>55</v>
      </c>
      <c r="H3" s="139">
        <f>'1MSynthDepo'!V11</f>
        <v>-5.9043666484015489E-4</v>
      </c>
      <c r="I3" s="15" t="s">
        <v>56</v>
      </c>
      <c r="J3" s="132">
        <v>-5.3379496031347173E-4</v>
      </c>
      <c r="K3" s="14"/>
      <c r="L3" s="120">
        <f t="array" ref="L3:L63">QuoteLive</f>
        <v>-5.9043666484015489E-4</v>
      </c>
      <c r="M3" s="121">
        <f>_xll.qlSimpleQuoteSetValue(D3,ROUND($L3,6),EvaluationDate)</f>
        <v>0</v>
      </c>
      <c r="N3" s="104"/>
    </row>
    <row r="4" spans="1:14" x14ac:dyDescent="0.2">
      <c r="A4" s="105" t="str">
        <f>_xll.qlPeriodEquivalent(Months1M&amp;"M")</f>
        <v>1M</v>
      </c>
      <c r="B4" s="159" t="s">
        <v>57</v>
      </c>
      <c r="C4" s="160" t="str">
        <f t="shared" ref="C4:C7" si="1">Currency&amp;$B4&amp;"_SYNTH"&amp;Tenor1M&amp;QuoteSuffix</f>
        <v>EURSWD_SYNTH1M_Quote</v>
      </c>
      <c r="D4" s="160" t="str">
        <f>_xll.qlSimpleQuote(C4,,RateTickValue,Permanent,EvaluationDate,ObjectOverwrite)</f>
        <v>EURSWD_SYNTH1M_Quote#0000</v>
      </c>
      <c r="E4" s="164" t="str">
        <f>_xll.ohRangeRetrieveError(D4)</f>
        <v/>
      </c>
      <c r="F4" s="14"/>
      <c r="G4" s="138" t="s">
        <v>57</v>
      </c>
      <c r="H4" s="139">
        <f>'1MSynthDepo'!V12</f>
        <v>-5.9885151029488118E-4</v>
      </c>
      <c r="I4" s="15" t="s">
        <v>56</v>
      </c>
      <c r="J4" s="132">
        <v>-3.9059723107914834E-4</v>
      </c>
      <c r="K4" s="14"/>
      <c r="L4" s="120">
        <v>-5.9885151029488118E-4</v>
      </c>
      <c r="M4" s="121">
        <f>_xll.qlSimpleQuoteSetValue(D4,ROUND($L4,6),EvaluationDate)</f>
        <v>0</v>
      </c>
      <c r="N4" s="104"/>
    </row>
    <row r="5" spans="1:14" x14ac:dyDescent="0.2">
      <c r="A5" s="106"/>
      <c r="B5" s="159" t="s">
        <v>58</v>
      </c>
      <c r="C5" s="160" t="str">
        <f t="shared" si="1"/>
        <v>EUR2WD_SYNTH1M_Quote</v>
      </c>
      <c r="D5" s="160" t="str">
        <f>_xll.qlSimpleQuote(C5,,RateTickValue,Permanent,EvaluationDate,ObjectOverwrite)</f>
        <v>EUR2WD_SYNTH1M_Quote#0000</v>
      </c>
      <c r="E5" s="164" t="str">
        <f>_xll.ohRangeRetrieveError(D5)</f>
        <v/>
      </c>
      <c r="F5" s="14"/>
      <c r="G5" s="138" t="s">
        <v>58</v>
      </c>
      <c r="H5" s="139">
        <f>'1MSynthDepo'!V13</f>
        <v>-5.8752678013267764E-4</v>
      </c>
      <c r="I5" s="15" t="s">
        <v>56</v>
      </c>
      <c r="J5" s="132">
        <v>-2.022527404326497E-4</v>
      </c>
      <c r="K5" s="14"/>
      <c r="L5" s="120">
        <v>-5.8752678013267764E-4</v>
      </c>
      <c r="M5" s="121">
        <f>_xll.qlSimpleQuoteSetValue(D5,ROUND($L5,6),EvaluationDate)</f>
        <v>0</v>
      </c>
      <c r="N5" s="104"/>
    </row>
    <row r="6" spans="1:14" x14ac:dyDescent="0.2">
      <c r="A6" s="106"/>
      <c r="B6" s="159" t="s">
        <v>59</v>
      </c>
      <c r="C6" s="160" t="str">
        <f t="shared" si="1"/>
        <v>EUR3WD_SYNTH1M_Quote</v>
      </c>
      <c r="D6" s="160" t="str">
        <f>_xll.qlSimpleQuote(C6,,RateTickValue,Permanent,EvaluationDate,ObjectOverwrite)</f>
        <v>EUR3WD_SYNTH1M_Quote#0000</v>
      </c>
      <c r="E6" s="164" t="str">
        <f>_xll.ohRangeRetrieveError(D6)</f>
        <v/>
      </c>
      <c r="F6" s="14"/>
      <c r="G6" s="140" t="s">
        <v>59</v>
      </c>
      <c r="H6" s="139">
        <f>'1MSynthDepo'!V14</f>
        <v>-6.0502935140022932E-4</v>
      </c>
      <c r="I6" s="15" t="s">
        <v>56</v>
      </c>
      <c r="J6" s="133">
        <v>-2.8647777488328377E-4</v>
      </c>
      <c r="K6" s="14"/>
      <c r="L6" s="122">
        <v>-6.0502935140022932E-4</v>
      </c>
      <c r="M6" s="123">
        <f>_xll.qlSimpleQuoteSetValue(D6,ROUND($L6,6),EvaluationDate)</f>
        <v>0</v>
      </c>
      <c r="N6" s="104"/>
    </row>
    <row r="7" spans="1:14" x14ac:dyDescent="0.2">
      <c r="A7" s="106"/>
      <c r="B7" s="161" t="s">
        <v>60</v>
      </c>
      <c r="C7" s="162" t="str">
        <f t="shared" si="1"/>
        <v>EUR1MD_SYNTH1M_Quote</v>
      </c>
      <c r="D7" s="162" t="str">
        <f>_xll.qlSimpleQuote(C7,,RateTickValue,Permanent,EvaluationDate,ObjectOverwrite)</f>
        <v>EUR1MD_SYNTH1M_Quote#0000</v>
      </c>
      <c r="E7" s="165" t="str">
        <f>_xll.ohRangeRetrieveError(D7)</f>
        <v/>
      </c>
      <c r="F7" s="14"/>
      <c r="G7" s="141" t="s">
        <v>60</v>
      </c>
      <c r="H7" s="142">
        <f>'1MSynthDepo'!V15</f>
        <v>-6.2758270029439345E-4</v>
      </c>
      <c r="I7" s="15" t="s">
        <v>56</v>
      </c>
      <c r="J7" s="134">
        <v>-3.3999999999956287E-4</v>
      </c>
      <c r="K7" s="14"/>
      <c r="L7" s="124">
        <v>-6.2758270029439345E-4</v>
      </c>
      <c r="M7" s="125">
        <f>_xll.qlSimpleQuoteSetValue(D7,ROUND($L7,6),EvaluationDate)</f>
        <v>0</v>
      </c>
      <c r="N7" s="107"/>
    </row>
    <row r="8" spans="1:14" x14ac:dyDescent="0.2">
      <c r="A8" s="89">
        <v>3</v>
      </c>
      <c r="B8" s="157" t="s">
        <v>55</v>
      </c>
      <c r="C8" s="158" t="str">
        <f t="shared" ref="C8:C14" si="2">Currency&amp;$B8&amp;"_SYNTH"&amp;Tenor3M&amp;QuoteSuffix</f>
        <v>EURSND_SYNTH3M_Quote</v>
      </c>
      <c r="D8" s="158" t="str">
        <f>_xll.qlSimpleQuote(C8,,RateTickValue,Permanent,EvaluationDate,ObjectOverwrite)</f>
        <v>EURSND_SYNTH3M_Quote#0000</v>
      </c>
      <c r="E8" s="163"/>
      <c r="F8" s="16"/>
      <c r="G8" s="143" t="s">
        <v>55</v>
      </c>
      <c r="H8" s="144">
        <f>'3MSynthDepo'!I25</f>
        <v>-1.5235886164699508E-4</v>
      </c>
      <c r="I8" s="17"/>
      <c r="J8" s="132">
        <v>-6.5904013166750985E-5</v>
      </c>
      <c r="K8" s="16"/>
      <c r="L8" s="120">
        <v>-1.5235886164699508E-4</v>
      </c>
      <c r="M8" s="121">
        <f>_xll.qlSimpleQuoteSetValue(D8,ROUND($L8,6),EvaluationDate)</f>
        <v>6.9999999999999804E-6</v>
      </c>
      <c r="N8" s="108">
        <f>_xll.ohTrigger(M8:M14)</f>
        <v>1</v>
      </c>
    </row>
    <row r="9" spans="1:14" x14ac:dyDescent="0.2">
      <c r="A9" s="105" t="str">
        <f>_xll.qlPeriodEquivalent(Months3M&amp;"M")</f>
        <v>3M</v>
      </c>
      <c r="B9" s="159" t="s">
        <v>57</v>
      </c>
      <c r="C9" s="160" t="str">
        <f t="shared" si="2"/>
        <v>EURSWD_SYNTH3M_Quote</v>
      </c>
      <c r="D9" s="160" t="str">
        <f>_xll.qlSimpleQuote(C9,,RateTickValue,Permanent,EvaluationDate,ObjectOverwrite)</f>
        <v>EURSWD_SYNTH3M_Quote#0000</v>
      </c>
      <c r="E9" s="164"/>
      <c r="F9" s="16"/>
      <c r="G9" s="145" t="s">
        <v>57</v>
      </c>
      <c r="H9" s="139">
        <f>'3MSynthDepo'!I26</f>
        <v>-1.4615060688529167E-4</v>
      </c>
      <c r="I9" s="17"/>
      <c r="J9" s="132">
        <v>6.7527620855045711E-5</v>
      </c>
      <c r="K9" s="16"/>
      <c r="L9" s="120">
        <v>-1.4615060688529167E-4</v>
      </c>
      <c r="M9" s="121">
        <f>_xll.qlSimpleQuoteSetValue(D9,ROUND($L9,6),EvaluationDate)</f>
        <v>6.0000000000000103E-6</v>
      </c>
      <c r="N9" s="104"/>
    </row>
    <row r="10" spans="1:14" x14ac:dyDescent="0.2">
      <c r="A10" s="109"/>
      <c r="B10" s="159" t="s">
        <v>58</v>
      </c>
      <c r="C10" s="160" t="str">
        <f t="shared" si="2"/>
        <v>EUR2WD_SYNTH3M_Quote</v>
      </c>
      <c r="D10" s="160" t="str">
        <f>_xll.qlSimpleQuote(C10,,RateTickValue,Permanent,EvaluationDate,ObjectOverwrite)</f>
        <v>EUR2WD_SYNTH3M_Quote#0000</v>
      </c>
      <c r="E10" s="164"/>
      <c r="F10" s="16"/>
      <c r="G10" s="145" t="s">
        <v>58</v>
      </c>
      <c r="H10" s="139">
        <f>'3MSynthDepo'!I27</f>
        <v>-1.1905590967087321E-4</v>
      </c>
      <c r="I10" s="17"/>
      <c r="J10" s="132">
        <v>2.4652230037336409E-4</v>
      </c>
      <c r="K10" s="16"/>
      <c r="L10" s="120">
        <v>-1.1905590967087321E-4</v>
      </c>
      <c r="M10" s="121">
        <f>_xll.qlSimpleQuoteSetValue(D10,ROUND($L10,6),EvaluationDate)</f>
        <v>5.9999999999999968E-6</v>
      </c>
      <c r="N10" s="104"/>
    </row>
    <row r="11" spans="1:14" x14ac:dyDescent="0.2">
      <c r="A11" s="109"/>
      <c r="B11" s="159" t="s">
        <v>59</v>
      </c>
      <c r="C11" s="160" t="str">
        <f t="shared" si="2"/>
        <v>EUR3WD_SYNTH3M_Quote</v>
      </c>
      <c r="D11" s="160" t="str">
        <f>_xll.qlSimpleQuote(C11,,RateTickValue,Permanent,EvaluationDate,ObjectOverwrite)</f>
        <v>EUR3WD_SYNTH3M_Quote#0000</v>
      </c>
      <c r="E11" s="164"/>
      <c r="F11" s="16"/>
      <c r="G11" s="146" t="s">
        <v>59</v>
      </c>
      <c r="H11" s="147">
        <f>'3MSynthDepo'!I28</f>
        <v>-1.2210649579267953E-4</v>
      </c>
      <c r="I11" s="17"/>
      <c r="J11" s="133">
        <v>1.5514146245010352E-4</v>
      </c>
      <c r="K11" s="16"/>
      <c r="L11" s="122">
        <v>-1.2210649579267953E-4</v>
      </c>
      <c r="M11" s="123">
        <f>_xll.qlSimpleQuoteSetValue(D11,ROUND($L11,6),EvaluationDate)</f>
        <v>5.9999999999999968E-6</v>
      </c>
      <c r="N11" s="104"/>
    </row>
    <row r="12" spans="1:14" x14ac:dyDescent="0.2">
      <c r="A12" s="109"/>
      <c r="B12" s="159" t="s">
        <v>60</v>
      </c>
      <c r="C12" s="160" t="str">
        <f t="shared" si="2"/>
        <v>EUR1MD_SYNTH3M_Quote</v>
      </c>
      <c r="D12" s="160" t="str">
        <f>_xll.qlSimpleQuote(C12,,RateTickValue,Permanent,EvaluationDate,ObjectOverwrite)</f>
        <v>EUR1MD_SYNTH3M_Quote#0000</v>
      </c>
      <c r="E12" s="164"/>
      <c r="F12" s="16"/>
      <c r="G12" s="145" t="s">
        <v>60</v>
      </c>
      <c r="H12" s="139">
        <f>'3MSynthDepo'!I29</f>
        <v>-1.2789266630397478E-4</v>
      </c>
      <c r="I12" s="17"/>
      <c r="J12" s="132">
        <v>9.5648429845773819E-5</v>
      </c>
      <c r="K12" s="16"/>
      <c r="L12" s="120">
        <v>-1.2789266630397478E-4</v>
      </c>
      <c r="M12" s="121">
        <f>_xll.qlSimpleQuoteSetValue(D12,ROUND($L12,6),EvaluationDate)</f>
        <v>5.0000000000000131E-6</v>
      </c>
      <c r="N12" s="104"/>
    </row>
    <row r="13" spans="1:14" x14ac:dyDescent="0.2">
      <c r="A13" s="109"/>
      <c r="B13" s="159" t="s">
        <v>61</v>
      </c>
      <c r="C13" s="160" t="str">
        <f t="shared" si="2"/>
        <v>EUR2MD_SYNTH3M_Quote</v>
      </c>
      <c r="D13" s="160" t="str">
        <f>_xll.qlSimpleQuote(C13,,RateTickValue,Permanent,EvaluationDate,ObjectOverwrite)</f>
        <v>EUR2MD_SYNTH3M_Quote#0000</v>
      </c>
      <c r="E13" s="164"/>
      <c r="F13" s="16"/>
      <c r="G13" s="145" t="s">
        <v>61</v>
      </c>
      <c r="H13" s="139">
        <f>'3MSynthDepo'!I30</f>
        <v>-1.3135129780675724E-4</v>
      </c>
      <c r="I13" s="17"/>
      <c r="J13" s="132">
        <v>5.4506305091701146E-5</v>
      </c>
      <c r="K13" s="16"/>
      <c r="L13" s="120">
        <v>-1.3135129780675724E-4</v>
      </c>
      <c r="M13" s="121">
        <f>_xll.qlSimpleQuoteSetValue(D13,ROUND($L13,6),EvaluationDate)</f>
        <v>3.9999999999999888E-6</v>
      </c>
      <c r="N13" s="104"/>
    </row>
    <row r="14" spans="1:14" x14ac:dyDescent="0.2">
      <c r="A14" s="94"/>
      <c r="B14" s="161" t="s">
        <v>62</v>
      </c>
      <c r="C14" s="162" t="str">
        <f t="shared" si="2"/>
        <v>EUR3MD_SYNTH3M_Quote</v>
      </c>
      <c r="D14" s="162" t="str">
        <f>_xll.qlSimpleQuote(C14,,RateTickValue,Permanent,EvaluationDate,ObjectOverwrite)</f>
        <v>EUR3MD_SYNTH3M_Quote#0000</v>
      </c>
      <c r="E14" s="165"/>
      <c r="F14" s="16"/>
      <c r="G14" s="146" t="s">
        <v>62</v>
      </c>
      <c r="H14" s="147">
        <f>'3MSynthDepo'!I31</f>
        <v>-1.3414978244339639E-4</v>
      </c>
      <c r="I14" s="17"/>
      <c r="J14" s="133">
        <v>2.1169088631484696E-5</v>
      </c>
      <c r="K14" s="16"/>
      <c r="L14" s="122">
        <v>-1.3414978244339639E-4</v>
      </c>
      <c r="M14" s="123">
        <f>_xll.qlSimpleQuoteSetValue(D14,ROUND($L14,6),EvaluationDate)</f>
        <v>2.9999999999999916E-6</v>
      </c>
      <c r="N14" s="104"/>
    </row>
    <row r="15" spans="1:14" x14ac:dyDescent="0.2">
      <c r="A15" s="103">
        <v>6</v>
      </c>
      <c r="B15" s="157" t="s">
        <v>55</v>
      </c>
      <c r="C15" s="158" t="str">
        <f t="shared" ref="C15:C24" si="3">Currency&amp;$B15&amp;"_SYNTH"&amp;Tenor6M&amp;QuoteSuffix</f>
        <v>EURSND_SYNTH6M_Quote</v>
      </c>
      <c r="D15" s="158" t="str">
        <f>_xll.qlSimpleQuote(C15,,RateTickValue,Permanent,EvaluationDate,ObjectOverwrite)</f>
        <v>EURSND_SYNTH6M_Quote#0000</v>
      </c>
      <c r="E15" s="163" t="str">
        <f>_xll.ohRangeRetrieveError(D15)</f>
        <v/>
      </c>
      <c r="F15" s="16"/>
      <c r="G15" s="143" t="s">
        <v>55</v>
      </c>
      <c r="H15" s="144">
        <f>'6MSynthDepo'!I25</f>
        <v>3.241783158713929E-4</v>
      </c>
      <c r="I15" s="17"/>
      <c r="J15" s="132">
        <v>9.1273369742239652E-4</v>
      </c>
      <c r="K15" s="16"/>
      <c r="L15" s="120">
        <v>3.241783158713929E-4</v>
      </c>
      <c r="M15" s="121">
        <f>_xll.qlSimpleQuoteSetValue(D15,ROUND($L15,6),EvaluationDate)</f>
        <v>2.6000000000000036E-5</v>
      </c>
      <c r="N15" s="110">
        <f>_xll.ohTrigger(M15:M24)</f>
        <v>1</v>
      </c>
    </row>
    <row r="16" spans="1:14" x14ac:dyDescent="0.2">
      <c r="A16" s="105" t="str">
        <f>_xll.qlPeriodEquivalent(Months6M&amp;"M")</f>
        <v>6M</v>
      </c>
      <c r="B16" s="159" t="s">
        <v>57</v>
      </c>
      <c r="C16" s="160" t="str">
        <f t="shared" si="3"/>
        <v>EURSWD_SYNTH6M_Quote</v>
      </c>
      <c r="D16" s="160" t="str">
        <f>_xll.qlSimpleQuote(C16,,RateTickValue,Permanent,EvaluationDate,ObjectOverwrite)</f>
        <v>EURSWD_SYNTH6M_Quote#0000</v>
      </c>
      <c r="E16" s="164" t="str">
        <f>_xll.ohRangeRetrieveError(D16)</f>
        <v/>
      </c>
      <c r="F16" s="16"/>
      <c r="G16" s="145" t="s">
        <v>57</v>
      </c>
      <c r="H16" s="139">
        <f>'6MSynthDepo'!I26</f>
        <v>3.3416013810873475E-4</v>
      </c>
      <c r="I16" s="17"/>
      <c r="J16" s="132">
        <v>1.0323016171362046E-3</v>
      </c>
      <c r="K16" s="16"/>
      <c r="L16" s="120">
        <v>3.3416013810873475E-4</v>
      </c>
      <c r="M16" s="121">
        <f>_xll.qlSimpleQuoteSetValue(D16,ROUND($L16,6),EvaluationDate)</f>
        <v>2.5000000000000011E-5</v>
      </c>
      <c r="N16" s="111"/>
    </row>
    <row r="17" spans="1:14" x14ac:dyDescent="0.2">
      <c r="A17" s="112"/>
      <c r="B17" s="159" t="s">
        <v>58</v>
      </c>
      <c r="C17" s="160" t="str">
        <f t="shared" si="3"/>
        <v>EUR2WD_SYNTH6M_Quote</v>
      </c>
      <c r="D17" s="160" t="str">
        <f>_xll.qlSimpleQuote(C17,,RateTickValue,Permanent,EvaluationDate,ObjectOverwrite)</f>
        <v>EUR2WD_SYNTH6M_Quote#0000</v>
      </c>
      <c r="E17" s="164" t="str">
        <f>_xll.ohRangeRetrieveError(D17)</f>
        <v/>
      </c>
      <c r="F17" s="10"/>
      <c r="G17" s="145" t="s">
        <v>58</v>
      </c>
      <c r="H17" s="139">
        <f>'6MSynthDepo'!I27</f>
        <v>3.6559869292534283E-4</v>
      </c>
      <c r="I17" s="17"/>
      <c r="J17" s="132">
        <v>1.1954497369843459E-3</v>
      </c>
      <c r="K17" s="16"/>
      <c r="L17" s="120">
        <v>3.6559869292534283E-4</v>
      </c>
      <c r="M17" s="121">
        <f>_xll.qlSimpleQuoteSetValue(D17,ROUND($L17,6),EvaluationDate)</f>
        <v>2.5000000000000011E-5</v>
      </c>
      <c r="N17" s="111"/>
    </row>
    <row r="18" spans="1:14" x14ac:dyDescent="0.2">
      <c r="A18" s="109"/>
      <c r="B18" s="159" t="s">
        <v>59</v>
      </c>
      <c r="C18" s="160" t="str">
        <f t="shared" si="3"/>
        <v>EUR3WD_SYNTH6M_Quote</v>
      </c>
      <c r="D18" s="160" t="str">
        <f>_xll.qlSimpleQuote(C18,,RateTickValue,Permanent,EvaluationDate,ObjectOverwrite)</f>
        <v>EUR3WD_SYNTH6M_Quote#0000</v>
      </c>
      <c r="E18" s="164" t="str">
        <f>_xll.ohRangeRetrieveError(D18)</f>
        <v/>
      </c>
      <c r="F18" s="10"/>
      <c r="G18" s="145" t="s">
        <v>59</v>
      </c>
      <c r="H18" s="139">
        <f>'6MSynthDepo'!I28</f>
        <v>3.6682874906799966E-4</v>
      </c>
      <c r="I18" s="17"/>
      <c r="J18" s="132">
        <v>1.0885602616905743E-3</v>
      </c>
      <c r="K18" s="16"/>
      <c r="L18" s="120">
        <v>3.6682874906799966E-4</v>
      </c>
      <c r="M18" s="121">
        <f>_xll.qlSimpleQuoteSetValue(D18,ROUND($L18,6),EvaluationDate)</f>
        <v>2.2999999999999963E-5</v>
      </c>
      <c r="N18" s="111"/>
    </row>
    <row r="19" spans="1:14" x14ac:dyDescent="0.2">
      <c r="A19" s="109"/>
      <c r="B19" s="159" t="s">
        <v>60</v>
      </c>
      <c r="C19" s="160" t="str">
        <f t="shared" si="3"/>
        <v>EUR1MD_SYNTH6M_Quote</v>
      </c>
      <c r="D19" s="160" t="str">
        <f>_xll.qlSimpleQuote(C19,,RateTickValue,Permanent,EvaluationDate,ObjectOverwrite)</f>
        <v>EUR1MD_SYNTH6M_Quote#0000</v>
      </c>
      <c r="E19" s="164" t="str">
        <f>_xll.ohRangeRetrieveError(D19)</f>
        <v/>
      </c>
      <c r="F19" s="10"/>
      <c r="G19" s="143" t="s">
        <v>60</v>
      </c>
      <c r="H19" s="144">
        <f>'6MSynthDepo'!I29</f>
        <v>3.6645507358468166E-4</v>
      </c>
      <c r="I19" s="40"/>
      <c r="J19" s="135">
        <v>1.0096362776810253E-3</v>
      </c>
      <c r="K19" s="41"/>
      <c r="L19" s="126">
        <v>3.6645507358468166E-4</v>
      </c>
      <c r="M19" s="127">
        <f>_xll.qlSimpleQuoteSetValue(D19,ROUND($L19,6),EvaluationDate)</f>
        <v>2.1000000000000023E-5</v>
      </c>
      <c r="N19" s="111"/>
    </row>
    <row r="20" spans="1:14" x14ac:dyDescent="0.2">
      <c r="A20" s="109"/>
      <c r="B20" s="159" t="s">
        <v>61</v>
      </c>
      <c r="C20" s="160" t="str">
        <f t="shared" si="3"/>
        <v>EUR2MD_SYNTH6M_Quote</v>
      </c>
      <c r="D20" s="160" t="str">
        <f>_xll.qlSimpleQuote(C20,,RateTickValue,Permanent,EvaluationDate,ObjectOverwrite)</f>
        <v>EUR2MD_SYNTH6M_Quote#0000</v>
      </c>
      <c r="E20" s="164" t="str">
        <f>_xll.ohRangeRetrieveError(D20)</f>
        <v/>
      </c>
      <c r="F20" s="10"/>
      <c r="G20" s="145" t="s">
        <v>61</v>
      </c>
      <c r="H20" s="139">
        <f>'6MSynthDepo'!I30</f>
        <v>3.81994436043444E-4</v>
      </c>
      <c r="I20" s="17"/>
      <c r="J20" s="132">
        <v>9.0595425058635152E-4</v>
      </c>
      <c r="K20" s="16"/>
      <c r="L20" s="120">
        <v>3.81994436043444E-4</v>
      </c>
      <c r="M20" s="121">
        <f>_xll.qlSimpleQuoteSetValue(D20,ROUND($L20,6),EvaluationDate)</f>
        <v>1.7000000000000034E-5</v>
      </c>
      <c r="N20" s="111"/>
    </row>
    <row r="21" spans="1:14" x14ac:dyDescent="0.2">
      <c r="A21" s="109"/>
      <c r="B21" s="159" t="s">
        <v>62</v>
      </c>
      <c r="C21" s="160" t="str">
        <f t="shared" si="3"/>
        <v>EUR3MD_SYNTH6M_Quote</v>
      </c>
      <c r="D21" s="160" t="str">
        <f>_xll.qlSimpleQuote(C21,,RateTickValue,Permanent,EvaluationDate,ObjectOverwrite)</f>
        <v>EUR3MD_SYNTH6M_Quote#0000</v>
      </c>
      <c r="E21" s="164" t="str">
        <f>_xll.ohRangeRetrieveError(D21)</f>
        <v/>
      </c>
      <c r="F21" s="10"/>
      <c r="G21" s="145" t="s">
        <v>62</v>
      </c>
      <c r="H21" s="139">
        <f>'6MSynthDepo'!I31</f>
        <v>3.9484329466596776E-4</v>
      </c>
      <c r="I21" s="17"/>
      <c r="J21" s="132">
        <v>8.1856251305365826E-4</v>
      </c>
      <c r="K21" s="16"/>
      <c r="L21" s="120">
        <v>3.9484329466596776E-4</v>
      </c>
      <c r="M21" s="121">
        <f>_xll.qlSimpleQuoteSetValue(D21,ROUND($L21,6),EvaluationDate)</f>
        <v>1.4000000000000015E-5</v>
      </c>
      <c r="N21" s="111"/>
    </row>
    <row r="22" spans="1:14" x14ac:dyDescent="0.2">
      <c r="A22" s="109"/>
      <c r="B22" s="159" t="s">
        <v>63</v>
      </c>
      <c r="C22" s="160" t="str">
        <f t="shared" si="3"/>
        <v>EUR4MD_SYNTH6M_Quote</v>
      </c>
      <c r="D22" s="160" t="str">
        <f>_xll.qlSimpleQuote(C22,,RateTickValue,Permanent,EvaluationDate,ObjectOverwrite)</f>
        <v>EUR4MD_SYNTH6M_Quote#0000</v>
      </c>
      <c r="E22" s="164" t="str">
        <f>_xll.ohRangeRetrieveError(D22)</f>
        <v/>
      </c>
      <c r="F22" s="10"/>
      <c r="G22" s="145" t="s">
        <v>63</v>
      </c>
      <c r="H22" s="139">
        <f>'6MSynthDepo'!I32</f>
        <v>4.2839036714768179E-4</v>
      </c>
      <c r="I22" s="17"/>
      <c r="J22" s="132">
        <v>7.7358926811860727E-4</v>
      </c>
      <c r="K22" s="16"/>
      <c r="L22" s="120">
        <v>4.2839036714768179E-4</v>
      </c>
      <c r="M22" s="121">
        <f>_xll.qlSimpleQuoteSetValue(D22,ROUND($L22,6),EvaluationDate)</f>
        <v>1.0999999999999996E-5</v>
      </c>
      <c r="N22" s="111"/>
    </row>
    <row r="23" spans="1:14" x14ac:dyDescent="0.2">
      <c r="A23" s="109"/>
      <c r="B23" s="159" t="s">
        <v>64</v>
      </c>
      <c r="C23" s="160" t="str">
        <f t="shared" si="3"/>
        <v>EUR5MD_SYNTH6M_Quote</v>
      </c>
      <c r="D23" s="160" t="str">
        <f>_xll.qlSimpleQuote(C23,,RateTickValue,Permanent,EvaluationDate,ObjectOverwrite)</f>
        <v>EUR5MD_SYNTH6M_Quote#0000</v>
      </c>
      <c r="E23" s="164" t="str">
        <f>_xll.ohRangeRetrieveError(D23)</f>
        <v/>
      </c>
      <c r="F23" s="10"/>
      <c r="G23" s="145" t="s">
        <v>64</v>
      </c>
      <c r="H23" s="139">
        <f>'6MSynthDepo'!I33</f>
        <v>4.5430778824257596E-4</v>
      </c>
      <c r="I23" s="17"/>
      <c r="J23" s="132">
        <v>7.535141655863201E-4</v>
      </c>
      <c r="K23" s="16"/>
      <c r="L23" s="120">
        <v>4.5430778824257596E-4</v>
      </c>
      <c r="M23" s="121">
        <f>_xll.qlSimpleQuoteSetValue(D23,ROUND($L23,6),EvaluationDate)</f>
        <v>7.9999999999999776E-6</v>
      </c>
      <c r="N23" s="111"/>
    </row>
    <row r="24" spans="1:14" x14ac:dyDescent="0.2">
      <c r="A24" s="94"/>
      <c r="B24" s="161" t="s">
        <v>65</v>
      </c>
      <c r="C24" s="162" t="str">
        <f t="shared" si="3"/>
        <v>EUR6MD_SYNTH6M_Quote</v>
      </c>
      <c r="D24" s="162" t="str">
        <f>_xll.qlSimpleQuote(C24,,RateTickValue,Permanent,EvaluationDate,ObjectOverwrite)</f>
        <v>EUR6MD_SYNTH6M_Quote#0000</v>
      </c>
      <c r="E24" s="165" t="str">
        <f>_xll.ohRangeRetrieveError(D24)</f>
        <v/>
      </c>
      <c r="F24" s="10"/>
      <c r="G24" s="146" t="s">
        <v>65</v>
      </c>
      <c r="H24" s="147">
        <f>'6MSynthDepo'!I34</f>
        <v>4.8065290598658667E-4</v>
      </c>
      <c r="I24" s="17"/>
      <c r="J24" s="133">
        <v>7.1336998314508644E-4</v>
      </c>
      <c r="K24" s="16"/>
      <c r="L24" s="122">
        <v>4.8065290598658667E-4</v>
      </c>
      <c r="M24" s="123">
        <f>_xll.qlSimpleQuoteSetValue(D24,ROUND($L24,6),EvaluationDate)</f>
        <v>7.0000000000000075E-6</v>
      </c>
      <c r="N24" s="111"/>
    </row>
    <row r="25" spans="1:14" x14ac:dyDescent="0.2">
      <c r="A25" s="95">
        <v>12</v>
      </c>
      <c r="B25" s="159" t="s">
        <v>55</v>
      </c>
      <c r="C25" s="160" t="str">
        <f t="shared" ref="C25:C40" si="4">Currency&amp;$B25&amp;"_SYNTH"&amp;Tenor12M&amp;QuoteSuffix</f>
        <v>EURSND_SYNTH1Y_Quote</v>
      </c>
      <c r="D25" s="160" t="str">
        <f>_xll.qlSimpleQuote(C25,,RateTickValue,Permanent,EvaluationDate,ObjectOverwrite)</f>
        <v>EURSND_SYNTH1Y_Quote#0000</v>
      </c>
      <c r="E25" s="164" t="str">
        <f>_xll.ohRangeRetrieveError(D25)</f>
        <v/>
      </c>
      <c r="F25" s="16"/>
      <c r="G25" s="148" t="s">
        <v>55</v>
      </c>
      <c r="H25" s="144">
        <f>'1YSynthDepo'!I20</f>
        <v>1.609122302923538E-3</v>
      </c>
      <c r="I25" s="17"/>
      <c r="J25" s="132">
        <v>1.9786760234286049E-3</v>
      </c>
      <c r="K25" s="16"/>
      <c r="L25" s="120">
        <v>1.609122302923538E-3</v>
      </c>
      <c r="M25" s="121">
        <f>_xll.qlSimpleQuoteSetValue(D25,ROUND($L25,6),EvaluationDate)</f>
        <v>-3.6000000000000008E-5</v>
      </c>
      <c r="N25" s="110">
        <f>_xll.ohTrigger(M25:M40)</f>
        <v>1</v>
      </c>
    </row>
    <row r="26" spans="1:14" x14ac:dyDescent="0.2">
      <c r="A26" s="89" t="str">
        <f>_xll.qlPeriodEquivalent(Months12M&amp;"M")</f>
        <v>1Y</v>
      </c>
      <c r="B26" s="159" t="s">
        <v>57</v>
      </c>
      <c r="C26" s="160" t="str">
        <f t="shared" si="4"/>
        <v>EURSWD_SYNTH1Y_Quote</v>
      </c>
      <c r="D26" s="160" t="str">
        <f>_xll.qlSimpleQuote(C26,,RateTickValue,Permanent,EvaluationDate,ObjectOverwrite)</f>
        <v>EURSWD_SYNTH1Y_Quote#0000</v>
      </c>
      <c r="E26" s="164" t="str">
        <f>_xll.ohRangeRetrieveError(D26)</f>
        <v/>
      </c>
      <c r="F26" s="16"/>
      <c r="G26" s="149" t="s">
        <v>57</v>
      </c>
      <c r="H26" s="139">
        <f>'1YSynthDepo'!I21</f>
        <v>1.6082451892161587E-3</v>
      </c>
      <c r="I26" s="17"/>
      <c r="J26" s="132">
        <v>2.0973449061261512E-3</v>
      </c>
      <c r="K26" s="16"/>
      <c r="L26" s="120">
        <v>1.6082451892161587E-3</v>
      </c>
      <c r="M26" s="121">
        <f>_xll.qlSimpleQuoteSetValue(D26,ROUND($L26,6),EvaluationDate)</f>
        <v>-3.4999999999999875E-5</v>
      </c>
      <c r="N26" s="111"/>
    </row>
    <row r="27" spans="1:14" x14ac:dyDescent="0.2">
      <c r="A27" s="91"/>
      <c r="B27" s="159" t="s">
        <v>58</v>
      </c>
      <c r="C27" s="160" t="str">
        <f t="shared" si="4"/>
        <v>EUR2WD_SYNTH1Y_Quote</v>
      </c>
      <c r="D27" s="160" t="str">
        <f>_xll.qlSimpleQuote(C27,,RateTickValue,Permanent,EvaluationDate,ObjectOverwrite)</f>
        <v>EUR2WD_SYNTH1Y_Quote#0000</v>
      </c>
      <c r="E27" s="164" t="str">
        <f>_xll.ohRangeRetrieveError(D27)</f>
        <v/>
      </c>
      <c r="F27" s="10"/>
      <c r="G27" s="149" t="s">
        <v>58</v>
      </c>
      <c r="H27" s="139">
        <f>'1YSynthDepo'!I22</f>
        <v>1.6272938688897754E-3</v>
      </c>
      <c r="I27" s="17"/>
      <c r="J27" s="132">
        <v>2.2594679994477774E-3</v>
      </c>
      <c r="K27" s="16"/>
      <c r="L27" s="120">
        <v>1.6272938688897754E-3</v>
      </c>
      <c r="M27" s="121">
        <f>_xll.qlSimpleQuoteSetValue(D27,ROUND($L27,6),EvaluationDate)</f>
        <v>-3.3999999999999959E-5</v>
      </c>
      <c r="N27" s="111"/>
    </row>
    <row r="28" spans="1:14" x14ac:dyDescent="0.2">
      <c r="A28" s="91"/>
      <c r="B28" s="159" t="s">
        <v>59</v>
      </c>
      <c r="C28" s="160" t="str">
        <f t="shared" si="4"/>
        <v>EUR3WD_SYNTH1Y_Quote</v>
      </c>
      <c r="D28" s="160" t="str">
        <f>_xll.qlSimpleQuote(C28,,RateTickValue,Permanent,EvaluationDate,ObjectOverwrite)</f>
        <v>EUR3WD_SYNTH1Y_Quote#0000</v>
      </c>
      <c r="E28" s="164" t="str">
        <f>_xll.ohRangeRetrieveError(D28)</f>
        <v/>
      </c>
      <c r="F28" s="10"/>
      <c r="G28" s="149" t="s">
        <v>59</v>
      </c>
      <c r="H28" s="139">
        <f>'1YSynthDepo'!I23</f>
        <v>1.6164289598753964E-3</v>
      </c>
      <c r="I28" s="17"/>
      <c r="J28" s="132">
        <v>2.1515623467774753E-3</v>
      </c>
      <c r="K28" s="16"/>
      <c r="L28" s="120">
        <v>1.6164289598753964E-3</v>
      </c>
      <c r="M28" s="121">
        <f>_xll.qlSimpleQuoteSetValue(D28,ROUND($L28,6),EvaluationDate)</f>
        <v>-3.3000000000000043E-5</v>
      </c>
      <c r="N28" s="111"/>
    </row>
    <row r="29" spans="1:14" x14ac:dyDescent="0.2">
      <c r="A29" s="91"/>
      <c r="B29" s="159" t="s">
        <v>60</v>
      </c>
      <c r="C29" s="160" t="str">
        <f t="shared" si="4"/>
        <v>EUR1MD_SYNTH1Y_Quote</v>
      </c>
      <c r="D29" s="160" t="str">
        <f>_xll.qlSimpleQuote(C29,,RateTickValue,Permanent,EvaluationDate,ObjectOverwrite)</f>
        <v>EUR1MD_SYNTH1Y_Quote#0000</v>
      </c>
      <c r="E29" s="164" t="str">
        <f>_xll.ohRangeRetrieveError(D29)</f>
        <v/>
      </c>
      <c r="F29" s="10"/>
      <c r="G29" s="150" t="s">
        <v>60</v>
      </c>
      <c r="H29" s="147">
        <f>'1YSynthDepo'!I24</f>
        <v>1.6009335986062467E-3</v>
      </c>
      <c r="I29" s="17"/>
      <c r="J29" s="133">
        <v>2.0713582690561338E-3</v>
      </c>
      <c r="K29" s="16"/>
      <c r="L29" s="122">
        <v>1.6009335986062467E-3</v>
      </c>
      <c r="M29" s="123">
        <f>_xll.qlSimpleQuoteSetValue(D29,ROUND($L29,6),EvaluationDate)</f>
        <v>-3.0999999999999995E-5</v>
      </c>
      <c r="N29" s="111"/>
    </row>
    <row r="30" spans="1:14" x14ac:dyDescent="0.2">
      <c r="A30" s="91"/>
      <c r="B30" s="159" t="s">
        <v>61</v>
      </c>
      <c r="C30" s="160" t="str">
        <f t="shared" si="4"/>
        <v>EUR2MD_SYNTH1Y_Quote</v>
      </c>
      <c r="D30" s="160" t="str">
        <f>_xll.qlSimpleQuote(C30,,RateTickValue,Permanent,EvaluationDate,ObjectOverwrite)</f>
        <v>EUR2MD_SYNTH1Y_Quote#0000</v>
      </c>
      <c r="E30" s="164" t="str">
        <f>_xll.ohRangeRetrieveError(D30)</f>
        <v/>
      </c>
      <c r="F30" s="10"/>
      <c r="G30" s="149" t="s">
        <v>61</v>
      </c>
      <c r="H30" s="139">
        <f>'1YSynthDepo'!I25</f>
        <v>1.5650524683749217E-3</v>
      </c>
      <c r="I30" s="17"/>
      <c r="J30" s="132">
        <v>1.9635040805632822E-3</v>
      </c>
      <c r="K30" s="16"/>
      <c r="L30" s="120">
        <v>1.5650524683749217E-3</v>
      </c>
      <c r="M30" s="121">
        <f>_xll.qlSimpleQuoteSetValue(D30,ROUND($L30,6),EvaluationDate)</f>
        <v>-2.5999999999999981E-5</v>
      </c>
      <c r="N30" s="110"/>
    </row>
    <row r="31" spans="1:14" x14ac:dyDescent="0.2">
      <c r="A31" s="91"/>
      <c r="B31" s="159" t="s">
        <v>62</v>
      </c>
      <c r="C31" s="160" t="str">
        <f t="shared" si="4"/>
        <v>EUR3MD_SYNTH1Y_Quote</v>
      </c>
      <c r="D31" s="160" t="str">
        <f>_xll.qlSimpleQuote(C31,,RateTickValue,Permanent,EvaluationDate,ObjectOverwrite)</f>
        <v>EUR3MD_SYNTH1Y_Quote#0000</v>
      </c>
      <c r="E31" s="164" t="str">
        <f>_xll.ohRangeRetrieveError(D31)</f>
        <v/>
      </c>
      <c r="F31" s="10"/>
      <c r="G31" s="149" t="s">
        <v>62</v>
      </c>
      <c r="H31" s="139">
        <f>'1YSynthDepo'!I26</f>
        <v>1.5377312623009118E-3</v>
      </c>
      <c r="I31" s="17"/>
      <c r="J31" s="132">
        <v>1.8724129563418969E-3</v>
      </c>
      <c r="K31" s="16"/>
      <c r="L31" s="120">
        <v>1.5377312623009118E-3</v>
      </c>
      <c r="M31" s="121">
        <f>_xll.qlSimpleQuoteSetValue(D31,ROUND($L31,6),EvaluationDate)</f>
        <v>-2.1999999999999884E-5</v>
      </c>
      <c r="N31" s="111"/>
    </row>
    <row r="32" spans="1:14" x14ac:dyDescent="0.2">
      <c r="A32" s="91"/>
      <c r="B32" s="159" t="s">
        <v>63</v>
      </c>
      <c r="C32" s="160" t="str">
        <f t="shared" si="4"/>
        <v>EUR4MD_SYNTH1Y_Quote</v>
      </c>
      <c r="D32" s="160" t="str">
        <f>_xll.qlSimpleQuote(C32,,RateTickValue,Permanent,EvaluationDate,ObjectOverwrite)</f>
        <v>EUR4MD_SYNTH1Y_Quote#0000</v>
      </c>
      <c r="E32" s="164" t="str">
        <f>_xll.ohRangeRetrieveError(D32)</f>
        <v/>
      </c>
      <c r="F32" s="10"/>
      <c r="G32" s="149" t="s">
        <v>63</v>
      </c>
      <c r="H32" s="139">
        <f>'1YSynthDepo'!I27</f>
        <v>1.5344112658990528E-3</v>
      </c>
      <c r="I32" s="17"/>
      <c r="J32" s="132">
        <v>1.8237721684577848E-3</v>
      </c>
      <c r="K32" s="16"/>
      <c r="L32" s="120">
        <v>1.5344112658990528E-3</v>
      </c>
      <c r="M32" s="121">
        <f>_xll.qlSimpleQuoteSetValue(D32,ROUND($L32,6),EvaluationDate)</f>
        <v>-1.899999999999992E-5</v>
      </c>
      <c r="N32" s="111"/>
    </row>
    <row r="33" spans="1:14" x14ac:dyDescent="0.2">
      <c r="A33" s="91"/>
      <c r="B33" s="159" t="s">
        <v>64</v>
      </c>
      <c r="C33" s="160" t="str">
        <f t="shared" si="4"/>
        <v>EUR5MD_SYNTH1Y_Quote</v>
      </c>
      <c r="D33" s="160" t="str">
        <f>_xll.qlSimpleQuote(C33,,RateTickValue,Permanent,EvaluationDate,ObjectOverwrite)</f>
        <v>EUR5MD_SYNTH1Y_Quote#0000</v>
      </c>
      <c r="E33" s="164" t="str">
        <f>_xll.ohRangeRetrieveError(D33)</f>
        <v/>
      </c>
      <c r="F33" s="16"/>
      <c r="G33" s="149" t="s">
        <v>64</v>
      </c>
      <c r="H33" s="139">
        <f>'1YSynthDepo'!I28</f>
        <v>1.5259618386373067E-3</v>
      </c>
      <c r="I33" s="17"/>
      <c r="J33" s="132">
        <v>1.8008225006785829E-3</v>
      </c>
      <c r="K33" s="16"/>
      <c r="L33" s="120">
        <v>1.5259618386373067E-3</v>
      </c>
      <c r="M33" s="121">
        <f>_xll.qlSimpleQuoteSetValue(D33,ROUND($L33,6),EvaluationDate)</f>
        <v>-1.5000000000000039E-5</v>
      </c>
      <c r="N33" s="111"/>
    </row>
    <row r="34" spans="1:14" x14ac:dyDescent="0.2">
      <c r="A34" s="91"/>
      <c r="B34" s="159" t="s">
        <v>65</v>
      </c>
      <c r="C34" s="160" t="str">
        <f t="shared" si="4"/>
        <v>EUR6MD_SYNTH1Y_Quote</v>
      </c>
      <c r="D34" s="160" t="str">
        <f>_xll.qlSimpleQuote(C34,,RateTickValue,Permanent,EvaluationDate,ObjectOverwrite)</f>
        <v>EUR6MD_SYNTH1Y_Quote#0000</v>
      </c>
      <c r="E34" s="164" t="str">
        <f>_xll.ohRangeRetrieveError(D34)</f>
        <v/>
      </c>
      <c r="F34" s="16"/>
      <c r="G34" s="149" t="s">
        <v>65</v>
      </c>
      <c r="H34" s="139">
        <f>'1YSynthDepo'!I29</f>
        <v>1.5253302475532371E-3</v>
      </c>
      <c r="I34" s="17"/>
      <c r="J34" s="132">
        <v>1.7580324292638017E-3</v>
      </c>
      <c r="K34" s="16"/>
      <c r="L34" s="120">
        <v>1.5253302475532371E-3</v>
      </c>
      <c r="M34" s="121">
        <f>_xll.qlSimpleQuoteSetValue(D34,ROUND($L34,6),EvaluationDate)</f>
        <v>-1.1999999999999858E-5</v>
      </c>
      <c r="N34" s="111"/>
    </row>
    <row r="35" spans="1:14" x14ac:dyDescent="0.2">
      <c r="A35" s="91"/>
      <c r="B35" s="159" t="s">
        <v>66</v>
      </c>
      <c r="C35" s="160" t="str">
        <f t="shared" si="4"/>
        <v>EUR7MD_SYNTH1Y_Quote</v>
      </c>
      <c r="D35" s="160" t="str">
        <f>_xll.qlSimpleQuote(C35,,RateTickValue,Permanent,EvaluationDate,ObjectOverwrite)</f>
        <v>EUR7MD_SYNTH1Y_Quote#0000</v>
      </c>
      <c r="E35" s="164" t="str">
        <f>_xll.ohRangeRetrieveError(D35)</f>
        <v/>
      </c>
      <c r="F35" s="16"/>
      <c r="G35" s="149" t="s">
        <v>66</v>
      </c>
      <c r="H35" s="139">
        <f>'1YSynthDepo'!I30</f>
        <v>1.6784772998424289E-3</v>
      </c>
      <c r="I35" s="17"/>
      <c r="J35" s="132">
        <v>1.7605253080593816E-3</v>
      </c>
      <c r="K35" s="16"/>
      <c r="L35" s="120">
        <v>1.6784772998424289E-3</v>
      </c>
      <c r="M35" s="121">
        <f>_xll.qlSimpleQuoteSetValue(D35,ROUND($L35,6),EvaluationDate)</f>
        <v>-9.9999999999991589E-7</v>
      </c>
      <c r="N35" s="111"/>
    </row>
    <row r="36" spans="1:14" x14ac:dyDescent="0.2">
      <c r="A36" s="91"/>
      <c r="B36" s="159" t="s">
        <v>67</v>
      </c>
      <c r="C36" s="160" t="str">
        <f t="shared" si="4"/>
        <v>EUR8MD_SYNTH1Y_Quote</v>
      </c>
      <c r="D36" s="160" t="str">
        <f>_xll.qlSimpleQuote(C36,,RateTickValue,Permanent,EvaluationDate,ObjectOverwrite)</f>
        <v>EUR8MD_SYNTH1Y_Quote#0000</v>
      </c>
      <c r="E36" s="164" t="str">
        <f>_xll.ohRangeRetrieveError(D36)</f>
        <v/>
      </c>
      <c r="F36" s="16"/>
      <c r="G36" s="149" t="s">
        <v>67</v>
      </c>
      <c r="H36" s="139">
        <f>'1YSynthDepo'!I31</f>
        <v>1.6784772998424289E-3</v>
      </c>
      <c r="I36" s="17"/>
      <c r="J36" s="132">
        <v>1.7377762759480189E-3</v>
      </c>
      <c r="K36" s="16"/>
      <c r="L36" s="120">
        <v>1.6784772998424289E-3</v>
      </c>
      <c r="M36" s="121">
        <f>_xll.qlSimpleQuoteSetValue(D36,ROUND($L36,6),EvaluationDate)</f>
        <v>-9.9999999999991589E-7</v>
      </c>
      <c r="N36" s="111"/>
    </row>
    <row r="37" spans="1:14" x14ac:dyDescent="0.2">
      <c r="A37" s="92"/>
      <c r="B37" s="159" t="s">
        <v>68</v>
      </c>
      <c r="C37" s="160" t="str">
        <f t="shared" si="4"/>
        <v>EUR9MD_SYNTH1Y_Quote</v>
      </c>
      <c r="D37" s="160" t="str">
        <f>_xll.qlSimpleQuote(C37,,RateTickValue,Permanent,EvaluationDate,ObjectOverwrite)</f>
        <v>EUR9MD_SYNTH1Y_Quote#0000</v>
      </c>
      <c r="E37" s="164" t="str">
        <f>_xll.ohRangeRetrieveError(D37)</f>
        <v/>
      </c>
      <c r="F37" s="16"/>
      <c r="G37" s="149" t="s">
        <v>68</v>
      </c>
      <c r="H37" s="139">
        <f>'1YSynthDepo'!I32</f>
        <v>1.6784772998424289E-3</v>
      </c>
      <c r="I37" s="17"/>
      <c r="J37" s="132">
        <v>1.7481493380464806E-3</v>
      </c>
      <c r="K37" s="16"/>
      <c r="L37" s="120">
        <v>1.6784772998424289E-3</v>
      </c>
      <c r="M37" s="121">
        <f>_xll.qlSimpleQuoteSetValue(D37,ROUND($L37,6),EvaluationDate)</f>
        <v>-9.9999999999991589E-7</v>
      </c>
      <c r="N37" s="111"/>
    </row>
    <row r="38" spans="1:14" x14ac:dyDescent="0.2">
      <c r="A38" s="93"/>
      <c r="B38" s="159" t="s">
        <v>69</v>
      </c>
      <c r="C38" s="160" t="str">
        <f t="shared" si="4"/>
        <v>EUR10MD_SYNTH1Y_Quote</v>
      </c>
      <c r="D38" s="160" t="str">
        <f>_xll.qlSimpleQuote(C38,,RateTickValue,Permanent,EvaluationDate,ObjectOverwrite)</f>
        <v>EUR10MD_SYNTH1Y_Quote#0000</v>
      </c>
      <c r="E38" s="164" t="str">
        <f>_xll.ohRangeRetrieveError(D38)</f>
        <v/>
      </c>
      <c r="F38" s="16"/>
      <c r="G38" s="149" t="s">
        <v>69</v>
      </c>
      <c r="H38" s="139">
        <f>'1YSynthDepo'!I33</f>
        <v>1.6784772998424289E-3</v>
      </c>
      <c r="I38" s="17"/>
      <c r="J38" s="132">
        <v>1.7372768337085925E-3</v>
      </c>
      <c r="K38" s="16"/>
      <c r="L38" s="120">
        <v>1.6784772998424289E-3</v>
      </c>
      <c r="M38" s="121">
        <f>_xll.qlSimpleQuoteSetValue(D38,ROUND($L38,6),EvaluationDate)</f>
        <v>-9.9999999999991589E-7</v>
      </c>
      <c r="N38" s="111"/>
    </row>
    <row r="39" spans="1:14" x14ac:dyDescent="0.2">
      <c r="A39" s="91"/>
      <c r="B39" s="159" t="s">
        <v>70</v>
      </c>
      <c r="C39" s="160" t="str">
        <f t="shared" si="4"/>
        <v>EUR11MD_SYNTH1Y_Quote</v>
      </c>
      <c r="D39" s="160" t="str">
        <f>_xll.qlSimpleQuote(C39,,RateTickValue,Permanent,EvaluationDate,ObjectOverwrite)</f>
        <v>EUR11MD_SYNTH1Y_Quote#0000</v>
      </c>
      <c r="E39" s="164" t="str">
        <f>_xll.ohRangeRetrieveError(D39)</f>
        <v/>
      </c>
      <c r="F39" s="16"/>
      <c r="G39" s="149" t="s">
        <v>70</v>
      </c>
      <c r="H39" s="139">
        <f>'1YSynthDepo'!I34</f>
        <v>1.6784772998424289E-3</v>
      </c>
      <c r="I39" s="17"/>
      <c r="J39" s="132">
        <v>1.7247550505565812E-3</v>
      </c>
      <c r="K39" s="16"/>
      <c r="L39" s="120">
        <v>1.6784772998424289E-3</v>
      </c>
      <c r="M39" s="121">
        <f>_xll.qlSimpleQuoteSetValue(D39,ROUND($L39,6),EvaluationDate)</f>
        <v>-9.9999999999991589E-7</v>
      </c>
      <c r="N39" s="111"/>
    </row>
    <row r="40" spans="1:14" x14ac:dyDescent="0.2">
      <c r="A40" s="94"/>
      <c r="B40" s="161" t="s">
        <v>71</v>
      </c>
      <c r="C40" s="160" t="str">
        <f t="shared" si="4"/>
        <v>EUR1YD_SYNTH1Y_Quote</v>
      </c>
      <c r="D40" s="160" t="str">
        <f>_xll.qlSimpleQuote(C40,,RateTickValue,Permanent,EvaluationDate,ObjectOverwrite)</f>
        <v>EUR1YD_SYNTH1Y_Quote#0000</v>
      </c>
      <c r="E40" s="164" t="str">
        <f>_xll.ohRangeRetrieveError(D40)</f>
        <v/>
      </c>
      <c r="F40" s="16"/>
      <c r="G40" s="150" t="s">
        <v>71</v>
      </c>
      <c r="H40" s="147">
        <f>'1YSynthDepo'!I35</f>
        <v>1.6784772998424289E-3</v>
      </c>
      <c r="I40" s="17"/>
      <c r="J40" s="133">
        <v>1.7100000000000858E-3</v>
      </c>
      <c r="K40" s="16"/>
      <c r="L40" s="122">
        <v>1.6784772998424289E-3</v>
      </c>
      <c r="M40" s="123">
        <f>_xll.qlSimpleQuoteSetValue(D40,ROUND($L40,6),EvaluationDate)</f>
        <v>-9.9999999999991589E-7</v>
      </c>
      <c r="N40" s="110"/>
    </row>
    <row r="41" spans="1:14" x14ac:dyDescent="0.2">
      <c r="A41" s="90">
        <v>1</v>
      </c>
      <c r="B41" s="157" t="str">
        <f t="shared" ref="B41:B63" si="5">A41&amp;"x"&amp;A41+Months12M&amp;"F"</f>
        <v>1x13F</v>
      </c>
      <c r="C41" s="158" t="str">
        <f t="shared" ref="C41:C63" si="6">Currency&amp;$B41&amp;"_SYNTH"&amp;"1Y"&amp;"_Quote"</f>
        <v>EUR1x13F_SYNTH1Y_Quote</v>
      </c>
      <c r="D41" s="158" t="str">
        <f>_xll.qlSimpleQuote(C41,,RateTickValue,Permanent,Trigger,ObjectOverwrite)</f>
        <v>EUR1x13F_SYNTH1Y_Quote#0000</v>
      </c>
      <c r="E41" s="163" t="str">
        <f>_xll.ohRangeRetrieveError(D41)</f>
        <v/>
      </c>
      <c r="F41" s="10">
        <v>1</v>
      </c>
      <c r="G41" s="151" t="str">
        <f t="shared" ref="G41:G62" si="7">F41&amp;"x"&amp;(F41+Months12M)&amp;"F"</f>
        <v>1x13F</v>
      </c>
      <c r="H41" s="152">
        <f>SynthFra!G4</f>
        <v>1.75E-3</v>
      </c>
      <c r="I41" s="18"/>
      <c r="J41" s="136">
        <v>1.6605416176082449E-3</v>
      </c>
      <c r="K41" s="19"/>
      <c r="L41" s="128">
        <v>1.75E-3</v>
      </c>
      <c r="M41" s="129">
        <f>_xll.qlSimpleQuoteSetValue(D41,ROUND(L41,6),EvaluationDate)</f>
        <v>1.0000000000000026E-5</v>
      </c>
      <c r="N41" s="110">
        <f>_xll.ohTrigger(M41:M63)</f>
        <v>1</v>
      </c>
    </row>
    <row r="42" spans="1:14" x14ac:dyDescent="0.2">
      <c r="A42" s="113">
        <v>2</v>
      </c>
      <c r="B42" s="159" t="str">
        <f t="shared" si="5"/>
        <v>2x14F</v>
      </c>
      <c r="C42" s="160" t="str">
        <f t="shared" si="6"/>
        <v>EUR2x14F_SYNTH1Y_Quote</v>
      </c>
      <c r="D42" s="160" t="str">
        <f>_xll.qlSimpleQuote(C42,,RateTickValue,Permanent,Trigger,ObjectOverwrite)</f>
        <v>EUR2x14F_SYNTH1Y_Quote#0000</v>
      </c>
      <c r="E42" s="164" t="str">
        <f>_xll.ohRangeRetrieveError(D42)</f>
        <v/>
      </c>
      <c r="F42" s="10">
        <v>2</v>
      </c>
      <c r="G42" s="153" t="str">
        <f t="shared" si="7"/>
        <v>2x14F</v>
      </c>
      <c r="H42" s="154">
        <f>SynthFra!G5</f>
        <v>1.8E-3</v>
      </c>
      <c r="I42" s="19"/>
      <c r="J42" s="136">
        <v>1.6383825167237793E-3</v>
      </c>
      <c r="K42" s="19"/>
      <c r="L42" s="128">
        <v>1.8E-3</v>
      </c>
      <c r="M42" s="129">
        <f>_xll.qlSimpleQuoteSetValue(D42,ROUND(L42,6),EvaluationDate)</f>
        <v>0</v>
      </c>
      <c r="N42" s="111"/>
    </row>
    <row r="43" spans="1:14" x14ac:dyDescent="0.2">
      <c r="A43" s="113">
        <v>3</v>
      </c>
      <c r="B43" s="159" t="str">
        <f t="shared" si="5"/>
        <v>3x15F</v>
      </c>
      <c r="C43" s="160" t="str">
        <f t="shared" si="6"/>
        <v>EUR3x15F_SYNTH1Y_Quote</v>
      </c>
      <c r="D43" s="160" t="str">
        <f>_xll.qlSimpleQuote(C43,,RateTickValue,Permanent,Trigger,ObjectOverwrite)</f>
        <v>EUR3x15F_SYNTH1Y_Quote#0000</v>
      </c>
      <c r="E43" s="164" t="str">
        <f>_xll.ohRangeRetrieveError(D43)</f>
        <v/>
      </c>
      <c r="F43" s="10">
        <v>3</v>
      </c>
      <c r="G43" s="153" t="str">
        <f t="shared" si="7"/>
        <v>3x15F</v>
      </c>
      <c r="H43" s="154">
        <f>SynthFra!G6</f>
        <v>1.8400000000000001E-3</v>
      </c>
      <c r="I43" s="19"/>
      <c r="J43" s="136">
        <v>1.6315359165180374E-3</v>
      </c>
      <c r="K43" s="19"/>
      <c r="L43" s="128">
        <v>1.8400000000000001E-3</v>
      </c>
      <c r="M43" s="129">
        <f>_xll.qlSimpleQuoteSetValue(D43,ROUND(L43,6),EvaluationDate)</f>
        <v>0</v>
      </c>
      <c r="N43" s="111"/>
    </row>
    <row r="44" spans="1:14" x14ac:dyDescent="0.2">
      <c r="A44" s="113">
        <v>4</v>
      </c>
      <c r="B44" s="159" t="str">
        <f t="shared" si="5"/>
        <v>4x16F</v>
      </c>
      <c r="C44" s="160" t="str">
        <f t="shared" si="6"/>
        <v>EUR4x16F_SYNTH1Y_Quote</v>
      </c>
      <c r="D44" s="160" t="str">
        <f>_xll.qlSimpleQuote(C44,,RateTickValue,Permanent,Trigger,ObjectOverwrite)</f>
        <v>EUR4x16F_SYNTH1Y_Quote#0000</v>
      </c>
      <c r="E44" s="164" t="str">
        <f>_xll.ohRangeRetrieveError(D44)</f>
        <v/>
      </c>
      <c r="F44" s="10">
        <v>4</v>
      </c>
      <c r="G44" s="153" t="str">
        <f t="shared" si="7"/>
        <v>4x16F</v>
      </c>
      <c r="H44" s="154">
        <f>SynthFra!G7</f>
        <v>1.9000000000000002E-3</v>
      </c>
      <c r="I44" s="19"/>
      <c r="J44" s="136">
        <v>1.6217354128587164E-3</v>
      </c>
      <c r="K44" s="19"/>
      <c r="L44" s="128">
        <v>1.9000000000000002E-3</v>
      </c>
      <c r="M44" s="129">
        <f>_xll.qlSimpleQuoteSetValue(D44,ROUND(L44,6),EvaluationDate)</f>
        <v>0</v>
      </c>
      <c r="N44" s="111"/>
    </row>
    <row r="45" spans="1:14" x14ac:dyDescent="0.2">
      <c r="A45" s="113">
        <v>5</v>
      </c>
      <c r="B45" s="159" t="str">
        <f t="shared" si="5"/>
        <v>5x17F</v>
      </c>
      <c r="C45" s="160" t="str">
        <f t="shared" si="6"/>
        <v>EUR5x17F_SYNTH1Y_Quote</v>
      </c>
      <c r="D45" s="160" t="str">
        <f>_xll.qlSimpleQuote(C45,,RateTickValue,Permanent,Trigger,ObjectOverwrite)</f>
        <v>EUR5x17F_SYNTH1Y_Quote#0000</v>
      </c>
      <c r="E45" s="164" t="str">
        <f>_xll.ohRangeRetrieveError(D45)</f>
        <v/>
      </c>
      <c r="F45" s="10">
        <v>5</v>
      </c>
      <c r="G45" s="153" t="str">
        <f t="shared" si="7"/>
        <v>5x17F</v>
      </c>
      <c r="H45" s="154">
        <f>SynthFra!G8</f>
        <v>1.97E-3</v>
      </c>
      <c r="I45" s="19"/>
      <c r="J45" s="136">
        <v>1.611490590887736E-3</v>
      </c>
      <c r="K45" s="19"/>
      <c r="L45" s="128">
        <v>1.97E-3</v>
      </c>
      <c r="M45" s="129">
        <f>_xll.qlSimpleQuoteSetValue(D45,ROUND(L45,6),EvaluationDate)</f>
        <v>0</v>
      </c>
      <c r="N45" s="111"/>
    </row>
    <row r="46" spans="1:14" x14ac:dyDescent="0.2">
      <c r="A46" s="113">
        <v>6</v>
      </c>
      <c r="B46" s="159" t="str">
        <f t="shared" si="5"/>
        <v>6x18F</v>
      </c>
      <c r="C46" s="160" t="str">
        <f t="shared" si="6"/>
        <v>EUR6x18F_SYNTH1Y_Quote</v>
      </c>
      <c r="D46" s="160" t="str">
        <f>_xll.qlSimpleQuote(C46,,RateTickValue,Permanent,Trigger,ObjectOverwrite)</f>
        <v>EUR6x18F_SYNTH1Y_Quote#0000</v>
      </c>
      <c r="E46" s="164" t="str">
        <f>_xll.ohRangeRetrieveError(D46)</f>
        <v/>
      </c>
      <c r="F46" s="10">
        <v>6</v>
      </c>
      <c r="G46" s="153" t="str">
        <f t="shared" si="7"/>
        <v>6x18F</v>
      </c>
      <c r="H46" s="154">
        <f>SynthFra!G9</f>
        <v>2.0299999999999997E-3</v>
      </c>
      <c r="I46" s="19"/>
      <c r="J46" s="136">
        <v>1.6152355880216236E-3</v>
      </c>
      <c r="K46" s="19"/>
      <c r="L46" s="128">
        <v>2.0299999999999997E-3</v>
      </c>
      <c r="M46" s="129">
        <f>_xll.qlSimpleQuoteSetValue(D46,ROUND(L46,6),EvaluationDate)</f>
        <v>0</v>
      </c>
      <c r="N46" s="111"/>
    </row>
    <row r="47" spans="1:14" x14ac:dyDescent="0.2">
      <c r="A47" s="113">
        <v>7</v>
      </c>
      <c r="B47" s="159" t="str">
        <f t="shared" si="5"/>
        <v>7x19F</v>
      </c>
      <c r="C47" s="160" t="str">
        <f t="shared" si="6"/>
        <v>EUR7x19F_SYNTH1Y_Quote</v>
      </c>
      <c r="D47" s="160" t="str">
        <f>_xll.qlSimpleQuote(C47,,RateTickValue,Permanent,Trigger,ObjectOverwrite)</f>
        <v>EUR7x19F_SYNTH1Y_Quote#0000</v>
      </c>
      <c r="E47" s="164" t="str">
        <f>_xll.ohRangeRetrieveError(D47)</f>
        <v/>
      </c>
      <c r="F47" s="10">
        <v>7</v>
      </c>
      <c r="G47" s="153" t="str">
        <f t="shared" si="7"/>
        <v>7x19F</v>
      </c>
      <c r="H47" s="154">
        <f>SynthFra!G10</f>
        <v>2.1400000000000004E-3</v>
      </c>
      <c r="I47" s="19"/>
      <c r="J47" s="136">
        <v>1.6027837766431675E-3</v>
      </c>
      <c r="K47" s="19"/>
      <c r="L47" s="128">
        <v>2.1400000000000004E-3</v>
      </c>
      <c r="M47" s="129">
        <f>_xll.qlSimpleQuoteSetValue(D47,ROUND(L47,6),EvaluationDate)</f>
        <v>0</v>
      </c>
      <c r="N47" s="111"/>
    </row>
    <row r="48" spans="1:14" x14ac:dyDescent="0.2">
      <c r="A48" s="113">
        <v>8</v>
      </c>
      <c r="B48" s="159" t="str">
        <f t="shared" si="5"/>
        <v>8x20F</v>
      </c>
      <c r="C48" s="160" t="str">
        <f t="shared" si="6"/>
        <v>EUR8x20F_SYNTH1Y_Quote</v>
      </c>
      <c r="D48" s="160" t="str">
        <f>_xll.qlSimpleQuote(C48,,RateTickValue,Permanent,Trigger,ObjectOverwrite)</f>
        <v>EUR8x20F_SYNTH1Y_Quote#0000</v>
      </c>
      <c r="E48" s="164" t="str">
        <f>_xll.ohRangeRetrieveError(D48)</f>
        <v/>
      </c>
      <c r="F48" s="10">
        <v>8</v>
      </c>
      <c r="G48" s="153" t="str">
        <f t="shared" si="7"/>
        <v>8x20F</v>
      </c>
      <c r="H48" s="154">
        <f>SynthFra!G11</f>
        <v>2.2599999999999999E-3</v>
      </c>
      <c r="I48" s="19"/>
      <c r="J48" s="136">
        <v>1.6116373612167782E-3</v>
      </c>
      <c r="K48" s="19"/>
      <c r="L48" s="128">
        <v>2.2599999999999999E-3</v>
      </c>
      <c r="M48" s="129">
        <f>_xll.qlSimpleQuoteSetValue(D48,ROUND(L48,6),EvaluationDate)</f>
        <v>1.0000000000000026E-5</v>
      </c>
      <c r="N48" s="111"/>
    </row>
    <row r="49" spans="1:14" x14ac:dyDescent="0.2">
      <c r="A49" s="113">
        <v>9</v>
      </c>
      <c r="B49" s="159" t="str">
        <f t="shared" si="5"/>
        <v>9x21F</v>
      </c>
      <c r="C49" s="160" t="str">
        <f t="shared" si="6"/>
        <v>EUR9x21F_SYNTH1Y_Quote</v>
      </c>
      <c r="D49" s="160" t="str">
        <f>_xll.qlSimpleQuote(C49,,RateTickValue,Permanent,Trigger,ObjectOverwrite)</f>
        <v>EUR9x21F_SYNTH1Y_Quote#0000</v>
      </c>
      <c r="E49" s="164" t="str">
        <f>_xll.ohRangeRetrieveError(D49)</f>
        <v/>
      </c>
      <c r="F49" s="10">
        <v>9</v>
      </c>
      <c r="G49" s="153" t="str">
        <f t="shared" si="7"/>
        <v>9x21F</v>
      </c>
      <c r="H49" s="154">
        <f>SynthFra!G12</f>
        <v>2.3700000000000006E-3</v>
      </c>
      <c r="I49" s="19"/>
      <c r="J49" s="136">
        <v>1.6110335582855382E-3</v>
      </c>
      <c r="K49" s="19"/>
      <c r="L49" s="128">
        <v>2.3700000000000006E-3</v>
      </c>
      <c r="M49" s="129">
        <f>_xll.qlSimpleQuoteSetValue(D49,ROUND(L49,6),EvaluationDate)</f>
        <v>1.0000000000000026E-5</v>
      </c>
      <c r="N49" s="111"/>
    </row>
    <row r="50" spans="1:14" x14ac:dyDescent="0.2">
      <c r="A50" s="113">
        <v>10</v>
      </c>
      <c r="B50" s="159" t="str">
        <f t="shared" si="5"/>
        <v>10x22F</v>
      </c>
      <c r="C50" s="160" t="str">
        <f t="shared" si="6"/>
        <v>EUR10x22F_SYNTH1Y_Quote</v>
      </c>
      <c r="D50" s="160" t="str">
        <f>_xll.qlSimpleQuote(C50,,RateTickValue,Permanent,Trigger,ObjectOverwrite)</f>
        <v>EUR10x22F_SYNTH1Y_Quote#0000</v>
      </c>
      <c r="E50" s="164" t="str">
        <f>_xll.ohRangeRetrieveError(D50)</f>
        <v/>
      </c>
      <c r="F50" s="10">
        <v>10</v>
      </c>
      <c r="G50" s="153" t="str">
        <f t="shared" si="7"/>
        <v>10x22F</v>
      </c>
      <c r="H50" s="154">
        <f>SynthFra!G13</f>
        <v>2.5100000000000001E-3</v>
      </c>
      <c r="I50" s="19"/>
      <c r="J50" s="136">
        <v>1.6260050614706461E-3</v>
      </c>
      <c r="K50" s="19"/>
      <c r="L50" s="128">
        <v>2.5100000000000001E-3</v>
      </c>
      <c r="M50" s="129">
        <f>_xll.qlSimpleQuoteSetValue(D50,ROUND(L50,6),EvaluationDate)</f>
        <v>0</v>
      </c>
      <c r="N50" s="111"/>
    </row>
    <row r="51" spans="1:14" x14ac:dyDescent="0.2">
      <c r="A51" s="113">
        <v>11</v>
      </c>
      <c r="B51" s="159" t="str">
        <f t="shared" si="5"/>
        <v>11x23F</v>
      </c>
      <c r="C51" s="160" t="str">
        <f t="shared" si="6"/>
        <v>EUR11x23F_SYNTH1Y_Quote</v>
      </c>
      <c r="D51" s="160" t="str">
        <f>_xll.qlSimpleQuote(C51,,RateTickValue,Permanent,Trigger,ObjectOverwrite)</f>
        <v>EUR11x23F_SYNTH1Y_Quote#0000</v>
      </c>
      <c r="E51" s="164" t="str">
        <f>_xll.ohRangeRetrieveError(D51)</f>
        <v/>
      </c>
      <c r="F51" s="10">
        <v>11</v>
      </c>
      <c r="G51" s="153" t="str">
        <f t="shared" si="7"/>
        <v>11x23F</v>
      </c>
      <c r="H51" s="154">
        <f>SynthFra!G14</f>
        <v>2.66E-3</v>
      </c>
      <c r="I51" s="19"/>
      <c r="J51" s="136">
        <v>1.6510956425379811E-3</v>
      </c>
      <c r="K51" s="19"/>
      <c r="L51" s="128">
        <v>2.66E-3</v>
      </c>
      <c r="M51" s="129">
        <f>_xll.qlSimpleQuoteSetValue(D51,ROUND(L51,6),EvaluationDate)</f>
        <v>1.0000000000000026E-5</v>
      </c>
      <c r="N51" s="111"/>
    </row>
    <row r="52" spans="1:14" x14ac:dyDescent="0.2">
      <c r="A52" s="113">
        <v>13</v>
      </c>
      <c r="B52" s="159" t="str">
        <f t="shared" si="5"/>
        <v>13x25F</v>
      </c>
      <c r="C52" s="160" t="str">
        <f t="shared" si="6"/>
        <v>EUR13x25F_SYNTH1Y_Quote</v>
      </c>
      <c r="D52" s="160" t="str">
        <f>_xll.qlSimpleQuote(C52,,RateTickValue,Permanent,Trigger,ObjectOverwrite)</f>
        <v>EUR13x25F_SYNTH1Y_Quote#0000</v>
      </c>
      <c r="E52" s="164" t="str">
        <f>_xll.ohRangeRetrieveError(D52)</f>
        <v/>
      </c>
      <c r="F52" s="10">
        <v>13</v>
      </c>
      <c r="G52" s="153" t="str">
        <f t="shared" si="7"/>
        <v>13x25F</v>
      </c>
      <c r="H52" s="154">
        <f>SynthFra!G16</f>
        <v>2.9456129256249432E-3</v>
      </c>
      <c r="I52" s="19"/>
      <c r="J52" s="136">
        <v>1.7293198715218703E-3</v>
      </c>
      <c r="K52" s="19"/>
      <c r="L52" s="128">
        <v>2.9456129256249432E-3</v>
      </c>
      <c r="M52" s="129">
        <f>_xll.qlSimpleQuoteSetValue(D52,ROUND(L52,6),EvaluationDate)</f>
        <v>-1.2000000000000292E-5</v>
      </c>
      <c r="N52" s="111"/>
    </row>
    <row r="53" spans="1:14" x14ac:dyDescent="0.2">
      <c r="A53" s="113">
        <v>14</v>
      </c>
      <c r="B53" s="159" t="str">
        <f t="shared" si="5"/>
        <v>14x26F</v>
      </c>
      <c r="C53" s="160" t="str">
        <f t="shared" si="6"/>
        <v>EUR14x26F_SYNTH1Y_Quote</v>
      </c>
      <c r="D53" s="160" t="str">
        <f>_xll.qlSimpleQuote(C53,,RateTickValue,Permanent,Trigger,ObjectOverwrite)</f>
        <v>EUR14x26F_SYNTH1Y_Quote#0000</v>
      </c>
      <c r="E53" s="164" t="str">
        <f>_xll.ohRangeRetrieveError(D53)</f>
        <v/>
      </c>
      <c r="F53" s="10">
        <v>14</v>
      </c>
      <c r="G53" s="153" t="str">
        <f t="shared" si="7"/>
        <v>14x26F</v>
      </c>
      <c r="H53" s="154">
        <f>SynthFra!G17</f>
        <v>3.0951496875735608E-3</v>
      </c>
      <c r="I53" s="19"/>
      <c r="J53" s="136">
        <v>1.7685177753047356E-3</v>
      </c>
      <c r="K53" s="19"/>
      <c r="L53" s="128">
        <v>3.0951496875735608E-3</v>
      </c>
      <c r="M53" s="129">
        <f>_xll.qlSimpleQuoteSetValue(D53,ROUND(L53,6),EvaluationDate)</f>
        <v>-2.1999999999999884E-5</v>
      </c>
      <c r="N53" s="111"/>
    </row>
    <row r="54" spans="1:14" x14ac:dyDescent="0.2">
      <c r="A54" s="113">
        <v>15</v>
      </c>
      <c r="B54" s="159" t="str">
        <f t="shared" si="5"/>
        <v>15x27F</v>
      </c>
      <c r="C54" s="160" t="str">
        <f t="shared" si="6"/>
        <v>EUR15x27F_SYNTH1Y_Quote</v>
      </c>
      <c r="D54" s="160" t="str">
        <f>_xll.qlSimpleQuote(C54,,RateTickValue,Permanent,Trigger,ObjectOverwrite)</f>
        <v>EUR15x27F_SYNTH1Y_Quote#0000</v>
      </c>
      <c r="E54" s="164" t="str">
        <f>_xll.ohRangeRetrieveError(D54)</f>
        <v/>
      </c>
      <c r="F54" s="10">
        <v>15</v>
      </c>
      <c r="G54" s="153" t="str">
        <f t="shared" si="7"/>
        <v>15x27F</v>
      </c>
      <c r="H54" s="154">
        <f>SynthFra!G18</f>
        <v>3.2586837507583822E-3</v>
      </c>
      <c r="I54" s="19"/>
      <c r="J54" s="136">
        <v>1.8203716252033035E-3</v>
      </c>
      <c r="K54" s="19"/>
      <c r="L54" s="128">
        <v>3.2586837507583822E-3</v>
      </c>
      <c r="M54" s="129">
        <f>_xll.qlSimpleQuoteSetValue(D54,ROUND(L54,6),EvaluationDate)</f>
        <v>-2.6999999999999681E-5</v>
      </c>
      <c r="N54" s="111"/>
    </row>
    <row r="55" spans="1:14" x14ac:dyDescent="0.2">
      <c r="A55" s="113">
        <v>16</v>
      </c>
      <c r="B55" s="159" t="str">
        <f t="shared" si="5"/>
        <v>16x28F</v>
      </c>
      <c r="C55" s="160" t="str">
        <f t="shared" si="6"/>
        <v>EUR16x28F_SYNTH1Y_Quote</v>
      </c>
      <c r="D55" s="160" t="str">
        <f>_xll.qlSimpleQuote(C55,,RateTickValue,Permanent,Trigger,ObjectOverwrite)</f>
        <v>EUR16x28F_SYNTH1Y_Quote#0000</v>
      </c>
      <c r="E55" s="164" t="str">
        <f>_xll.ohRangeRetrieveError(D55)</f>
        <v/>
      </c>
      <c r="F55" s="10">
        <v>16</v>
      </c>
      <c r="G55" s="153" t="str">
        <f t="shared" si="7"/>
        <v>16x28F</v>
      </c>
      <c r="H55" s="154">
        <f>SynthFra!G19</f>
        <v>3.4377223205232618E-3</v>
      </c>
      <c r="I55" s="19"/>
      <c r="J55" s="136">
        <v>1.8842824044602055E-3</v>
      </c>
      <c r="K55" s="19"/>
      <c r="L55" s="128">
        <v>3.4377223205232618E-3</v>
      </c>
      <c r="M55" s="129">
        <f>_xll.qlSimpleQuoteSetValue(D55,ROUND(L55,6),EvaluationDate)</f>
        <v>-3.0999999999999778E-5</v>
      </c>
      <c r="N55" s="111"/>
    </row>
    <row r="56" spans="1:14" x14ac:dyDescent="0.2">
      <c r="A56" s="113">
        <v>17</v>
      </c>
      <c r="B56" s="159" t="str">
        <f t="shared" si="5"/>
        <v>17x29F</v>
      </c>
      <c r="C56" s="160" t="str">
        <f t="shared" si="6"/>
        <v>EUR17x29F_SYNTH1Y_Quote</v>
      </c>
      <c r="D56" s="160" t="str">
        <f>_xll.qlSimpleQuote(C56,,RateTickValue,Permanent,Trigger,ObjectOverwrite)</f>
        <v>EUR17x29F_SYNTH1Y_Quote#0000</v>
      </c>
      <c r="E56" s="164" t="str">
        <f>_xll.ohRangeRetrieveError(D56)</f>
        <v/>
      </c>
      <c r="F56" s="10">
        <v>17</v>
      </c>
      <c r="G56" s="153" t="str">
        <f t="shared" si="7"/>
        <v>17x29F</v>
      </c>
      <c r="H56" s="154">
        <f>SynthFra!G20</f>
        <v>3.6112362716026886E-3</v>
      </c>
      <c r="I56" s="19"/>
      <c r="J56" s="136">
        <v>1.9620591824041763E-3</v>
      </c>
      <c r="K56" s="19"/>
      <c r="L56" s="128">
        <v>3.6112362716026886E-3</v>
      </c>
      <c r="M56" s="129">
        <f>_xll.qlSimpleQuoteSetValue(D56,ROUND(L56,6),EvaluationDate)</f>
        <v>-3.199999999999991E-5</v>
      </c>
      <c r="N56" s="111"/>
    </row>
    <row r="57" spans="1:14" x14ac:dyDescent="0.2">
      <c r="A57" s="113">
        <v>18</v>
      </c>
      <c r="B57" s="159" t="str">
        <f t="shared" si="5"/>
        <v>18x30F</v>
      </c>
      <c r="C57" s="160" t="str">
        <f t="shared" si="6"/>
        <v>EUR18x30F_SYNTH1Y_Quote</v>
      </c>
      <c r="D57" s="160" t="str">
        <f>_xll.qlSimpleQuote(C57,,RateTickValue,Permanent,Trigger,ObjectOverwrite)</f>
        <v>EUR18x30F_SYNTH1Y_Quote#0000</v>
      </c>
      <c r="E57" s="164" t="str">
        <f>_xll.ohRangeRetrieveError(D57)</f>
        <v/>
      </c>
      <c r="F57" s="10">
        <v>18</v>
      </c>
      <c r="G57" s="153" t="str">
        <f t="shared" si="7"/>
        <v>18x30F</v>
      </c>
      <c r="H57" s="154">
        <f>SynthFra!G21</f>
        <v>3.804695695677754E-3</v>
      </c>
      <c r="I57" s="19"/>
      <c r="J57" s="136">
        <v>2.0525920677748541E-3</v>
      </c>
      <c r="K57" s="19"/>
      <c r="L57" s="128">
        <v>3.804695695677754E-3</v>
      </c>
      <c r="M57" s="129">
        <f>_xll.qlSimpleQuoteSetValue(D57,ROUND(L57,6),EvaluationDate)</f>
        <v>-3.0000000000000079E-5</v>
      </c>
      <c r="N57" s="111"/>
    </row>
    <row r="58" spans="1:14" x14ac:dyDescent="0.2">
      <c r="A58" s="113">
        <v>19</v>
      </c>
      <c r="B58" s="159" t="str">
        <f t="shared" si="5"/>
        <v>19x31F</v>
      </c>
      <c r="C58" s="160" t="str">
        <f t="shared" si="6"/>
        <v>EUR19x31F_SYNTH1Y_Quote</v>
      </c>
      <c r="D58" s="160" t="str">
        <f>_xll.qlSimpleQuote(C58,,RateTickValue,Permanent,Trigger,ObjectOverwrite)</f>
        <v>EUR19x31F_SYNTH1Y_Quote#0000</v>
      </c>
      <c r="E58" s="164" t="str">
        <f>_xll.ohRangeRetrieveError(D58)</f>
        <v/>
      </c>
      <c r="F58" s="10">
        <v>19</v>
      </c>
      <c r="G58" s="153" t="str">
        <f t="shared" si="7"/>
        <v>19x31F</v>
      </c>
      <c r="H58" s="154">
        <f>SynthFra!G22</f>
        <v>3.9945831213286194E-3</v>
      </c>
      <c r="I58" s="19"/>
      <c r="J58" s="136">
        <v>2.1415420157302706E-3</v>
      </c>
      <c r="K58" s="19"/>
      <c r="L58" s="128">
        <v>3.9945831213286194E-3</v>
      </c>
      <c r="M58" s="129">
        <f>_xll.qlSimpleQuoteSetValue(D58,ROUND(L58,6),EvaluationDate)</f>
        <v>-2.3999999999999716E-5</v>
      </c>
      <c r="N58" s="111"/>
    </row>
    <row r="59" spans="1:14" x14ac:dyDescent="0.2">
      <c r="A59" s="113">
        <v>20</v>
      </c>
      <c r="B59" s="159" t="str">
        <f t="shared" si="5"/>
        <v>20x32F</v>
      </c>
      <c r="C59" s="160" t="str">
        <f t="shared" si="6"/>
        <v>EUR20x32F_SYNTH1Y_Quote</v>
      </c>
      <c r="D59" s="160" t="str">
        <f>_xll.qlSimpleQuote(C59,,RateTickValue,Permanent,Trigger,ObjectOverwrite)</f>
        <v>EUR20x32F_SYNTH1Y_Quote#0000</v>
      </c>
      <c r="E59" s="164" t="str">
        <f>_xll.ohRangeRetrieveError(D59)</f>
        <v/>
      </c>
      <c r="F59" s="10">
        <v>20</v>
      </c>
      <c r="G59" s="153" t="str">
        <f t="shared" si="7"/>
        <v>20x32F</v>
      </c>
      <c r="H59" s="154">
        <f>SynthFra!G23</f>
        <v>4.2165759480479962E-3</v>
      </c>
      <c r="I59" s="19"/>
      <c r="J59" s="136">
        <v>2.239062995801116E-3</v>
      </c>
      <c r="K59" s="19"/>
      <c r="L59" s="128">
        <v>4.2165759480479962E-3</v>
      </c>
      <c r="M59" s="129">
        <f>_xll.qlSimpleQuoteSetValue(D59,ROUND(L59,6),EvaluationDate)</f>
        <v>-1.7999999999999787E-5</v>
      </c>
      <c r="N59" s="111"/>
    </row>
    <row r="60" spans="1:14" x14ac:dyDescent="0.2">
      <c r="A60" s="113">
        <v>21</v>
      </c>
      <c r="B60" s="159" t="str">
        <f t="shared" si="5"/>
        <v>21x33F</v>
      </c>
      <c r="C60" s="160" t="str">
        <f t="shared" si="6"/>
        <v>EUR21x33F_SYNTH1Y_Quote</v>
      </c>
      <c r="D60" s="160" t="str">
        <f>_xll.qlSimpleQuote(C60,,RateTickValue,Permanent,Trigger,ObjectOverwrite)</f>
        <v>EUR21x33F_SYNTH1Y_Quote#0000</v>
      </c>
      <c r="E60" s="164" t="str">
        <f>_xll.ohRangeRetrieveError(D60)</f>
        <v/>
      </c>
      <c r="F60" s="10">
        <v>21</v>
      </c>
      <c r="G60" s="153" t="str">
        <f t="shared" si="7"/>
        <v>21x33F</v>
      </c>
      <c r="H60" s="154">
        <f>SynthFra!G24</f>
        <v>4.4304249550249711E-3</v>
      </c>
      <c r="I60" s="19"/>
      <c r="J60" s="136">
        <v>2.3413834432000026E-3</v>
      </c>
      <c r="K60" s="19"/>
      <c r="L60" s="128">
        <v>4.4304249550249711E-3</v>
      </c>
      <c r="M60" s="129">
        <f>_xll.qlSimpleQuoteSetValue(D60,ROUND(L60,6),EvaluationDate)</f>
        <v>-1.2999999999999991E-5</v>
      </c>
      <c r="N60" s="111"/>
    </row>
    <row r="61" spans="1:14" x14ac:dyDescent="0.2">
      <c r="A61" s="113">
        <v>22</v>
      </c>
      <c r="B61" s="159" t="str">
        <f t="shared" si="5"/>
        <v>22x34F</v>
      </c>
      <c r="C61" s="160" t="str">
        <f t="shared" si="6"/>
        <v>EUR22x34F_SYNTH1Y_Quote</v>
      </c>
      <c r="D61" s="160" t="str">
        <f>_xll.qlSimpleQuote(C61,,RateTickValue,Permanent,Trigger,ObjectOverwrite)</f>
        <v>EUR22x34F_SYNTH1Y_Quote#0000</v>
      </c>
      <c r="E61" s="164" t="str">
        <f>_xll.ohRangeRetrieveError(D61)</f>
        <v/>
      </c>
      <c r="F61" s="10">
        <v>22</v>
      </c>
      <c r="G61" s="153" t="str">
        <f t="shared" si="7"/>
        <v>22x34F</v>
      </c>
      <c r="H61" s="154">
        <f>SynthFra!G25</f>
        <v>4.6872605316855822E-3</v>
      </c>
      <c r="I61" s="19"/>
      <c r="J61" s="136">
        <v>2.4430084796921575E-3</v>
      </c>
      <c r="K61" s="19"/>
      <c r="L61" s="128">
        <v>4.6872605316855822E-3</v>
      </c>
      <c r="M61" s="129">
        <f>_xll.qlSimpleQuoteSetValue(D61,ROUND(L61,6),EvaluationDate)</f>
        <v>-8.0000000000001945E-6</v>
      </c>
      <c r="N61" s="111"/>
    </row>
    <row r="62" spans="1:14" x14ac:dyDescent="0.2">
      <c r="A62" s="113">
        <v>23</v>
      </c>
      <c r="B62" s="159" t="str">
        <f t="shared" si="5"/>
        <v>23x35F</v>
      </c>
      <c r="C62" s="160" t="str">
        <f t="shared" si="6"/>
        <v>EUR23x35F_SYNTH1Y_Quote</v>
      </c>
      <c r="D62" s="160" t="str">
        <f>_xll.qlSimpleQuote(C62,,RateTickValue,Permanent,Trigger,ObjectOverwrite)</f>
        <v>EUR23x35F_SYNTH1Y_Quote#0000</v>
      </c>
      <c r="E62" s="164" t="str">
        <f>_xll.ohRangeRetrieveError(D62)</f>
        <v/>
      </c>
      <c r="F62" s="10">
        <v>23</v>
      </c>
      <c r="G62" s="153" t="str">
        <f t="shared" si="7"/>
        <v>23x35F</v>
      </c>
      <c r="H62" s="154">
        <f>SynthFra!G26</f>
        <v>4.9114426907431756E-3</v>
      </c>
      <c r="I62" s="19"/>
      <c r="J62" s="136">
        <v>2.5460698839072883E-3</v>
      </c>
      <c r="K62" s="19"/>
      <c r="L62" s="128">
        <v>4.9114426907431756E-3</v>
      </c>
      <c r="M62" s="129">
        <f>_xll.qlSimpleQuoteSetValue(D62,ROUND(L62,6),EvaluationDate)</f>
        <v>-5.0000000000006636E-6</v>
      </c>
      <c r="N62" s="111"/>
    </row>
    <row r="63" spans="1:14" x14ac:dyDescent="0.2">
      <c r="A63" s="114">
        <v>24</v>
      </c>
      <c r="B63" s="161" t="str">
        <f t="shared" si="5"/>
        <v>24x36F</v>
      </c>
      <c r="C63" s="162" t="str">
        <f t="shared" si="6"/>
        <v>EUR24x36F_SYNTH1Y_Quote</v>
      </c>
      <c r="D63" s="162" t="str">
        <f>_xll.qlSimpleQuote(C63,,RateTickValue,Permanent,Trigger,ObjectOverwrite)</f>
        <v>EUR24x36F_SYNTH1Y_Quote#0000</v>
      </c>
      <c r="E63" s="165" t="str">
        <f>_xll.ohRangeRetrieveError(D63)</f>
        <v/>
      </c>
      <c r="F63" s="10">
        <v>24</v>
      </c>
      <c r="G63" s="155" t="str">
        <f t="shared" ref="G63" si="8">F63&amp;"x"&amp;(F63+Months12M)&amp;"F"</f>
        <v>24x36F</v>
      </c>
      <c r="H63" s="156">
        <f>SynthFra!G27</f>
        <v>5.1700000000000001E-3</v>
      </c>
      <c r="I63" s="19"/>
      <c r="J63" s="137">
        <v>2.5460698839072883E-3</v>
      </c>
      <c r="K63" s="19"/>
      <c r="L63" s="130">
        <v>5.1700000000000001E-3</v>
      </c>
      <c r="M63" s="131">
        <f>_xll.qlSimpleQuoteSetValue(D63,ROUND(L63,6),EvaluationDate)</f>
        <v>0</v>
      </c>
      <c r="N63" s="111"/>
    </row>
    <row r="64" spans="1:14" x14ac:dyDescent="0.2">
      <c r="A64" s="115"/>
      <c r="B64" s="116"/>
      <c r="C64" s="117"/>
      <c r="D64" s="117"/>
      <c r="E64" s="117"/>
      <c r="F64" s="118"/>
      <c r="G64" s="118"/>
      <c r="H64" s="118"/>
      <c r="I64" s="118"/>
      <c r="J64" s="118"/>
      <c r="K64" s="118"/>
      <c r="L64" s="118"/>
      <c r="M64" s="118"/>
      <c r="N64" s="11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48</vt:i4>
      </vt:variant>
    </vt:vector>
  </HeadingPairs>
  <TitlesOfParts>
    <vt:vector size="5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AllTriggers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ON_12M_index</vt:lpstr>
      <vt:lpstr>'1MSynthDepo'!ON_1M_index</vt:lpstr>
      <vt:lpstr>ON_3M_index</vt:lpstr>
      <vt:lpstr>ON_6M_index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'1YSynthDepo'!TenorBasis12M</vt:lpstr>
      <vt:lpstr>'1MSynthDepo'!TenorBasis1M</vt:lpstr>
      <vt:lpstr>'3MSynthDepo'!TenorBasis3M</vt:lpstr>
      <vt:lpstr>TenorBasis6M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2015-06-04T16:13:38Z</dcterms:modified>
</cp:coreProperties>
</file>