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3140"/>
  </bookViews>
  <sheets>
    <sheet name="GeneralSettings" sheetId="1" r:id="rId1"/>
    <sheet name="USDSTD" sheetId="15" r:id="rId2"/>
    <sheet name="Mx_Deposits" sheetId="16" r:id="rId3"/>
    <sheet name="Mx_Swaps" sheetId="17" r:id="rId4"/>
  </sheets>
  <externalReferences>
    <externalReference r:id="rId5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USDSTD!$P$3:$P$80</definedName>
    <definedName name="Instruments" localSheetId="3">Mx_Swaps!$J$4:$J$40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USDSTD!$R$3:$R$80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USDSTD!$Q$3:$Q$80</definedName>
    <definedName name="QuoteLive" localSheetId="2">Mx_Deposits!$M$4:$M$22</definedName>
    <definedName name="QuoteLive" localSheetId="3">Mx_Swaps!$M$4:$M$40</definedName>
    <definedName name="QuoteSuffix">GeneralSettings!$D$9</definedName>
    <definedName name="RateHelpers" localSheetId="1">USDSTD!$M$3:$M$80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L80" i="15" l="1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G20" i="15"/>
  <c r="G12" i="15"/>
  <c r="G19" i="15"/>
  <c r="G11" i="15"/>
  <c r="G18" i="15"/>
  <c r="G10" i="15"/>
  <c r="G17" i="15"/>
  <c r="G9" i="15"/>
  <c r="G16" i="15"/>
  <c r="G8" i="15"/>
  <c r="G7" i="15"/>
  <c r="G14" i="15"/>
  <c r="G6" i="15"/>
  <c r="G13" i="15"/>
  <c r="G5" i="15"/>
  <c r="G15" i="15"/>
  <c r="G4" i="15"/>
  <c r="L20" i="15" l="1"/>
  <c r="L21" i="15"/>
  <c r="L10" i="15"/>
  <c r="L11" i="15"/>
  <c r="L12" i="15"/>
  <c r="L13" i="15"/>
  <c r="L14" i="15"/>
  <c r="L15" i="15"/>
  <c r="L16" i="15"/>
  <c r="L17" i="15"/>
  <c r="L18" i="15"/>
  <c r="L19" i="15"/>
  <c r="G3" i="15"/>
  <c r="C12" i="15"/>
  <c r="C13" i="15"/>
  <c r="C14" i="15"/>
  <c r="C15" i="15"/>
  <c r="C16" i="15"/>
  <c r="C17" i="15"/>
  <c r="C18" i="15"/>
  <c r="C19" i="15"/>
  <c r="C20" i="15"/>
  <c r="C24" i="1"/>
  <c r="M40" i="17"/>
  <c r="J40" i="17"/>
  <c r="C40" i="17"/>
  <c r="M39" i="17"/>
  <c r="J39" i="17"/>
  <c r="C39" i="17"/>
  <c r="M38" i="17"/>
  <c r="J38" i="17"/>
  <c r="C38" i="17"/>
  <c r="M37" i="17"/>
  <c r="J37" i="17"/>
  <c r="C37" i="17"/>
  <c r="M36" i="17"/>
  <c r="J36" i="17"/>
  <c r="C36" i="17"/>
  <c r="M35" i="17"/>
  <c r="J35" i="17"/>
  <c r="C35" i="17"/>
  <c r="M34" i="17"/>
  <c r="J34" i="17"/>
  <c r="C34" i="17"/>
  <c r="M33" i="17"/>
  <c r="J33" i="17"/>
  <c r="C33" i="17"/>
  <c r="M32" i="17"/>
  <c r="J32" i="17"/>
  <c r="C32" i="17"/>
  <c r="M31" i="17"/>
  <c r="J31" i="17"/>
  <c r="C31" i="17"/>
  <c r="M30" i="17"/>
  <c r="J30" i="17"/>
  <c r="C30" i="17"/>
  <c r="M29" i="17"/>
  <c r="J29" i="17"/>
  <c r="C29" i="17"/>
  <c r="M28" i="17"/>
  <c r="J28" i="17"/>
  <c r="C28" i="17"/>
  <c r="M27" i="17"/>
  <c r="J27" i="17"/>
  <c r="C27" i="17"/>
  <c r="M26" i="17"/>
  <c r="J26" i="17"/>
  <c r="C26" i="17"/>
  <c r="M25" i="17"/>
  <c r="J25" i="17"/>
  <c r="C25" i="17"/>
  <c r="M24" i="17"/>
  <c r="J24" i="17"/>
  <c r="C24" i="17"/>
  <c r="M23" i="17"/>
  <c r="J23" i="17"/>
  <c r="C23" i="17"/>
  <c r="M22" i="17"/>
  <c r="J22" i="17"/>
  <c r="C22" i="17"/>
  <c r="M21" i="17"/>
  <c r="J21" i="17"/>
  <c r="C21" i="17"/>
  <c r="M20" i="17"/>
  <c r="J20" i="17"/>
  <c r="C20" i="17"/>
  <c r="M19" i="17"/>
  <c r="J19" i="17"/>
  <c r="C19" i="17"/>
  <c r="M18" i="17"/>
  <c r="J18" i="17"/>
  <c r="C18" i="17"/>
  <c r="M17" i="17"/>
  <c r="J17" i="17"/>
  <c r="C17" i="17"/>
  <c r="M16" i="17"/>
  <c r="J16" i="17"/>
  <c r="C16" i="17"/>
  <c r="M15" i="17"/>
  <c r="J15" i="17"/>
  <c r="C15" i="17"/>
  <c r="M14" i="17"/>
  <c r="J14" i="17"/>
  <c r="C14" i="17"/>
  <c r="M13" i="17"/>
  <c r="J13" i="17"/>
  <c r="C13" i="17"/>
  <c r="M12" i="17"/>
  <c r="J12" i="17"/>
  <c r="C12" i="17"/>
  <c r="M11" i="17"/>
  <c r="J11" i="17"/>
  <c r="C11" i="17"/>
  <c r="M10" i="17"/>
  <c r="J10" i="17"/>
  <c r="C10" i="17"/>
  <c r="M9" i="17"/>
  <c r="J9" i="17"/>
  <c r="C9" i="17"/>
  <c r="M8" i="17"/>
  <c r="J8" i="17"/>
  <c r="C8" i="17"/>
  <c r="M7" i="17"/>
  <c r="J7" i="17"/>
  <c r="C7" i="17"/>
  <c r="M6" i="17"/>
  <c r="J6" i="17"/>
  <c r="C6" i="17"/>
  <c r="M5" i="17"/>
  <c r="J5" i="17"/>
  <c r="C5" i="17"/>
  <c r="Q4" i="17" a="1"/>
  <c r="M4" i="17"/>
  <c r="J4" i="17"/>
  <c r="C4" i="17"/>
  <c r="M22" i="16"/>
  <c r="C22" i="16"/>
  <c r="M21" i="16"/>
  <c r="J21" i="16"/>
  <c r="C21" i="16"/>
  <c r="M20" i="16"/>
  <c r="J20" i="16"/>
  <c r="C20" i="16"/>
  <c r="M19" i="16"/>
  <c r="J19" i="16"/>
  <c r="C19" i="16"/>
  <c r="M18" i="16"/>
  <c r="J18" i="16"/>
  <c r="C18" i="16"/>
  <c r="M17" i="16"/>
  <c r="J17" i="16"/>
  <c r="C17" i="16"/>
  <c r="M16" i="16"/>
  <c r="J16" i="16"/>
  <c r="C16" i="16"/>
  <c r="M15" i="16"/>
  <c r="J15" i="16"/>
  <c r="C15" i="16"/>
  <c r="M14" i="16"/>
  <c r="J14" i="16"/>
  <c r="C14" i="16"/>
  <c r="M13" i="16"/>
  <c r="J13" i="16"/>
  <c r="C13" i="16"/>
  <c r="M12" i="16"/>
  <c r="J12" i="16"/>
  <c r="C12" i="16"/>
  <c r="M11" i="16"/>
  <c r="J11" i="16"/>
  <c r="C11" i="16"/>
  <c r="M10" i="16"/>
  <c r="J10" i="16"/>
  <c r="C10" i="16"/>
  <c r="M9" i="16"/>
  <c r="J9" i="16"/>
  <c r="C9" i="16"/>
  <c r="M8" i="16"/>
  <c r="J8" i="16"/>
  <c r="C8" i="16"/>
  <c r="M7" i="16"/>
  <c r="J7" i="16"/>
  <c r="C7" i="16"/>
  <c r="M6" i="16"/>
  <c r="J6" i="16"/>
  <c r="C6" i="16"/>
  <c r="M5" i="16"/>
  <c r="J5" i="16"/>
  <c r="C5" i="16"/>
  <c r="Q4" i="16" a="1"/>
  <c r="Q18" i="16" s="1"/>
  <c r="M4" i="16"/>
  <c r="J4" i="16"/>
  <c r="C4" i="16"/>
  <c r="D16" i="17"/>
  <c r="D7" i="16"/>
  <c r="D21" i="16"/>
  <c r="D21" i="17"/>
  <c r="D37" i="17"/>
  <c r="D15" i="16"/>
  <c r="D28" i="17"/>
  <c r="D8" i="16"/>
  <c r="D34" i="17"/>
  <c r="D18" i="17"/>
  <c r="D9" i="16"/>
  <c r="D17" i="16"/>
  <c r="D17" i="17"/>
  <c r="D11" i="17"/>
  <c r="D5" i="17"/>
  <c r="D20" i="16"/>
  <c r="D18" i="16"/>
  <c r="D13" i="17"/>
  <c r="D20" i="17"/>
  <c r="D19" i="17"/>
  <c r="D12" i="16"/>
  <c r="D32" i="17"/>
  <c r="D4" i="17"/>
  <c r="D8" i="17"/>
  <c r="D16" i="16"/>
  <c r="D23" i="17"/>
  <c r="D10" i="16"/>
  <c r="D27" i="17"/>
  <c r="D10" i="17"/>
  <c r="E10" i="17" s="1"/>
  <c r="D24" i="17"/>
  <c r="D4" i="16"/>
  <c r="E4" i="16" s="1"/>
  <c r="D36" i="17"/>
  <c r="D6" i="17"/>
  <c r="E6" i="17" s="1"/>
  <c r="D40" i="17"/>
  <c r="D6" i="16"/>
  <c r="D22" i="16"/>
  <c r="D14" i="16"/>
  <c r="D35" i="17"/>
  <c r="D38" i="17"/>
  <c r="D25" i="17"/>
  <c r="D14" i="17"/>
  <c r="D12" i="17"/>
  <c r="D19" i="16"/>
  <c r="D31" i="17"/>
  <c r="D30" i="17"/>
  <c r="R18" i="16"/>
  <c r="D11" i="16"/>
  <c r="D22" i="17"/>
  <c r="D33" i="17"/>
  <c r="D39" i="17"/>
  <c r="D15" i="17"/>
  <c r="D5" i="16"/>
  <c r="D29" i="17"/>
  <c r="D26" i="17"/>
  <c r="D13" i="16"/>
  <c r="D9" i="17"/>
  <c r="D7" i="17"/>
  <c r="J3" i="17"/>
  <c r="J3" i="16"/>
  <c r="H16" i="15" l="1"/>
  <c r="H21" i="15"/>
  <c r="H14" i="15"/>
  <c r="H11" i="15"/>
  <c r="H10" i="15"/>
  <c r="H6" i="15"/>
  <c r="H19" i="15"/>
  <c r="H17" i="15"/>
  <c r="H20" i="15"/>
  <c r="H15" i="15"/>
  <c r="H18" i="15"/>
  <c r="H5" i="15"/>
  <c r="H4" i="15"/>
  <c r="H9" i="15"/>
  <c r="H8" i="15"/>
  <c r="H7" i="15"/>
  <c r="H13" i="15"/>
  <c r="H12" i="15"/>
  <c r="H3" i="15"/>
  <c r="Q33" i="17"/>
  <c r="Q11" i="17"/>
  <c r="Q10" i="17"/>
  <c r="Q18" i="17"/>
  <c r="Q26" i="17"/>
  <c r="Q34" i="17"/>
  <c r="Q12" i="17"/>
  <c r="Q36" i="17"/>
  <c r="Q20" i="17"/>
  <c r="Q5" i="17"/>
  <c r="Q37" i="17"/>
  <c r="Q27" i="17"/>
  <c r="Q14" i="17"/>
  <c r="Q38" i="17"/>
  <c r="Q13" i="17"/>
  <c r="Q30" i="17"/>
  <c r="Q4" i="17"/>
  <c r="Q28" i="17"/>
  <c r="Q21" i="17"/>
  <c r="Q29" i="17"/>
  <c r="Q23" i="17"/>
  <c r="Q8" i="17"/>
  <c r="Q16" i="17"/>
  <c r="Q24" i="17"/>
  <c r="Q32" i="17"/>
  <c r="Q40" i="17"/>
  <c r="Q19" i="17"/>
  <c r="Q35" i="17"/>
  <c r="Q6" i="17"/>
  <c r="Q22" i="17"/>
  <c r="Q7" i="17"/>
  <c r="Q15" i="17"/>
  <c r="Q31" i="17"/>
  <c r="Q39" i="17"/>
  <c r="Q9" i="17"/>
  <c r="Q17" i="17"/>
  <c r="Q25" i="17"/>
  <c r="Q11" i="16"/>
  <c r="Q19" i="16"/>
  <c r="Q4" i="16"/>
  <c r="Q12" i="16"/>
  <c r="Q20" i="16"/>
  <c r="Q13" i="16"/>
  <c r="Q6" i="16"/>
  <c r="Q14" i="16"/>
  <c r="Q22" i="16"/>
  <c r="Q7" i="16"/>
  <c r="Q15" i="16"/>
  <c r="Q8" i="16"/>
  <c r="Q16" i="16"/>
  <c r="Q9" i="16"/>
  <c r="Q5" i="16"/>
  <c r="Q21" i="16"/>
  <c r="Q17" i="16"/>
  <c r="Q10" i="16"/>
  <c r="E9" i="17"/>
  <c r="E23" i="17"/>
  <c r="R30" i="17"/>
  <c r="E28" i="17"/>
  <c r="E32" i="17"/>
  <c r="R20" i="17"/>
  <c r="E21" i="16"/>
  <c r="R6" i="16"/>
  <c r="R34" i="17"/>
  <c r="R15" i="16"/>
  <c r="E20" i="16"/>
  <c r="R26" i="17"/>
  <c r="R4" i="17"/>
  <c r="R22" i="17"/>
  <c r="E21" i="17"/>
  <c r="E33" i="17"/>
  <c r="R27" i="17"/>
  <c r="R8" i="17"/>
  <c r="E8" i="17"/>
  <c r="R33" i="17"/>
  <c r="E24" i="17"/>
  <c r="R39" i="17"/>
  <c r="R14" i="17"/>
  <c r="R11" i="17"/>
  <c r="J15" i="15"/>
  <c r="R25" i="17"/>
  <c r="E11" i="17"/>
  <c r="E22" i="16"/>
  <c r="R5" i="16"/>
  <c r="R32" i="17"/>
  <c r="E30" i="17"/>
  <c r="R14" i="16"/>
  <c r="R7" i="16"/>
  <c r="R10" i="17"/>
  <c r="R18" i="17"/>
  <c r="E14" i="16"/>
  <c r="E8" i="16"/>
  <c r="E5" i="16"/>
  <c r="E39" i="17"/>
  <c r="R15" i="17"/>
  <c r="R12" i="16"/>
  <c r="R21" i="17"/>
  <c r="E15" i="17"/>
  <c r="R20" i="16"/>
  <c r="E31" i="17"/>
  <c r="E38" i="17"/>
  <c r="R11" i="16"/>
  <c r="E36" i="17"/>
  <c r="E22" i="17"/>
  <c r="R13" i="17"/>
  <c r="R23" i="17"/>
  <c r="E34" i="17"/>
  <c r="R5" i="17"/>
  <c r="J12" i="15"/>
  <c r="E5" i="17"/>
  <c r="E18" i="17"/>
  <c r="E9" i="16"/>
  <c r="E16" i="17"/>
  <c r="R35" i="17"/>
  <c r="R13" i="16"/>
  <c r="J19" i="15"/>
  <c r="J20" i="15"/>
  <c r="E29" i="17"/>
  <c r="R31" i="17"/>
  <c r="E17" i="16"/>
  <c r="E10" i="16"/>
  <c r="E13" i="16"/>
  <c r="R10" i="16"/>
  <c r="R12" i="17"/>
  <c r="E16" i="16"/>
  <c r="E19" i="17"/>
  <c r="J14" i="15"/>
  <c r="R16" i="16"/>
  <c r="R17" i="16"/>
  <c r="E27" i="17"/>
  <c r="E7" i="16"/>
  <c r="E14" i="17"/>
  <c r="R8" i="16"/>
  <c r="E26" i="17"/>
  <c r="J18" i="15"/>
  <c r="R24" i="17"/>
  <c r="J13" i="15"/>
  <c r="R37" i="17"/>
  <c r="R29" i="17"/>
  <c r="J16" i="15"/>
  <c r="E15" i="16"/>
  <c r="E11" i="16"/>
  <c r="R19" i="17"/>
  <c r="E12" i="17"/>
  <c r="E13" i="17"/>
  <c r="R28" i="17"/>
  <c r="R6" i="17"/>
  <c r="E40" i="17"/>
  <c r="E6" i="16"/>
  <c r="E37" i="17"/>
  <c r="R38" i="17"/>
  <c r="E12" i="16"/>
  <c r="R17" i="17"/>
  <c r="R40" i="17"/>
  <c r="E35" i="17"/>
  <c r="R7" i="17"/>
  <c r="J17" i="15"/>
  <c r="R21" i="16"/>
  <c r="R16" i="17"/>
  <c r="R9" i="16"/>
  <c r="E20" i="17"/>
  <c r="R22" i="16"/>
  <c r="E4" i="17"/>
  <c r="E18" i="16"/>
  <c r="R4" i="16"/>
  <c r="E7" i="17"/>
  <c r="R19" i="16"/>
  <c r="R36" i="17"/>
  <c r="E25" i="17"/>
  <c r="R9" i="17"/>
  <c r="E17" i="17"/>
  <c r="E19" i="16"/>
  <c r="M16" i="15" l="1"/>
  <c r="M13" i="15"/>
  <c r="M12" i="15"/>
  <c r="M20" i="15"/>
  <c r="M19" i="15"/>
  <c r="M17" i="15"/>
  <c r="M15" i="15"/>
  <c r="M14" i="15"/>
  <c r="M18" i="15"/>
  <c r="L5" i="15"/>
  <c r="L6" i="15"/>
  <c r="L7" i="15"/>
  <c r="L8" i="15"/>
  <c r="L9" i="15"/>
  <c r="C11" i="15"/>
  <c r="C10" i="15"/>
  <c r="C9" i="15"/>
  <c r="R1" i="17"/>
  <c r="S18" i="15"/>
  <c r="N16" i="15"/>
  <c r="N15" i="15"/>
  <c r="O16" i="15"/>
  <c r="S12" i="15"/>
  <c r="O12" i="15"/>
  <c r="O15" i="15"/>
  <c r="T12" i="15"/>
  <c r="S16" i="15"/>
  <c r="S19" i="15"/>
  <c r="N14" i="15"/>
  <c r="S20" i="15"/>
  <c r="O14" i="15"/>
  <c r="N12" i="15"/>
  <c r="T18" i="15"/>
  <c r="N13" i="15"/>
  <c r="J11" i="15"/>
  <c r="J9" i="15"/>
  <c r="T19" i="15"/>
  <c r="T17" i="15"/>
  <c r="T15" i="15"/>
  <c r="S13" i="15"/>
  <c r="S15" i="15"/>
  <c r="T20" i="15"/>
  <c r="J4" i="15"/>
  <c r="S14" i="15"/>
  <c r="T14" i="15"/>
  <c r="T16" i="15"/>
  <c r="N20" i="15"/>
  <c r="N19" i="15"/>
  <c r="T13" i="15"/>
  <c r="O17" i="15"/>
  <c r="J5" i="15"/>
  <c r="N17" i="15"/>
  <c r="N18" i="15"/>
  <c r="J10" i="15"/>
  <c r="S17" i="15"/>
  <c r="O13" i="15"/>
  <c r="O20" i="15"/>
  <c r="O19" i="15"/>
  <c r="O18" i="15"/>
  <c r="M11" i="15" l="1"/>
  <c r="M10" i="15"/>
  <c r="M9" i="15"/>
  <c r="L4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1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C7" i="15"/>
  <c r="C8" i="15"/>
  <c r="V1" i="15"/>
  <c r="L3" i="15"/>
  <c r="N11" i="15"/>
  <c r="J85" i="15"/>
  <c r="J61" i="15"/>
  <c r="J60" i="15"/>
  <c r="O10" i="15"/>
  <c r="J58" i="15"/>
  <c r="J57" i="15"/>
  <c r="J81" i="15"/>
  <c r="J63" i="15"/>
  <c r="S10" i="15"/>
  <c r="J76" i="15"/>
  <c r="J72" i="15"/>
  <c r="J80" i="15"/>
  <c r="J67" i="15"/>
  <c r="J68" i="15"/>
  <c r="T10" i="15"/>
  <c r="J66" i="15"/>
  <c r="J59" i="15"/>
  <c r="J62" i="15"/>
  <c r="J65" i="15"/>
  <c r="J86" i="15"/>
  <c r="J79" i="15"/>
  <c r="J69" i="15"/>
  <c r="J78" i="15"/>
  <c r="J73" i="15"/>
  <c r="S11" i="15"/>
  <c r="J75" i="15"/>
  <c r="J56" i="15"/>
  <c r="J74" i="15"/>
  <c r="N10" i="15"/>
  <c r="J83" i="15"/>
  <c r="J64" i="15"/>
  <c r="J71" i="15"/>
  <c r="O11" i="15"/>
  <c r="J82" i="15"/>
  <c r="T11" i="15"/>
  <c r="J77" i="15"/>
  <c r="J70" i="15"/>
  <c r="J6" i="15"/>
  <c r="M66" i="15" l="1"/>
  <c r="M73" i="15"/>
  <c r="M79" i="15"/>
  <c r="M65" i="15"/>
  <c r="M76" i="15"/>
  <c r="M69" i="15"/>
  <c r="M75" i="15"/>
  <c r="M64" i="15"/>
  <c r="M77" i="15"/>
  <c r="M74" i="15"/>
  <c r="M70" i="15"/>
  <c r="M72" i="15"/>
  <c r="M67" i="15"/>
  <c r="M78" i="15"/>
  <c r="M68" i="15"/>
  <c r="M71" i="15"/>
  <c r="M44" i="15"/>
  <c r="M45" i="15"/>
  <c r="M60" i="15"/>
  <c r="M61" i="15"/>
  <c r="M53" i="15"/>
  <c r="M47" i="15"/>
  <c r="M49" i="15"/>
  <c r="M48" i="15"/>
  <c r="M56" i="15"/>
  <c r="M50" i="15"/>
  <c r="M54" i="15"/>
  <c r="M57" i="15"/>
  <c r="M58" i="15"/>
  <c r="M46" i="15"/>
  <c r="M59" i="15"/>
  <c r="M55" i="15"/>
  <c r="M51" i="15"/>
  <c r="M62" i="15"/>
  <c r="M52" i="15"/>
  <c r="M63" i="15"/>
  <c r="M4" i="15"/>
  <c r="I8" i="1"/>
  <c r="T52" i="15"/>
  <c r="S72" i="15"/>
  <c r="O60" i="15"/>
  <c r="O71" i="15"/>
  <c r="O70" i="15"/>
  <c r="S50" i="15"/>
  <c r="S49" i="15"/>
  <c r="S63" i="15"/>
  <c r="S53" i="15"/>
  <c r="N58" i="15"/>
  <c r="S65" i="15"/>
  <c r="S64" i="15"/>
  <c r="O4" i="15"/>
  <c r="S54" i="15"/>
  <c r="O69" i="15"/>
  <c r="T74" i="15"/>
  <c r="S75" i="15"/>
  <c r="O72" i="15"/>
  <c r="T77" i="15"/>
  <c r="S71" i="15"/>
  <c r="T47" i="15"/>
  <c r="O67" i="15"/>
  <c r="S68" i="15"/>
  <c r="O50" i="15"/>
  <c r="N60" i="15"/>
  <c r="N4" i="15"/>
  <c r="S58" i="15"/>
  <c r="N54" i="15"/>
  <c r="S67" i="15"/>
  <c r="S73" i="15"/>
  <c r="O57" i="15"/>
  <c r="T63" i="15"/>
  <c r="N79" i="15"/>
  <c r="N49" i="15"/>
  <c r="N77" i="15"/>
  <c r="T67" i="15"/>
  <c r="T60" i="15"/>
  <c r="O79" i="15"/>
  <c r="S78" i="15"/>
  <c r="N71" i="15"/>
  <c r="S57" i="15"/>
  <c r="S69" i="15"/>
  <c r="N74" i="15"/>
  <c r="O49" i="15"/>
  <c r="N73" i="15"/>
  <c r="T55" i="15"/>
  <c r="S77" i="15"/>
  <c r="T72" i="15"/>
  <c r="N70" i="15"/>
  <c r="T66" i="15"/>
  <c r="T58" i="15"/>
  <c r="T62" i="15"/>
  <c r="T68" i="15"/>
  <c r="O66" i="15"/>
  <c r="T4" i="15"/>
  <c r="N65" i="15"/>
  <c r="T53" i="15"/>
  <c r="N53" i="15"/>
  <c r="T75" i="15"/>
  <c r="J7" i="15"/>
  <c r="N78" i="15"/>
  <c r="N63" i="15"/>
  <c r="J8" i="15"/>
  <c r="T49" i="15"/>
  <c r="S79" i="15"/>
  <c r="T50" i="15"/>
  <c r="T70" i="15"/>
  <c r="O68" i="15"/>
  <c r="N55" i="15"/>
  <c r="S55" i="15"/>
  <c r="T57" i="15"/>
  <c r="N72" i="15"/>
  <c r="O76" i="15"/>
  <c r="S76" i="15"/>
  <c r="O54" i="15"/>
  <c r="T69" i="15"/>
  <c r="N68" i="15"/>
  <c r="O55" i="15"/>
  <c r="N47" i="15"/>
  <c r="J3" i="15"/>
  <c r="T73" i="15"/>
  <c r="O58" i="15"/>
  <c r="N76" i="15"/>
  <c r="O64" i="15"/>
  <c r="N69" i="15"/>
  <c r="O78" i="15"/>
  <c r="N64" i="15"/>
  <c r="O59" i="15"/>
  <c r="N67" i="15"/>
  <c r="S52" i="15"/>
  <c r="N75" i="15"/>
  <c r="S66" i="15"/>
  <c r="N62" i="15"/>
  <c r="T64" i="15"/>
  <c r="T71" i="15"/>
  <c r="O62" i="15"/>
  <c r="N59" i="15"/>
  <c r="N52" i="15"/>
  <c r="N57" i="15"/>
  <c r="T79" i="15"/>
  <c r="T76" i="15"/>
  <c r="S60" i="15"/>
  <c r="T78" i="15"/>
  <c r="O47" i="15"/>
  <c r="S62" i="15"/>
  <c r="O77" i="15"/>
  <c r="O63" i="15"/>
  <c r="T59" i="15"/>
  <c r="O74" i="15"/>
  <c r="T54" i="15"/>
  <c r="S47" i="15"/>
  <c r="S74" i="15"/>
  <c r="O75" i="15"/>
  <c r="O53" i="15"/>
  <c r="O52" i="15"/>
  <c r="N66" i="15"/>
  <c r="O65" i="15"/>
  <c r="N50" i="15"/>
  <c r="S4" i="15"/>
  <c r="S59" i="15"/>
  <c r="O73" i="15"/>
  <c r="S70" i="15"/>
  <c r="T65" i="15"/>
  <c r="M7" i="15" l="1"/>
  <c r="M6" i="15"/>
  <c r="M8" i="15"/>
  <c r="M3" i="15"/>
  <c r="M5" i="15"/>
  <c r="S45" i="15"/>
  <c r="O3" i="15"/>
  <c r="S56" i="15"/>
  <c r="T8" i="15"/>
  <c r="O44" i="15"/>
  <c r="O48" i="15"/>
  <c r="S7" i="15"/>
  <c r="N56" i="15"/>
  <c r="N48" i="15"/>
  <c r="T9" i="15"/>
  <c r="S3" i="15"/>
  <c r="S44" i="15"/>
  <c r="O6" i="15"/>
  <c r="I3" i="1"/>
  <c r="T44" i="15"/>
  <c r="O51" i="15"/>
  <c r="O7" i="15"/>
  <c r="S48" i="15"/>
  <c r="T48" i="15"/>
  <c r="N6" i="15"/>
  <c r="S61" i="15"/>
  <c r="N44" i="15"/>
  <c r="S5" i="15"/>
  <c r="N5" i="15"/>
  <c r="O45" i="15"/>
  <c r="N8" i="15"/>
  <c r="N61" i="15"/>
  <c r="N51" i="15"/>
  <c r="N45" i="15"/>
  <c r="J87" i="15"/>
  <c r="T46" i="15"/>
  <c r="O8" i="15"/>
  <c r="T3" i="15"/>
  <c r="O61" i="15"/>
  <c r="T56" i="15"/>
  <c r="T6" i="15"/>
  <c r="T5" i="15"/>
  <c r="O56" i="15"/>
  <c r="N3" i="15"/>
  <c r="S8" i="15"/>
  <c r="S46" i="15"/>
  <c r="S51" i="15"/>
  <c r="O9" i="15"/>
  <c r="O46" i="15"/>
  <c r="T7" i="15"/>
  <c r="N9" i="15"/>
  <c r="T61" i="15"/>
  <c r="T51" i="15"/>
  <c r="N7" i="15"/>
  <c r="O5" i="15"/>
  <c r="T45" i="15"/>
  <c r="S9" i="15"/>
  <c r="S6" i="15"/>
  <c r="N46" i="15"/>
  <c r="I9" i="1"/>
  <c r="M80" i="15" l="1"/>
  <c r="I10" i="1"/>
  <c r="N80" i="15"/>
  <c r="O80" i="15"/>
  <c r="S80" i="15"/>
  <c r="T80" i="15"/>
  <c r="I4" i="1"/>
  <c r="D24" i="15" s="1"/>
  <c r="C27" i="15"/>
  <c r="C28" i="15"/>
  <c r="C29" i="15"/>
  <c r="H29" i="15" l="1"/>
  <c r="H28" i="15"/>
  <c r="H27" i="15"/>
  <c r="C30" i="15"/>
  <c r="E24" i="15"/>
  <c r="C31" i="15"/>
  <c r="H30" i="15" l="1"/>
  <c r="H31" i="15"/>
  <c r="AE12" i="15"/>
  <c r="C32" i="15"/>
  <c r="C21" i="15"/>
  <c r="C33" i="15"/>
  <c r="AE13" i="15"/>
  <c r="I33" i="15" l="1"/>
  <c r="H32" i="15"/>
  <c r="H33" i="15"/>
  <c r="AE14" i="15"/>
  <c r="J21" i="15"/>
  <c r="J33" i="15"/>
  <c r="C34" i="15"/>
  <c r="M21" i="15" l="1"/>
  <c r="I34" i="15"/>
  <c r="M28" i="15"/>
  <c r="H34" i="15"/>
  <c r="T21" i="15"/>
  <c r="N21" i="15"/>
  <c r="O21" i="15"/>
  <c r="S21" i="15"/>
  <c r="AE15" i="15"/>
  <c r="J34" i="15"/>
  <c r="C35" i="15"/>
  <c r="C36" i="15"/>
  <c r="I35" i="15" l="1"/>
  <c r="M29" i="15"/>
  <c r="H35" i="15"/>
  <c r="H36" i="15"/>
  <c r="AE16" i="15"/>
  <c r="J35" i="15"/>
  <c r="C37" i="15"/>
  <c r="I36" i="15" l="1"/>
  <c r="M30" i="15"/>
  <c r="H37" i="15"/>
  <c r="AE17" i="15"/>
  <c r="C38" i="15"/>
  <c r="J36" i="15"/>
  <c r="I32" i="15" l="1"/>
  <c r="M31" i="15"/>
  <c r="I31" i="15"/>
  <c r="I29" i="15"/>
  <c r="I28" i="15"/>
  <c r="I27" i="15"/>
  <c r="I30" i="15"/>
  <c r="I37" i="15"/>
  <c r="I38" i="15"/>
  <c r="H38" i="15"/>
  <c r="J32" i="15"/>
  <c r="J29" i="15"/>
  <c r="J28" i="15"/>
  <c r="J27" i="15"/>
  <c r="J38" i="15"/>
  <c r="J31" i="15"/>
  <c r="C39" i="15"/>
  <c r="J30" i="15"/>
  <c r="J37" i="15"/>
  <c r="M27" i="15" l="1"/>
  <c r="M32" i="15"/>
  <c r="M25" i="15"/>
  <c r="M26" i="15"/>
  <c r="M22" i="15"/>
  <c r="M23" i="15"/>
  <c r="M24" i="15"/>
  <c r="I39" i="15"/>
  <c r="M33" i="15"/>
  <c r="H39" i="15"/>
  <c r="O23" i="15"/>
  <c r="N22" i="15"/>
  <c r="O22" i="15"/>
  <c r="T22" i="15"/>
  <c r="S22" i="15"/>
  <c r="T23" i="15"/>
  <c r="C40" i="15"/>
  <c r="N23" i="15"/>
  <c r="S23" i="15"/>
  <c r="J39" i="15"/>
  <c r="P22" i="15" l="1"/>
  <c r="I40" i="15"/>
  <c r="P23" i="15"/>
  <c r="M34" i="15"/>
  <c r="H40" i="15"/>
  <c r="J40" i="15"/>
  <c r="O24" i="15"/>
  <c r="C41" i="15"/>
  <c r="T24" i="15"/>
  <c r="O34" i="15"/>
  <c r="N24" i="15"/>
  <c r="S24" i="15"/>
  <c r="N34" i="15"/>
  <c r="S34" i="15"/>
  <c r="T34" i="15"/>
  <c r="I41" i="15" l="1"/>
  <c r="P34" i="15"/>
  <c r="P24" i="15"/>
  <c r="M35" i="15"/>
  <c r="H41" i="15"/>
  <c r="S35" i="15"/>
  <c r="O25" i="15"/>
  <c r="T25" i="15"/>
  <c r="N25" i="15"/>
  <c r="T35" i="15"/>
  <c r="C42" i="15"/>
  <c r="S25" i="15"/>
  <c r="N35" i="15"/>
  <c r="O35" i="15"/>
  <c r="J41" i="15"/>
  <c r="I42" i="15" l="1"/>
  <c r="P25" i="15"/>
  <c r="P35" i="15"/>
  <c r="M36" i="15"/>
  <c r="H42" i="15"/>
  <c r="N36" i="15"/>
  <c r="N26" i="15"/>
  <c r="T26" i="15"/>
  <c r="J42" i="15"/>
  <c r="O26" i="15"/>
  <c r="S36" i="15"/>
  <c r="O36" i="15"/>
  <c r="S26" i="15"/>
  <c r="C43" i="15"/>
  <c r="T36" i="15"/>
  <c r="I43" i="15" l="1"/>
  <c r="P26" i="15"/>
  <c r="P36" i="15"/>
  <c r="M37" i="15"/>
  <c r="H43" i="15"/>
  <c r="O37" i="15"/>
  <c r="T27" i="15"/>
  <c r="N27" i="15"/>
  <c r="S27" i="15"/>
  <c r="O27" i="15"/>
  <c r="S37" i="15"/>
  <c r="N37" i="15"/>
  <c r="J43" i="15"/>
  <c r="C44" i="15"/>
  <c r="T37" i="15"/>
  <c r="I44" i="15" l="1"/>
  <c r="P27" i="15"/>
  <c r="P37" i="15"/>
  <c r="M38" i="15"/>
  <c r="H44" i="15"/>
  <c r="N38" i="15"/>
  <c r="S28" i="15"/>
  <c r="T28" i="15"/>
  <c r="N28" i="15"/>
  <c r="O28" i="15"/>
  <c r="S38" i="15"/>
  <c r="T38" i="15"/>
  <c r="J44" i="15"/>
  <c r="C45" i="15"/>
  <c r="O38" i="15"/>
  <c r="I45" i="15" l="1"/>
  <c r="P28" i="15"/>
  <c r="P38" i="15"/>
  <c r="M39" i="15"/>
  <c r="H45" i="15"/>
  <c r="S29" i="15"/>
  <c r="T29" i="15"/>
  <c r="N29" i="15"/>
  <c r="O29" i="15"/>
  <c r="T39" i="15"/>
  <c r="J45" i="15"/>
  <c r="C46" i="15"/>
  <c r="S39" i="15"/>
  <c r="O39" i="15"/>
  <c r="N39" i="15"/>
  <c r="I46" i="15" l="1"/>
  <c r="P29" i="15"/>
  <c r="P39" i="15"/>
  <c r="M40" i="15"/>
  <c r="H46" i="15"/>
  <c r="T40" i="15"/>
  <c r="N30" i="15"/>
  <c r="C47" i="15"/>
  <c r="J46" i="15"/>
  <c r="S30" i="15"/>
  <c r="N40" i="15"/>
  <c r="O40" i="15"/>
  <c r="T30" i="15"/>
  <c r="O30" i="15"/>
  <c r="S40" i="15"/>
  <c r="I47" i="15" l="1"/>
  <c r="P30" i="15"/>
  <c r="P40" i="15"/>
  <c r="M41" i="15"/>
  <c r="H47" i="15"/>
  <c r="O41" i="15"/>
  <c r="S31" i="15"/>
  <c r="O31" i="15"/>
  <c r="N31" i="15"/>
  <c r="T31" i="15"/>
  <c r="N41" i="15"/>
  <c r="S41" i="15"/>
  <c r="J47" i="15"/>
  <c r="C48" i="15"/>
  <c r="T41" i="15"/>
  <c r="I48" i="15" l="1"/>
  <c r="P41" i="15"/>
  <c r="P31" i="15"/>
  <c r="M42" i="15"/>
  <c r="H48" i="15"/>
  <c r="T42" i="15"/>
  <c r="J48" i="15"/>
  <c r="T33" i="15"/>
  <c r="S33" i="15"/>
  <c r="T32" i="15"/>
  <c r="N42" i="15"/>
  <c r="O32" i="15"/>
  <c r="O42" i="15"/>
  <c r="O33" i="15"/>
  <c r="S32" i="15"/>
  <c r="S42" i="15"/>
  <c r="N33" i="15"/>
  <c r="N32" i="15"/>
  <c r="P33" i="15" l="1"/>
  <c r="P42" i="15"/>
  <c r="P32" i="15"/>
  <c r="M43" i="15"/>
  <c r="S43" i="15"/>
  <c r="T43" i="15"/>
  <c r="N43" i="15"/>
  <c r="O43" i="15"/>
  <c r="P43" i="15" l="1"/>
  <c r="W3" i="15" a="1"/>
  <c r="W3" i="15" l="1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W10" i="15"/>
  <c r="W45" i="15"/>
  <c r="W33" i="15"/>
  <c r="W40" i="15"/>
  <c r="W55" i="15"/>
  <c r="W70" i="15"/>
  <c r="W14" i="15"/>
  <c r="W29" i="15"/>
  <c r="W37" i="15"/>
  <c r="AA3" i="15"/>
  <c r="X23" i="15"/>
  <c r="X8" i="15"/>
  <c r="AB35" i="15"/>
  <c r="AA21" i="15"/>
  <c r="AA55" i="15"/>
  <c r="X67" i="15"/>
  <c r="X31" i="15"/>
  <c r="Y9" i="15"/>
  <c r="Z43" i="15"/>
  <c r="X36" i="15"/>
  <c r="Z41" i="15"/>
  <c r="AA11" i="15"/>
  <c r="Z24" i="15"/>
  <c r="X58" i="15"/>
  <c r="Z51" i="15"/>
  <c r="AB14" i="15"/>
  <c r="Z48" i="15"/>
  <c r="AA4" i="15"/>
  <c r="AA25" i="15"/>
  <c r="Z66" i="15"/>
  <c r="Z52" i="15"/>
  <c r="X29" i="15"/>
  <c r="AB49" i="15"/>
  <c r="Z68" i="15"/>
  <c r="AA46" i="15"/>
  <c r="Z32" i="15"/>
  <c r="AB10" i="15"/>
  <c r="Z7" i="15"/>
  <c r="X34" i="15"/>
  <c r="AA12" i="15"/>
  <c r="X54" i="15"/>
  <c r="AA47" i="15"/>
  <c r="Z22" i="15"/>
  <c r="AB71" i="15"/>
  <c r="X27" i="15"/>
  <c r="AA69" i="15"/>
  <c r="X62" i="15"/>
  <c r="AB30" i="15"/>
  <c r="AB15" i="15"/>
  <c r="AA42" i="15"/>
  <c r="AB13" i="15"/>
  <c r="Z6" i="15"/>
  <c r="Y3" i="15"/>
  <c r="AB23" i="15"/>
  <c r="Y65" i="15"/>
  <c r="Z35" i="15"/>
  <c r="X21" i="15"/>
  <c r="Y55" i="15"/>
  <c r="AA67" i="15"/>
  <c r="AB16" i="15"/>
  <c r="X9" i="15"/>
  <c r="Y43" i="15"/>
  <c r="Z36" i="15"/>
  <c r="Y41" i="15"/>
  <c r="AA60" i="15"/>
  <c r="AB24" i="15"/>
  <c r="Y58" i="15"/>
  <c r="X51" i="15"/>
  <c r="X14" i="15"/>
  <c r="Y26" i="15"/>
  <c r="Y4" i="15"/>
  <c r="AB25" i="15"/>
  <c r="AB66" i="15"/>
  <c r="Y52" i="15"/>
  <c r="AB63" i="15"/>
  <c r="AA49" i="15"/>
  <c r="AB68" i="15"/>
  <c r="Y46" i="15"/>
  <c r="AA32" i="15"/>
  <c r="Y37" i="15"/>
  <c r="Y7" i="15"/>
  <c r="Y34" i="15"/>
  <c r="X12" i="15"/>
  <c r="AB54" i="15"/>
  <c r="AA45" i="15"/>
  <c r="X22" i="15"/>
  <c r="Y57" i="15"/>
  <c r="AB27" i="15"/>
  <c r="AB69" i="15"/>
  <c r="AA62" i="15"/>
  <c r="X30" i="15"/>
  <c r="AA64" i="15"/>
  <c r="Y42" i="15"/>
  <c r="Z13" i="15"/>
  <c r="Y6" i="15"/>
  <c r="AB65" i="15"/>
  <c r="AB21" i="15"/>
  <c r="AB67" i="15"/>
  <c r="Y16" i="15"/>
  <c r="AA43" i="15"/>
  <c r="X70" i="15"/>
  <c r="Y60" i="15"/>
  <c r="X24" i="15"/>
  <c r="Y44" i="15"/>
  <c r="Z14" i="15"/>
  <c r="X26" i="15"/>
  <c r="Y25" i="15"/>
  <c r="AA59" i="15"/>
  <c r="Y63" i="15"/>
  <c r="X49" i="15"/>
  <c r="AB39" i="15"/>
  <c r="AB32" i="15"/>
  <c r="X7" i="15"/>
  <c r="Z34" i="15"/>
  <c r="Z54" i="15"/>
  <c r="X45" i="15"/>
  <c r="X57" i="15"/>
  <c r="Y27" i="15"/>
  <c r="X33" i="15"/>
  <c r="Y30" i="15"/>
  <c r="Z42" i="15"/>
  <c r="AA13" i="15"/>
  <c r="AA23" i="15"/>
  <c r="AA65" i="15"/>
  <c r="Z21" i="15"/>
  <c r="Y67" i="15"/>
  <c r="X50" i="15"/>
  <c r="AB43" i="15"/>
  <c r="AB41" i="15"/>
  <c r="Y17" i="15"/>
  <c r="Z44" i="15"/>
  <c r="AA26" i="15"/>
  <c r="X25" i="15"/>
  <c r="Z59" i="15"/>
  <c r="Z63" i="15"/>
  <c r="X68" i="15"/>
  <c r="Z38" i="15"/>
  <c r="Y23" i="15"/>
  <c r="X35" i="15"/>
  <c r="AA18" i="15"/>
  <c r="Z9" i="15"/>
  <c r="AA41" i="15"/>
  <c r="Z58" i="15"/>
  <c r="Z4" i="15"/>
  <c r="AA52" i="15"/>
  <c r="Y68" i="15"/>
  <c r="Z37" i="15"/>
  <c r="X61" i="15"/>
  <c r="Y22" i="15"/>
  <c r="Y69" i="15"/>
  <c r="AB64" i="15"/>
  <c r="Y40" i="15"/>
  <c r="AA38" i="15"/>
  <c r="AA28" i="15"/>
  <c r="Y18" i="15"/>
  <c r="AA16" i="15"/>
  <c r="AB70" i="15"/>
  <c r="AB60" i="15"/>
  <c r="AB58" i="15"/>
  <c r="Y14" i="15"/>
  <c r="X53" i="15"/>
  <c r="X52" i="15"/>
  <c r="X19" i="15"/>
  <c r="Z39" i="15"/>
  <c r="AB8" i="15"/>
  <c r="X28" i="15"/>
  <c r="AB18" i="15"/>
  <c r="X16" i="15"/>
  <c r="X43" i="15"/>
  <c r="Y11" i="15"/>
  <c r="X17" i="15"/>
  <c r="AB44" i="15"/>
  <c r="Z26" i="15"/>
  <c r="Z25" i="15"/>
  <c r="AB29" i="15"/>
  <c r="Z19" i="15"/>
  <c r="X39" i="15"/>
  <c r="X10" i="15"/>
  <c r="Z56" i="15"/>
  <c r="Y61" i="15"/>
  <c r="Z47" i="15"/>
  <c r="AA71" i="15"/>
  <c r="Z27" i="15"/>
  <c r="AB62" i="15"/>
  <c r="AA30" i="15"/>
  <c r="AB42" i="15"/>
  <c r="X13" i="15"/>
  <c r="X3" i="15"/>
  <c r="AA8" i="15"/>
  <c r="Y28" i="15"/>
  <c r="X18" i="15"/>
  <c r="Z16" i="15"/>
  <c r="AB36" i="15"/>
  <c r="AB11" i="15"/>
  <c r="AA17" i="15"/>
  <c r="X44" i="15"/>
  <c r="AB26" i="15"/>
  <c r="X66" i="15"/>
  <c r="AA29" i="15"/>
  <c r="Y19" i="15"/>
  <c r="Y39" i="15"/>
  <c r="AB37" i="15"/>
  <c r="Y56" i="15"/>
  <c r="Z61" i="15"/>
  <c r="Y47" i="15"/>
  <c r="Z71" i="15"/>
  <c r="AA5" i="15"/>
  <c r="Z62" i="15"/>
  <c r="X15" i="15"/>
  <c r="X42" i="15"/>
  <c r="AB6" i="15"/>
  <c r="AB3" i="15"/>
  <c r="Z8" i="15"/>
  <c r="Z28" i="15"/>
  <c r="Z18" i="15"/>
  <c r="AB9" i="15"/>
  <c r="Y36" i="15"/>
  <c r="X11" i="15"/>
  <c r="AB17" i="15"/>
  <c r="AA44" i="15"/>
  <c r="X4" i="15"/>
  <c r="Y66" i="15"/>
  <c r="Z29" i="15"/>
  <c r="AA19" i="15"/>
  <c r="AA39" i="15"/>
  <c r="X37" i="15"/>
  <c r="X56" i="15"/>
  <c r="AB61" i="15"/>
  <c r="Z45" i="15"/>
  <c r="Y71" i="15"/>
  <c r="AB5" i="15"/>
  <c r="Y62" i="15"/>
  <c r="Y15" i="15"/>
  <c r="Y20" i="15"/>
  <c r="X6" i="15"/>
  <c r="Z3" i="15"/>
  <c r="Y8" i="15"/>
  <c r="AB28" i="15"/>
  <c r="Z67" i="15"/>
  <c r="AA9" i="15"/>
  <c r="AA36" i="15"/>
  <c r="Z11" i="15"/>
  <c r="Z17" i="15"/>
  <c r="AA14" i="15"/>
  <c r="AB4" i="15"/>
  <c r="AA66" i="15"/>
  <c r="Y29" i="15"/>
  <c r="AB19" i="15"/>
  <c r="Y32" i="15"/>
  <c r="AA37" i="15"/>
  <c r="AA34" i="15"/>
  <c r="AA61" i="15"/>
  <c r="AB45" i="15"/>
  <c r="X71" i="15"/>
  <c r="Y5" i="15"/>
  <c r="Z15" i="15"/>
  <c r="AB20" i="15"/>
  <c r="AA6" i="15"/>
  <c r="Y38" i="15"/>
  <c r="Z65" i="15"/>
  <c r="AA31" i="15"/>
  <c r="AB50" i="15"/>
  <c r="Y70" i="15"/>
  <c r="AA58" i="15"/>
  <c r="AB48" i="15"/>
  <c r="Y59" i="15"/>
  <c r="AA68" i="15"/>
  <c r="AB7" i="15"/>
  <c r="Y54" i="15"/>
  <c r="Y45" i="15"/>
  <c r="Z5" i="15"/>
  <c r="AA15" i="15"/>
  <c r="X40" i="15"/>
  <c r="AB38" i="15"/>
  <c r="X55" i="15"/>
  <c r="AB31" i="15"/>
  <c r="X60" i="15"/>
  <c r="AA51" i="15"/>
  <c r="AB53" i="15"/>
  <c r="X63" i="15"/>
  <c r="Z10" i="15"/>
  <c r="Y12" i="15"/>
  <c r="AA54" i="15"/>
  <c r="AA57" i="15"/>
  <c r="X5" i="15"/>
  <c r="Y64" i="15"/>
  <c r="Z40" i="15"/>
  <c r="X38" i="15"/>
  <c r="Z55" i="15"/>
  <c r="Y50" i="15"/>
  <c r="Y24" i="15"/>
  <c r="Y48" i="15"/>
  <c r="AB59" i="15"/>
  <c r="Z46" i="15"/>
  <c r="AA56" i="15"/>
  <c r="AB47" i="15"/>
  <c r="AB57" i="15"/>
  <c r="Z33" i="15"/>
  <c r="Z64" i="15"/>
  <c r="AB40" i="15"/>
  <c r="AA35" i="15"/>
  <c r="Z31" i="15"/>
  <c r="Z50" i="15"/>
  <c r="AA24" i="15"/>
  <c r="AA48" i="15"/>
  <c r="AB52" i="15"/>
  <c r="Y49" i="15"/>
  <c r="Y10" i="15"/>
  <c r="AB12" i="15"/>
  <c r="AA22" i="15"/>
  <c r="Z69" i="15"/>
  <c r="X64" i="15"/>
  <c r="AA40" i="15"/>
  <c r="AB33" i="15"/>
  <c r="Y21" i="15"/>
  <c r="Z60" i="15"/>
  <c r="Y53" i="15"/>
  <c r="AA63" i="15"/>
  <c r="X32" i="15"/>
  <c r="AB34" i="15"/>
  <c r="Z57" i="15"/>
  <c r="Y33" i="15"/>
  <c r="AA20" i="15"/>
  <c r="X65" i="15"/>
  <c r="AA50" i="15"/>
  <c r="Z70" i="15"/>
  <c r="X48" i="15"/>
  <c r="X59" i="15"/>
  <c r="AB46" i="15"/>
  <c r="AA7" i="15"/>
  <c r="R1" i="16"/>
  <c r="AA33" i="15"/>
  <c r="Z20" i="15"/>
  <c r="Y35" i="15"/>
  <c r="Y31" i="15"/>
  <c r="AA70" i="15"/>
  <c r="Y51" i="15"/>
  <c r="Z53" i="15"/>
  <c r="Z49" i="15"/>
  <c r="AA10" i="15"/>
  <c r="Z12" i="15"/>
  <c r="AB22" i="15"/>
  <c r="X69" i="15"/>
  <c r="X20" i="15"/>
  <c r="Z23" i="15"/>
  <c r="AB55" i="15"/>
  <c r="X41" i="15"/>
  <c r="AB51" i="15"/>
  <c r="AA53" i="15"/>
  <c r="X46" i="15"/>
  <c r="AB56" i="15"/>
  <c r="X47" i="15"/>
  <c r="AA27" i="15"/>
  <c r="Z30" i="15"/>
  <c r="Y13" i="15"/>
  <c r="V40" i="15" l="1"/>
  <c r="V6" i="15"/>
  <c r="V13" i="15"/>
  <c r="V20" i="15"/>
  <c r="V42" i="15"/>
  <c r="V64" i="15"/>
  <c r="V15" i="15"/>
  <c r="V30" i="15"/>
  <c r="V33" i="15"/>
  <c r="V62" i="15"/>
  <c r="V69" i="15"/>
  <c r="V5" i="15"/>
  <c r="V27" i="15"/>
  <c r="V57" i="15"/>
  <c r="V71" i="15"/>
  <c r="V22" i="15"/>
  <c r="V45" i="15"/>
  <c r="V47" i="15"/>
  <c r="V54" i="15"/>
  <c r="V61" i="15"/>
  <c r="V12" i="15"/>
  <c r="V34" i="15"/>
  <c r="V56" i="15"/>
  <c r="V7" i="15"/>
  <c r="V37" i="15"/>
  <c r="V10" i="15"/>
  <c r="V32" i="15"/>
  <c r="V39" i="15"/>
  <c r="V46" i="15"/>
  <c r="V68" i="15"/>
  <c r="V19" i="15"/>
  <c r="V49" i="15"/>
  <c r="V63" i="15"/>
  <c r="V29" i="15"/>
  <c r="V52" i="15"/>
  <c r="V59" i="15"/>
  <c r="V66" i="15"/>
  <c r="V25" i="15"/>
  <c r="V53" i="15"/>
  <c r="V4" i="15"/>
  <c r="V26" i="15"/>
  <c r="V48" i="15"/>
  <c r="V14" i="15"/>
  <c r="V44" i="15"/>
  <c r="V51" i="15"/>
  <c r="V58" i="15"/>
  <c r="V17" i="15"/>
  <c r="V24" i="15"/>
  <c r="V60" i="15"/>
  <c r="V11" i="15"/>
  <c r="V41" i="15"/>
  <c r="V70" i="15"/>
  <c r="V36" i="15"/>
  <c r="V43" i="15"/>
  <c r="V50" i="15"/>
  <c r="V9" i="15"/>
  <c r="V16" i="15"/>
  <c r="V31" i="15"/>
  <c r="V67" i="15"/>
  <c r="V18" i="15"/>
  <c r="V55" i="15"/>
  <c r="V21" i="15"/>
  <c r="V28" i="15"/>
  <c r="V35" i="15"/>
  <c r="V65" i="15"/>
  <c r="V8" i="15"/>
  <c r="V23" i="15"/>
  <c r="V38" i="15"/>
  <c r="V3" i="15"/>
  <c r="D14" i="1"/>
  <c r="C22" i="1"/>
  <c r="D15" i="1"/>
  <c r="C23" i="1"/>
  <c r="D22" i="1"/>
  <c r="AC2" i="15" a="1"/>
  <c r="D23" i="1"/>
  <c r="D25" i="1"/>
  <c r="D24" i="1"/>
  <c r="AC37" i="15" l="1"/>
  <c r="AC41" i="15"/>
  <c r="AC46" i="15"/>
  <c r="AC58" i="15"/>
  <c r="AC70" i="15"/>
  <c r="AC60" i="15"/>
  <c r="AC38" i="15"/>
  <c r="AC8" i="15"/>
  <c r="AC20" i="15"/>
  <c r="AC59" i="15"/>
  <c r="AC7" i="15"/>
  <c r="AC19" i="15"/>
  <c r="AC24" i="15"/>
  <c r="AC43" i="15"/>
  <c r="AC21" i="15"/>
  <c r="AC33" i="15"/>
  <c r="AC16" i="15"/>
  <c r="AC57" i="15"/>
  <c r="AC25" i="15"/>
  <c r="AC52" i="15"/>
  <c r="AC56" i="15"/>
  <c r="AC61" i="15"/>
  <c r="AC2" i="15"/>
  <c r="AC51" i="15"/>
  <c r="AC14" i="15"/>
  <c r="AC4" i="15"/>
  <c r="AC65" i="15"/>
  <c r="AC69" i="15"/>
  <c r="AC3" i="15"/>
  <c r="AC22" i="15"/>
  <c r="AC34" i="15"/>
  <c r="AC39" i="15"/>
  <c r="AC17" i="15"/>
  <c r="AC36" i="15"/>
  <c r="AC48" i="15"/>
  <c r="AC35" i="15"/>
  <c r="AC40" i="15"/>
  <c r="AC67" i="15"/>
  <c r="AC71" i="15"/>
  <c r="AC12" i="15"/>
  <c r="AC54" i="15"/>
  <c r="AC66" i="15"/>
  <c r="AC29" i="15"/>
  <c r="AC53" i="15"/>
  <c r="AC50" i="15"/>
  <c r="AC13" i="15"/>
  <c r="AC18" i="15"/>
  <c r="AC30" i="15"/>
  <c r="AC49" i="15"/>
  <c r="AC27" i="15"/>
  <c r="AC32" i="15"/>
  <c r="AC44" i="15"/>
  <c r="AC26" i="15"/>
  <c r="AC31" i="15"/>
  <c r="AC28" i="15"/>
  <c r="AC62" i="15"/>
  <c r="AC11" i="15"/>
  <c r="AC15" i="15"/>
  <c r="AC64" i="15"/>
  <c r="AC5" i="15"/>
  <c r="AC10" i="15"/>
  <c r="AC63" i="15"/>
  <c r="AC68" i="15"/>
  <c r="AC9" i="15"/>
  <c r="AC6" i="15"/>
  <c r="AC55" i="15"/>
  <c r="AC45" i="15"/>
  <c r="AC23" i="15"/>
  <c r="AC42" i="15"/>
  <c r="AC47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  <author>MAZZOCCHI PAOLO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AF12" authorId="1">
      <text>
        <r>
          <rPr>
            <b/>
            <sz val="8"/>
            <color indexed="81"/>
            <rFont val="Tahoma"/>
            <family val="2"/>
          </rPr>
          <t>Check if there are more recent values available</t>
        </r>
      </text>
    </comment>
  </commentList>
</comments>
</file>

<file path=xl/sharedStrings.xml><?xml version="1.0" encoding="utf-8"?>
<sst xmlns="http://schemas.openxmlformats.org/spreadsheetml/2006/main" count="556" uniqueCount="167">
  <si>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</si>
  <si>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</si>
  <si>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</si>
  <si>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</si>
  <si>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</si>
  <si>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</si>
  <si>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</si>
  <si>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</si>
  <si>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</si>
  <si>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</si>
  <si>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</si>
  <si>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</si>
  <si>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</si>
  <si>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</si>
  <si>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</si>
  <si>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</si>
  <si>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</si>
  <si>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</si>
  <si>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</si>
  <si>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</si>
  <si>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</si>
  <si>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</si>
  <si>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</si>
  <si>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</si>
  <si>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</si>
  <si>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</si>
  <si>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</si>
  <si>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</si>
  <si>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</si>
  <si>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</si>
  <si>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</si>
  <si>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</si>
  <si>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</si>
  <si>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</si>
  <si>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</si>
  <si>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</si>
  <si>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</si>
  <si>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</si>
  <si>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</si>
  <si>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</si>
  <si>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</si>
  <si>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</si>
  <si>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</si>
  <si>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</si>
  <si>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</si>
  <si>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</si>
  <si>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</si>
  <si>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</si>
  <si>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</si>
  <si>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</si>
  <si>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</si>
  <si>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</si>
  <si>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</si>
  <si>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</si>
  <si>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</si>
  <si>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</si>
  <si>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</si>
  <si>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</si>
  <si>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</si>
  <si>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</si>
  <si>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</si>
  <si>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</si>
  <si>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</si>
  <si>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</si>
  <si>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</si>
  <si>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</si>
  <si>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</si>
  <si>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</si>
  <si>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</si>
  <si>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</si>
  <si>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</si>
  <si>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</si>
  <si>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</si>
  <si>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</si>
  <si>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</si>
  <si>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</si>
  <si>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</si>
  <si>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</si>
  <si>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</si>
  <si>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</si>
  <si>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</si>
  <si>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</si>
  <si>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</si>
  <si>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</si>
  <si>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</si>
  <si>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</si>
  <si>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</si>
  <si>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</si>
  <si>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</si>
  <si>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</si>
  <si>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</si>
  <si>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</si>
  <si>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</si>
  <si>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</si>
  <si>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</si>
  <si>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</si>
  <si>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</si>
  <si>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</si>
  <si>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</si>
  <si>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</si>
  <si>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</si>
  <si>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</si>
  <si>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</si>
  <si>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</si>
  <si>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</si>
  <si>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</si>
  <si>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</si>
  <si>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</si>
  <si>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</si>
  <si>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</si>
  <si>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</si>
  <si>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</si>
  <si>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_USDSTD</t>
  </si>
  <si>
    <t>ZeroYield</t>
  </si>
  <si>
    <t>Linear</t>
  </si>
  <si>
    <t>Quote Object</t>
  </si>
  <si>
    <t>Errors</t>
  </si>
  <si>
    <t>BID</t>
  </si>
  <si>
    <t>ASK</t>
  </si>
  <si>
    <t>MID</t>
  </si>
  <si>
    <t>Static</t>
  </si>
  <si>
    <t>Effective</t>
  </si>
  <si>
    <t>Change</t>
  </si>
  <si>
    <t>OND</t>
  </si>
  <si>
    <t>TND</t>
  </si>
  <si>
    <t>SND</t>
  </si>
  <si>
    <t>SWD</t>
  </si>
  <si>
    <t>2WD</t>
  </si>
  <si>
    <t>2W</t>
  </si>
  <si>
    <t>3WD</t>
  </si>
  <si>
    <t>3W</t>
  </si>
  <si>
    <t>1MD</t>
  </si>
  <si>
    <t>2MD</t>
  </si>
  <si>
    <t>3MD</t>
  </si>
  <si>
    <t>4MD</t>
  </si>
  <si>
    <t>4M</t>
  </si>
  <si>
    <t>5MD</t>
  </si>
  <si>
    <t>5M</t>
  </si>
  <si>
    <t>6MD</t>
  </si>
  <si>
    <t>7MD</t>
  </si>
  <si>
    <t>7M</t>
  </si>
  <si>
    <t>8MD</t>
  </si>
  <si>
    <t>8M</t>
  </si>
  <si>
    <t>9MD</t>
  </si>
  <si>
    <t>9M</t>
  </si>
  <si>
    <t>10MD</t>
  </si>
  <si>
    <t>10M</t>
  </si>
  <si>
    <t>11MD</t>
  </si>
  <si>
    <t>11M</t>
  </si>
  <si>
    <t>1YD</t>
  </si>
  <si>
    <t>USDXSTUBD=</t>
  </si>
  <si>
    <t>Mid</t>
  </si>
  <si>
    <t>RIC Not Found</t>
  </si>
  <si>
    <t>_Mx</t>
  </si>
  <si>
    <t>fwd start</t>
  </si>
  <si>
    <t>1D</t>
  </si>
  <si>
    <t>2D</t>
  </si>
  <si>
    <t>_CURVE</t>
  </si>
  <si>
    <t>_3M_</t>
  </si>
  <si>
    <t>IMM Code</t>
  </si>
  <si>
    <t xml:space="preserve">First used Imm </t>
  </si>
  <si>
    <t>Stub</t>
  </si>
  <si>
    <t>Following</t>
  </si>
  <si>
    <t>DeposBeforeFirstFuturesStartDatePlusOne</t>
  </si>
  <si>
    <t>Zero</t>
  </si>
  <si>
    <t>Mx Convexity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</si>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</sst>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  <numFmt numFmtId="181" formatCode="[$-409]d\-mmm\-yy;@"/>
    <numFmt numFmtId="182" formatCode="0.0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b/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79998168889431442"/>
        <bgColor indexed="2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2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3" fillId="0" borderId="11" xfId="1" applyFont="1" applyBorder="1"/>
    <xf numFmtId="0" fontId="3" fillId="0" borderId="12" xfId="1" applyFont="1" applyBorder="1"/>
    <xf numFmtId="0" fontId="3" fillId="0" borderId="9" xfId="1" applyFont="1" applyBorder="1"/>
    <xf numFmtId="0" fontId="3" fillId="8" borderId="0" xfId="1" applyFont="1" applyFill="1"/>
    <xf numFmtId="0" fontId="3" fillId="2" borderId="11" xfId="1" applyFont="1" applyFill="1" applyBorder="1"/>
    <xf numFmtId="0" fontId="10" fillId="2" borderId="12" xfId="1" applyFont="1" applyFill="1" applyBorder="1"/>
    <xf numFmtId="0" fontId="3" fillId="2" borderId="12" xfId="1" applyFont="1" applyFill="1" applyBorder="1" applyAlignment="1">
      <alignment horizontal="center"/>
    </xf>
    <xf numFmtId="0" fontId="3" fillId="0" borderId="2" xfId="1" applyFont="1" applyFill="1" applyBorder="1"/>
    <xf numFmtId="0" fontId="3" fillId="2" borderId="9" xfId="1" applyFont="1" applyFill="1" applyBorder="1"/>
    <xf numFmtId="0" fontId="3" fillId="2" borderId="7" xfId="1" applyFont="1" applyFill="1" applyBorder="1" applyAlignment="1">
      <alignment horizontal="left"/>
    </xf>
    <xf numFmtId="0" fontId="3" fillId="2" borderId="0" xfId="1" applyFont="1" applyFill="1" applyBorder="1"/>
    <xf numFmtId="0" fontId="3" fillId="2" borderId="10" xfId="1" applyFont="1" applyFill="1" applyBorder="1"/>
    <xf numFmtId="0" fontId="3" fillId="2" borderId="7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5" fillId="3" borderId="0" xfId="0" applyFont="1" applyFill="1"/>
    <xf numFmtId="0" fontId="3" fillId="7" borderId="2" xfId="1" applyFont="1" applyFill="1" applyBorder="1" applyAlignment="1">
      <alignment vertical="center"/>
    </xf>
    <xf numFmtId="0" fontId="3" fillId="7" borderId="2" xfId="1" applyNumberFormat="1" applyFont="1" applyFill="1" applyBorder="1" applyAlignment="1" applyProtection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165" fontId="9" fillId="7" borderId="2" xfId="2" applyNumberFormat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179" fontId="9" fillId="7" borderId="2" xfId="2" applyNumberFormat="1" applyFont="1" applyFill="1" applyBorder="1" applyAlignment="1">
      <alignment horizontal="center" vertical="center" wrapText="1"/>
    </xf>
    <xf numFmtId="0" fontId="9" fillId="2" borderId="8" xfId="1" applyFont="1" applyFill="1" applyBorder="1" applyAlignment="1"/>
    <xf numFmtId="0" fontId="3" fillId="2" borderId="8" xfId="1" applyNumberFormat="1" applyFont="1" applyFill="1" applyBorder="1" applyAlignment="1"/>
    <xf numFmtId="181" fontId="11" fillId="11" borderId="8" xfId="1" applyNumberFormat="1" applyFont="1" applyFill="1" applyBorder="1" applyAlignment="1" applyProtection="1">
      <alignment horizontal="left"/>
    </xf>
    <xf numFmtId="0" fontId="3" fillId="0" borderId="8" xfId="2" applyNumberFormat="1" applyFont="1" applyFill="1" applyBorder="1" applyAlignment="1">
      <alignment horizontal="center"/>
    </xf>
    <xf numFmtId="165" fontId="3" fillId="0" borderId="6" xfId="2" applyNumberFormat="1" applyFont="1" applyFill="1" applyBorder="1" applyAlignment="1"/>
    <xf numFmtId="179" fontId="3" fillId="0" borderId="8" xfId="2" applyNumberFormat="1" applyFont="1" applyFill="1" applyBorder="1" applyAlignment="1"/>
    <xf numFmtId="179" fontId="3" fillId="0" borderId="8" xfId="2" applyNumberFormat="1" applyFont="1" applyBorder="1"/>
    <xf numFmtId="179" fontId="3" fillId="0" borderId="6" xfId="2" applyNumberFormat="1" applyFont="1" applyFill="1" applyBorder="1" applyAlignment="1"/>
    <xf numFmtId="179" fontId="3" fillId="0" borderId="1" xfId="2" applyNumberFormat="1" applyFont="1" applyFill="1" applyBorder="1" applyAlignment="1"/>
    <xf numFmtId="165" fontId="3" fillId="0" borderId="6" xfId="2" applyNumberFormat="1" applyFont="1" applyFill="1" applyBorder="1" applyAlignment="1">
      <alignment horizontal="center"/>
    </xf>
    <xf numFmtId="0" fontId="9" fillId="2" borderId="6" xfId="1" applyFont="1" applyFill="1" applyBorder="1" applyAlignment="1"/>
    <xf numFmtId="0" fontId="3" fillId="2" borderId="6" xfId="1" applyNumberFormat="1" applyFont="1" applyFill="1" applyBorder="1" applyAlignment="1"/>
    <xf numFmtId="181" fontId="11" fillId="11" borderId="6" xfId="1" applyNumberFormat="1" applyFont="1" applyFill="1" applyBorder="1" applyAlignment="1" applyProtection="1">
      <alignment horizontal="left"/>
    </xf>
    <xf numFmtId="0" fontId="3" fillId="0" borderId="6" xfId="2" applyNumberFormat="1" applyFont="1" applyFill="1" applyBorder="1" applyAlignment="1">
      <alignment horizontal="center"/>
    </xf>
    <xf numFmtId="179" fontId="3" fillId="0" borderId="6" xfId="2" applyNumberFormat="1" applyFont="1" applyBorder="1"/>
    <xf numFmtId="0" fontId="3" fillId="0" borderId="1" xfId="2" applyNumberFormat="1" applyFont="1" applyFill="1" applyBorder="1" applyAlignment="1">
      <alignment horizontal="center"/>
    </xf>
    <xf numFmtId="165" fontId="3" fillId="0" borderId="1" xfId="2" applyNumberFormat="1" applyFont="1" applyFill="1" applyBorder="1" applyAlignment="1"/>
    <xf numFmtId="179" fontId="3" fillId="0" borderId="1" xfId="2" applyNumberFormat="1" applyFont="1" applyBorder="1"/>
    <xf numFmtId="165" fontId="3" fillId="0" borderId="8" xfId="2" applyNumberFormat="1" applyFont="1" applyFill="1" applyBorder="1" applyAlignment="1">
      <alignment horizontal="center"/>
    </xf>
    <xf numFmtId="165" fontId="3" fillId="0" borderId="1" xfId="2" applyNumberFormat="1" applyFont="1" applyFill="1" applyBorder="1" applyAlignment="1">
      <alignment horizontal="center"/>
    </xf>
    <xf numFmtId="0" fontId="9" fillId="2" borderId="1" xfId="1" applyFont="1" applyFill="1" applyBorder="1" applyAlignment="1"/>
    <xf numFmtId="0" fontId="3" fillId="2" borderId="1" xfId="1" applyNumberFormat="1" applyFont="1" applyFill="1" applyBorder="1" applyAlignment="1"/>
    <xf numFmtId="181" fontId="11" fillId="11" borderId="1" xfId="1" applyNumberFormat="1" applyFont="1" applyFill="1" applyBorder="1" applyAlignment="1" applyProtection="1">
      <alignment horizontal="left"/>
    </xf>
    <xf numFmtId="0" fontId="3" fillId="0" borderId="2" xfId="2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/>
    <xf numFmtId="179" fontId="3" fillId="0" borderId="2" xfId="2" applyNumberFormat="1" applyFont="1" applyBorder="1"/>
    <xf numFmtId="0" fontId="3" fillId="2" borderId="5" xfId="1" applyFont="1" applyFill="1" applyBorder="1"/>
    <xf numFmtId="0" fontId="3" fillId="2" borderId="4" xfId="1" applyFont="1" applyFill="1" applyBorder="1"/>
    <xf numFmtId="0" fontId="3" fillId="2" borderId="3" xfId="1" applyFont="1" applyFill="1" applyBorder="1"/>
    <xf numFmtId="0" fontId="3" fillId="2" borderId="13" xfId="1" applyFont="1" applyFill="1" applyBorder="1"/>
    <xf numFmtId="0" fontId="3" fillId="0" borderId="12" xfId="1" applyFont="1" applyBorder="1" applyAlignment="1">
      <alignment horizontal="left"/>
    </xf>
    <xf numFmtId="0" fontId="3" fillId="2" borderId="11" xfId="1" applyFont="1" applyFill="1" applyBorder="1" applyAlignment="1">
      <alignment horizontal="center"/>
    </xf>
    <xf numFmtId="0" fontId="3" fillId="2" borderId="12" xfId="1" applyFont="1" applyFill="1" applyBorder="1"/>
    <xf numFmtId="0" fontId="3" fillId="0" borderId="0" xfId="1" applyFont="1" applyBorder="1"/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8" borderId="0" xfId="1" applyFont="1" applyFill="1" applyAlignment="1">
      <alignment horizontal="center" vertical="center"/>
    </xf>
    <xf numFmtId="0" fontId="3" fillId="7" borderId="2" xfId="1" applyFont="1" applyFill="1" applyBorder="1" applyAlignment="1">
      <alignment horizontal="center"/>
    </xf>
    <xf numFmtId="10" fontId="3" fillId="8" borderId="0" xfId="2" applyNumberFormat="1" applyFont="1" applyFill="1"/>
    <xf numFmtId="165" fontId="3" fillId="0" borderId="8" xfId="13" applyNumberFormat="1" applyFont="1" applyFill="1" applyBorder="1" applyAlignment="1">
      <alignment horizontal="center"/>
    </xf>
    <xf numFmtId="0" fontId="3" fillId="11" borderId="8" xfId="1" applyNumberFormat="1" applyFont="1" applyFill="1" applyBorder="1" applyAlignment="1" applyProtection="1"/>
    <xf numFmtId="0" fontId="3" fillId="0" borderId="6" xfId="2" applyNumberFormat="1" applyFont="1" applyFill="1" applyBorder="1" applyAlignment="1"/>
    <xf numFmtId="0" fontId="3" fillId="2" borderId="0" xfId="1" applyFont="1" applyFill="1" applyBorder="1" applyAlignment="1"/>
    <xf numFmtId="179" fontId="3" fillId="0" borderId="6" xfId="2" applyNumberFormat="1" applyFont="1" applyBorder="1" applyAlignment="1"/>
    <xf numFmtId="165" fontId="3" fillId="0" borderId="6" xfId="13" applyNumberFormat="1" applyFont="1" applyFill="1" applyBorder="1" applyAlignment="1">
      <alignment horizontal="center"/>
    </xf>
    <xf numFmtId="0" fontId="3" fillId="11" borderId="6" xfId="1" applyNumberFormat="1" applyFont="1" applyFill="1" applyBorder="1" applyAlignment="1" applyProtection="1"/>
    <xf numFmtId="165" fontId="3" fillId="0" borderId="1" xfId="13" applyNumberFormat="1" applyFont="1" applyFill="1" applyBorder="1" applyAlignment="1">
      <alignment horizontal="center"/>
    </xf>
    <xf numFmtId="0" fontId="3" fillId="11" borderId="1" xfId="1" applyNumberFormat="1" applyFont="1" applyFill="1" applyBorder="1" applyAlignment="1" applyProtection="1"/>
    <xf numFmtId="0" fontId="3" fillId="0" borderId="1" xfId="2" applyNumberFormat="1" applyFont="1" applyFill="1" applyBorder="1" applyAlignment="1"/>
    <xf numFmtId="0" fontId="3" fillId="2" borderId="4" xfId="1" applyFont="1" applyFill="1" applyBorder="1" applyAlignment="1">
      <alignment horizontal="left"/>
    </xf>
    <xf numFmtId="0" fontId="3" fillId="2" borderId="5" xfId="1" applyFont="1" applyFill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3" xfId="2" applyNumberFormat="1" applyFont="1" applyFill="1" applyBorder="1" applyAlignment="1"/>
    <xf numFmtId="179" fontId="3" fillId="0" borderId="13" xfId="2" applyNumberFormat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179" fontId="3" fillId="0" borderId="13" xfId="2" applyNumberFormat="1" applyFont="1" applyBorder="1"/>
    <xf numFmtId="179" fontId="3" fillId="0" borderId="4" xfId="2" applyNumberFormat="1" applyFont="1" applyFill="1" applyBorder="1" applyAlignment="1">
      <alignment horizontal="center"/>
    </xf>
    <xf numFmtId="165" fontId="3" fillId="0" borderId="4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8" borderId="0" xfId="1" applyFont="1" applyFill="1" applyAlignment="1">
      <alignment horizontal="left"/>
    </xf>
    <xf numFmtId="0" fontId="3" fillId="8" borderId="0" xfId="1" applyFont="1" applyFill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2" borderId="20" xfId="1" applyNumberFormat="1" applyFont="1" applyFill="1" applyBorder="1" applyAlignment="1">
      <alignment horizontal="left"/>
    </xf>
    <xf numFmtId="167" fontId="3" fillId="2" borderId="2" xfId="1" applyNumberFormat="1" applyFont="1" applyFill="1" applyBorder="1" applyAlignment="1">
      <alignment horizontal="center" vertical="center"/>
    </xf>
    <xf numFmtId="179" fontId="5" fillId="0" borderId="8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82" fontId="5" fillId="0" borderId="6" xfId="0" applyNumberFormat="1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Percent 3 2" xfId="13"/>
    <cellStyle name="result" xfId="10"/>
    <cellStyle name="Valuta (0)_AZIONI" xfId="11"/>
    <cellStyle name="Valuta_AZIONI" xfId="12"/>
  </cellStyles>
  <dxfs count="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11:30:51</v>
        <stp/>
        <stp>{BEB5BA61-DF91-49ED-96FF-4715F895B4B2}</stp>
        <tr r="J3" s="16"/>
      </tp>
      <tp t="s">
        <v>Updated at 11:38:14</v>
        <stp/>
        <stp>{C480A836-953C-454D-BA73-C51DD018722B}</stp>
        <tr r="J3" s="1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78"/>
      <c r="C2" s="79"/>
      <c r="D2" s="79"/>
      <c r="E2" s="80"/>
      <c r="G2" s="78"/>
      <c r="H2" s="79"/>
      <c r="I2" s="79"/>
      <c r="J2" s="80"/>
    </row>
    <row r="3" spans="1:10" ht="11.25" customHeight="1" x14ac:dyDescent="0.2">
      <c r="B3" s="83"/>
      <c r="C3" s="12" t="s">
        <v>22</v>
      </c>
      <c r="D3" s="75" t="s">
        <v>35</v>
      </c>
      <c r="E3" s="81"/>
      <c r="G3" s="83"/>
      <c r="H3" s="12" t="s">
        <v>31</v>
      </c>
      <c r="I3" s="13">
        <f>_xll.qlSettingsEvaluationDate(Trigger)</f>
        <v>42257</v>
      </c>
      <c r="J3" s="81"/>
    </row>
    <row r="4" spans="1:10" ht="11.25" customHeight="1" x14ac:dyDescent="0.2">
      <c r="B4" s="83"/>
      <c r="C4" s="14" t="s">
        <v>19</v>
      </c>
      <c r="D4" s="16" t="b">
        <v>1</v>
      </c>
      <c r="E4" s="81"/>
      <c r="G4" s="83"/>
      <c r="H4" s="14" t="s">
        <v>32</v>
      </c>
      <c r="I4" s="15">
        <f>_xll.qlCalendarAdvance(Calendar,Evaluationdate,"2D","F",,Trigger)</f>
        <v>42261</v>
      </c>
      <c r="J4" s="81"/>
    </row>
    <row r="5" spans="1:10" ht="11.25" customHeight="1" x14ac:dyDescent="0.2">
      <c r="A5" s="48"/>
      <c r="B5" s="84"/>
      <c r="C5" s="20" t="s">
        <v>18</v>
      </c>
      <c r="D5" s="21"/>
      <c r="E5" s="81"/>
      <c r="G5" s="83"/>
      <c r="H5" s="14" t="s">
        <v>36</v>
      </c>
      <c r="I5" s="15" t="s">
        <v>37</v>
      </c>
      <c r="J5" s="81"/>
    </row>
    <row r="6" spans="1:10" ht="11.25" customHeight="1" x14ac:dyDescent="0.2">
      <c r="A6" s="48"/>
      <c r="B6" s="84"/>
      <c r="C6" s="14" t="s">
        <v>20</v>
      </c>
      <c r="D6" s="16" t="b">
        <v>1</v>
      </c>
      <c r="E6" s="81"/>
      <c r="G6" s="83"/>
      <c r="H6" s="14" t="s">
        <v>38</v>
      </c>
      <c r="I6" s="15" t="s">
        <v>44</v>
      </c>
      <c r="J6" s="81"/>
    </row>
    <row r="7" spans="1:10" ht="11.25" customHeight="1" x14ac:dyDescent="0.2">
      <c r="A7" s="48"/>
      <c r="B7" s="84"/>
      <c r="C7" s="14" t="s">
        <v>21</v>
      </c>
      <c r="D7" s="158"/>
      <c r="E7" s="81"/>
      <c r="G7" s="83"/>
      <c r="H7" s="14" t="s">
        <v>39</v>
      </c>
      <c r="I7" s="15" t="s">
        <v>40</v>
      </c>
      <c r="J7" s="81"/>
    </row>
    <row r="8" spans="1:10" ht="11.25" customHeight="1" x14ac:dyDescent="0.2">
      <c r="A8" s="48"/>
      <c r="B8" s="84"/>
      <c r="C8" s="14" t="s">
        <v>42</v>
      </c>
      <c r="D8" s="17" t="s">
        <v>43</v>
      </c>
      <c r="E8" s="81"/>
      <c r="G8" s="83"/>
      <c r="H8" s="14" t="s">
        <v>41</v>
      </c>
      <c r="I8" s="77" t="str">
        <f>I5&amp;"("&amp;I6&amp;","&amp;I7&amp;")"</f>
        <v>JoinHolidays(UnitedKingdom::Exchange,UnitedStates::Settlement)</v>
      </c>
      <c r="J8" s="81" t="s">
        <v>46</v>
      </c>
    </row>
    <row r="9" spans="1:10" ht="11.25" customHeight="1" x14ac:dyDescent="0.2">
      <c r="B9" s="85"/>
      <c r="C9" s="18" t="s">
        <v>70</v>
      </c>
      <c r="D9" s="19" t="s">
        <v>71</v>
      </c>
      <c r="E9" s="81"/>
      <c r="G9" s="83"/>
      <c r="H9" s="18" t="s">
        <v>45</v>
      </c>
      <c r="I9" s="76" t="b">
        <f>IF(_xll.qlCalendarIsHoliday(LocalCalendar,_xll.qlCalendarAdvance(LiborCalendar,Evaluationdate,"2D",,,Trigger),Trigger),TRUE,FALSE)</f>
        <v>0</v>
      </c>
      <c r="J9" s="81"/>
    </row>
    <row r="10" spans="1:10" ht="11.25" customHeight="1" x14ac:dyDescent="0.2">
      <c r="B10" s="85"/>
      <c r="C10" s="18" t="s">
        <v>74</v>
      </c>
      <c r="D10" s="155" t="s">
        <v>75</v>
      </c>
      <c r="E10" s="81"/>
      <c r="G10" s="83"/>
      <c r="H10" s="20" t="s">
        <v>14</v>
      </c>
      <c r="I10" s="91" t="str">
        <f>IF(HolidayCheck,JoinCalendar,LiborCalendar)</f>
        <v>UnitedKingdom::Exchange</v>
      </c>
      <c r="J10" s="81"/>
    </row>
    <row r="11" spans="1:10" ht="11.25" customHeight="1" x14ac:dyDescent="0.2">
      <c r="B11" s="86"/>
      <c r="C11" s="87"/>
      <c r="D11" s="88"/>
      <c r="E11" s="82"/>
      <c r="G11" s="89"/>
      <c r="H11" s="87"/>
      <c r="I11" s="90"/>
      <c r="J11" s="82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_xll.qlPiecewiseYieldCurve(D16,D17,Calendar,_xll.ohPack(USDSTD!W3:W71),,,,D18,D19,D20,Permanent,,ObjectOverwrite)</f>
        <v>_USDSTD#0008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112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113</v>
      </c>
      <c r="E19" s="42"/>
    </row>
    <row r="20" spans="1:10" x14ac:dyDescent="0.2">
      <c r="B20" s="23"/>
      <c r="C20" s="24" t="s">
        <v>17</v>
      </c>
      <c r="D20" s="30" t="s">
        <v>114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42257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64185</v>
      </c>
      <c r="D23" s="35">
        <f>_xll.qlYieldTSDiscount(YieldCurve_STD,C23,,Trigger)</f>
        <v>0.19813291842450667</v>
      </c>
      <c r="E23" s="42"/>
    </row>
    <row r="24" spans="1:10" x14ac:dyDescent="0.2">
      <c r="B24" s="23"/>
      <c r="C24" s="34" t="str">
        <f>[1]Libor!$D$13</f>
        <v>USDSTD#0000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111</v>
      </c>
      <c r="D25" s="37" t="b">
        <f>_xll.qlExtrapolatorEnableExtrapolation(YieldCurve_STD,TRUE)</f>
        <v>1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10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2" hidden="1" customWidth="1" outlineLevel="1"/>
    <col min="14" max="14" width="23.42578125" style="102" hidden="1" customWidth="1" outlineLevel="1"/>
    <col min="15" max="15" width="12" style="102" hidden="1" customWidth="1" outlineLevel="1"/>
    <col min="16" max="16" width="7.85546875" style="102" hidden="1" customWidth="1" outlineLevel="1"/>
    <col min="17" max="17" width="9" style="102" hidden="1" customWidth="1" outlineLevel="1"/>
    <col min="18" max="18" width="5.85546875" style="102" hidden="1" customWidth="1" outlineLevel="1"/>
    <col min="19" max="20" width="10.7109375" style="102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41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 t="s">
        <v>153</v>
      </c>
      <c r="L1" s="65" t="s">
        <v>25</v>
      </c>
      <c r="M1" s="105"/>
      <c r="N1" s="105"/>
      <c r="O1" s="105"/>
      <c r="P1" s="105"/>
      <c r="Q1" s="105"/>
      <c r="R1" s="105"/>
      <c r="S1" s="105"/>
      <c r="T1" s="95"/>
      <c r="U1" s="92"/>
      <c r="V1" s="71" t="str">
        <f>Currency&amp;$G$1</f>
        <v>USD3M</v>
      </c>
      <c r="W1" s="64"/>
      <c r="X1" s="64"/>
      <c r="Y1" s="67"/>
      <c r="Z1" s="67"/>
      <c r="AA1" s="64"/>
      <c r="AB1" s="64"/>
      <c r="AC1" s="69" t="s">
        <v>164</v>
      </c>
    </row>
    <row r="2" spans="1:34" ht="21.75" customHeight="1" x14ac:dyDescent="0.2">
      <c r="A2" s="63" t="s">
        <v>9</v>
      </c>
      <c r="B2" s="63" t="s">
        <v>30</v>
      </c>
      <c r="C2" s="63" t="s">
        <v>88</v>
      </c>
      <c r="D2" s="63" t="s">
        <v>154</v>
      </c>
      <c r="E2" s="63" t="s">
        <v>34</v>
      </c>
      <c r="F2" s="63" t="s">
        <v>110</v>
      </c>
      <c r="G2" s="63" t="s">
        <v>4</v>
      </c>
      <c r="H2" s="63" t="s">
        <v>1</v>
      </c>
      <c r="I2" s="63"/>
      <c r="J2" s="63" t="s">
        <v>25</v>
      </c>
      <c r="L2" s="70" t="s">
        <v>9</v>
      </c>
      <c r="M2" s="70" t="s">
        <v>25</v>
      </c>
      <c r="N2" s="70" t="s">
        <v>76</v>
      </c>
      <c r="O2" s="70" t="s">
        <v>79</v>
      </c>
      <c r="P2" s="70" t="s">
        <v>77</v>
      </c>
      <c r="Q2" s="70" t="s">
        <v>78</v>
      </c>
      <c r="R2" s="70" t="s">
        <v>80</v>
      </c>
      <c r="S2" s="70" t="s">
        <v>23</v>
      </c>
      <c r="T2" s="70" t="s">
        <v>74</v>
      </c>
      <c r="U2" s="92"/>
      <c r="V2" s="70" t="s">
        <v>9</v>
      </c>
      <c r="W2" s="70" t="s">
        <v>25</v>
      </c>
      <c r="X2" s="70" t="s">
        <v>76</v>
      </c>
      <c r="Y2" s="72" t="s">
        <v>24</v>
      </c>
      <c r="Z2" s="72" t="s">
        <v>81</v>
      </c>
      <c r="AA2" s="70" t="s">
        <v>23</v>
      </c>
      <c r="AB2" s="70" t="s">
        <v>74</v>
      </c>
      <c r="AC2" s="156">
        <f t="array" ref="AC2:AC71">_xll.qlPiecewiseYieldCurveData(YieldCurve_STD,Trigger)</f>
        <v>2.8388778488116924E-3</v>
      </c>
      <c r="AE2" s="280" t="s">
        <v>82</v>
      </c>
      <c r="AF2" s="281"/>
      <c r="AH2" s="157"/>
    </row>
    <row r="3" spans="1:34" ht="11.25" customHeight="1" x14ac:dyDescent="0.2">
      <c r="A3" s="109" t="s">
        <v>27</v>
      </c>
      <c r="B3" s="110" t="s">
        <v>47</v>
      </c>
      <c r="C3" s="111" t="s">
        <v>47</v>
      </c>
      <c r="D3" s="123"/>
      <c r="E3" s="123"/>
      <c r="F3" s="123"/>
      <c r="G3" s="112" t="str">
        <f>Currency&amp;"FedFunds"</f>
        <v>USDFedFunds</v>
      </c>
      <c r="H3" s="120" t="str">
        <f>Mx_Deposits!D4</f>
        <v>USDOND_Mx_Quote#0002</v>
      </c>
      <c r="I3" s="123"/>
      <c r="J3" s="113" t="str">
        <f>_xll.qlDepositRateHelper(,H3,G3,Permanent,Trigger,ObjectOverwrite)</f>
        <v>obj_003c3#0002</v>
      </c>
      <c r="K3" s="49"/>
      <c r="L3" s="66" t="str">
        <f t="shared" ref="L3:L9" si="0">A3</f>
        <v>Dp</v>
      </c>
      <c r="M3" s="131" t="str">
        <f t="shared" ref="M3:M9" si="1">IF(ISBLANK(J3),"--",J3)</f>
        <v>obj_003c3#0002</v>
      </c>
      <c r="N3" s="144" t="str">
        <f>IFERROR(_xll.qlRateHelperQuoteName(M3,Trigger),"--")</f>
        <v>USDOND_Mx_Quote</v>
      </c>
      <c r="O3" s="133">
        <f>IFERROR(_xll.qlRateHelperQuoteValue($M3,Trigger),"--")</f>
        <v>2.7999999999999995E-3</v>
      </c>
      <c r="P3" s="132" t="b">
        <v>1</v>
      </c>
      <c r="Q3" s="131">
        <v>10</v>
      </c>
      <c r="R3" s="131">
        <v>1</v>
      </c>
      <c r="S3" s="134">
        <f>IFERROR(_xll.qlRateHelperEarliestDate(M3,Trigger),"--")</f>
        <v>42257</v>
      </c>
      <c r="T3" s="134">
        <f>IFERROR(_xll.qlRateHelperPillarDate(M3,Trigger),"--")</f>
        <v>42258</v>
      </c>
      <c r="V3" s="3" t="str">
        <f t="shared" ref="V3:V34" si="2">IFERROR(INDEX($L$3:$L$80,MATCH(X3,$N$3:$N$80,0),1),"")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obj_003c3</v>
      </c>
      <c r="X3" s="3" t="str">
        <f>IFERROR(_xll.qlRateHelperQuoteName(W3,Trigger),"")</f>
        <v>USDOND_Mx_Quote</v>
      </c>
      <c r="Y3" s="68">
        <f>IFERROR(_xll.qlRateHelperRate(W3,Trigger),"")</f>
        <v>2.7999999999999995E-3</v>
      </c>
      <c r="Z3" s="103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42257</v>
      </c>
      <c r="AB3" s="4">
        <f>IFERROR(_xll.qlRateHelperPillarDate(W3,Trigger),"")</f>
        <v>42258</v>
      </c>
      <c r="AC3" s="68">
        <v>2.8388778488116924E-3</v>
      </c>
      <c r="AE3" s="106" t="s">
        <v>83</v>
      </c>
      <c r="AF3" s="107">
        <v>6</v>
      </c>
      <c r="AH3" s="157"/>
    </row>
    <row r="4" spans="1:34" ht="11.25" customHeight="1" x14ac:dyDescent="0.2">
      <c r="A4" s="53" t="s">
        <v>27</v>
      </c>
      <c r="B4" s="54" t="s">
        <v>72</v>
      </c>
      <c r="C4" s="56" t="s">
        <v>47</v>
      </c>
      <c r="D4" s="55" t="s">
        <v>155</v>
      </c>
      <c r="E4" s="60" t="s">
        <v>7</v>
      </c>
      <c r="F4" s="60" t="s">
        <v>28</v>
      </c>
      <c r="G4" s="55" t="str">
        <f>_xll.qlIborIndex(,FamilyName,IF(C4="ON","1D",C4),2,Currency,LocalCalendar,E4,TRUE,F4,,Permanent,Trigger,ObjectOverwrite)</f>
        <v>obj_0037b#0004</v>
      </c>
      <c r="H4" s="154" t="str">
        <f>Mx_Deposits!D5</f>
        <v>USDTND_Mx_Quote#0002</v>
      </c>
      <c r="I4" s="130"/>
      <c r="J4" s="57" t="str">
        <f>_xll.qlFraRateHelper(,H4,D4,G4,PillarDate,,Permanent,Trigger,ObjectOverwrite)</f>
        <v>obj_0039d#0004</v>
      </c>
      <c r="K4" s="48"/>
      <c r="L4" s="9" t="str">
        <f t="shared" si="0"/>
        <v>Dp</v>
      </c>
      <c r="M4" s="93" t="str">
        <f t="shared" si="1"/>
        <v>obj_0039d#0004</v>
      </c>
      <c r="N4" s="145" t="str">
        <f>IFERROR(_xll.qlRateHelperQuoteName(M4,Trigger),"--")</f>
        <v>USDTND_Mx_Quote</v>
      </c>
      <c r="O4" s="97">
        <f>IFERROR(_xll.qlRateHelperQuoteValue($M4,Trigger),"--")</f>
        <v>2.7999999999999995E-3</v>
      </c>
      <c r="P4" s="96" t="b">
        <v>1</v>
      </c>
      <c r="Q4" s="93">
        <v>10</v>
      </c>
      <c r="R4" s="93">
        <v>1</v>
      </c>
      <c r="S4" s="98">
        <f>IFERROR(_xll.qlRateHelperEarliestDate(M4,Trigger),"--")</f>
        <v>42262</v>
      </c>
      <c r="T4" s="98">
        <f>IFERROR(_xll.qlRateHelperPillarDate(M4,Trigger),"--")</f>
        <v>42263</v>
      </c>
      <c r="V4" s="3" t="str">
        <f t="shared" si="2"/>
        <v>Dp</v>
      </c>
      <c r="W4" s="3" t="str">
        <v>obj_0039d</v>
      </c>
      <c r="X4" s="3" t="str">
        <f>IFERROR(_xll.qlRateHelperQuoteName(W4,Trigger),"")</f>
        <v>USDTND_Mx_Quote</v>
      </c>
      <c r="Y4" s="68">
        <f>IFERROR(_xll.qlRateHelperRate(W4,Trigger),"")</f>
        <v>2.7999999999999995E-3</v>
      </c>
      <c r="Z4" s="103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42262</v>
      </c>
      <c r="AB4" s="4">
        <f>IFERROR(_xll.qlRateHelperPillarDate(W4,Trigger),"")</f>
        <v>42263</v>
      </c>
      <c r="AC4" s="68">
        <v>2.8388778488136973E-3</v>
      </c>
      <c r="AE4" s="106" t="s">
        <v>84</v>
      </c>
      <c r="AF4" s="107">
        <v>0</v>
      </c>
      <c r="AH4" s="157"/>
    </row>
    <row r="5" spans="1:34" ht="11.25" customHeight="1" x14ac:dyDescent="0.2">
      <c r="A5" s="1" t="s">
        <v>27</v>
      </c>
      <c r="B5" s="7" t="s">
        <v>73</v>
      </c>
      <c r="C5" s="8" t="s">
        <v>47</v>
      </c>
      <c r="D5" s="6" t="s">
        <v>156</v>
      </c>
      <c r="E5" s="60" t="s">
        <v>7</v>
      </c>
      <c r="F5" s="60" t="s">
        <v>28</v>
      </c>
      <c r="G5" s="6" t="str">
        <f>_xll.qlIborIndex(,FamilyName,IF(C5="ON","1D",C5),2,Currency,LocalCalendar,E5,TRUE,F5,,Permanent,Trigger,ObjectOverwrite)</f>
        <v>obj_00383#0003</v>
      </c>
      <c r="H5" s="122" t="str">
        <f>Mx_Deposits!D6</f>
        <v>USDSND_Mx_Quote#0002</v>
      </c>
      <c r="I5" s="125"/>
      <c r="J5" s="2" t="str">
        <f>_xll.qlFraRateHelper(,H5,D5,G5,PillarDate,,Permanent,Trigger,ObjectOverwrite)</f>
        <v>obj_0039e#0003</v>
      </c>
      <c r="K5" s="48"/>
      <c r="L5" s="9" t="str">
        <f t="shared" si="0"/>
        <v>Dp</v>
      </c>
      <c r="M5" s="93" t="str">
        <f t="shared" si="1"/>
        <v>obj_0039e#0003</v>
      </c>
      <c r="N5" s="145" t="str">
        <f>IFERROR(_xll.qlRateHelperQuoteName(M5,Trigger),"--")</f>
        <v>USDSND_Mx_Quote</v>
      </c>
      <c r="O5" s="97">
        <f>IFERROR(_xll.qlRateHelperQuoteValue($M5,Trigger),"--")</f>
        <v>2.7999999999999995E-3</v>
      </c>
      <c r="P5" s="96" t="b">
        <v>1</v>
      </c>
      <c r="Q5" s="93">
        <v>10</v>
      </c>
      <c r="R5" s="93">
        <v>1</v>
      </c>
      <c r="S5" s="98">
        <f>IFERROR(_xll.qlRateHelperEarliestDate(M5,Trigger),"--")</f>
        <v>42263</v>
      </c>
      <c r="T5" s="98">
        <f>IFERROR(_xll.qlRateHelperPillarDate(M5,Trigger),"--")</f>
        <v>42264</v>
      </c>
      <c r="V5" s="3" t="str">
        <f t="shared" si="2"/>
        <v>Dp</v>
      </c>
      <c r="W5" s="3" t="str">
        <v>obj_0039e</v>
      </c>
      <c r="X5" s="3" t="str">
        <f>IFERROR(_xll.qlRateHelperQuoteName(W5,Trigger),"")</f>
        <v>USDSND_Mx_Quote</v>
      </c>
      <c r="Y5" s="68">
        <f>IFERROR(_xll.qlRateHelperRate(W5,Trigger),"")</f>
        <v>2.7999999999999995E-3</v>
      </c>
      <c r="Z5" s="103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42263</v>
      </c>
      <c r="AB5" s="4">
        <f>IFERROR(_xll.qlRateHelperPillarDate(W5,Trigger),"")</f>
        <v>42264</v>
      </c>
      <c r="AC5" s="68">
        <v>2.8388778488216914E-3</v>
      </c>
      <c r="AD5" s="74"/>
      <c r="AE5" s="106" t="s">
        <v>85</v>
      </c>
      <c r="AF5" s="107">
        <v>2</v>
      </c>
      <c r="AH5" s="157"/>
    </row>
    <row r="6" spans="1:34" ht="11.25" customHeight="1" x14ac:dyDescent="0.2">
      <c r="A6" s="241" t="s">
        <v>27</v>
      </c>
      <c r="B6" s="242" t="s">
        <v>87</v>
      </c>
      <c r="C6" s="243" t="s">
        <v>166</v>
      </c>
      <c r="D6" s="244"/>
      <c r="E6" s="245" t="s">
        <v>7</v>
      </c>
      <c r="F6" s="245" t="s">
        <v>28</v>
      </c>
      <c r="G6" s="245" t="str">
        <f>_xll.qlIborIndex(,FamilyName,IF(C6="ON","1D",C6),2,Currency,LocalCalendar,E6,TRUE,F6,,Permanent,Trigger,ObjectOverwrite)</f>
        <v>obj_003e2#0001</v>
      </c>
      <c r="H6" s="246" t="str">
        <f>Mx_Deposits!D7</f>
        <v>USDSWD_Mx_Quote#0002</v>
      </c>
      <c r="I6" s="244"/>
      <c r="J6" s="247" t="str">
        <f>_xll.qlDepositRateHelper(,H6,G6,Permanent,Trigger,ObjectOverwrite)</f>
        <v>obj_003bf#0003</v>
      </c>
      <c r="K6" s="48"/>
      <c r="L6" s="9" t="str">
        <f t="shared" si="0"/>
        <v>Dp</v>
      </c>
      <c r="M6" s="93" t="str">
        <f t="shared" si="1"/>
        <v>obj_003bf#0003</v>
      </c>
      <c r="N6" s="145" t="str">
        <f>IFERROR(_xll.qlRateHelperQuoteName(M6,Trigger),"--")</f>
        <v>USDSWD_Mx_Quote</v>
      </c>
      <c r="O6" s="97">
        <f>IFERROR(_xll.qlRateHelperQuoteValue($M6,Trigger),"--")</f>
        <v>1.5509999999999999E-3</v>
      </c>
      <c r="P6" s="96" t="b">
        <v>1</v>
      </c>
      <c r="Q6" s="93">
        <v>10</v>
      </c>
      <c r="R6" s="93">
        <v>1</v>
      </c>
      <c r="S6" s="98">
        <f>IFERROR(_xll.qlRateHelperEarliestDate(M6,Trigger),"--")</f>
        <v>42261</v>
      </c>
      <c r="T6" s="98">
        <f>IFERROR(_xll.qlRateHelperPillarDate(M6,Trigger),"--")</f>
        <v>42268</v>
      </c>
      <c r="V6" s="3" t="str">
        <f t="shared" si="2"/>
        <v>Dp</v>
      </c>
      <c r="W6" s="3" t="str">
        <v>obj_003bf</v>
      </c>
      <c r="X6" s="3" t="str">
        <f>IFERROR(_xll.qlRateHelperQuoteName(W6,Trigger),"")</f>
        <v>USDSWD_Mx_Quote</v>
      </c>
      <c r="Y6" s="68">
        <f>IFERROR(_xll.qlRateHelperRate(W6,Trigger),"")</f>
        <v>1.5509999999999999E-3</v>
      </c>
      <c r="Z6" s="103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42261</v>
      </c>
      <c r="AB6" s="4">
        <f>IFERROR(_xll.qlRateHelperPillarDate(W6,Trigger),"")</f>
        <v>42268</v>
      </c>
      <c r="AC6" s="68">
        <v>2.033012461538869E-3</v>
      </c>
      <c r="AE6" s="106" t="s">
        <v>86</v>
      </c>
      <c r="AF6" s="108" t="s">
        <v>163</v>
      </c>
      <c r="AH6" s="157"/>
    </row>
    <row r="7" spans="1:34" ht="11.25" customHeight="1" x14ac:dyDescent="0.2">
      <c r="A7" s="58" t="s">
        <v>27</v>
      </c>
      <c r="B7" s="59" t="s">
        <v>128</v>
      </c>
      <c r="C7" s="61" t="str">
        <f t="shared" ref="C6:C20" si="3">B7</f>
        <v>2W</v>
      </c>
      <c r="D7" s="124"/>
      <c r="E7" s="60" t="s">
        <v>7</v>
      </c>
      <c r="F7" s="60" t="s">
        <v>28</v>
      </c>
      <c r="G7" s="60" t="str">
        <f>_xll.qlIborIndex(,FamilyName,IF(C7="ON","1D",C7),2,Currency,LocalCalendar,E7,TRUE,F7,,Permanent,Trigger,ObjectOverwrite)</f>
        <v>obj_003c0#0003</v>
      </c>
      <c r="H7" s="121" t="str">
        <f>Mx_Deposits!D8</f>
        <v>USD2WD_Mx_Quote#0002</v>
      </c>
      <c r="I7" s="124"/>
      <c r="J7" s="62" t="str">
        <f>_xll.qlDepositRateHelper(,H7,G7,Permanent,Trigger,ObjectOverwrite)</f>
        <v>obj_003c1#0003</v>
      </c>
      <c r="K7" s="48"/>
      <c r="L7" s="9" t="str">
        <f t="shared" si="0"/>
        <v>Dp</v>
      </c>
      <c r="M7" s="93" t="str">
        <f t="shared" si="1"/>
        <v>obj_003c1#0003</v>
      </c>
      <c r="N7" s="145" t="str">
        <f>IFERROR(_xll.qlRateHelperQuoteName(M7,Trigger),"--")</f>
        <v>USD2WD_Mx_Quote</v>
      </c>
      <c r="O7" s="97">
        <f>IFERROR(_xll.qlRateHelperQuoteValue($M7,Trigger),"--")</f>
        <v>1.6998260900000001E-3</v>
      </c>
      <c r="P7" s="96" t="b">
        <v>1</v>
      </c>
      <c r="Q7" s="93">
        <v>10</v>
      </c>
      <c r="R7" s="93">
        <v>1</v>
      </c>
      <c r="S7" s="98">
        <f>IFERROR(_xll.qlRateHelperEarliestDate(M7,Trigger),"--")</f>
        <v>42261</v>
      </c>
      <c r="T7" s="98">
        <f>IFERROR(_xll.qlRateHelperPillarDate(M7,Trigger),"--")</f>
        <v>42275</v>
      </c>
      <c r="V7" s="3" t="str">
        <f t="shared" si="2"/>
        <v>Dp</v>
      </c>
      <c r="W7" s="3" t="str">
        <v>obj_003c1</v>
      </c>
      <c r="X7" s="3" t="str">
        <f>IFERROR(_xll.qlRateHelperQuoteName(W7,Trigger),"")</f>
        <v>USD2WD_Mx_Quote</v>
      </c>
      <c r="Y7" s="68">
        <f>IFERROR(_xll.qlRateHelperRate(W7,Trigger),"")</f>
        <v>1.6998260900000001E-3</v>
      </c>
      <c r="Z7" s="103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42261</v>
      </c>
      <c r="AB7" s="4">
        <f>IFERROR(_xll.qlRateHelperPillarDate(W7,Trigger),"")</f>
        <v>42275</v>
      </c>
      <c r="AC7" s="68">
        <v>1.9712667191293803E-3</v>
      </c>
      <c r="AH7" s="157"/>
    </row>
    <row r="8" spans="1:34" ht="11.25" customHeight="1" x14ac:dyDescent="0.2">
      <c r="A8" s="58" t="s">
        <v>27</v>
      </c>
      <c r="B8" s="59" t="s">
        <v>130</v>
      </c>
      <c r="C8" s="61" t="str">
        <f t="shared" si="3"/>
        <v>3W</v>
      </c>
      <c r="D8" s="124"/>
      <c r="E8" s="60" t="s">
        <v>7</v>
      </c>
      <c r="F8" s="60" t="s">
        <v>28</v>
      </c>
      <c r="G8" s="60" t="str">
        <f>_xll.qlIborIndex(,FamilyName,IF(C8="ON","1D",C8),2,Currency,LocalCalendar,E8,TRUE,F8,,Permanent,Trigger,ObjectOverwrite)</f>
        <v>obj_003b7#0003</v>
      </c>
      <c r="H8" s="121" t="str">
        <f>Mx_Deposits!D9</f>
        <v>USD3WD_Mx_Quote#0002</v>
      </c>
      <c r="I8" s="124"/>
      <c r="J8" s="62" t="str">
        <f>_xll.qlDepositRateHelper(,H8,G8,Permanent,Trigger,ObjectOverwrite)</f>
        <v>obj_003c2#0003</v>
      </c>
      <c r="K8" s="48"/>
      <c r="L8" s="9" t="str">
        <f t="shared" si="0"/>
        <v>Dp</v>
      </c>
      <c r="M8" s="93" t="str">
        <f t="shared" si="1"/>
        <v>obj_003c2#0003</v>
      </c>
      <c r="N8" s="145" t="str">
        <f>IFERROR(_xll.qlRateHelperQuoteName(M8,Trigger),"--")</f>
        <v>USD3WD_Mx_Quote</v>
      </c>
      <c r="O8" s="97">
        <f>IFERROR(_xll.qlRateHelperQuoteValue($M8,Trigger),"--")</f>
        <v>1.8486521700000001E-3</v>
      </c>
      <c r="P8" s="96" t="b">
        <v>1</v>
      </c>
      <c r="Q8" s="93">
        <v>10</v>
      </c>
      <c r="R8" s="93">
        <v>1</v>
      </c>
      <c r="S8" s="98">
        <f>IFERROR(_xll.qlRateHelperEarliestDate(M8,Trigger),"--")</f>
        <v>42261</v>
      </c>
      <c r="T8" s="98">
        <f>IFERROR(_xll.qlRateHelperPillarDate(M8,Trigger),"--")</f>
        <v>42282</v>
      </c>
      <c r="V8" s="3" t="str">
        <f t="shared" si="2"/>
        <v>Dp</v>
      </c>
      <c r="W8" s="3" t="str">
        <v>obj_003c2</v>
      </c>
      <c r="X8" s="3" t="str">
        <f>IFERROR(_xll.qlRateHelperQuoteName(W8,Trigger),"")</f>
        <v>USD3WD_Mx_Quote</v>
      </c>
      <c r="Y8" s="68">
        <f>IFERROR(_xll.qlRateHelperRate(W8,Trigger),"")</f>
        <v>1.8486521700000001E-3</v>
      </c>
      <c r="Z8" s="103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42261</v>
      </c>
      <c r="AB8" s="4">
        <f>IFERROR(_xll.qlRateHelperPillarDate(W8,Trigger),"")</f>
        <v>42282</v>
      </c>
      <c r="AC8" s="68">
        <v>2.0285710013431546E-3</v>
      </c>
      <c r="AH8" s="157"/>
    </row>
    <row r="9" spans="1:34" ht="11.25" customHeight="1" x14ac:dyDescent="0.2">
      <c r="A9" s="248" t="s">
        <v>27</v>
      </c>
      <c r="B9" s="249" t="s">
        <v>2</v>
      </c>
      <c r="C9" s="250" t="str">
        <f t="shared" si="3"/>
        <v>1M</v>
      </c>
      <c r="D9" s="251"/>
      <c r="E9" s="252" t="s">
        <v>7</v>
      </c>
      <c r="F9" s="252" t="s">
        <v>28</v>
      </c>
      <c r="G9" s="252" t="str">
        <f>_xll.qlIborIndex(,FamilyName,IF(C9="ON","1D",C9),2,Currency,LocalCalendar,E9,TRUE,F9,,Permanent,Trigger,ObjectOverwrite)</f>
        <v>obj_003e0#0001</v>
      </c>
      <c r="H9" s="253" t="str">
        <f>Mx_Deposits!D10</f>
        <v>USD1MD_Mx_Quote#0002</v>
      </c>
      <c r="I9" s="251"/>
      <c r="J9" s="254" t="str">
        <f>_xll.qlDepositRateHelper(,H9,G9,Permanent,Trigger,ObjectOverwrite)</f>
        <v>obj_0039c#0003</v>
      </c>
      <c r="K9" s="48"/>
      <c r="L9" s="9" t="str">
        <f t="shared" si="0"/>
        <v>Dp</v>
      </c>
      <c r="M9" s="93" t="str">
        <f t="shared" si="1"/>
        <v>obj_0039c#0003</v>
      </c>
      <c r="N9" s="145" t="str">
        <f>IFERROR(_xll.qlRateHelperQuoteName(M9,Trigger),"--")</f>
        <v>USD1MD_Mx_Quote</v>
      </c>
      <c r="O9" s="97">
        <f>IFERROR(_xll.qlRateHelperQuoteValue($M9,Trigger),"--")</f>
        <v>2.0400000000000001E-3</v>
      </c>
      <c r="P9" s="96" t="b">
        <v>1</v>
      </c>
      <c r="Q9" s="93">
        <v>10</v>
      </c>
      <c r="R9" s="93">
        <v>1</v>
      </c>
      <c r="S9" s="98">
        <f>IFERROR(_xll.qlRateHelperEarliestDate(M9,Trigger),"--")</f>
        <v>42261</v>
      </c>
      <c r="T9" s="98">
        <f>IFERROR(_xll.qlRateHelperPillarDate(M9,Trigger),"--")</f>
        <v>42291</v>
      </c>
      <c r="V9" s="3" t="str">
        <f t="shared" si="2"/>
        <v>Dp</v>
      </c>
      <c r="W9" s="3" t="str">
        <v>obj_0039c</v>
      </c>
      <c r="X9" s="3" t="str">
        <f>IFERROR(_xll.qlRateHelperQuoteName(W9,Trigger),"")</f>
        <v>USD1MD_Mx_Quote</v>
      </c>
      <c r="Y9" s="68">
        <f>IFERROR(_xll.qlRateHelperRate(W9,Trigger),"")</f>
        <v>2.0400000000000001E-3</v>
      </c>
      <c r="Z9" s="103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42261</v>
      </c>
      <c r="AB9" s="4">
        <f>IFERROR(_xll.qlRateHelperPillarDate(W9,Trigger),"")</f>
        <v>42291</v>
      </c>
      <c r="AC9" s="68">
        <v>2.1588305217629974E-3</v>
      </c>
      <c r="AH9" s="157"/>
    </row>
    <row r="10" spans="1:34" ht="11.25" customHeight="1" x14ac:dyDescent="0.2">
      <c r="A10" s="58" t="s">
        <v>27</v>
      </c>
      <c r="B10" s="59" t="s">
        <v>48</v>
      </c>
      <c r="C10" s="61" t="str">
        <f t="shared" si="3"/>
        <v>2M</v>
      </c>
      <c r="D10" s="124"/>
      <c r="E10" s="60" t="s">
        <v>7</v>
      </c>
      <c r="F10" s="60" t="s">
        <v>28</v>
      </c>
      <c r="G10" s="60" t="str">
        <f>_xll.qlIborIndex(,FamilyName,IF(C10="ON","1D",C10),2,Currency,LocalCalendar,E10,TRUE,F10,,Permanent,Trigger,ObjectOverwrite)</f>
        <v>obj_003df#0001</v>
      </c>
      <c r="H10" s="121" t="str">
        <f>Mx_Deposits!D11</f>
        <v>USD2MD_Mx_Quote#0002</v>
      </c>
      <c r="I10" s="124"/>
      <c r="J10" s="62" t="str">
        <f>_xll.qlDepositRateHelper(,H10,G10,Permanent,Trigger,ObjectOverwrite)</f>
        <v>obj_0039f#0003</v>
      </c>
      <c r="K10" s="48"/>
      <c r="L10" s="9" t="str">
        <f t="shared" ref="L10:L19" si="4">A10</f>
        <v>Dp</v>
      </c>
      <c r="M10" s="93" t="str">
        <f t="shared" ref="M10:M19" si="5">IF(ISBLANK(J10),"--",J10)</f>
        <v>obj_0039f#0003</v>
      </c>
      <c r="N10" s="145" t="str">
        <f>IFERROR(_xll.qlRateHelperQuoteName(M10,Trigger),"--")</f>
        <v>USD2MD_Mx_Quote</v>
      </c>
      <c r="O10" s="97">
        <f>IFERROR(_xll.qlRateHelperQuoteValue($M10,Trigger),"--")</f>
        <v>2.6855E-3</v>
      </c>
      <c r="P10" s="96" t="b">
        <v>1</v>
      </c>
      <c r="Q10" s="93">
        <v>10</v>
      </c>
      <c r="R10" s="93">
        <v>1</v>
      </c>
      <c r="S10" s="98">
        <f>IFERROR(_xll.qlRateHelperEarliestDate(M10,Trigger),"--")</f>
        <v>42261</v>
      </c>
      <c r="T10" s="98">
        <f>IFERROR(_xll.qlRateHelperPillarDate(M10,Trigger),"--")</f>
        <v>42324</v>
      </c>
      <c r="V10" s="3" t="str">
        <f t="shared" si="2"/>
        <v>Dp</v>
      </c>
      <c r="W10" s="3" t="str">
        <v>obj_0039f</v>
      </c>
      <c r="X10" s="3" t="str">
        <f>IFERROR(_xll.qlRateHelperQuoteName(W10,Trigger),"")</f>
        <v>USD2MD_Mx_Quote</v>
      </c>
      <c r="Y10" s="68">
        <f>IFERROR(_xll.qlRateHelperRate(W10,Trigger),"")</f>
        <v>2.6855E-3</v>
      </c>
      <c r="Z10" s="103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42261</v>
      </c>
      <c r="AB10" s="4">
        <f>IFERROR(_xll.qlRateHelperPillarDate(W10,Trigger),"")</f>
        <v>42324</v>
      </c>
      <c r="AC10" s="68">
        <v>2.7291272940658797E-3</v>
      </c>
      <c r="AH10" s="157"/>
    </row>
    <row r="11" spans="1:34" ht="11.25" customHeight="1" x14ac:dyDescent="0.2">
      <c r="A11" s="255" t="s">
        <v>27</v>
      </c>
      <c r="B11" s="256" t="s">
        <v>0</v>
      </c>
      <c r="C11" s="257" t="str">
        <f t="shared" si="3"/>
        <v>3M</v>
      </c>
      <c r="D11" s="258"/>
      <c r="E11" s="259" t="s">
        <v>7</v>
      </c>
      <c r="F11" s="259" t="s">
        <v>28</v>
      </c>
      <c r="G11" s="259" t="str">
        <f>_xll.qlIborIndex(,FamilyName,IF(C11="ON","1D",C11),2,Currency,LocalCalendar,E11,TRUE,F11,,Permanent,Trigger,ObjectOverwrite)</f>
        <v>obj_003de#0001</v>
      </c>
      <c r="H11" s="260" t="str">
        <f>Mx_Deposits!D12</f>
        <v>USD3MD_Mx_Quote#0002</v>
      </c>
      <c r="I11" s="258"/>
      <c r="J11" s="261" t="str">
        <f>_xll.qlDepositRateHelper(,H11,G11,Permanent,Trigger,ObjectOverwrite)</f>
        <v>obj_0039b#0003</v>
      </c>
      <c r="K11" s="48"/>
      <c r="L11" s="9" t="str">
        <f t="shared" si="4"/>
        <v>Dp</v>
      </c>
      <c r="M11" s="93" t="str">
        <f t="shared" si="5"/>
        <v>obj_0039b#0003</v>
      </c>
      <c r="N11" s="145" t="str">
        <f>IFERROR(_xll.qlRateHelperQuoteName(M11,Trigger),"--")</f>
        <v>USD3MD_Mx_Quote</v>
      </c>
      <c r="O11" s="97">
        <f>IFERROR(_xll.qlRateHelperQuoteValue($M11,Trigger),"--")</f>
        <v>3.3299999999999996E-3</v>
      </c>
      <c r="P11" s="96" t="b">
        <v>1</v>
      </c>
      <c r="Q11" s="93">
        <v>10</v>
      </c>
      <c r="R11" s="93">
        <v>1</v>
      </c>
      <c r="S11" s="98">
        <f>IFERROR(_xll.qlRateHelperEarliestDate(M11,Trigger),"--")</f>
        <v>42261</v>
      </c>
      <c r="T11" s="98">
        <f>IFERROR(_xll.qlRateHelperPillarDate(M11,Trigger),"--")</f>
        <v>42352</v>
      </c>
      <c r="V11" s="3" t="str">
        <f t="shared" si="2"/>
        <v>Dp</v>
      </c>
      <c r="W11" s="3" t="str">
        <v>obj_0039b</v>
      </c>
      <c r="X11" s="3" t="str">
        <f>IFERROR(_xll.qlRateHelperQuoteName(W11,Trigger),"")</f>
        <v>USD3MD_Mx_Quote</v>
      </c>
      <c r="Y11" s="68">
        <f>IFERROR(_xll.qlRateHelperRate(W11,Trigger),"")</f>
        <v>3.3299999999999996E-3</v>
      </c>
      <c r="Z11" s="103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42261</v>
      </c>
      <c r="AB11" s="4">
        <f>IFERROR(_xll.qlRateHelperPillarDate(W11,Trigger),"")</f>
        <v>42352</v>
      </c>
      <c r="AC11" s="68">
        <v>3.3522634189946453E-3</v>
      </c>
      <c r="AE11" s="69" t="s">
        <v>159</v>
      </c>
      <c r="AF11" s="69" t="s">
        <v>165</v>
      </c>
      <c r="AH11" s="157"/>
    </row>
    <row r="12" spans="1:34" ht="11.25" customHeight="1" x14ac:dyDescent="0.2">
      <c r="A12" s="58" t="s">
        <v>27</v>
      </c>
      <c r="B12" s="59" t="s">
        <v>135</v>
      </c>
      <c r="C12" s="61" t="str">
        <f t="shared" si="3"/>
        <v>4M</v>
      </c>
      <c r="D12" s="124"/>
      <c r="E12" s="60" t="s">
        <v>7</v>
      </c>
      <c r="F12" s="60" t="s">
        <v>28</v>
      </c>
      <c r="G12" s="60" t="str">
        <f>_xll.qlIborIndex(,FamilyName,IF(C12="ON","1D",C12),2,Currency,LocalCalendar,E12,TRUE,F12,,Permanent,Trigger,ObjectOverwrite)</f>
        <v>obj_00381#0003</v>
      </c>
      <c r="H12" s="121" t="str">
        <f>Mx_Deposits!D13</f>
        <v>USD4MD_Mx_Quote#0002</v>
      </c>
      <c r="I12" s="124"/>
      <c r="J12" s="62" t="str">
        <f>_xll.qlDepositRateHelper(,H12,G12,Permanent,Trigger,ObjectOverwrite)</f>
        <v>obj_00393#0003</v>
      </c>
      <c r="K12" s="48" t="s">
        <v>46</v>
      </c>
      <c r="L12" s="9" t="str">
        <f t="shared" si="4"/>
        <v>Dp</v>
      </c>
      <c r="M12" s="93" t="str">
        <f t="shared" si="5"/>
        <v>obj_00393#0003</v>
      </c>
      <c r="N12" s="145" t="str">
        <f>IFERROR(_xll.qlRateHelperQuoteName(M12,Trigger),"--")</f>
        <v>USD4MD_Mx_Quote</v>
      </c>
      <c r="O12" s="97">
        <f>IFERROR(_xll.qlRateHelperQuoteValue($M12,Trigger),"--")</f>
        <v>4.0317582399999998E-3</v>
      </c>
      <c r="P12" s="96" t="b">
        <v>1</v>
      </c>
      <c r="Q12" s="93">
        <v>10</v>
      </c>
      <c r="R12" s="93">
        <v>1</v>
      </c>
      <c r="S12" s="98">
        <f>IFERROR(_xll.qlRateHelperEarliestDate(M12,Trigger),"--")</f>
        <v>42261</v>
      </c>
      <c r="T12" s="98">
        <f>IFERROR(_xll.qlRateHelperPillarDate(M12,Trigger),"--")</f>
        <v>42383</v>
      </c>
      <c r="V12" s="3" t="str">
        <f t="shared" si="2"/>
        <v>Dp</v>
      </c>
      <c r="W12" s="3" t="str">
        <v>obj_00393</v>
      </c>
      <c r="X12" s="3" t="str">
        <f>IFERROR(_xll.qlRateHelperQuoteName(W12,Trigger),"")</f>
        <v>USD4MD_Mx_Quote</v>
      </c>
      <c r="Y12" s="68">
        <f>IFERROR(_xll.qlRateHelperRate(W12,Trigger),"")</f>
        <v>4.0317582399999998E-3</v>
      </c>
      <c r="Z12" s="103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42261</v>
      </c>
      <c r="AB12" s="4">
        <f>IFERROR(_xll.qlRateHelperPillarDate(W12,Trigger),"")</f>
        <v>42383</v>
      </c>
      <c r="AC12" s="68">
        <v>4.0454065196326838E-3</v>
      </c>
      <c r="AE12" s="103" t="str">
        <f>_xll.qlIMMNextCode($E$24-1,TRUE,Trigger)</f>
        <v>M6</v>
      </c>
      <c r="AF12" s="278">
        <v>4.8999999999999998E-3</v>
      </c>
      <c r="AH12" s="157"/>
    </row>
    <row r="13" spans="1:34" ht="11.25" customHeight="1" x14ac:dyDescent="0.2">
      <c r="A13" s="58" t="s">
        <v>27</v>
      </c>
      <c r="B13" s="59" t="s">
        <v>137</v>
      </c>
      <c r="C13" s="61" t="str">
        <f t="shared" si="3"/>
        <v>5M</v>
      </c>
      <c r="D13" s="124"/>
      <c r="E13" s="60" t="s">
        <v>7</v>
      </c>
      <c r="F13" s="60" t="s">
        <v>28</v>
      </c>
      <c r="G13" s="60" t="str">
        <f>_xll.qlIborIndex(,FamilyName,IF(C13="ON","1D",C13),2,Currency,LocalCalendar,E13,TRUE,F13,,Permanent,Trigger,ObjectOverwrite)</f>
        <v>obj_00364#0003</v>
      </c>
      <c r="H13" s="121" t="str">
        <f>Mx_Deposits!D14</f>
        <v>USD5MD_Mx_Quote#0002</v>
      </c>
      <c r="I13" s="124"/>
      <c r="J13" s="62" t="str">
        <f>_xll.qlDepositRateHelper(,H13,G13,Permanent,Trigger,ObjectOverwrite)</f>
        <v>obj_00398#0003</v>
      </c>
      <c r="K13" s="48"/>
      <c r="L13" s="9" t="str">
        <f t="shared" si="4"/>
        <v>Dp</v>
      </c>
      <c r="M13" s="93" t="str">
        <f t="shared" si="5"/>
        <v>obj_00398#0003</v>
      </c>
      <c r="N13" s="145" t="str">
        <f>IFERROR(_xll.qlRateHelperQuoteName(M13,Trigger),"--")</f>
        <v>USD5MD_Mx_Quote</v>
      </c>
      <c r="O13" s="97">
        <f>IFERROR(_xll.qlRateHelperQuoteValue($M13,Trigger),"--")</f>
        <v>4.7787912099999993E-3</v>
      </c>
      <c r="P13" s="96" t="b">
        <v>1</v>
      </c>
      <c r="Q13" s="93">
        <v>10</v>
      </c>
      <c r="R13" s="93">
        <v>1</v>
      </c>
      <c r="S13" s="98">
        <f>IFERROR(_xll.qlRateHelperEarliestDate(M13,Trigger),"--")</f>
        <v>42261</v>
      </c>
      <c r="T13" s="98">
        <f>IFERROR(_xll.qlRateHelperPillarDate(M13,Trigger),"--")</f>
        <v>42416</v>
      </c>
      <c r="V13" s="3" t="str">
        <f t="shared" si="2"/>
        <v>Dp</v>
      </c>
      <c r="W13" s="3" t="str">
        <v>obj_00398</v>
      </c>
      <c r="X13" s="3" t="str">
        <f>IFERROR(_xll.qlRateHelperQuoteName(W13,Trigger),"")</f>
        <v>USD5MD_Mx_Quote</v>
      </c>
      <c r="Y13" s="68">
        <f>IFERROR(_xll.qlRateHelperRate(W13,Trigger),"")</f>
        <v>4.7787912099999993E-3</v>
      </c>
      <c r="Z13" s="103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42261</v>
      </c>
      <c r="AB13" s="4">
        <f>IFERROR(_xll.qlRateHelperPillarDate(W13,Trigger),"")</f>
        <v>42416</v>
      </c>
      <c r="AC13" s="68">
        <v>4.7898382254897443E-3</v>
      </c>
      <c r="AE13" s="103" t="str">
        <f>_xll.qlIMMNextCode(_xll.qlIMMdate(AE12,,Trigger),TRUE,Trigger)</f>
        <v>U6</v>
      </c>
      <c r="AF13" s="278">
        <v>7.9000000000000008E-3</v>
      </c>
      <c r="AH13" s="157"/>
    </row>
    <row r="14" spans="1:34" ht="11.25" customHeight="1" x14ac:dyDescent="0.2">
      <c r="A14" s="262" t="s">
        <v>27</v>
      </c>
      <c r="B14" s="263" t="s">
        <v>3</v>
      </c>
      <c r="C14" s="264" t="str">
        <f t="shared" si="3"/>
        <v>6M</v>
      </c>
      <c r="D14" s="251"/>
      <c r="E14" s="266" t="s">
        <v>7</v>
      </c>
      <c r="F14" s="266" t="s">
        <v>28</v>
      </c>
      <c r="G14" s="266" t="str">
        <f>_xll.qlIborIndex(,FamilyName,IF(C14="ON","1D",C14),2,Currency,LocalCalendar,E14,TRUE,F14,,Permanent,Trigger,ObjectOverwrite)</f>
        <v>obj_003e1#0001</v>
      </c>
      <c r="H14" s="267" t="str">
        <f>Mx_Deposits!D15</f>
        <v>USD6MD_Mx_Quote#0002</v>
      </c>
      <c r="I14" s="265"/>
      <c r="J14" s="268" t="str">
        <f>_xll.qlDepositRateHelper(,H14,G14,Permanent,Trigger,ObjectOverwrite)</f>
        <v>obj_00396#0003</v>
      </c>
      <c r="K14" s="48"/>
      <c r="L14" s="9" t="str">
        <f t="shared" si="4"/>
        <v>Dp</v>
      </c>
      <c r="M14" s="93" t="str">
        <f t="shared" si="5"/>
        <v>obj_00396#0003</v>
      </c>
      <c r="N14" s="145" t="str">
        <f>IFERROR(_xll.qlRateHelperQuoteName(M14,Trigger),"--")</f>
        <v>USD6MD_Mx_Quote</v>
      </c>
      <c r="O14" s="97">
        <f>IFERROR(_xll.qlRateHelperQuoteValue($M14,Trigger),"--")</f>
        <v>5.3900000000000007E-3</v>
      </c>
      <c r="P14" s="96" t="b">
        <v>1</v>
      </c>
      <c r="Q14" s="93">
        <v>10</v>
      </c>
      <c r="R14" s="93">
        <v>1</v>
      </c>
      <c r="S14" s="98">
        <f>IFERROR(_xll.qlRateHelperEarliestDate(M14,Trigger),"--")</f>
        <v>42261</v>
      </c>
      <c r="T14" s="98">
        <f>IFERROR(_xll.qlRateHelperPillarDate(M14,Trigger),"--")</f>
        <v>42443</v>
      </c>
      <c r="V14" s="3" t="str">
        <f t="shared" si="2"/>
        <v>Dp</v>
      </c>
      <c r="W14" s="3" t="str">
        <v>obj_00396</v>
      </c>
      <c r="X14" s="3" t="str">
        <f>IFERROR(_xll.qlRateHelperQuoteName(W14,Trigger),"")</f>
        <v>USD6MD_Mx_Quote</v>
      </c>
      <c r="Y14" s="68">
        <f>IFERROR(_xll.qlRateHelperRate(W14,Trigger),"")</f>
        <v>5.3900000000000007E-3</v>
      </c>
      <c r="Z14" s="103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42261</v>
      </c>
      <c r="AB14" s="4">
        <f>IFERROR(_xll.qlRateHelperPillarDate(W14,Trigger),"")</f>
        <v>42443</v>
      </c>
      <c r="AC14" s="68">
        <v>5.4011159626906492E-3</v>
      </c>
      <c r="AE14" s="103" t="str">
        <f>_xll.qlIMMNextCode(_xll.qlIMMdate(AE13,,Trigger),TRUE,Trigger)</f>
        <v>Z6</v>
      </c>
      <c r="AF14" s="278">
        <v>1.1299999999999999E-2</v>
      </c>
      <c r="AH14" s="157"/>
    </row>
    <row r="15" spans="1:34" ht="11.25" customHeight="1" x14ac:dyDescent="0.2">
      <c r="A15" s="58" t="s">
        <v>27</v>
      </c>
      <c r="B15" s="59" t="s">
        <v>140</v>
      </c>
      <c r="C15" s="61" t="str">
        <f t="shared" si="3"/>
        <v>7M</v>
      </c>
      <c r="D15" s="251"/>
      <c r="E15" s="252" t="s">
        <v>7</v>
      </c>
      <c r="F15" s="252" t="s">
        <v>28</v>
      </c>
      <c r="G15" s="252" t="str">
        <f>_xll.qlIborIndex(,FamilyName,IF(C15="ON","1D",C15),2,Currency,LocalCalendar,E15,TRUE,F15,,Permanent,Trigger,ObjectOverwrite)</f>
        <v>obj_00371#0003</v>
      </c>
      <c r="H15" s="121" t="str">
        <f>Mx_Deposits!D16</f>
        <v>USD7MD_Mx_Quote#0002</v>
      </c>
      <c r="I15" s="124"/>
      <c r="J15" s="62" t="str">
        <f>_xll.qlDepositRateHelper(,H15,G15,Permanent,Trigger,ObjectOverwrite)</f>
        <v>obj_00392#0003</v>
      </c>
      <c r="K15" s="48"/>
      <c r="L15" s="9" t="str">
        <f t="shared" si="4"/>
        <v>Dp</v>
      </c>
      <c r="M15" s="93" t="str">
        <f t="shared" si="5"/>
        <v>obj_00392#0003</v>
      </c>
      <c r="N15" s="145" t="str">
        <f>IFERROR(_xll.qlRateHelperQuoteName(M15,Trigger),"--")</f>
        <v>USD7MD_Mx_Quote</v>
      </c>
      <c r="O15" s="97">
        <f>IFERROR(_xll.qlRateHelperQuoteValue($M15,Trigger),"--")</f>
        <v>5.9216331499999993E-3</v>
      </c>
      <c r="P15" s="96" t="b">
        <v>1</v>
      </c>
      <c r="Q15" s="93">
        <v>10</v>
      </c>
      <c r="R15" s="93">
        <v>1</v>
      </c>
      <c r="S15" s="98">
        <f>IFERROR(_xll.qlRateHelperEarliestDate(M15,Trigger),"--")</f>
        <v>42261</v>
      </c>
      <c r="T15" s="98">
        <f>IFERROR(_xll.qlRateHelperPillarDate(M15,Trigger),"--")</f>
        <v>42474</v>
      </c>
      <c r="V15" s="3" t="str">
        <f t="shared" si="2"/>
        <v>Dp</v>
      </c>
      <c r="W15" s="3" t="str">
        <v>obj_00392</v>
      </c>
      <c r="X15" s="3" t="str">
        <f>IFERROR(_xll.qlRateHelperQuoteName(W15,Trigger),"")</f>
        <v>USD7MD_Mx_Quote</v>
      </c>
      <c r="Y15" s="68">
        <f>IFERROR(_xll.qlRateHelperRate(W15,Trigger),"")</f>
        <v>5.9216331499999993E-3</v>
      </c>
      <c r="Z15" s="103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42261</v>
      </c>
      <c r="AB15" s="4">
        <f>IFERROR(_xll.qlRateHelperPillarDate(W15,Trigger),"")</f>
        <v>42474</v>
      </c>
      <c r="AC15" s="68">
        <v>5.9352372699968308E-3</v>
      </c>
      <c r="AE15" s="103" t="str">
        <f>_xll.qlIMMNextCode(_xll.qlIMMdate(AE14,,Trigger),TRUE,Trigger)</f>
        <v>H7</v>
      </c>
      <c r="AF15" s="278">
        <v>1.5100000000000001E-2</v>
      </c>
      <c r="AH15" s="157"/>
    </row>
    <row r="16" spans="1:34" ht="11.25" customHeight="1" x14ac:dyDescent="0.2">
      <c r="A16" s="58" t="s">
        <v>27</v>
      </c>
      <c r="B16" s="59" t="s">
        <v>142</v>
      </c>
      <c r="C16" s="61" t="str">
        <f t="shared" si="3"/>
        <v>8M</v>
      </c>
      <c r="D16" s="124"/>
      <c r="E16" s="60" t="s">
        <v>7</v>
      </c>
      <c r="F16" s="60" t="s">
        <v>28</v>
      </c>
      <c r="G16" s="60" t="str">
        <f>_xll.qlIborIndex(,FamilyName,IF(C16="ON","1D",C16),2,Currency,LocalCalendar,E16,TRUE,F16,,Permanent,Trigger,ObjectOverwrite)</f>
        <v>obj_00362#0003</v>
      </c>
      <c r="H16" s="121" t="str">
        <f>Mx_Deposits!D17</f>
        <v>USD8MD_Mx_Quote#0002</v>
      </c>
      <c r="I16" s="124"/>
      <c r="J16" s="62" t="str">
        <f>_xll.qlDepositRateHelper(,H16,G16,Permanent,Trigger,ObjectOverwrite)</f>
        <v>obj_00399#0003</v>
      </c>
      <c r="K16" s="48"/>
      <c r="L16" s="9" t="str">
        <f t="shared" si="4"/>
        <v>Dp</v>
      </c>
      <c r="M16" s="93" t="str">
        <f t="shared" si="5"/>
        <v>obj_00399#0003</v>
      </c>
      <c r="N16" s="145" t="str">
        <f>IFERROR(_xll.qlRateHelperQuoteName(M16,Trigger),"--")</f>
        <v>USD8MD_Mx_Quote</v>
      </c>
      <c r="O16" s="97">
        <f>IFERROR(_xll.qlRateHelperQuoteValue($M16,Trigger),"--")</f>
        <v>6.4704157599999998E-3</v>
      </c>
      <c r="P16" s="96" t="b">
        <v>1</v>
      </c>
      <c r="Q16" s="93">
        <v>10</v>
      </c>
      <c r="R16" s="93">
        <v>1</v>
      </c>
      <c r="S16" s="98">
        <f>IFERROR(_xll.qlRateHelperEarliestDate(M16,Trigger),"--")</f>
        <v>42261</v>
      </c>
      <c r="T16" s="98">
        <f>IFERROR(_xll.qlRateHelperPillarDate(M16,Trigger),"--")</f>
        <v>42506</v>
      </c>
      <c r="V16" s="3" t="str">
        <f t="shared" si="2"/>
        <v>Dp</v>
      </c>
      <c r="W16" s="3" t="str">
        <v>obj_00399</v>
      </c>
      <c r="X16" s="3" t="str">
        <f>IFERROR(_xll.qlRateHelperQuoteName(W16,Trigger),"")</f>
        <v>USD8MD_Mx_Quote</v>
      </c>
      <c r="Y16" s="68">
        <f>IFERROR(_xll.qlRateHelperRate(W16,Trigger),"")</f>
        <v>6.4704157599999998E-3</v>
      </c>
      <c r="Z16" s="103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42261</v>
      </c>
      <c r="AB16" s="4">
        <f>IFERROR(_xll.qlRateHelperPillarDate(W16,Trigger),"")</f>
        <v>42506</v>
      </c>
      <c r="AC16" s="68">
        <v>6.4863306309705555E-3</v>
      </c>
      <c r="AE16" s="103" t="str">
        <f>_xll.qlIMMNextCode(_xll.qlIMMdate(AE15,,Trigger),TRUE,Trigger)</f>
        <v>M7</v>
      </c>
      <c r="AF16" s="278">
        <v>0.02</v>
      </c>
      <c r="AH16" s="157"/>
    </row>
    <row r="17" spans="1:34" ht="11.25" customHeight="1" x14ac:dyDescent="0.2">
      <c r="A17" s="58" t="s">
        <v>27</v>
      </c>
      <c r="B17" s="59" t="s">
        <v>144</v>
      </c>
      <c r="C17" s="61" t="str">
        <f t="shared" si="3"/>
        <v>9M</v>
      </c>
      <c r="D17" s="124"/>
      <c r="E17" s="60" t="s">
        <v>7</v>
      </c>
      <c r="F17" s="60" t="s">
        <v>28</v>
      </c>
      <c r="G17" s="60" t="str">
        <f>_xll.qlIborIndex(,FamilyName,IF(C17="ON","1D",C17),2,Currency,LocalCalendar,E17,TRUE,F17,,Permanent,Trigger,ObjectOverwrite)</f>
        <v>obj_00385#0003</v>
      </c>
      <c r="H17" s="121" t="str">
        <f>Mx_Deposits!D18</f>
        <v>USD9MD_Mx_Quote#0002</v>
      </c>
      <c r="I17" s="124"/>
      <c r="J17" s="62" t="str">
        <f>_xll.qlDepositRateHelper(,H17,G17,Permanent,Trigger,ObjectOverwrite)</f>
        <v>obj_0039a#0003</v>
      </c>
      <c r="K17" s="48"/>
      <c r="L17" s="9" t="str">
        <f t="shared" si="4"/>
        <v>Dp</v>
      </c>
      <c r="M17" s="93" t="str">
        <f t="shared" si="5"/>
        <v>obj_0039a#0003</v>
      </c>
      <c r="N17" s="145" t="str">
        <f>IFERROR(_xll.qlRateHelperQuoteName(M17,Trigger),"--")</f>
        <v>USD9MD_Mx_Quote</v>
      </c>
      <c r="O17" s="97">
        <f>IFERROR(_xll.qlRateHelperQuoteValue($M17,Trigger),"--")</f>
        <v>6.96775E-3</v>
      </c>
      <c r="P17" s="96" t="b">
        <v>1</v>
      </c>
      <c r="Q17" s="93">
        <v>10</v>
      </c>
      <c r="R17" s="93">
        <v>1</v>
      </c>
      <c r="S17" s="98">
        <f>IFERROR(_xll.qlRateHelperEarliestDate(M17,Trigger),"--")</f>
        <v>42261</v>
      </c>
      <c r="T17" s="98">
        <f>IFERROR(_xll.qlRateHelperPillarDate(M17,Trigger),"--")</f>
        <v>42535</v>
      </c>
      <c r="V17" s="3" t="str">
        <f t="shared" si="2"/>
        <v>Dp</v>
      </c>
      <c r="W17" s="3" t="str">
        <v>obj_0039a</v>
      </c>
      <c r="X17" s="3" t="str">
        <f>IFERROR(_xll.qlRateHelperQuoteName(W17,Trigger),"")</f>
        <v>USD9MD_Mx_Quote</v>
      </c>
      <c r="Y17" s="68">
        <f>IFERROR(_xll.qlRateHelperRate(W17,Trigger),"")</f>
        <v>6.96775E-3</v>
      </c>
      <c r="Z17" s="103" t="str">
        <f>IF(ISERROR(_xll.qlSwapRateHelperSpread($W17)),IF(ISERROR(_xll.qlFuturesRateHelperConvexityAdjustment($W17)),"",_xll.qlFuturesRateHelperConvexityAdjustment($W17)),_xll.qlSwapRateHelperSpread($W17))</f>
        <v/>
      </c>
      <c r="AA17" s="4">
        <f>IFERROR(_xll.qlRateHelperEarliestDate(W17,Trigger),"")</f>
        <v>42261</v>
      </c>
      <c r="AB17" s="4">
        <f>IFERROR(_xll.qlRateHelperPillarDate(W17,Trigger),"")</f>
        <v>42535</v>
      </c>
      <c r="AC17" s="68">
        <v>6.9853257793513644E-3</v>
      </c>
      <c r="AE17" s="104" t="str">
        <f>_xll.qlIMMNextCode(_xll.qlIMMdate(AE16,,Trigger),TRUE,Trigger)</f>
        <v>U7</v>
      </c>
      <c r="AF17" s="279">
        <v>2.5000000000000001E-2</v>
      </c>
      <c r="AH17" s="157"/>
    </row>
    <row r="18" spans="1:34" ht="11.25" customHeight="1" x14ac:dyDescent="0.2">
      <c r="A18" s="58" t="s">
        <v>27</v>
      </c>
      <c r="B18" s="59" t="s">
        <v>146</v>
      </c>
      <c r="C18" s="61" t="str">
        <f t="shared" si="3"/>
        <v>10M</v>
      </c>
      <c r="D18" s="124"/>
      <c r="E18" s="60" t="s">
        <v>7</v>
      </c>
      <c r="F18" s="60" t="s">
        <v>28</v>
      </c>
      <c r="G18" s="60" t="str">
        <f>_xll.qlIborIndex(,FamilyName,IF(C18="ON","1D",C18),2,Currency,LocalCalendar,E18,TRUE,F18,,Permanent,Trigger,ObjectOverwrite)</f>
        <v>obj_00351#0003</v>
      </c>
      <c r="H18" s="121" t="str">
        <f>Mx_Deposits!D19</f>
        <v>USD10MD_Mx_Quote#0002</v>
      </c>
      <c r="I18" s="124"/>
      <c r="J18" s="62" t="str">
        <f>_xll.qlDepositRateHelper(,H18,G18,Permanent,Trigger,ObjectOverwrite)</f>
        <v>obj_00397#0003</v>
      </c>
      <c r="K18" s="48"/>
      <c r="L18" s="9" t="str">
        <f t="shared" si="4"/>
        <v>Dp</v>
      </c>
      <c r="M18" s="93" t="str">
        <f t="shared" si="5"/>
        <v>obj_00397#0003</v>
      </c>
      <c r="N18" s="145" t="str">
        <f>IFERROR(_xll.qlRateHelperQuoteName(M18,Trigger),"--")</f>
        <v>USD10MD_Mx_Quote</v>
      </c>
      <c r="O18" s="97">
        <f>IFERROR(_xll.qlRateHelperQuoteValue($M18,Trigger),"--")</f>
        <v>7.4822337000000003E-3</v>
      </c>
      <c r="P18" s="96" t="b">
        <v>1</v>
      </c>
      <c r="Q18" s="93">
        <v>10</v>
      </c>
      <c r="R18" s="93">
        <v>1</v>
      </c>
      <c r="S18" s="98">
        <f>IFERROR(_xll.qlRateHelperEarliestDate(M18,Trigger),"--")</f>
        <v>42261</v>
      </c>
      <c r="T18" s="98">
        <f>IFERROR(_xll.qlRateHelperPillarDate(M18,Trigger),"--")</f>
        <v>42565</v>
      </c>
      <c r="V18" s="3" t="str">
        <f t="shared" si="2"/>
        <v>Stub</v>
      </c>
      <c r="W18" s="3" t="str">
        <v>obj_003c5</v>
      </c>
      <c r="X18" s="3" t="str">
        <f>IFERROR(_xll.qlRateHelperQuoteName(W18,Trigger),"")</f>
        <v>USD_STUB_Quote</v>
      </c>
      <c r="Y18" s="68">
        <f>IFERROR(_xll.qlRateHelperRate(W18,Trigger),"")</f>
        <v>6.98489946E-3</v>
      </c>
      <c r="Z18" s="103" t="str">
        <f>IF(ISERROR(_xll.qlSwapRateHelperSpread($W18)),IF(ISERROR(_xll.qlFuturesRateHelperConvexityAdjustment($W18)),"",_xll.qlFuturesRateHelperConvexityAdjustment($W18)),_xll.qlSwapRateHelperSpread($W18))</f>
        <v/>
      </c>
      <c r="AA18" s="4">
        <f>IFERROR(_xll.qlRateHelperEarliestDate(W18,Trigger),"")</f>
        <v>42261</v>
      </c>
      <c r="AB18" s="4">
        <f>IFERROR(_xll.qlRateHelperPillarDate(W18,Trigger),"")</f>
        <v>42536</v>
      </c>
      <c r="AC18" s="68">
        <v>7.0025233416574958E-3</v>
      </c>
      <c r="AH18" s="157"/>
    </row>
    <row r="19" spans="1:34" ht="11.25" customHeight="1" x14ac:dyDescent="0.2">
      <c r="A19" s="58" t="s">
        <v>27</v>
      </c>
      <c r="B19" s="59" t="s">
        <v>148</v>
      </c>
      <c r="C19" s="61" t="str">
        <f t="shared" si="3"/>
        <v>11M</v>
      </c>
      <c r="D19" s="258"/>
      <c r="E19" s="259" t="s">
        <v>7</v>
      </c>
      <c r="F19" s="259" t="s">
        <v>28</v>
      </c>
      <c r="G19" s="259" t="str">
        <f>_xll.qlIborIndex(,FamilyName,IF(C19="ON","1D",C19),2,Currency,LocalCalendar,E19,TRUE,F19,,Permanent,Trigger,ObjectOverwrite)</f>
        <v>obj_00355#0003</v>
      </c>
      <c r="H19" s="121" t="str">
        <f>Mx_Deposits!D20</f>
        <v>USD11MD_Mx_Quote#0002</v>
      </c>
      <c r="I19" s="124"/>
      <c r="J19" s="62" t="str">
        <f>_xll.qlDepositRateHelper(,H19,G19,Permanent,Trigger,ObjectOverwrite)</f>
        <v>obj_00394#0003</v>
      </c>
      <c r="K19" s="48"/>
      <c r="L19" s="9" t="str">
        <f t="shared" si="4"/>
        <v>Dp</v>
      </c>
      <c r="M19" s="93" t="str">
        <f t="shared" si="5"/>
        <v>obj_00394#0003</v>
      </c>
      <c r="N19" s="145" t="str">
        <f>IFERROR(_xll.qlRateHelperQuoteName(M19,Trigger),"--")</f>
        <v>USD11MD_Mx_Quote</v>
      </c>
      <c r="O19" s="97">
        <f>IFERROR(_xll.qlRateHelperQuoteValue($M19,Trigger),"--")</f>
        <v>8.0310163000000007E-3</v>
      </c>
      <c r="P19" s="96" t="b">
        <v>1</v>
      </c>
      <c r="Q19" s="93">
        <v>10</v>
      </c>
      <c r="R19" s="93">
        <v>1</v>
      </c>
      <c r="S19" s="98">
        <f>IFERROR(_xll.qlRateHelperEarliestDate(M19,Trigger),"--")</f>
        <v>42261</v>
      </c>
      <c r="T19" s="98">
        <f>IFERROR(_xll.qlRateHelperPillarDate(M19,Trigger),"--")</f>
        <v>42597</v>
      </c>
      <c r="V19" s="3" t="str">
        <f t="shared" si="2"/>
        <v>FUT</v>
      </c>
      <c r="W19" s="3" t="str">
        <v>obj_003c7</v>
      </c>
      <c r="X19" s="3" t="str">
        <f>IFERROR(_xll.qlRateHelperQuoteName(W19,Trigger),"")</f>
        <v>USDFUT3MM6_Quote</v>
      </c>
      <c r="Y19" s="68">
        <f>IFERROR(_xll.qlRateHelperRate(W19,Trigger),"")</f>
        <v>7.6760000000000925E-3</v>
      </c>
      <c r="Z19" s="103">
        <f>IF(ISERROR(_xll.qlSwapRateHelperSpread($W19)),IF(ISERROR(_xll.qlFuturesRateHelperConvexityAdjustment($W19)),"",_xll.qlFuturesRateHelperConvexityAdjustment($W19)),_xll.qlSwapRateHelperSpread($W19))</f>
        <v>4.8999999999999998E-5</v>
      </c>
      <c r="AA19" s="4">
        <f>IFERROR(_xll.qlRateHelperEarliestDate(W19,Trigger),"")</f>
        <v>42536</v>
      </c>
      <c r="AB19" s="4">
        <f>IFERROR(_xll.qlRateHelperPillarDate(W19,Trigger),"")</f>
        <v>42628</v>
      </c>
      <c r="AC19" s="68">
        <v>7.1940778510902878E-3</v>
      </c>
      <c r="AH19" s="157"/>
    </row>
    <row r="20" spans="1:34" ht="11.25" customHeight="1" x14ac:dyDescent="0.2">
      <c r="A20" s="269" t="s">
        <v>27</v>
      </c>
      <c r="B20" s="270" t="s">
        <v>29</v>
      </c>
      <c r="C20" s="271" t="str">
        <f t="shared" si="3"/>
        <v>1Y</v>
      </c>
      <c r="D20" s="125"/>
      <c r="E20" s="60" t="s">
        <v>7</v>
      </c>
      <c r="F20" s="60" t="s">
        <v>28</v>
      </c>
      <c r="G20" s="6" t="str">
        <f>_xll.qlIborIndex(,FamilyName,IF(C20="ON","1D",C20),2,Currency,LocalCalendar,E20,TRUE,F20,,Permanent,Trigger,ObjectOverwrite)</f>
        <v>obj_003dd#0001</v>
      </c>
      <c r="H20" s="273" t="str">
        <f>Mx_Deposits!D21</f>
        <v>USD1YD_Mx_Quote#0002</v>
      </c>
      <c r="I20" s="272"/>
      <c r="J20" s="274" t="str">
        <f>_xll.qlDepositRateHelper(,H20,G20,Permanent,Trigger,ObjectOverwrite)</f>
        <v>obj_00395#0003</v>
      </c>
      <c r="K20" s="48"/>
      <c r="L20" s="9" t="str">
        <f>A20</f>
        <v>Dp</v>
      </c>
      <c r="M20" s="93" t="str">
        <f>IF(ISBLANK(J20),"--",J20)</f>
        <v>obj_00395#0003</v>
      </c>
      <c r="N20" s="145" t="str">
        <f>IFERROR(_xll.qlRateHelperQuoteName(M20,Trigger),"--")</f>
        <v>USD1YD_Mx_Quote</v>
      </c>
      <c r="O20" s="97">
        <f>IFERROR(_xll.qlRateHelperQuoteValue($M20,Trigger),"--")</f>
        <v>8.5454999999999993E-3</v>
      </c>
      <c r="P20" s="96" t="b">
        <v>1</v>
      </c>
      <c r="Q20" s="93">
        <v>10</v>
      </c>
      <c r="R20" s="93">
        <v>1</v>
      </c>
      <c r="S20" s="98">
        <f>IFERROR(_xll.qlRateHelperEarliestDate(M20,Trigger),"--")</f>
        <v>42261</v>
      </c>
      <c r="T20" s="98">
        <f>IFERROR(_xll.qlRateHelperPillarDate(M20,Trigger),"--")</f>
        <v>42627</v>
      </c>
      <c r="V20" s="3" t="str">
        <f t="shared" si="2"/>
        <v>FUT</v>
      </c>
      <c r="W20" s="3" t="str">
        <v>obj_003c8</v>
      </c>
      <c r="X20" s="3" t="str">
        <f>IFERROR(_xll.qlRateHelperQuoteName(W20,Trigger),"")</f>
        <v>USDFUT3MU6_Quote</v>
      </c>
      <c r="Y20" s="68">
        <f>IFERROR(_xll.qlRateHelperRate(W20,Trigger),"")</f>
        <v>9.395999999999901E-3</v>
      </c>
      <c r="Z20" s="103">
        <f>IF(ISERROR(_xll.qlSwapRateHelperSpread($W20)),IF(ISERROR(_xll.qlFuturesRateHelperConvexityAdjustment($W20)),"",_xll.qlFuturesRateHelperConvexityAdjustment($W20)),_xll.qlSwapRateHelperSpread($W20))</f>
        <v>7.9000000000000009E-5</v>
      </c>
      <c r="AA20" s="4">
        <f>IFERROR(_xll.qlRateHelperEarliestDate(W20,Trigger),"")</f>
        <v>42634</v>
      </c>
      <c r="AB20" s="4">
        <f>IFERROR(_xll.qlRateHelperPillarDate(W20,Trigger),"")</f>
        <v>42725</v>
      </c>
      <c r="AC20" s="68">
        <v>7.6690763806767769E-3</v>
      </c>
      <c r="AH20" s="157"/>
    </row>
    <row r="21" spans="1:34" ht="11.25" customHeight="1" x14ac:dyDescent="0.2">
      <c r="A21" s="109" t="s">
        <v>161</v>
      </c>
      <c r="B21" s="110"/>
      <c r="C21" s="112" t="str">
        <f>(_xll.qlCalendarBusinessDaysBetween(Calendar,Settlementdate,E24,Trigger)-1)&amp;"D"</f>
        <v>190D</v>
      </c>
      <c r="D21" s="112" t="b">
        <v>0</v>
      </c>
      <c r="E21" s="112" t="s">
        <v>162</v>
      </c>
      <c r="F21" s="112" t="s">
        <v>28</v>
      </c>
      <c r="G21" s="123"/>
      <c r="H21" s="120" t="str">
        <f>Mx_Deposits!D22</f>
        <v>USD_STUB_Quote#0002</v>
      </c>
      <c r="I21" s="123"/>
      <c r="J21" s="113" t="str">
        <f>_xll.qlDepositRateHelper2(,H21,C21,2,Calendar,E21,D21,F21,Permanent,Trigger,ObjectOverwrite)</f>
        <v>obj_003c5#0004</v>
      </c>
      <c r="K21" s="48"/>
      <c r="L21" s="10" t="str">
        <f t="shared" ref="L21" si="6">A21</f>
        <v>Stub</v>
      </c>
      <c r="M21" s="94" t="str">
        <f t="shared" ref="M21" si="7">IF(ISBLANK(J21),"--",J21)</f>
        <v>obj_003c5#0004</v>
      </c>
      <c r="N21" s="146" t="str">
        <f>IFERROR(_xll.qlRateHelperQuoteName(M21,Trigger),"--")</f>
        <v>USD_STUB_Quote</v>
      </c>
      <c r="O21" s="100">
        <f>IFERROR(_xll.qlRateHelperQuoteValue($M21,Trigger),"--")</f>
        <v>6.98489946E-3</v>
      </c>
      <c r="P21" s="99" t="b">
        <v>1</v>
      </c>
      <c r="Q21" s="94">
        <v>10</v>
      </c>
      <c r="R21" s="94">
        <v>1</v>
      </c>
      <c r="S21" s="101">
        <f>IFERROR(_xll.qlRateHelperEarliestDate(M21,Trigger),"--")</f>
        <v>42261</v>
      </c>
      <c r="T21" s="101">
        <f>IFERROR(_xll.qlRateHelperPillarDate(M21,Trigger),"--")</f>
        <v>42536</v>
      </c>
      <c r="V21" s="3" t="str">
        <f t="shared" si="2"/>
        <v>FUT</v>
      </c>
      <c r="W21" s="3" t="str">
        <v>obj_003c9</v>
      </c>
      <c r="X21" s="3" t="str">
        <f>IFERROR(_xll.qlRateHelperQuoteName(W21,Trigger),"")</f>
        <v>USDFUT3MZ6_Quote</v>
      </c>
      <c r="Y21" s="68">
        <f>IFERROR(_xll.qlRateHelperRate(W21,Trigger),"")</f>
        <v>1.1211999999999918E-2</v>
      </c>
      <c r="Z21" s="103">
        <f>IF(ISERROR(_xll.qlSwapRateHelperSpread($W21)),IF(ISERROR(_xll.qlFuturesRateHelperConvexityAdjustment($W21)),"",_xll.qlFuturesRateHelperConvexityAdjustment($W21)),_xll.qlSwapRateHelperSpread($W21))</f>
        <v>1.13E-4</v>
      </c>
      <c r="AA21" s="4">
        <f>IFERROR(_xll.qlRateHelperEarliestDate(W21,Trigger),"")</f>
        <v>42725</v>
      </c>
      <c r="AB21" s="4">
        <f>IFERROR(_xll.qlRateHelperPillarDate(W21,Trigger),"")</f>
        <v>42815</v>
      </c>
      <c r="AC21" s="68">
        <v>8.2630672980861866E-3</v>
      </c>
      <c r="AH21" s="157"/>
    </row>
    <row r="22" spans="1:34" ht="11.25" customHeight="1" x14ac:dyDescent="0.2">
      <c r="G22" s="48"/>
      <c r="H22" s="48"/>
      <c r="I22" s="48"/>
      <c r="J22" s="48"/>
      <c r="K22" s="48"/>
      <c r="L22" s="66" t="str">
        <f>A27</f>
        <v>FUT</v>
      </c>
      <c r="M22" s="131" t="str">
        <f>IF(ISBLANK(J27),"--",J27)</f>
        <v>obj_003cd#0005</v>
      </c>
      <c r="N22" s="144" t="str">
        <f>IFERROR(_xll.qlRateHelperQuoteName(M22,Trigger),"--")</f>
        <v>USDFUT3MU5_Quote</v>
      </c>
      <c r="O22" s="276">
        <f>IFERROR(_xll.qlRateHelperQuoteValue($M22,Trigger),"--")</f>
        <v>99.661249999999995</v>
      </c>
      <c r="P22" s="132" t="b">
        <f>IF($T$21&gt;S22,FALSE,TRUE)</f>
        <v>0</v>
      </c>
      <c r="Q22" s="131">
        <v>60</v>
      </c>
      <c r="R22" s="131">
        <v>21</v>
      </c>
      <c r="S22" s="134">
        <f>IFERROR(_xll.qlRateHelperEarliestDate(M22,Trigger),"--")</f>
        <v>42263</v>
      </c>
      <c r="T22" s="134">
        <f>IFERROR(_xll.qlRateHelperPillarDate(M22,Trigger),"--")</f>
        <v>42354</v>
      </c>
      <c r="V22" s="3" t="str">
        <f t="shared" si="2"/>
        <v>FUT</v>
      </c>
      <c r="W22" s="3" t="str">
        <v>obj_003ca</v>
      </c>
      <c r="X22" s="3" t="str">
        <f>IFERROR(_xll.qlRateHelperQuoteName(W22,Trigger),"")</f>
        <v>USDFUT3MH7_Quote</v>
      </c>
      <c r="Y22" s="68">
        <f>IFERROR(_xll.qlRateHelperRate(W22,Trigger),"")</f>
        <v>1.2673999999999975E-2</v>
      </c>
      <c r="Z22" s="103">
        <f>IF(ISERROR(_xll.qlSwapRateHelperSpread($W22)),IF(ISERROR(_xll.qlFuturesRateHelperConvexityAdjustment($W22)),"",_xll.qlFuturesRateHelperConvexityAdjustment($W22)),_xll.qlSwapRateHelperSpread($W22))</f>
        <v>1.5100000000000001E-4</v>
      </c>
      <c r="AA22" s="4">
        <f>IFERROR(_xll.qlRateHelperEarliestDate(W22,Trigger),"")</f>
        <v>42809</v>
      </c>
      <c r="AB22" s="4">
        <f>IFERROR(_xll.qlRateHelperPillarDate(W22,Trigger),"")</f>
        <v>42901</v>
      </c>
      <c r="AC22" s="68">
        <v>8.8814385679964122E-3</v>
      </c>
      <c r="AH22" s="157"/>
    </row>
    <row r="23" spans="1:34" ht="11.25" customHeight="1" x14ac:dyDescent="0.2">
      <c r="B23" s="48"/>
      <c r="C23" s="48"/>
      <c r="D23" s="63" t="s">
        <v>159</v>
      </c>
      <c r="E23" s="63" t="s">
        <v>160</v>
      </c>
      <c r="G23" s="48"/>
      <c r="H23" s="48"/>
      <c r="I23" s="48"/>
      <c r="J23" s="48"/>
      <c r="K23" s="48"/>
      <c r="L23" s="9" t="str">
        <f t="shared" ref="L23:L43" si="8">A28</f>
        <v>FUT</v>
      </c>
      <c r="M23" s="93" t="str">
        <f t="shared" ref="M23:M43" si="9">IF(ISBLANK(J28),"--",J28)</f>
        <v>obj_003cc#0005</v>
      </c>
      <c r="N23" s="145" t="str">
        <f>IFERROR(_xll.qlRateHelperQuoteName(M23,Trigger),"--")</f>
        <v>USDFUT3MV5_Quote</v>
      </c>
      <c r="O23" s="149">
        <f>IFERROR(_xll.qlRateHelperQuoteValue($M23,Trigger),"--")</f>
        <v>99.602499999999992</v>
      </c>
      <c r="P23" s="96" t="b">
        <f t="shared" ref="P23:P43" si="10">IF($T$21&gt;S23,FALSE,TRUE)</f>
        <v>0</v>
      </c>
      <c r="Q23" s="93">
        <v>60</v>
      </c>
      <c r="R23" s="93">
        <v>21</v>
      </c>
      <c r="S23" s="98">
        <f>IFERROR(_xll.qlRateHelperEarliestDate(M23,Trigger),"--")</f>
        <v>42298</v>
      </c>
      <c r="T23" s="98">
        <f>IFERROR(_xll.qlRateHelperPillarDate(M23,Trigger),"--")</f>
        <v>42390</v>
      </c>
      <c r="V23" s="3" t="str">
        <f t="shared" si="2"/>
        <v>FUT</v>
      </c>
      <c r="W23" s="3" t="str">
        <v>obj_003d1</v>
      </c>
      <c r="X23" s="3" t="str">
        <f>IFERROR(_xll.qlRateHelperQuoteName(W23,Trigger),"")</f>
        <v>USDFUT3MM7_Quote</v>
      </c>
      <c r="Y23" s="68">
        <f>IFERROR(_xll.qlRateHelperRate(W23,Trigger),"")</f>
        <v>1.4125000000000032E-2</v>
      </c>
      <c r="Z23" s="103">
        <f>IF(ISERROR(_xll.qlSwapRateHelperSpread($W23)),IF(ISERROR(_xll.qlFuturesRateHelperConvexityAdjustment($W23)),"",_xll.qlFuturesRateHelperConvexityAdjustment($W23)),_xll.qlSwapRateHelperSpread($W23))</f>
        <v>2.0000000000000001E-4</v>
      </c>
      <c r="AA23" s="4">
        <f>IFERROR(_xll.qlRateHelperEarliestDate(W23,Trigger),"")</f>
        <v>42907</v>
      </c>
      <c r="AB23" s="4">
        <f>IFERROR(_xll.qlRateHelperPillarDate(W23,Trigger),"")</f>
        <v>42999</v>
      </c>
      <c r="AC23" s="68">
        <v>9.5907536955777296E-3</v>
      </c>
      <c r="AH23" s="157"/>
    </row>
    <row r="24" spans="1:34" ht="11.25" customHeight="1" x14ac:dyDescent="0.2">
      <c r="A24" s="48"/>
      <c r="B24" s="48"/>
      <c r="C24" s="48"/>
      <c r="D24" s="112" t="str">
        <f>_xll.qlIMMNextCode(_xll.qlIMMNextCode(_xll.qlIMMNextCode(Settlementdate+2,TRUE,),TRUE,),TRUE,)</f>
        <v>M6</v>
      </c>
      <c r="E24" s="275">
        <f>_xll.qlIMMdate(D24,,Trigger)</f>
        <v>42536</v>
      </c>
      <c r="G24" s="48"/>
      <c r="H24" s="48"/>
      <c r="I24" s="48"/>
      <c r="J24" s="48"/>
      <c r="K24" s="48"/>
      <c r="L24" s="9" t="str">
        <f t="shared" si="8"/>
        <v>FUT</v>
      </c>
      <c r="M24" s="93" t="str">
        <f t="shared" si="9"/>
        <v>obj_003cb#0005</v>
      </c>
      <c r="N24" s="145" t="str">
        <f>IFERROR(_xll.qlRateHelperQuoteName(M24,Trigger),"--")</f>
        <v>USDFUT3MX5_Quote</v>
      </c>
      <c r="O24" s="149">
        <f>IFERROR(_xll.qlRateHelperQuoteValue($M24,Trigger),"--")</f>
        <v>99.564999999999998</v>
      </c>
      <c r="P24" s="96" t="b">
        <f t="shared" si="10"/>
        <v>0</v>
      </c>
      <c r="Q24" s="93">
        <v>60</v>
      </c>
      <c r="R24" s="93">
        <v>21</v>
      </c>
      <c r="S24" s="98">
        <f>IFERROR(_xll.qlRateHelperEarliestDate(M24,Trigger),"--")</f>
        <v>42326</v>
      </c>
      <c r="T24" s="98">
        <f>IFERROR(_xll.qlRateHelperPillarDate(M24,Trigger),"--")</f>
        <v>42418</v>
      </c>
      <c r="V24" s="3" t="str">
        <f t="shared" si="2"/>
        <v>FUT</v>
      </c>
      <c r="W24" s="3" t="str">
        <v>obj_003ce</v>
      </c>
      <c r="X24" s="3" t="str">
        <f>IFERROR(_xll.qlRateHelperQuoteName(W24,Trigger),"")</f>
        <v>USDFUT3MU7_Quote</v>
      </c>
      <c r="Y24" s="68">
        <f>IFERROR(_xll.qlRateHelperRate(W24,Trigger),"")</f>
        <v>1.5474999999999878E-2</v>
      </c>
      <c r="Z24" s="103">
        <f>IF(ISERROR(_xll.qlSwapRateHelperSpread($W24)),IF(ISERROR(_xll.qlFuturesRateHelperConvexityAdjustment($W24)),"",_xll.qlFuturesRateHelperConvexityAdjustment($W24)),_xll.qlSwapRateHelperSpread($W24))</f>
        <v>2.5000000000000001E-4</v>
      </c>
      <c r="AA24" s="4">
        <f>IFERROR(_xll.qlRateHelperEarliestDate(W24,Trigger),"")</f>
        <v>42998</v>
      </c>
      <c r="AB24" s="4">
        <f>IFERROR(_xll.qlRateHelperPillarDate(W24,Trigger),"")</f>
        <v>43089</v>
      </c>
      <c r="AC24" s="68">
        <v>1.0248057190830681E-2</v>
      </c>
      <c r="AH24" s="157"/>
    </row>
    <row r="25" spans="1:34" ht="11.25" customHeight="1" x14ac:dyDescent="0.2">
      <c r="B25" s="47"/>
      <c r="C25" s="47"/>
      <c r="D25" s="47"/>
      <c r="E25" s="47"/>
      <c r="F25" s="47"/>
      <c r="G25" s="47"/>
      <c r="H25" s="47" t="s">
        <v>90</v>
      </c>
      <c r="K25" s="48"/>
      <c r="L25" s="9" t="str">
        <f t="shared" si="8"/>
        <v>FUT</v>
      </c>
      <c r="M25" s="93" t="str">
        <f t="shared" si="9"/>
        <v>obj_003d0#0005</v>
      </c>
      <c r="N25" s="145" t="str">
        <f>IFERROR(_xll.qlRateHelperQuoteName(M25,Trigger),"--")</f>
        <v>USDFUT3MZ5_Quote</v>
      </c>
      <c r="O25" s="149">
        <f>IFERROR(_xll.qlRateHelperQuoteValue($M25,Trigger),"--")</f>
        <v>99.527500000000003</v>
      </c>
      <c r="P25" s="96" t="b">
        <f t="shared" si="10"/>
        <v>0</v>
      </c>
      <c r="Q25" s="93">
        <v>30</v>
      </c>
      <c r="R25" s="93">
        <v>21</v>
      </c>
      <c r="S25" s="98">
        <f>IFERROR(_xll.qlRateHelperEarliestDate(M25,Trigger),"--")</f>
        <v>42354</v>
      </c>
      <c r="T25" s="98">
        <f>IFERROR(_xll.qlRateHelperPillarDate(M25,Trigger),"--")</f>
        <v>42445</v>
      </c>
      <c r="V25" s="3" t="str">
        <f t="shared" si="2"/>
        <v>Sw</v>
      </c>
      <c r="W25" s="3" t="str">
        <v>obj_003b6</v>
      </c>
      <c r="X25" s="3" t="str">
        <f>IFERROR(_xll.qlRateHelperQuoteName(W25,Trigger),"")</f>
        <v>USD_CURVE_3M_3Y_Quote</v>
      </c>
      <c r="Y25" s="68">
        <f>IFERROR(_xll.qlRateHelperRate(W25,Trigger),"")</f>
        <v>1.1379999999999999E-2</v>
      </c>
      <c r="Z25" s="103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42261</v>
      </c>
      <c r="AB25" s="4">
        <f>IFERROR(_xll.qlRateHelperPillarDate(W25,Trigger),"")</f>
        <v>43357</v>
      </c>
      <c r="AC25" s="68">
        <v>1.1471622382138403E-2</v>
      </c>
      <c r="AH25" s="157"/>
    </row>
    <row r="26" spans="1:34" ht="11.25" customHeight="1" x14ac:dyDescent="0.2">
      <c r="A26" s="63" t="s">
        <v>9</v>
      </c>
      <c r="B26" s="63" t="s">
        <v>92</v>
      </c>
      <c r="C26" s="63" t="s">
        <v>33</v>
      </c>
      <c r="D26" s="63"/>
      <c r="E26" s="63"/>
      <c r="F26" s="63"/>
      <c r="G26" s="63" t="s">
        <v>4</v>
      </c>
      <c r="H26" s="63" t="s">
        <v>1</v>
      </c>
      <c r="I26" s="63" t="s">
        <v>91</v>
      </c>
      <c r="J26" s="63" t="s">
        <v>25</v>
      </c>
      <c r="K26" s="48"/>
      <c r="L26" s="9" t="str">
        <f t="shared" si="8"/>
        <v>FUT</v>
      </c>
      <c r="M26" s="93" t="str">
        <f t="shared" si="9"/>
        <v>obj_003cf#0005</v>
      </c>
      <c r="N26" s="145" t="str">
        <f>IFERROR(_xll.qlRateHelperQuoteName(M26,Trigger),"--")</f>
        <v>USDFUT3MF6_Quote</v>
      </c>
      <c r="O26" s="149">
        <f>IFERROR(_xll.qlRateHelperQuoteValue($M26,Trigger),"--")</f>
        <v>99.467500000000001</v>
      </c>
      <c r="P26" s="96" t="b">
        <f t="shared" si="10"/>
        <v>0</v>
      </c>
      <c r="Q26" s="93">
        <v>30</v>
      </c>
      <c r="R26" s="93">
        <v>21</v>
      </c>
      <c r="S26" s="98">
        <f>IFERROR(_xll.qlRateHelperEarliestDate(M26,Trigger),"--")</f>
        <v>42389</v>
      </c>
      <c r="T26" s="98">
        <f>IFERROR(_xll.qlRateHelperPillarDate(M26,Trigger),"--")</f>
        <v>42480</v>
      </c>
      <c r="V26" s="3" t="str">
        <f t="shared" si="2"/>
        <v>Sw</v>
      </c>
      <c r="W26" s="3" t="str">
        <v>obj_003a4</v>
      </c>
      <c r="X26" s="3" t="str">
        <f>IFERROR(_xll.qlRateHelperQuoteName(W26,Trigger),"")</f>
        <v>USD_CURVE_3M_4Y_Quote</v>
      </c>
      <c r="Y26" s="68">
        <f>IFERROR(_xll.qlRateHelperRate(W26,Trigger),"")</f>
        <v>1.38E-2</v>
      </c>
      <c r="Z26" s="103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42261</v>
      </c>
      <c r="AB26" s="4">
        <f>IFERROR(_xll.qlRateHelperPillarDate(W26,Trigger),"")</f>
        <v>43724</v>
      </c>
      <c r="AC26" s="68">
        <v>1.3944133301100047E-2</v>
      </c>
      <c r="AH26" s="157"/>
    </row>
    <row r="27" spans="1:34" ht="11.25" customHeight="1" x14ac:dyDescent="0.2">
      <c r="A27" s="53" t="s">
        <v>89</v>
      </c>
      <c r="B27" s="114" t="b">
        <v>0</v>
      </c>
      <c r="C27" s="56" t="str">
        <f>_xll.qlIMMNextCode(Evaluationdate-1,B27,Trigger)</f>
        <v>U5</v>
      </c>
      <c r="D27" s="130"/>
      <c r="E27" s="130"/>
      <c r="F27" s="130"/>
      <c r="G27" s="55" t="str">
        <f t="shared" ref="G27:G48" si="11">PROPER(Currency)&amp;FamilyName&amp;$G$1</f>
        <v>UsdLibor3M</v>
      </c>
      <c r="H27" s="117" t="str">
        <f t="shared" ref="H27:H48" si="12">Currency&amp;"FUT"&amp;$G$1&amp;$C27&amp;QuoteSuffix</f>
        <v>USDFUT3MU5_Quote</v>
      </c>
      <c r="I27" s="117">
        <f t="shared" ref="I27:I48" si="13">IFERROR(INDEX($AF$12:$AF$17,MATCH(C27,$AE$12:$AE$17,0))/100,0)</f>
        <v>0</v>
      </c>
      <c r="J27" s="57" t="str">
        <f>_xll.qlFuturesRateHelper(,H27,$H$25,C27,G27,I27,Permanent,Trigger,ObjectOverwrite)</f>
        <v>obj_003cd#0005</v>
      </c>
      <c r="K27" s="48"/>
      <c r="L27" s="9" t="str">
        <f t="shared" si="8"/>
        <v>FUT</v>
      </c>
      <c r="M27" s="93" t="str">
        <f t="shared" si="9"/>
        <v>obj_003c6#0005</v>
      </c>
      <c r="N27" s="145" t="str">
        <f>IFERROR(_xll.qlRateHelperQuoteName(M27,Trigger),"--")</f>
        <v>USDFUT3MH6_Quote</v>
      </c>
      <c r="O27" s="149">
        <f>IFERROR(_xll.qlRateHelperQuoteValue($M27,Trigger),"--")</f>
        <v>99.387500000000003</v>
      </c>
      <c r="P27" s="96" t="b">
        <f t="shared" si="10"/>
        <v>0</v>
      </c>
      <c r="Q27" s="93">
        <v>30</v>
      </c>
      <c r="R27" s="93">
        <v>21</v>
      </c>
      <c r="S27" s="98">
        <f>IFERROR(_xll.qlRateHelperEarliestDate(M27,Trigger),"--")</f>
        <v>42445</v>
      </c>
      <c r="T27" s="98">
        <f>IFERROR(_xll.qlRateHelperPillarDate(M27,Trigger),"--")</f>
        <v>42537</v>
      </c>
      <c r="V27" s="3" t="str">
        <f t="shared" si="2"/>
        <v>Sw</v>
      </c>
      <c r="W27" s="3" t="str">
        <v>obj_003a3</v>
      </c>
      <c r="X27" s="3" t="str">
        <f>IFERROR(_xll.qlRateHelperQuoteName(W27,Trigger),"")</f>
        <v>USD_CURVE_3M_5Y_Quote</v>
      </c>
      <c r="Y27" s="68">
        <f>IFERROR(_xll.qlRateHelperRate(W27,Trigger),"")</f>
        <v>1.585E-2</v>
      </c>
      <c r="Z27" s="103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42261</v>
      </c>
      <c r="AB27" s="4">
        <f>IFERROR(_xll.qlRateHelperPillarDate(W27,Trigger),"")</f>
        <v>44088</v>
      </c>
      <c r="AC27" s="68">
        <v>1.6054823193173386E-2</v>
      </c>
      <c r="AH27" s="157"/>
    </row>
    <row r="28" spans="1:34" ht="11.25" customHeight="1" x14ac:dyDescent="0.2">
      <c r="A28" s="58" t="s">
        <v>89</v>
      </c>
      <c r="B28" s="115" t="b">
        <v>0</v>
      </c>
      <c r="C28" s="61" t="str">
        <f>_xll.qlIMMNextCode(C27,B28,Trigger)</f>
        <v>V5</v>
      </c>
      <c r="D28" s="124"/>
      <c r="E28" s="124"/>
      <c r="F28" s="124"/>
      <c r="G28" s="60" t="str">
        <f t="shared" si="11"/>
        <v>UsdLibor3M</v>
      </c>
      <c r="H28" s="118" t="str">
        <f t="shared" si="12"/>
        <v>USDFUT3MV5_Quote</v>
      </c>
      <c r="I28" s="118">
        <f t="shared" si="13"/>
        <v>0</v>
      </c>
      <c r="J28" s="62" t="str">
        <f>_xll.qlFuturesRateHelper(,H28,$H$25,C28,G28,I28,Permanent,Trigger,ObjectOverwrite)</f>
        <v>obj_003cc#0005</v>
      </c>
      <c r="K28" s="48"/>
      <c r="L28" s="9" t="str">
        <f t="shared" si="8"/>
        <v>FUT</v>
      </c>
      <c r="M28" s="93" t="str">
        <f t="shared" si="9"/>
        <v>obj_003c7#0005</v>
      </c>
      <c r="N28" s="145" t="str">
        <f>IFERROR(_xll.qlRateHelperQuoteName(M28,Trigger),"--")</f>
        <v>USDFUT3MM6_Quote</v>
      </c>
      <c r="O28" s="149">
        <f>IFERROR(_xll.qlRateHelperQuoteValue($M28,Trigger),"--")</f>
        <v>99.227499999999992</v>
      </c>
      <c r="P28" s="96" t="b">
        <f t="shared" si="10"/>
        <v>1</v>
      </c>
      <c r="Q28" s="93">
        <v>30</v>
      </c>
      <c r="R28" s="93">
        <v>21</v>
      </c>
      <c r="S28" s="98">
        <f>IFERROR(_xll.qlRateHelperEarliestDate(M28,Trigger),"--")</f>
        <v>42536</v>
      </c>
      <c r="T28" s="98">
        <f>IFERROR(_xll.qlRateHelperPillarDate(M28,Trigger),"--")</f>
        <v>42628</v>
      </c>
      <c r="V28" s="3" t="str">
        <f t="shared" si="2"/>
        <v>Sw</v>
      </c>
      <c r="W28" s="3" t="str">
        <v>obj_003ad</v>
      </c>
      <c r="X28" s="3" t="str">
        <f>IFERROR(_xll.qlRateHelperQuoteName(W28,Trigger),"")</f>
        <v>USD_CURVE_3M_6Y_Quote</v>
      </c>
      <c r="Y28" s="68">
        <f>IFERROR(_xll.qlRateHelperRate(W28,Trigger),"")</f>
        <v>1.763E-2</v>
      </c>
      <c r="Z28" s="103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42261</v>
      </c>
      <c r="AB28" s="4">
        <f>IFERROR(_xll.qlRateHelperPillarDate(W28,Trigger),"")</f>
        <v>44453</v>
      </c>
      <c r="AC28" s="68">
        <v>1.7903395737317983E-2</v>
      </c>
      <c r="AH28" s="157"/>
    </row>
    <row r="29" spans="1:34" ht="11.25" customHeight="1" x14ac:dyDescent="0.2">
      <c r="A29" s="58" t="s">
        <v>89</v>
      </c>
      <c r="B29" s="115" t="b">
        <v>0</v>
      </c>
      <c r="C29" s="61" t="str">
        <f>_xll.qlIMMNextCode(C28,B29,Trigger)</f>
        <v>X5</v>
      </c>
      <c r="D29" s="124"/>
      <c r="E29" s="124"/>
      <c r="F29" s="124"/>
      <c r="G29" s="60" t="str">
        <f t="shared" si="11"/>
        <v>UsdLibor3M</v>
      </c>
      <c r="H29" s="118" t="str">
        <f t="shared" si="12"/>
        <v>USDFUT3MX5_Quote</v>
      </c>
      <c r="I29" s="118">
        <f t="shared" si="13"/>
        <v>0</v>
      </c>
      <c r="J29" s="62" t="str">
        <f>_xll.qlFuturesRateHelper(,H29,$H$25,C29,G29,I29,Permanent,Trigger,ObjectOverwrite)</f>
        <v>obj_003cb#0005</v>
      </c>
      <c r="K29" s="48"/>
      <c r="L29" s="9" t="str">
        <f t="shared" si="8"/>
        <v>FUT</v>
      </c>
      <c r="M29" s="93" t="str">
        <f t="shared" si="9"/>
        <v>obj_003c8#0005</v>
      </c>
      <c r="N29" s="145" t="str">
        <f>IFERROR(_xll.qlRateHelperQuoteName(M29,Trigger),"--")</f>
        <v>USDFUT3MU6_Quote</v>
      </c>
      <c r="O29" s="149">
        <f>IFERROR(_xll.qlRateHelperQuoteValue($M29,Trigger),"--")</f>
        <v>99.052500000000009</v>
      </c>
      <c r="P29" s="96" t="b">
        <f t="shared" si="10"/>
        <v>1</v>
      </c>
      <c r="Q29" s="93">
        <v>30</v>
      </c>
      <c r="R29" s="93">
        <v>21</v>
      </c>
      <c r="S29" s="98">
        <f>IFERROR(_xll.qlRateHelperEarliestDate(M29,Trigger),"--")</f>
        <v>42634</v>
      </c>
      <c r="T29" s="98">
        <f>IFERROR(_xll.qlRateHelperPillarDate(M29,Trigger),"--")</f>
        <v>42725</v>
      </c>
      <c r="V29" s="3" t="str">
        <f t="shared" si="2"/>
        <v>Sw</v>
      </c>
      <c r="W29" s="3" t="str">
        <v>obj_003a2</v>
      </c>
      <c r="X29" s="3" t="str">
        <f>IFERROR(_xll.qlRateHelperQuoteName(W29,Trigger),"")</f>
        <v>USD_CURVE_3M_7Y_Quote</v>
      </c>
      <c r="Y29" s="68">
        <f>IFERROR(_xll.qlRateHelperRate(W29,Trigger),"")</f>
        <v>1.9119999999999998E-2</v>
      </c>
      <c r="Z29" s="103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42261</v>
      </c>
      <c r="AB29" s="4">
        <f>IFERROR(_xll.qlRateHelperPillarDate(W29,Trigger),"")</f>
        <v>44818</v>
      </c>
      <c r="AC29" s="68">
        <v>1.9464312674873918E-2</v>
      </c>
      <c r="AH29" s="157"/>
    </row>
    <row r="30" spans="1:34" ht="11.25" customHeight="1" x14ac:dyDescent="0.2">
      <c r="A30" s="58" t="s">
        <v>89</v>
      </c>
      <c r="B30" s="115" t="b">
        <v>0</v>
      </c>
      <c r="C30" s="61" t="str">
        <f>_xll.qlIMMNextCode(C29,B30,Trigger)</f>
        <v>Z5</v>
      </c>
      <c r="D30" s="124"/>
      <c r="E30" s="124"/>
      <c r="F30" s="124"/>
      <c r="G30" s="60" t="str">
        <f t="shared" si="11"/>
        <v>UsdLibor3M</v>
      </c>
      <c r="H30" s="118" t="str">
        <f t="shared" si="12"/>
        <v>USDFUT3MZ5_Quote</v>
      </c>
      <c r="I30" s="118">
        <f t="shared" si="13"/>
        <v>0</v>
      </c>
      <c r="J30" s="62" t="str">
        <f>_xll.qlFuturesRateHelper(,H30,$H$25,C30,G30,I30,Permanent,Trigger,ObjectOverwrite)</f>
        <v>obj_003d0#0005</v>
      </c>
      <c r="K30" s="48"/>
      <c r="L30" s="9" t="str">
        <f t="shared" si="8"/>
        <v>FUT</v>
      </c>
      <c r="M30" s="93" t="str">
        <f t="shared" si="9"/>
        <v>obj_003c9#0005</v>
      </c>
      <c r="N30" s="145" t="str">
        <f>IFERROR(_xll.qlRateHelperQuoteName(M30,Trigger),"--")</f>
        <v>USDFUT3MZ6_Quote</v>
      </c>
      <c r="O30" s="149">
        <f>IFERROR(_xll.qlRateHelperQuoteValue($M30,Trigger),"--")</f>
        <v>98.867500000000007</v>
      </c>
      <c r="P30" s="96" t="b">
        <f t="shared" si="10"/>
        <v>1</v>
      </c>
      <c r="Q30" s="93">
        <v>30</v>
      </c>
      <c r="R30" s="93">
        <v>21</v>
      </c>
      <c r="S30" s="98">
        <f>IFERROR(_xll.qlRateHelperEarliestDate(M30,Trigger),"--")</f>
        <v>42725</v>
      </c>
      <c r="T30" s="98">
        <f>IFERROR(_xll.qlRateHelperPillarDate(M30,Trigger),"--")</f>
        <v>42815</v>
      </c>
      <c r="V30" s="3" t="str">
        <f t="shared" si="2"/>
        <v>Sw</v>
      </c>
      <c r="W30" s="3" t="str">
        <v>obj_003a1</v>
      </c>
      <c r="X30" s="3" t="str">
        <f>IFERROR(_xll.qlRateHelperQuoteName(W30,Trigger),"")</f>
        <v>USD_CURVE_3M_8Y_Quote</v>
      </c>
      <c r="Y30" s="68">
        <f>IFERROR(_xll.qlRateHelperRate(W30,Trigger),"")</f>
        <v>2.035E-2</v>
      </c>
      <c r="Z30" s="103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42261</v>
      </c>
      <c r="AB30" s="4">
        <f>IFERROR(_xll.qlRateHelperPillarDate(W30,Trigger),"")</f>
        <v>45183</v>
      </c>
      <c r="AC30" s="68">
        <v>2.0763450652685079E-2</v>
      </c>
      <c r="AH30" s="157"/>
    </row>
    <row r="31" spans="1:34" ht="11.25" customHeight="1" x14ac:dyDescent="0.2">
      <c r="A31" s="1" t="s">
        <v>89</v>
      </c>
      <c r="B31" s="116" t="b">
        <v>0</v>
      </c>
      <c r="C31" s="8" t="str">
        <f>_xll.qlIMMNextCode(C30,B31,Trigger)</f>
        <v>F6</v>
      </c>
      <c r="D31" s="125"/>
      <c r="E31" s="125"/>
      <c r="F31" s="125"/>
      <c r="G31" s="6" t="str">
        <f t="shared" si="11"/>
        <v>UsdLibor3M</v>
      </c>
      <c r="H31" s="119" t="str">
        <f t="shared" si="12"/>
        <v>USDFUT3MF6_Quote</v>
      </c>
      <c r="I31" s="119">
        <f t="shared" si="13"/>
        <v>0</v>
      </c>
      <c r="J31" s="2" t="str">
        <f>_xll.qlFuturesRateHelper(,H31,$H$25,C31,G31,I31,Permanent,Trigger,ObjectOverwrite)</f>
        <v>obj_003cf#0005</v>
      </c>
      <c r="K31" s="48"/>
      <c r="L31" s="9" t="str">
        <f t="shared" si="8"/>
        <v>FUT</v>
      </c>
      <c r="M31" s="93" t="str">
        <f t="shared" si="9"/>
        <v>obj_003ca#0005</v>
      </c>
      <c r="N31" s="145" t="str">
        <f>IFERROR(_xll.qlRateHelperQuoteName(M31,Trigger),"--")</f>
        <v>USDFUT3MH7_Quote</v>
      </c>
      <c r="O31" s="149">
        <f>IFERROR(_xll.qlRateHelperQuoteValue($M31,Trigger),"--")</f>
        <v>98.717500000000001</v>
      </c>
      <c r="P31" s="96" t="b">
        <f t="shared" si="10"/>
        <v>1</v>
      </c>
      <c r="Q31" s="93">
        <v>30</v>
      </c>
      <c r="R31" s="93">
        <v>21</v>
      </c>
      <c r="S31" s="98">
        <f>IFERROR(_xll.qlRateHelperEarliestDate(M31,Trigger),"--")</f>
        <v>42809</v>
      </c>
      <c r="T31" s="98">
        <f>IFERROR(_xll.qlRateHelperPillarDate(M31,Trigger),"--")</f>
        <v>42901</v>
      </c>
      <c r="V31" s="3" t="str">
        <f t="shared" si="2"/>
        <v>Sw</v>
      </c>
      <c r="W31" s="3" t="str">
        <v>obj_003ae</v>
      </c>
      <c r="X31" s="3" t="str">
        <f>IFERROR(_xll.qlRateHelperQuoteName(W31,Trigger),"")</f>
        <v>USD_CURVE_3M_9Y_Quote</v>
      </c>
      <c r="Y31" s="68">
        <f>IFERROR(_xll.qlRateHelperRate(W31,Trigger),"")</f>
        <v>2.1349999999999997E-2</v>
      </c>
      <c r="Z31" s="103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42261</v>
      </c>
      <c r="AB31" s="4">
        <f>IFERROR(_xll.qlRateHelperPillarDate(W31,Trigger),"")</f>
        <v>45551</v>
      </c>
      <c r="AC31" s="68">
        <v>2.1826430198868277E-2</v>
      </c>
      <c r="AH31" s="157"/>
    </row>
    <row r="32" spans="1:34" ht="11.25" customHeight="1" x14ac:dyDescent="0.2">
      <c r="A32" s="58" t="s">
        <v>89</v>
      </c>
      <c r="B32" s="115" t="b">
        <v>1</v>
      </c>
      <c r="C32" s="61" t="str">
        <f>_xll.qlIMMNextCode(C31,B32,Trigger)</f>
        <v>H6</v>
      </c>
      <c r="D32" s="124"/>
      <c r="E32" s="124"/>
      <c r="F32" s="124"/>
      <c r="G32" s="60" t="str">
        <f t="shared" si="11"/>
        <v>UsdLibor3M</v>
      </c>
      <c r="H32" s="118" t="str">
        <f t="shared" si="12"/>
        <v>USDFUT3MH6_Quote</v>
      </c>
      <c r="I32" s="118">
        <f t="shared" si="13"/>
        <v>0</v>
      </c>
      <c r="J32" s="62" t="str">
        <f>_xll.qlFuturesRateHelper(,H32,$H$25,C32,G32,I32,Permanent,Trigger,ObjectOverwrite)</f>
        <v>obj_003c6#0005</v>
      </c>
      <c r="K32" s="48"/>
      <c r="L32" s="9" t="str">
        <f t="shared" si="8"/>
        <v>FUT</v>
      </c>
      <c r="M32" s="93" t="str">
        <f t="shared" si="9"/>
        <v>obj_003d1#0005</v>
      </c>
      <c r="N32" s="145" t="str">
        <f>IFERROR(_xll.qlRateHelperQuoteName(M32,Trigger),"--")</f>
        <v>USDFUT3MM7_Quote</v>
      </c>
      <c r="O32" s="149">
        <f>IFERROR(_xll.qlRateHelperQuoteValue($M32,Trigger),"--")</f>
        <v>98.567499999999995</v>
      </c>
      <c r="P32" s="96" t="b">
        <f t="shared" si="10"/>
        <v>1</v>
      </c>
      <c r="Q32" s="93">
        <v>30</v>
      </c>
      <c r="R32" s="93">
        <v>21</v>
      </c>
      <c r="S32" s="98">
        <f>IFERROR(_xll.qlRateHelperEarliestDate(M32,Trigger),"--")</f>
        <v>42907</v>
      </c>
      <c r="T32" s="98">
        <f>IFERROR(_xll.qlRateHelperPillarDate(M32,Trigger),"--")</f>
        <v>42999</v>
      </c>
      <c r="V32" s="3" t="str">
        <f t="shared" si="2"/>
        <v>Sw</v>
      </c>
      <c r="W32" s="3" t="str">
        <v>obj_003a6</v>
      </c>
      <c r="X32" s="3" t="str">
        <f>IFERROR(_xll.qlRateHelperQuoteName(W32,Trigger),"")</f>
        <v>USD_CURVE_3M_10Y_Quote</v>
      </c>
      <c r="Y32" s="68">
        <f>IFERROR(_xll.qlRateHelperRate(W32,Trigger),"")</f>
        <v>2.2179999999999998E-2</v>
      </c>
      <c r="Z32" s="103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42261</v>
      </c>
      <c r="AB32" s="4">
        <f>IFERROR(_xll.qlRateHelperPillarDate(W32,Trigger),"")</f>
        <v>45915</v>
      </c>
      <c r="AC32" s="68">
        <v>2.2715524648344941E-2</v>
      </c>
    </row>
    <row r="33" spans="1:29" ht="11.25" customHeight="1" x14ac:dyDescent="0.2">
      <c r="A33" s="58" t="s">
        <v>89</v>
      </c>
      <c r="B33" s="115" t="b">
        <v>1</v>
      </c>
      <c r="C33" s="61" t="str">
        <f>_xll.qlIMMNextCode(C32,B33,Trigger)</f>
        <v>M6</v>
      </c>
      <c r="D33" s="124"/>
      <c r="E33" s="124"/>
      <c r="F33" s="124"/>
      <c r="G33" s="60" t="str">
        <f t="shared" si="11"/>
        <v>UsdLibor3M</v>
      </c>
      <c r="H33" s="118" t="str">
        <f t="shared" si="12"/>
        <v>USDFUT3MM6_Quote</v>
      </c>
      <c r="I33" s="118">
        <f t="shared" si="13"/>
        <v>4.8999999999999998E-5</v>
      </c>
      <c r="J33" s="62" t="str">
        <f>_xll.qlFuturesRateHelper(,H33,$H$25,C33,G33,I33,Permanent,Trigger,ObjectOverwrite)</f>
        <v>obj_003c7#0005</v>
      </c>
      <c r="K33" s="48"/>
      <c r="L33" s="9" t="str">
        <f t="shared" si="8"/>
        <v>FUT</v>
      </c>
      <c r="M33" s="93" t="str">
        <f t="shared" si="9"/>
        <v>obj_003ce#0005</v>
      </c>
      <c r="N33" s="145" t="str">
        <f>IFERROR(_xll.qlRateHelperQuoteName(M33,Trigger),"--")</f>
        <v>USDFUT3MU7_Quote</v>
      </c>
      <c r="O33" s="149">
        <f>IFERROR(_xll.qlRateHelperQuoteValue($M33,Trigger),"--")</f>
        <v>98.427500000000009</v>
      </c>
      <c r="P33" s="96" t="b">
        <f t="shared" si="10"/>
        <v>1</v>
      </c>
      <c r="Q33" s="93">
        <v>30</v>
      </c>
      <c r="R33" s="93">
        <v>21</v>
      </c>
      <c r="S33" s="98">
        <f>IFERROR(_xll.qlRateHelperEarliestDate(M33,Trigger),"--")</f>
        <v>42998</v>
      </c>
      <c r="T33" s="98">
        <f>IFERROR(_xll.qlRateHelperPillarDate(M33,Trigger),"--")</f>
        <v>43089</v>
      </c>
      <c r="V33" s="3" t="str">
        <f t="shared" si="2"/>
        <v>Sw</v>
      </c>
      <c r="W33" s="3" t="str">
        <v>obj_003ba</v>
      </c>
      <c r="X33" s="3" t="str">
        <f>IFERROR(_xll.qlRateHelperQuoteName(W33,Trigger),"")</f>
        <v>USD_CURVE_3M_11Y_Quote</v>
      </c>
      <c r="Y33" s="68">
        <f>IFERROR(_xll.qlRateHelperRate(W33,Trigger),"")</f>
        <v>2.2889750189999999E-2</v>
      </c>
      <c r="Z33" s="103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42261</v>
      </c>
      <c r="AB33" s="4">
        <f>IFERROR(_xll.qlRateHelperPillarDate(W33,Trigger),"")</f>
        <v>46279</v>
      </c>
      <c r="AC33" s="68">
        <v>2.3481470177550621E-2</v>
      </c>
    </row>
    <row r="34" spans="1:29" ht="11.25" customHeight="1" x14ac:dyDescent="0.2">
      <c r="A34" s="58" t="s">
        <v>89</v>
      </c>
      <c r="B34" s="115" t="b">
        <v>1</v>
      </c>
      <c r="C34" s="61" t="str">
        <f>_xll.qlIMMNextCode(C33,B34,Trigger)</f>
        <v>U6</v>
      </c>
      <c r="D34" s="124"/>
      <c r="E34" s="124"/>
      <c r="F34" s="124"/>
      <c r="G34" s="60" t="str">
        <f t="shared" si="11"/>
        <v>UsdLibor3M</v>
      </c>
      <c r="H34" s="118" t="str">
        <f t="shared" si="12"/>
        <v>USDFUT3MU6_Quote</v>
      </c>
      <c r="I34" s="118">
        <f t="shared" si="13"/>
        <v>7.9000000000000009E-5</v>
      </c>
      <c r="J34" s="62" t="str">
        <f>_xll.qlFuturesRateHelper(,H34,$H$25,C34,G34,I34,Permanent,Trigger,ObjectOverwrite)</f>
        <v>obj_003c8#0005</v>
      </c>
      <c r="K34" s="48"/>
      <c r="L34" s="9" t="str">
        <f t="shared" si="8"/>
        <v>FUT</v>
      </c>
      <c r="M34" s="93" t="str">
        <f t="shared" si="9"/>
        <v>obj_003d2#0005</v>
      </c>
      <c r="N34" s="148" t="str">
        <f>IFERROR(_xll.qlRateHelperQuoteName(M34,Trigger),"--")</f>
        <v>USDFUT3MZ7_Quote</v>
      </c>
      <c r="O34" s="149">
        <f>IFERROR(_xll.qlRateHelperQuoteValue($M34,Trigger),"--")</f>
        <v>98.292500000000004</v>
      </c>
      <c r="P34" s="96" t="b">
        <f t="shared" si="10"/>
        <v>1</v>
      </c>
      <c r="Q34" s="139">
        <v>50</v>
      </c>
      <c r="R34" s="139">
        <v>1</v>
      </c>
      <c r="S34" s="142">
        <f>IFERROR(_xll.qlRateHelperEarliestDate(M34,Trigger),"--")</f>
        <v>43089</v>
      </c>
      <c r="T34" s="142">
        <f>IFERROR(_xll.qlRateHelperPillarDate(M34,Trigger),"--")</f>
        <v>43179</v>
      </c>
      <c r="V34" s="3" t="str">
        <f t="shared" si="2"/>
        <v>Sw</v>
      </c>
      <c r="W34" s="3" t="str">
        <v>obj_003af</v>
      </c>
      <c r="X34" s="3" t="str">
        <f>IFERROR(_xll.qlRateHelperQuoteName(W34,Trigger),"")</f>
        <v>USD_CURVE_3M_12Y_Quote</v>
      </c>
      <c r="Y34" s="68">
        <f>IFERROR(_xll.qlRateHelperRate(W34,Trigger),"")</f>
        <v>2.349E-2</v>
      </c>
      <c r="Z34" s="103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42261</v>
      </c>
      <c r="AB34" s="4">
        <f>IFERROR(_xll.qlRateHelperPillarDate(W34,Trigger),"")</f>
        <v>46644</v>
      </c>
      <c r="AC34" s="68">
        <v>2.4132814141436584E-2</v>
      </c>
    </row>
    <row r="35" spans="1:29" ht="11.25" customHeight="1" x14ac:dyDescent="0.2">
      <c r="A35" s="58" t="s">
        <v>89</v>
      </c>
      <c r="B35" s="115" t="b">
        <v>1</v>
      </c>
      <c r="C35" s="61" t="str">
        <f>_xll.qlIMMNextCode(C34,B35,Trigger)</f>
        <v>Z6</v>
      </c>
      <c r="D35" s="124"/>
      <c r="E35" s="124"/>
      <c r="F35" s="124"/>
      <c r="G35" s="60" t="str">
        <f t="shared" si="11"/>
        <v>UsdLibor3M</v>
      </c>
      <c r="H35" s="118" t="str">
        <f t="shared" si="12"/>
        <v>USDFUT3MZ6_Quote</v>
      </c>
      <c r="I35" s="118">
        <f t="shared" si="13"/>
        <v>1.13E-4</v>
      </c>
      <c r="J35" s="62" t="str">
        <f>_xll.qlFuturesRateHelper(,H35,$H$25,C35,G35,I35,Permanent,Trigger,ObjectOverwrite)</f>
        <v>obj_003c9#0005</v>
      </c>
      <c r="K35" s="48"/>
      <c r="L35" s="9" t="str">
        <f t="shared" si="8"/>
        <v>FUT</v>
      </c>
      <c r="M35" s="93" t="str">
        <f t="shared" si="9"/>
        <v>obj_003d3#0005</v>
      </c>
      <c r="N35" s="148" t="str">
        <f>IFERROR(_xll.qlRateHelperQuoteName(M35,Trigger),"--")</f>
        <v>USDFUT3MH8_Quote</v>
      </c>
      <c r="O35" s="149">
        <f>IFERROR(_xll.qlRateHelperQuoteValue($M35,Trigger),"--")</f>
        <v>98.177500000000009</v>
      </c>
      <c r="P35" s="96" t="b">
        <f t="shared" si="10"/>
        <v>1</v>
      </c>
      <c r="Q35" s="139">
        <v>50</v>
      </c>
      <c r="R35" s="139">
        <v>1</v>
      </c>
      <c r="S35" s="142">
        <f>IFERROR(_xll.qlRateHelperEarliestDate(M35,Trigger),"--")</f>
        <v>43180</v>
      </c>
      <c r="T35" s="142">
        <f>IFERROR(_xll.qlRateHelperPillarDate(M35,Trigger),"--")</f>
        <v>43272</v>
      </c>
      <c r="V35" s="3" t="str">
        <f t="shared" ref="V35:V71" si="14">IFERROR(INDEX($L$3:$L$80,MATCH(X35,$N$3:$N$80,0),1),"")</f>
        <v>Sw</v>
      </c>
      <c r="W35" s="3" t="str">
        <v>obj_003ac</v>
      </c>
      <c r="X35" s="3" t="str">
        <f>IFERROR(_xll.qlRateHelperQuoteName(W35,Trigger),"")</f>
        <v>USD_CURVE_3M_13Y_Quote</v>
      </c>
      <c r="Y35" s="68">
        <f>IFERROR(_xll.qlRateHelperRate(W35,Trigger),"")</f>
        <v>2.398862823E-2</v>
      </c>
      <c r="Z35" s="103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42261</v>
      </c>
      <c r="AB35" s="4">
        <f>IFERROR(_xll.qlRateHelperPillarDate(W35,Trigger),"")</f>
        <v>47010</v>
      </c>
      <c r="AC35" s="68">
        <v>2.4675333328254279E-2</v>
      </c>
    </row>
    <row r="36" spans="1:29" ht="11.25" customHeight="1" x14ac:dyDescent="0.2">
      <c r="A36" s="58" t="s">
        <v>89</v>
      </c>
      <c r="B36" s="115" t="b">
        <v>1</v>
      </c>
      <c r="C36" s="61" t="str">
        <f>_xll.qlIMMNextCode(C35,B36,Trigger)</f>
        <v>H7</v>
      </c>
      <c r="D36" s="124"/>
      <c r="E36" s="124"/>
      <c r="F36" s="124"/>
      <c r="G36" s="60" t="str">
        <f t="shared" si="11"/>
        <v>UsdLibor3M</v>
      </c>
      <c r="H36" s="118" t="str">
        <f t="shared" si="12"/>
        <v>USDFUT3MH7_Quote</v>
      </c>
      <c r="I36" s="118">
        <f t="shared" si="13"/>
        <v>1.5100000000000001E-4</v>
      </c>
      <c r="J36" s="62" t="str">
        <f>_xll.qlFuturesRateHelper(,H36,$H$25,C36,G36,I36,Permanent,Trigger,ObjectOverwrite)</f>
        <v>obj_003ca#0005</v>
      </c>
      <c r="K36" s="48"/>
      <c r="L36" s="9" t="str">
        <f t="shared" si="8"/>
        <v>FUT</v>
      </c>
      <c r="M36" s="93" t="str">
        <f t="shared" si="9"/>
        <v>obj_003d4#0005</v>
      </c>
      <c r="N36" s="148" t="str">
        <f>IFERROR(_xll.qlRateHelperQuoteName(M36,Trigger),"--")</f>
        <v>USDFUT3MM8_Quote</v>
      </c>
      <c r="O36" s="149">
        <f>IFERROR(_xll.qlRateHelperQuoteValue($M36,Trigger),"--")</f>
        <v>98.0625</v>
      </c>
      <c r="P36" s="96" t="b">
        <f t="shared" si="10"/>
        <v>1</v>
      </c>
      <c r="Q36" s="139">
        <v>50</v>
      </c>
      <c r="R36" s="139">
        <v>1</v>
      </c>
      <c r="S36" s="142">
        <f>IFERROR(_xll.qlRateHelperEarliestDate(M36,Trigger),"--")</f>
        <v>43271</v>
      </c>
      <c r="T36" s="142">
        <f>IFERROR(_xll.qlRateHelperPillarDate(M36,Trigger),"--")</f>
        <v>43363</v>
      </c>
      <c r="V36" s="3" t="str">
        <f t="shared" si="14"/>
        <v>Sw</v>
      </c>
      <c r="W36" s="3" t="str">
        <v>obj_003aa</v>
      </c>
      <c r="X36" s="3" t="str">
        <f>IFERROR(_xll.qlRateHelperQuoteName(W36,Trigger),"")</f>
        <v>USD_CURVE_3M_14Y_Quote</v>
      </c>
      <c r="Y36" s="68">
        <f>IFERROR(_xll.qlRateHelperRate(W36,Trigger),"")</f>
        <v>2.4404396179999999E-2</v>
      </c>
      <c r="Z36" s="103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42261</v>
      </c>
      <c r="AB36" s="4">
        <f>IFERROR(_xll.qlRateHelperPillarDate(W36,Trigger),"")</f>
        <v>47375</v>
      </c>
      <c r="AC36" s="68">
        <v>2.5128597391486329E-2</v>
      </c>
    </row>
    <row r="37" spans="1:29" ht="11.25" customHeight="1" x14ac:dyDescent="0.2">
      <c r="A37" s="58" t="s">
        <v>89</v>
      </c>
      <c r="B37" s="115" t="b">
        <v>1</v>
      </c>
      <c r="C37" s="61" t="str">
        <f>_xll.qlIMMNextCode(C36,B37,Trigger)</f>
        <v>M7</v>
      </c>
      <c r="D37" s="124"/>
      <c r="E37" s="124"/>
      <c r="F37" s="124"/>
      <c r="G37" s="60" t="str">
        <f t="shared" si="11"/>
        <v>UsdLibor3M</v>
      </c>
      <c r="H37" s="118" t="str">
        <f t="shared" si="12"/>
        <v>USDFUT3MM7_Quote</v>
      </c>
      <c r="I37" s="118">
        <f t="shared" si="13"/>
        <v>2.0000000000000001E-4</v>
      </c>
      <c r="J37" s="62" t="str">
        <f>_xll.qlFuturesRateHelper(,H37,$H$25,C37,G37,I37,Permanent,Trigger,ObjectOverwrite)</f>
        <v>obj_003d1#0005</v>
      </c>
      <c r="K37" s="48"/>
      <c r="L37" s="9" t="str">
        <f t="shared" si="8"/>
        <v>FUT</v>
      </c>
      <c r="M37" s="93" t="str">
        <f t="shared" si="9"/>
        <v>obj_003d5#0005</v>
      </c>
      <c r="N37" s="148" t="str">
        <f>IFERROR(_xll.qlRateHelperQuoteName(M37,Trigger),"--")</f>
        <v>USDFUT3MU8_Quote</v>
      </c>
      <c r="O37" s="149">
        <f>IFERROR(_xll.qlRateHelperQuoteValue($M37,Trigger),"--")</f>
        <v>97.957499999999996</v>
      </c>
      <c r="P37" s="96" t="b">
        <f t="shared" si="10"/>
        <v>1</v>
      </c>
      <c r="Q37" s="139">
        <v>50</v>
      </c>
      <c r="R37" s="139">
        <v>1</v>
      </c>
      <c r="S37" s="142">
        <f>IFERROR(_xll.qlRateHelperEarliestDate(M37,Trigger),"--")</f>
        <v>43362</v>
      </c>
      <c r="T37" s="142">
        <f>IFERROR(_xll.qlRateHelperPillarDate(M37,Trigger),"--")</f>
        <v>43453</v>
      </c>
      <c r="V37" s="3" t="str">
        <f t="shared" si="14"/>
        <v>Sw</v>
      </c>
      <c r="W37" s="3" t="str">
        <v>obj_003ab</v>
      </c>
      <c r="X37" s="3" t="str">
        <f>IFERROR(_xll.qlRateHelperQuoteName(W37,Trigger),"")</f>
        <v>USD_CURVE_3M_15Y_Quote</v>
      </c>
      <c r="Y37" s="68">
        <f>IFERROR(_xll.qlRateHelperRate(W37,Trigger),"")</f>
        <v>2.4760000000000001E-2</v>
      </c>
      <c r="Z37" s="103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42261</v>
      </c>
      <c r="AB37" s="4">
        <f>IFERROR(_xll.qlRateHelperPillarDate(W37,Trigger),"")</f>
        <v>47742</v>
      </c>
      <c r="AC37" s="68">
        <v>2.5516905238108706E-2</v>
      </c>
    </row>
    <row r="38" spans="1:29" ht="11.25" customHeight="1" x14ac:dyDescent="0.2">
      <c r="A38" s="58" t="s">
        <v>89</v>
      </c>
      <c r="B38" s="115" t="b">
        <v>1</v>
      </c>
      <c r="C38" s="61" t="str">
        <f>_xll.qlIMMNextCode(C37,B38,Trigger)</f>
        <v>U7</v>
      </c>
      <c r="D38" s="124"/>
      <c r="E38" s="124"/>
      <c r="F38" s="124"/>
      <c r="G38" s="60" t="str">
        <f t="shared" si="11"/>
        <v>UsdLibor3M</v>
      </c>
      <c r="H38" s="118" t="str">
        <f t="shared" si="12"/>
        <v>USDFUT3MU7_Quote</v>
      </c>
      <c r="I38" s="118">
        <f t="shared" si="13"/>
        <v>2.5000000000000001E-4</v>
      </c>
      <c r="J38" s="62" t="str">
        <f>_xll.qlFuturesRateHelper(,H38,$H$25,C38,G38,I38,Permanent,Trigger,ObjectOverwrite)</f>
        <v>obj_003ce#0005</v>
      </c>
      <c r="K38" s="48"/>
      <c r="L38" s="9" t="str">
        <f t="shared" si="8"/>
        <v>FUT</v>
      </c>
      <c r="M38" s="93" t="str">
        <f t="shared" si="9"/>
        <v>obj_003d6#0005</v>
      </c>
      <c r="N38" s="148" t="str">
        <f>IFERROR(_xll.qlRateHelperQuoteName(M38,Trigger),"--")</f>
        <v>USDFUT3MZ8_Quote</v>
      </c>
      <c r="O38" s="149">
        <f>IFERROR(_xll.qlRateHelperQuoteValue($M38,Trigger),"--")</f>
        <v>97.852499999999992</v>
      </c>
      <c r="P38" s="96" t="b">
        <f t="shared" si="10"/>
        <v>1</v>
      </c>
      <c r="Q38" s="139">
        <v>50</v>
      </c>
      <c r="R38" s="139">
        <v>1</v>
      </c>
      <c r="S38" s="142">
        <f>IFERROR(_xll.qlRateHelperEarliestDate(M38,Trigger),"--")</f>
        <v>43453</v>
      </c>
      <c r="T38" s="142">
        <f>IFERROR(_xll.qlRateHelperPillarDate(M38,Trigger),"--")</f>
        <v>43543</v>
      </c>
      <c r="V38" s="3" t="str">
        <f t="shared" si="14"/>
        <v>Sw</v>
      </c>
      <c r="W38" s="3" t="str">
        <v>obj_003b2</v>
      </c>
      <c r="X38" s="3" t="str">
        <f>IFERROR(_xll.qlRateHelperQuoteName(W38,Trigger),"")</f>
        <v>USD_CURVE_3M_16Y_Quote</v>
      </c>
      <c r="Y38" s="68">
        <f>IFERROR(_xll.qlRateHelperRate(W38,Trigger),"")</f>
        <v>2.50641261E-2</v>
      </c>
      <c r="Z38" s="103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42261</v>
      </c>
      <c r="AB38" s="4">
        <f>IFERROR(_xll.qlRateHelperPillarDate(W38,Trigger),"")</f>
        <v>48106</v>
      </c>
      <c r="AC38" s="68">
        <v>2.5849900837420926E-2</v>
      </c>
    </row>
    <row r="39" spans="1:29" ht="11.25" customHeight="1" x14ac:dyDescent="0.2">
      <c r="A39" s="58" t="s">
        <v>89</v>
      </c>
      <c r="B39" s="115" t="b">
        <v>1</v>
      </c>
      <c r="C39" s="61" t="str">
        <f>_xll.qlIMMNextCode(C38,B39,Trigger)</f>
        <v>Z7</v>
      </c>
      <c r="D39" s="124"/>
      <c r="E39" s="124"/>
      <c r="F39" s="124"/>
      <c r="G39" s="60" t="str">
        <f t="shared" si="11"/>
        <v>UsdLibor3M</v>
      </c>
      <c r="H39" s="118" t="str">
        <f t="shared" si="12"/>
        <v>USDFUT3MZ7_Quote</v>
      </c>
      <c r="I39" s="118">
        <f t="shared" si="13"/>
        <v>0</v>
      </c>
      <c r="J39" s="62" t="str">
        <f>_xll.qlFuturesRateHelper(,H39,$H$25,C39,G39,I39,Permanent,Trigger,ObjectOverwrite)</f>
        <v>obj_003d2#0005</v>
      </c>
      <c r="K39" s="48"/>
      <c r="L39" s="9" t="str">
        <f t="shared" si="8"/>
        <v>FUT</v>
      </c>
      <c r="M39" s="93" t="str">
        <f t="shared" si="9"/>
        <v>obj_003d7#0005</v>
      </c>
      <c r="N39" s="148" t="str">
        <f>IFERROR(_xll.qlRateHelperQuoteName(M39,Trigger),"--")</f>
        <v>USDFUT3MH9_Quote</v>
      </c>
      <c r="O39" s="149">
        <f>IFERROR(_xll.qlRateHelperQuoteValue($M39,Trigger),"--")</f>
        <v>97.762500000000003</v>
      </c>
      <c r="P39" s="96" t="b">
        <f t="shared" si="10"/>
        <v>1</v>
      </c>
      <c r="Q39" s="139">
        <v>50</v>
      </c>
      <c r="R39" s="139">
        <v>1</v>
      </c>
      <c r="S39" s="142">
        <f>IFERROR(_xll.qlRateHelperEarliestDate(M39,Trigger),"--")</f>
        <v>43544</v>
      </c>
      <c r="T39" s="142">
        <f>IFERROR(_xll.qlRateHelperPillarDate(M39,Trigger),"--")</f>
        <v>43636</v>
      </c>
      <c r="V39" s="3" t="str">
        <f t="shared" si="14"/>
        <v>Sw</v>
      </c>
      <c r="W39" s="3" t="str">
        <v>obj_003be</v>
      </c>
      <c r="X39" s="3" t="str">
        <f>IFERROR(_xll.qlRateHelperQuoteName(W39,Trigger),"")</f>
        <v>USD_CURVE_3M_17Y_Quote</v>
      </c>
      <c r="Y39" s="68">
        <f>IFERROR(_xll.qlRateHelperRate(W39,Trigger),"")</f>
        <v>2.5328148800000002E-2</v>
      </c>
      <c r="Z39" s="103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42261</v>
      </c>
      <c r="AB39" s="4">
        <f>IFERROR(_xll.qlRateHelperPillarDate(W39,Trigger),"")</f>
        <v>48471</v>
      </c>
      <c r="AC39" s="68">
        <v>2.6139254220300636E-2</v>
      </c>
    </row>
    <row r="40" spans="1:29" ht="11.25" customHeight="1" x14ac:dyDescent="0.2">
      <c r="A40" s="58" t="s">
        <v>89</v>
      </c>
      <c r="B40" s="115" t="b">
        <v>1</v>
      </c>
      <c r="C40" s="61" t="str">
        <f>_xll.qlIMMNextCode(C39,B40,Trigger)</f>
        <v>H8</v>
      </c>
      <c r="D40" s="124"/>
      <c r="E40" s="124"/>
      <c r="F40" s="124"/>
      <c r="G40" s="60" t="str">
        <f t="shared" si="11"/>
        <v>UsdLibor3M</v>
      </c>
      <c r="H40" s="118" t="str">
        <f t="shared" si="12"/>
        <v>USDFUT3MH8_Quote</v>
      </c>
      <c r="I40" s="118">
        <f t="shared" si="13"/>
        <v>0</v>
      </c>
      <c r="J40" s="62" t="str">
        <f>_xll.qlFuturesRateHelper(,H40,$H$25,C40,G40,I40,Permanent,Trigger,ObjectOverwrite)</f>
        <v>obj_003d3#0005</v>
      </c>
      <c r="K40" s="48"/>
      <c r="L40" s="9" t="str">
        <f t="shared" si="8"/>
        <v>FUT</v>
      </c>
      <c r="M40" s="93" t="str">
        <f t="shared" si="9"/>
        <v>obj_003d8#0005</v>
      </c>
      <c r="N40" s="148" t="str">
        <f>IFERROR(_xll.qlRateHelperQuoteName(M40,Trigger),"--")</f>
        <v>USDFUT3MM9_Quote</v>
      </c>
      <c r="O40" s="149">
        <f>IFERROR(_xll.qlRateHelperQuoteValue($M40,Trigger),"--")</f>
        <v>97.672499999999999</v>
      </c>
      <c r="P40" s="96" t="b">
        <f t="shared" si="10"/>
        <v>1</v>
      </c>
      <c r="Q40" s="139">
        <v>50</v>
      </c>
      <c r="R40" s="139">
        <v>1</v>
      </c>
      <c r="S40" s="142">
        <f>IFERROR(_xll.qlRateHelperEarliestDate(M40,Trigger),"--")</f>
        <v>43635</v>
      </c>
      <c r="T40" s="142">
        <f>IFERROR(_xll.qlRateHelperPillarDate(M40,Trigger),"--")</f>
        <v>43727</v>
      </c>
      <c r="V40" s="3" t="str">
        <f t="shared" si="14"/>
        <v>Sw</v>
      </c>
      <c r="W40" s="3" t="str">
        <v>obj_003bb</v>
      </c>
      <c r="X40" s="3" t="str">
        <f>IFERROR(_xll.qlRateHelperQuoteName(W40,Trigger),"")</f>
        <v>USD_CURVE_3M_18Y_Quote</v>
      </c>
      <c r="Y40" s="68">
        <f>IFERROR(_xll.qlRateHelperRate(W40,Trigger),"")</f>
        <v>2.5556219979999999E-2</v>
      </c>
      <c r="Z40" s="103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42261</v>
      </c>
      <c r="AB40" s="4">
        <f>IFERROR(_xll.qlRateHelperPillarDate(W40,Trigger),"")</f>
        <v>48836</v>
      </c>
      <c r="AC40" s="68">
        <v>2.6388991784716868E-2</v>
      </c>
    </row>
    <row r="41" spans="1:29" ht="11.25" customHeight="1" x14ac:dyDescent="0.2">
      <c r="A41" s="58" t="s">
        <v>89</v>
      </c>
      <c r="B41" s="115" t="b">
        <v>1</v>
      </c>
      <c r="C41" s="61" t="str">
        <f>_xll.qlIMMNextCode(C40,B41,Trigger)</f>
        <v>M8</v>
      </c>
      <c r="D41" s="124"/>
      <c r="E41" s="124"/>
      <c r="F41" s="124"/>
      <c r="G41" s="60" t="str">
        <f t="shared" si="11"/>
        <v>UsdLibor3M</v>
      </c>
      <c r="H41" s="118" t="str">
        <f t="shared" si="12"/>
        <v>USDFUT3MM8_Quote</v>
      </c>
      <c r="I41" s="118">
        <f t="shared" si="13"/>
        <v>0</v>
      </c>
      <c r="J41" s="62" t="str">
        <f>_xll.qlFuturesRateHelper(,H41,$H$25,C41,G41,I41,Permanent,Trigger,ObjectOverwrite)</f>
        <v>obj_003d4#0005</v>
      </c>
      <c r="L41" s="9" t="str">
        <f t="shared" si="8"/>
        <v>FUT</v>
      </c>
      <c r="M41" s="93" t="str">
        <f t="shared" si="9"/>
        <v>obj_003d9#0005</v>
      </c>
      <c r="N41" s="148" t="str">
        <f>IFERROR(_xll.qlRateHelperQuoteName(M41,Trigger),"--")</f>
        <v>USDFUT3MU9_Quote</v>
      </c>
      <c r="O41" s="149">
        <f>IFERROR(_xll.qlRateHelperQuoteValue($M41,Trigger),"--")</f>
        <v>97.582499999999996</v>
      </c>
      <c r="P41" s="140" t="b">
        <f t="shared" si="10"/>
        <v>1</v>
      </c>
      <c r="Q41" s="139">
        <v>50</v>
      </c>
      <c r="R41" s="139">
        <v>1</v>
      </c>
      <c r="S41" s="142">
        <f>IFERROR(_xll.qlRateHelperEarliestDate(M41,Trigger),"--")</f>
        <v>43726</v>
      </c>
      <c r="T41" s="142">
        <f>IFERROR(_xll.qlRateHelperPillarDate(M41,Trigger),"--")</f>
        <v>43817</v>
      </c>
      <c r="V41" s="3" t="str">
        <f t="shared" si="14"/>
        <v>Sw</v>
      </c>
      <c r="W41" s="3" t="str">
        <v>obj_003a8</v>
      </c>
      <c r="X41" s="3" t="str">
        <f>IFERROR(_xll.qlRateHelperQuoteName(W41,Trigger),"")</f>
        <v>USD_CURVE_3M_19Y_Quote</v>
      </c>
      <c r="Y41" s="68">
        <f>IFERROR(_xll.qlRateHelperRate(W41,Trigger),"")</f>
        <v>2.5752405989999998E-2</v>
      </c>
      <c r="Z41" s="103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42261</v>
      </c>
      <c r="AB41" s="4">
        <f>IFERROR(_xll.qlRateHelperPillarDate(W41,Trigger),"")</f>
        <v>49201</v>
      </c>
      <c r="AC41" s="68">
        <v>2.6603039419534225E-2</v>
      </c>
    </row>
    <row r="42" spans="1:29" ht="11.25" customHeight="1" x14ac:dyDescent="0.2">
      <c r="A42" s="58" t="s">
        <v>89</v>
      </c>
      <c r="B42" s="115" t="b">
        <v>1</v>
      </c>
      <c r="C42" s="61" t="str">
        <f>_xll.qlIMMNextCode(C41,B42,Trigger)</f>
        <v>U8</v>
      </c>
      <c r="D42" s="124"/>
      <c r="E42" s="124"/>
      <c r="F42" s="124"/>
      <c r="G42" s="60" t="str">
        <f t="shared" si="11"/>
        <v>UsdLibor3M</v>
      </c>
      <c r="H42" s="118" t="str">
        <f t="shared" si="12"/>
        <v>USDFUT3MU8_Quote</v>
      </c>
      <c r="I42" s="118">
        <f t="shared" si="13"/>
        <v>0</v>
      </c>
      <c r="J42" s="62" t="str">
        <f>_xll.qlFuturesRateHelper(,H42,$H$25,C42,G42,I42,Permanent,Trigger,ObjectOverwrite)</f>
        <v>obj_003d5#0005</v>
      </c>
      <c r="L42" s="9" t="str">
        <f t="shared" si="8"/>
        <v>FUT</v>
      </c>
      <c r="M42" s="93" t="str">
        <f t="shared" si="9"/>
        <v>obj_003da#0005</v>
      </c>
      <c r="N42" s="148" t="str">
        <f>IFERROR(_xll.qlRateHelperQuoteName(M42,Trigger),"--")</f>
        <v>USDFUT3MZ9_Quote</v>
      </c>
      <c r="O42" s="149">
        <f>IFERROR(_xll.qlRateHelperQuoteValue($M42,Trigger),"--")</f>
        <v>97.495000000000005</v>
      </c>
      <c r="P42" s="140" t="b">
        <f t="shared" si="10"/>
        <v>1</v>
      </c>
      <c r="Q42" s="139">
        <v>50</v>
      </c>
      <c r="R42" s="139">
        <v>1</v>
      </c>
      <c r="S42" s="142">
        <f>IFERROR(_xll.qlRateHelperEarliestDate(M42,Trigger),"--")</f>
        <v>43817</v>
      </c>
      <c r="T42" s="142">
        <f>IFERROR(_xll.qlRateHelperPillarDate(M42,Trigger),"--")</f>
        <v>43908</v>
      </c>
      <c r="V42" s="3" t="str">
        <f t="shared" si="14"/>
        <v>Sw</v>
      </c>
      <c r="W42" s="3" t="str">
        <v>obj_003b4</v>
      </c>
      <c r="X42" s="3" t="str">
        <f>IFERROR(_xll.qlRateHelperQuoteName(W42,Trigger),"")</f>
        <v>USD_CURVE_3M_20Y_Quote</v>
      </c>
      <c r="Y42" s="68">
        <f>IFERROR(_xll.qlRateHelperRate(W42,Trigger),"")</f>
        <v>2.5920000000000002E-2</v>
      </c>
      <c r="Z42" s="103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42261</v>
      </c>
      <c r="AB42" s="4">
        <f>IFERROR(_xll.qlRateHelperPillarDate(W42,Trigger),"")</f>
        <v>49566</v>
      </c>
      <c r="AC42" s="68">
        <v>2.6784518981045103E-2</v>
      </c>
    </row>
    <row r="43" spans="1:29" ht="11.25" customHeight="1" x14ac:dyDescent="0.2">
      <c r="A43" s="58" t="s">
        <v>89</v>
      </c>
      <c r="B43" s="115" t="b">
        <v>1</v>
      </c>
      <c r="C43" s="61" t="str">
        <f>_xll.qlIMMNextCode(C42,B43,Trigger)</f>
        <v>Z8</v>
      </c>
      <c r="D43" s="124"/>
      <c r="E43" s="124"/>
      <c r="F43" s="124"/>
      <c r="G43" s="60" t="str">
        <f t="shared" si="11"/>
        <v>UsdLibor3M</v>
      </c>
      <c r="H43" s="118" t="str">
        <f t="shared" si="12"/>
        <v>USDFUT3MZ8_Quote</v>
      </c>
      <c r="I43" s="118">
        <f t="shared" si="13"/>
        <v>0</v>
      </c>
      <c r="J43" s="62" t="str">
        <f>_xll.qlFuturesRateHelper(,H43,$H$25,C43,G43,I43,Permanent,Trigger,ObjectOverwrite)</f>
        <v>obj_003d6#0005</v>
      </c>
      <c r="L43" s="10" t="str">
        <f t="shared" si="8"/>
        <v>FUT</v>
      </c>
      <c r="M43" s="94" t="str">
        <f t="shared" si="9"/>
        <v>obj_003db#0005</v>
      </c>
      <c r="N43" s="152" t="str">
        <f>IFERROR(_xll.qlRateHelperQuoteName(M43,Trigger),"--")</f>
        <v>USDFUT3MH0_Quote</v>
      </c>
      <c r="O43" s="150">
        <f>IFERROR(_xll.qlRateHelperQuoteValue($M43,Trigger),"--")</f>
        <v>97.412499999999994</v>
      </c>
      <c r="P43" s="143" t="b">
        <f t="shared" si="10"/>
        <v>1</v>
      </c>
      <c r="Q43" s="277">
        <v>50</v>
      </c>
      <c r="R43" s="277">
        <v>1</v>
      </c>
      <c r="S43" s="151">
        <f>IFERROR(_xll.qlRateHelperEarliestDate(M43,Trigger),"--")</f>
        <v>43908</v>
      </c>
      <c r="T43" s="151">
        <f>IFERROR(_xll.qlRateHelperPillarDate(M43,Trigger),"--")</f>
        <v>44000</v>
      </c>
      <c r="V43" s="3" t="str">
        <f t="shared" si="14"/>
        <v>Sw</v>
      </c>
      <c r="W43" s="3" t="str">
        <v>obj_003b8</v>
      </c>
      <c r="X43" s="3" t="str">
        <f>IFERROR(_xll.qlRateHelperQuoteName(W43,Trigger),"")</f>
        <v>USD_CURVE_3M_21Y_Quote</v>
      </c>
      <c r="Y43" s="68">
        <f>IFERROR(_xll.qlRateHelperRate(W43,Trigger),"")</f>
        <v>2.606308475E-2</v>
      </c>
      <c r="Z43" s="103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42261</v>
      </c>
      <c r="AB43" s="4">
        <f>IFERROR(_xll.qlRateHelperPillarDate(W43,Trigger),"")</f>
        <v>49933</v>
      </c>
      <c r="AC43" s="68">
        <v>2.6937497736133229E-2</v>
      </c>
    </row>
    <row r="44" spans="1:29" ht="11.25" customHeight="1" x14ac:dyDescent="0.2">
      <c r="A44" s="58" t="s">
        <v>89</v>
      </c>
      <c r="B44" s="115" t="b">
        <v>1</v>
      </c>
      <c r="C44" s="61" t="str">
        <f>_xll.qlIMMNextCode(C43,B44,Trigger)</f>
        <v>H9</v>
      </c>
      <c r="D44" s="124"/>
      <c r="E44" s="124"/>
      <c r="F44" s="124"/>
      <c r="G44" s="60" t="str">
        <f t="shared" si="11"/>
        <v>UsdLibor3M</v>
      </c>
      <c r="H44" s="118" t="str">
        <f t="shared" si="12"/>
        <v>USDFUT3MH9_Quote</v>
      </c>
      <c r="I44" s="118">
        <f t="shared" si="13"/>
        <v>0</v>
      </c>
      <c r="J44" s="62" t="str">
        <f>_xll.qlFuturesRateHelper(,H44,$H$25,C44,G44,I44,Permanent,Trigger,ObjectOverwrite)</f>
        <v>obj_003d7#0005</v>
      </c>
      <c r="L44" s="66" t="str">
        <f>A51</f>
        <v>Sw</v>
      </c>
      <c r="M44" s="135" t="str">
        <f>IF(ISBLANK(J51),"--",J51)</f>
        <v>--</v>
      </c>
      <c r="N44" s="147" t="str">
        <f>IFERROR(_xll.qlRateHelperQuoteName(M44,Trigger),"--")</f>
        <v>--</v>
      </c>
      <c r="O44" s="137" t="str">
        <f>IFERROR(_xll.qlRateHelperQuoteValue($M44,Trigger),"--")</f>
        <v>--</v>
      </c>
      <c r="P44" s="136" t="b">
        <v>0</v>
      </c>
      <c r="Q44" s="135">
        <v>50</v>
      </c>
      <c r="R44" s="135">
        <v>1</v>
      </c>
      <c r="S44" s="138" t="str">
        <f>IFERROR(_xll.qlRateHelperEarliestDate(M44,Trigger),"--")</f>
        <v>--</v>
      </c>
      <c r="T44" s="138" t="str">
        <f>IFERROR(_xll.qlRateHelperPillarDate(M44,Trigger),"--")</f>
        <v>--</v>
      </c>
      <c r="V44" s="3" t="str">
        <f t="shared" si="14"/>
        <v>Sw</v>
      </c>
      <c r="W44" s="3" t="str">
        <v>obj_003b5</v>
      </c>
      <c r="X44" s="3" t="str">
        <f>IFERROR(_xll.qlRateHelperQuoteName(W44,Trigger),"")</f>
        <v>USD_CURVE_3M_22Y_Quote</v>
      </c>
      <c r="Y44" s="68">
        <f>IFERROR(_xll.qlRateHelperRate(W44,Trigger),"")</f>
        <v>2.6184567200000002E-2</v>
      </c>
      <c r="Z44" s="103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42261</v>
      </c>
      <c r="AB44" s="4">
        <f>IFERROR(_xll.qlRateHelperPillarDate(W44,Trigger),"")</f>
        <v>50297</v>
      </c>
      <c r="AC44" s="68">
        <v>2.7065775645830528E-2</v>
      </c>
    </row>
    <row r="45" spans="1:29" ht="11.25" customHeight="1" x14ac:dyDescent="0.2">
      <c r="A45" s="58" t="s">
        <v>89</v>
      </c>
      <c r="B45" s="115" t="b">
        <v>1</v>
      </c>
      <c r="C45" s="61" t="str">
        <f>_xll.qlIMMNextCode(C44,B45,Trigger)</f>
        <v>M9</v>
      </c>
      <c r="D45" s="124"/>
      <c r="E45" s="124"/>
      <c r="F45" s="124"/>
      <c r="G45" s="60" t="str">
        <f t="shared" si="11"/>
        <v>UsdLibor3M</v>
      </c>
      <c r="H45" s="118" t="str">
        <f t="shared" si="12"/>
        <v>USDFUT3MM9_Quote</v>
      </c>
      <c r="I45" s="118">
        <f t="shared" si="13"/>
        <v>0</v>
      </c>
      <c r="J45" s="62" t="str">
        <f>_xll.qlFuturesRateHelper(,H45,$H$25,C45,G45,I45,Permanent,Trigger,ObjectOverwrite)</f>
        <v>obj_003d8#0005</v>
      </c>
      <c r="L45" s="9" t="str">
        <f t="shared" ref="L45:L63" si="15">A52</f>
        <v>Sw</v>
      </c>
      <c r="M45" s="139" t="str">
        <f t="shared" ref="M45:M63" si="16">IF(ISBLANK(J52),"--",J52)</f>
        <v>--</v>
      </c>
      <c r="N45" s="148" t="str">
        <f>IFERROR(_xll.qlRateHelperQuoteName(M45,Trigger),"--")</f>
        <v>--</v>
      </c>
      <c r="O45" s="141" t="str">
        <f>IFERROR(_xll.qlRateHelperQuoteValue($M45,Trigger),"--")</f>
        <v>--</v>
      </c>
      <c r="P45" s="140" t="b">
        <v>0</v>
      </c>
      <c r="Q45" s="139">
        <v>50</v>
      </c>
      <c r="R45" s="139">
        <v>1</v>
      </c>
      <c r="S45" s="142" t="str">
        <f>IFERROR(_xll.qlRateHelperEarliestDate(M45,Trigger),"--")</f>
        <v>--</v>
      </c>
      <c r="T45" s="142" t="str">
        <f>IFERROR(_xll.qlRateHelperPillarDate(M45,Trigger),"--")</f>
        <v>--</v>
      </c>
      <c r="V45" s="3" t="str">
        <f t="shared" si="14"/>
        <v>Sw</v>
      </c>
      <c r="W45" s="3" t="str">
        <v>obj_003a7</v>
      </c>
      <c r="X45" s="3" t="str">
        <f>IFERROR(_xll.qlRateHelperQuoteName(W45,Trigger),"")</f>
        <v>USD_CURVE_3M_23Y_Quote</v>
      </c>
      <c r="Y45" s="68">
        <f>IFERROR(_xll.qlRateHelperRate(W45,Trigger),"")</f>
        <v>2.6290650679999999E-2</v>
      </c>
      <c r="Z45" s="103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42261</v>
      </c>
      <c r="AB45" s="4">
        <f>IFERROR(_xll.qlRateHelperPillarDate(W45,Trigger),"")</f>
        <v>50662</v>
      </c>
      <c r="AC45" s="68">
        <v>2.7176461681886536E-2</v>
      </c>
    </row>
    <row r="46" spans="1:29" ht="11.25" customHeight="1" x14ac:dyDescent="0.2">
      <c r="A46" s="58" t="s">
        <v>89</v>
      </c>
      <c r="B46" s="115" t="b">
        <v>1</v>
      </c>
      <c r="C46" s="61" t="str">
        <f>_xll.qlIMMNextCode(C45,B46,Trigger)</f>
        <v>U9</v>
      </c>
      <c r="D46" s="124"/>
      <c r="E46" s="124"/>
      <c r="F46" s="124"/>
      <c r="G46" s="60" t="str">
        <f t="shared" si="11"/>
        <v>UsdLibor3M</v>
      </c>
      <c r="H46" s="118" t="str">
        <f t="shared" si="12"/>
        <v>USDFUT3MU9_Quote</v>
      </c>
      <c r="I46" s="118">
        <f t="shared" si="13"/>
        <v>0</v>
      </c>
      <c r="J46" s="62" t="str">
        <f>_xll.qlFuturesRateHelper(,H46,$H$25,C46,G46,I46,Permanent,Trigger,ObjectOverwrite)</f>
        <v>obj_003d9#0005</v>
      </c>
      <c r="L46" s="9" t="str">
        <f t="shared" si="15"/>
        <v>Sw</v>
      </c>
      <c r="M46" s="139" t="str">
        <f t="shared" si="16"/>
        <v>--</v>
      </c>
      <c r="N46" s="148" t="str">
        <f>IFERROR(_xll.qlRateHelperQuoteName(M46,Trigger),"--")</f>
        <v>--</v>
      </c>
      <c r="O46" s="141" t="str">
        <f>IFERROR(_xll.qlRateHelperQuoteValue($M46,Trigger),"--")</f>
        <v>--</v>
      </c>
      <c r="P46" s="140" t="b">
        <v>0</v>
      </c>
      <c r="Q46" s="139">
        <v>50</v>
      </c>
      <c r="R46" s="139">
        <v>1</v>
      </c>
      <c r="S46" s="142" t="str">
        <f>IFERROR(_xll.qlRateHelperEarliestDate(M46,Trigger),"--")</f>
        <v>--</v>
      </c>
      <c r="T46" s="142" t="str">
        <f>IFERROR(_xll.qlRateHelperPillarDate(M46,Trigger),"--")</f>
        <v>--</v>
      </c>
      <c r="V46" s="3" t="str">
        <f t="shared" si="14"/>
        <v>Sw</v>
      </c>
      <c r="W46" s="3" t="str">
        <v>obj_003bd</v>
      </c>
      <c r="X46" s="3" t="str">
        <f>IFERROR(_xll.qlRateHelperQuoteName(W46,Trigger),"")</f>
        <v>USD_CURVE_3M_24Y_Quote</v>
      </c>
      <c r="Y46" s="68">
        <f>IFERROR(_xll.qlRateHelperRate(W46,Trigger),"")</f>
        <v>2.638468159E-2</v>
      </c>
      <c r="Z46" s="103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42261</v>
      </c>
      <c r="AB46" s="4">
        <f>IFERROR(_xll.qlRateHelperPillarDate(W46,Trigger),"")</f>
        <v>51027</v>
      </c>
      <c r="AC46" s="68">
        <v>2.727378756210791E-2</v>
      </c>
    </row>
    <row r="47" spans="1:29" ht="11.25" customHeight="1" x14ac:dyDescent="0.2">
      <c r="A47" s="58" t="s">
        <v>89</v>
      </c>
      <c r="B47" s="115" t="b">
        <v>1</v>
      </c>
      <c r="C47" s="61" t="str">
        <f>_xll.qlIMMNextCode(C46,B47,Trigger)</f>
        <v>Z9</v>
      </c>
      <c r="D47" s="124"/>
      <c r="E47" s="124"/>
      <c r="F47" s="124"/>
      <c r="G47" s="60" t="str">
        <f t="shared" si="11"/>
        <v>UsdLibor3M</v>
      </c>
      <c r="H47" s="118" t="str">
        <f t="shared" si="12"/>
        <v>USDFUT3MZ9_Quote</v>
      </c>
      <c r="I47" s="118">
        <f t="shared" si="13"/>
        <v>0</v>
      </c>
      <c r="J47" s="62" t="str">
        <f>_xll.qlFuturesRateHelper(,H47,$H$25,C47,G47,I47,Permanent,Trigger,ObjectOverwrite)</f>
        <v>obj_003da#0005</v>
      </c>
      <c r="L47" s="9" t="str">
        <f t="shared" si="15"/>
        <v>Sw</v>
      </c>
      <c r="M47" s="139" t="str">
        <f t="shared" si="16"/>
        <v>--</v>
      </c>
      <c r="N47" s="148" t="str">
        <f>IFERROR(_xll.qlRateHelperQuoteName(M47,Trigger),"--")</f>
        <v>--</v>
      </c>
      <c r="O47" s="141" t="str">
        <f>IFERROR(_xll.qlRateHelperQuoteValue($M47,Trigger),"--")</f>
        <v>--</v>
      </c>
      <c r="P47" s="140" t="b">
        <v>0</v>
      </c>
      <c r="Q47" s="140">
        <v>50</v>
      </c>
      <c r="R47" s="140">
        <v>1</v>
      </c>
      <c r="S47" s="142" t="str">
        <f>IFERROR(_xll.qlRateHelperEarliestDate(M47,Trigger),"--")</f>
        <v>--</v>
      </c>
      <c r="T47" s="142" t="str">
        <f>IFERROR(_xll.qlRateHelperPillarDate(M47,Trigger),"--")</f>
        <v>--</v>
      </c>
      <c r="V47" s="3" t="str">
        <f t="shared" si="14"/>
        <v>Sw</v>
      </c>
      <c r="W47" s="3" t="str">
        <v>obj_003b3</v>
      </c>
      <c r="X47" s="3" t="str">
        <f>IFERROR(_xll.qlRateHelperQuoteName(W47,Trigger),"")</f>
        <v>USD_CURVE_3M_25Y_Quote</v>
      </c>
      <c r="Y47" s="68">
        <f>IFERROR(_xll.qlRateHelperRate(W47,Trigger),"")</f>
        <v>2.6470000000000004E-2</v>
      </c>
      <c r="Z47" s="103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42261</v>
      </c>
      <c r="AB47" s="4">
        <f>IFERROR(_xll.qlRateHelperPillarDate(W47,Trigger),"")</f>
        <v>51393</v>
      </c>
      <c r="AC47" s="68">
        <v>2.7361872083471506E-2</v>
      </c>
    </row>
    <row r="48" spans="1:29" ht="11.25" customHeight="1" x14ac:dyDescent="0.2">
      <c r="A48" s="1" t="s">
        <v>89</v>
      </c>
      <c r="B48" s="116" t="b">
        <v>1</v>
      </c>
      <c r="C48" s="8" t="str">
        <f>_xll.qlIMMNextCode(C47,B48,Trigger)</f>
        <v>H0</v>
      </c>
      <c r="D48" s="125"/>
      <c r="E48" s="125"/>
      <c r="F48" s="125"/>
      <c r="G48" s="6" t="str">
        <f t="shared" si="11"/>
        <v>UsdLibor3M</v>
      </c>
      <c r="H48" s="119" t="str">
        <f t="shared" si="12"/>
        <v>USDFUT3MH0_Quote</v>
      </c>
      <c r="I48" s="119">
        <f t="shared" si="13"/>
        <v>0</v>
      </c>
      <c r="J48" s="2" t="str">
        <f>_xll.qlFuturesRateHelper(,H48,$H$25,C48,G48,I48,Permanent,Trigger,ObjectOverwrite)</f>
        <v>obj_003db#0005</v>
      </c>
      <c r="L48" s="9" t="str">
        <f t="shared" si="15"/>
        <v>Sw</v>
      </c>
      <c r="M48" s="139" t="str">
        <f t="shared" si="16"/>
        <v>--</v>
      </c>
      <c r="N48" s="148" t="str">
        <f>IFERROR(_xll.qlRateHelperQuoteName(M48,Trigger),"--")</f>
        <v>--</v>
      </c>
      <c r="O48" s="141" t="str">
        <f>IFERROR(_xll.qlRateHelperQuoteValue($M48,Trigger),"--")</f>
        <v>--</v>
      </c>
      <c r="P48" s="140" t="b">
        <v>0</v>
      </c>
      <c r="Q48" s="140">
        <v>50</v>
      </c>
      <c r="R48" s="140">
        <v>1</v>
      </c>
      <c r="S48" s="142" t="str">
        <f>IFERROR(_xll.qlRateHelperEarliestDate(M48,Trigger),"--")</f>
        <v>--</v>
      </c>
      <c r="T48" s="142" t="str">
        <f>IFERROR(_xll.qlRateHelperPillarDate(M48,Trigger),"--")</f>
        <v>--</v>
      </c>
      <c r="V48" s="3" t="str">
        <f t="shared" si="14"/>
        <v>Sw</v>
      </c>
      <c r="W48" s="3" t="str">
        <v>obj_003b1</v>
      </c>
      <c r="X48" s="3" t="str">
        <f>IFERROR(_xll.qlRateHelperQuoteName(W48,Trigger),"")</f>
        <v>USD_CURVE_3M_26Y_Quote</v>
      </c>
      <c r="Y48" s="68">
        <f>IFERROR(_xll.qlRateHelperRate(W48,Trigger),"")</f>
        <v>2.654866421E-2</v>
      </c>
      <c r="Z48" s="103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42261</v>
      </c>
      <c r="AB48" s="4">
        <f>IFERROR(_xll.qlRateHelperPillarDate(W48,Trigger),"")</f>
        <v>51760</v>
      </c>
      <c r="AC48" s="68">
        <v>2.7443308479947019E-2</v>
      </c>
    </row>
    <row r="49" spans="1:29" ht="11.25" customHeight="1" x14ac:dyDescent="0.2">
      <c r="G49" s="50" t="s">
        <v>157</v>
      </c>
      <c r="H49" s="50" t="s">
        <v>158</v>
      </c>
      <c r="L49" s="9" t="str">
        <f t="shared" si="15"/>
        <v>Sw</v>
      </c>
      <c r="M49" s="139" t="str">
        <f t="shared" si="16"/>
        <v>obj_003b6#0002</v>
      </c>
      <c r="N49" s="148" t="str">
        <f>IFERROR(_xll.qlRateHelperQuoteName(M49,Trigger),"--")</f>
        <v>USD_CURVE_3M_3Y_Quote</v>
      </c>
      <c r="O49" s="141">
        <f>IFERROR(_xll.qlRateHelperQuoteValue($M49,Trigger),"--")</f>
        <v>1.1379999999999999E-2</v>
      </c>
      <c r="P49" s="140" t="b">
        <v>1</v>
      </c>
      <c r="Q49" s="140">
        <v>50</v>
      </c>
      <c r="R49" s="140">
        <v>1</v>
      </c>
      <c r="S49" s="142">
        <f>IFERROR(_xll.qlRateHelperEarliestDate(M49,Trigger),"--")</f>
        <v>42261</v>
      </c>
      <c r="T49" s="142">
        <f>IFERROR(_xll.qlRateHelperPillarDate(M49,Trigger),"--")</f>
        <v>43357</v>
      </c>
      <c r="V49" s="3" t="str">
        <f t="shared" si="14"/>
        <v>Sw</v>
      </c>
      <c r="W49" s="3" t="str">
        <v>obj_003a9</v>
      </c>
      <c r="X49" s="3" t="str">
        <f>IFERROR(_xll.qlRateHelperQuoteName(W49,Trigger),"")</f>
        <v>USD_CURVE_3M_27Y_Quote</v>
      </c>
      <c r="Y49" s="68">
        <f>IFERROR(_xll.qlRateHelperRate(W49,Trigger),"")</f>
        <v>2.6619811870000003E-2</v>
      </c>
      <c r="Z49" s="103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42261</v>
      </c>
      <c r="AB49" s="4">
        <f>IFERROR(_xll.qlRateHelperPillarDate(W49,Trigger),"")</f>
        <v>52124</v>
      </c>
      <c r="AC49" s="68">
        <v>2.751695766702E-2</v>
      </c>
    </row>
    <row r="50" spans="1:29" ht="11.25" customHeight="1" x14ac:dyDescent="0.2">
      <c r="A50" s="63" t="s">
        <v>9</v>
      </c>
      <c r="B50" s="63" t="s">
        <v>30</v>
      </c>
      <c r="C50" s="63" t="s">
        <v>109</v>
      </c>
      <c r="D50" s="63" t="s">
        <v>5</v>
      </c>
      <c r="E50" s="63" t="s">
        <v>34</v>
      </c>
      <c r="F50" s="63" t="s">
        <v>110</v>
      </c>
      <c r="G50" s="63" t="s">
        <v>4</v>
      </c>
      <c r="H50" s="63" t="s">
        <v>1</v>
      </c>
      <c r="I50" s="63" t="s">
        <v>108</v>
      </c>
      <c r="J50" s="63" t="s">
        <v>25</v>
      </c>
      <c r="L50" s="9" t="str">
        <f t="shared" si="15"/>
        <v>Sw</v>
      </c>
      <c r="M50" s="139" t="str">
        <f t="shared" si="16"/>
        <v>obj_003a4#0002</v>
      </c>
      <c r="N50" s="148" t="str">
        <f>IFERROR(_xll.qlRateHelperQuoteName(M50,Trigger),"--")</f>
        <v>USD_CURVE_3M_4Y_Quote</v>
      </c>
      <c r="O50" s="141">
        <f>IFERROR(_xll.qlRateHelperQuoteValue($M50,Trigger),"--")</f>
        <v>1.38E-2</v>
      </c>
      <c r="P50" s="140" t="b">
        <v>1</v>
      </c>
      <c r="Q50" s="140">
        <v>50</v>
      </c>
      <c r="R50" s="140">
        <v>1</v>
      </c>
      <c r="S50" s="142">
        <f>IFERROR(_xll.qlRateHelperEarliestDate(M50,Trigger),"--")</f>
        <v>42261</v>
      </c>
      <c r="T50" s="142">
        <f>IFERROR(_xll.qlRateHelperPillarDate(M50,Trigger),"--")</f>
        <v>43724</v>
      </c>
      <c r="V50" s="3" t="str">
        <f t="shared" si="14"/>
        <v>Sw</v>
      </c>
      <c r="W50" s="3" t="str">
        <v>obj_003a5</v>
      </c>
      <c r="X50" s="3" t="str">
        <f>IFERROR(_xll.qlRateHelperQuoteName(W50,Trigger),"")</f>
        <v>USD_CURVE_3M_28Y_Quote</v>
      </c>
      <c r="Y50" s="68">
        <f>IFERROR(_xll.qlRateHelperRate(W50,Trigger),"")</f>
        <v>2.6683845669999998E-2</v>
      </c>
      <c r="Z50" s="103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42261</v>
      </c>
      <c r="AB50" s="4">
        <f>IFERROR(_xll.qlRateHelperPillarDate(W50,Trigger),"")</f>
        <v>52488</v>
      </c>
      <c r="AC50" s="68">
        <v>2.758261431552755E-2</v>
      </c>
    </row>
    <row r="51" spans="1:29" ht="11.25" customHeight="1" x14ac:dyDescent="0.2">
      <c r="A51" s="53" t="s">
        <v>26</v>
      </c>
      <c r="B51" s="54" t="s">
        <v>29</v>
      </c>
      <c r="C51" s="55" t="s">
        <v>6</v>
      </c>
      <c r="D51" s="55" t="s">
        <v>8</v>
      </c>
      <c r="E51" s="60" t="s">
        <v>7</v>
      </c>
      <c r="F51" s="55" t="s">
        <v>28</v>
      </c>
      <c r="G51" s="55" t="str">
        <f t="shared" ref="G51:G87" si="17">PROPER(Currency)&amp;FamilyName&amp;$G$1</f>
        <v>UsdLibor3M</v>
      </c>
      <c r="H51" s="53" t="str">
        <f t="shared" ref="H51:H87" si="18">Currency&amp;$G$49&amp;$H$49&amp;$B51&amp;"_Quote"</f>
        <v>USD_CURVE_3M_1Y_Quote</v>
      </c>
      <c r="I51" s="127">
        <v>0</v>
      </c>
      <c r="J51" s="62"/>
      <c r="L51" s="9" t="str">
        <f t="shared" si="15"/>
        <v>Sw</v>
      </c>
      <c r="M51" s="139" t="str">
        <f t="shared" si="16"/>
        <v>obj_003a3#0002</v>
      </c>
      <c r="N51" s="148" t="str">
        <f>IFERROR(_xll.qlRateHelperQuoteName(M51,Trigger),"--")</f>
        <v>USD_CURVE_3M_5Y_Quote</v>
      </c>
      <c r="O51" s="141">
        <f>IFERROR(_xll.qlRateHelperQuoteValue($M51,Trigger),"--")</f>
        <v>1.585E-2</v>
      </c>
      <c r="P51" s="140" t="b">
        <v>1</v>
      </c>
      <c r="Q51" s="140">
        <v>50</v>
      </c>
      <c r="R51" s="140">
        <v>1</v>
      </c>
      <c r="S51" s="142">
        <f>IFERROR(_xll.qlRateHelperEarliestDate(M51,Trigger),"--")</f>
        <v>42261</v>
      </c>
      <c r="T51" s="142">
        <f>IFERROR(_xll.qlRateHelperPillarDate(M51,Trigger),"--")</f>
        <v>44088</v>
      </c>
      <c r="V51" s="3" t="str">
        <f t="shared" si="14"/>
        <v>Sw</v>
      </c>
      <c r="W51" s="3" t="str">
        <v>obj_003bc</v>
      </c>
      <c r="X51" s="3" t="str">
        <f>IFERROR(_xll.qlRateHelperQuoteName(W51,Trigger),"")</f>
        <v>USD_CURVE_3M_29Y_Quote</v>
      </c>
      <c r="Y51" s="68">
        <f>IFERROR(_xll.qlRateHelperRate(W51,Trigger),"")</f>
        <v>2.6740832809999997E-2</v>
      </c>
      <c r="Z51" s="103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42261</v>
      </c>
      <c r="AB51" s="4">
        <f>IFERROR(_xll.qlRateHelperPillarDate(W51,Trigger),"")</f>
        <v>52854</v>
      </c>
      <c r="AC51" s="68">
        <v>2.7639779770366753E-2</v>
      </c>
    </row>
    <row r="52" spans="1:29" ht="11.25" customHeight="1" x14ac:dyDescent="0.2">
      <c r="A52" s="58" t="s">
        <v>26</v>
      </c>
      <c r="B52" s="59" t="s">
        <v>49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17"/>
        <v>UsdLibor3M</v>
      </c>
      <c r="H52" s="58" t="str">
        <f t="shared" si="18"/>
        <v>USD_CURVE_3M_15M_Quote</v>
      </c>
      <c r="I52" s="128">
        <v>0</v>
      </c>
      <c r="J52" s="62"/>
      <c r="L52" s="9" t="str">
        <f t="shared" si="15"/>
        <v>Sw</v>
      </c>
      <c r="M52" s="139" t="str">
        <f t="shared" si="16"/>
        <v>obj_003ad#0002</v>
      </c>
      <c r="N52" s="148" t="str">
        <f>IFERROR(_xll.qlRateHelperQuoteName(M52,Trigger),"--")</f>
        <v>USD_CURVE_3M_6Y_Quote</v>
      </c>
      <c r="O52" s="141">
        <f>IFERROR(_xll.qlRateHelperQuoteValue($M52,Trigger),"--")</f>
        <v>1.763E-2</v>
      </c>
      <c r="P52" s="140" t="b">
        <v>1</v>
      </c>
      <c r="Q52" s="140">
        <v>50</v>
      </c>
      <c r="R52" s="140">
        <v>1</v>
      </c>
      <c r="S52" s="142">
        <f>IFERROR(_xll.qlRateHelperEarliestDate(M52,Trigger),"--")</f>
        <v>42261</v>
      </c>
      <c r="T52" s="142">
        <f>IFERROR(_xll.qlRateHelperPillarDate(M52,Trigger),"--")</f>
        <v>44453</v>
      </c>
      <c r="V52" s="3" t="str">
        <f t="shared" si="14"/>
        <v>Sw</v>
      </c>
      <c r="W52" s="3" t="str">
        <v>obj_003b9</v>
      </c>
      <c r="X52" s="3" t="str">
        <f>IFERROR(_xll.qlRateHelperQuoteName(W52,Trigger),"")</f>
        <v>USD_CURVE_3M_30Y_Quote</v>
      </c>
      <c r="Y52" s="68">
        <f>IFERROR(_xll.qlRateHelperRate(W52,Trigger),"")</f>
        <v>2.6790000000000001E-2</v>
      </c>
      <c r="Z52" s="103">
        <f>IF(ISERROR(_xll.qlSwapRateHelperSpread($W52)),IF(ISERROR(_xll.qlFuturesRateHelperConvexityAdjustment($W52)),"",_xll.qlFuturesRateHelperConvexityAdjustment($W52)),_xll.qlSwapRateHelperSpread($W52))</f>
        <v>0</v>
      </c>
      <c r="AA52" s="4">
        <f>IFERROR(_xll.qlRateHelperEarliestDate(W52,Trigger),"")</f>
        <v>42261</v>
      </c>
      <c r="AB52" s="4">
        <f>IFERROR(_xll.qlRateHelperPillarDate(W52,Trigger),"")</f>
        <v>53219</v>
      </c>
      <c r="AC52" s="68">
        <v>2.7687255564946008E-2</v>
      </c>
    </row>
    <row r="53" spans="1:29" ht="11.25" customHeight="1" x14ac:dyDescent="0.2">
      <c r="A53" s="58" t="s">
        <v>26</v>
      </c>
      <c r="B53" s="59" t="s">
        <v>50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17"/>
        <v>UsdLibor3M</v>
      </c>
      <c r="H53" s="58" t="str">
        <f t="shared" si="18"/>
        <v>USD_CURVE_3M_18M_Quote</v>
      </c>
      <c r="I53" s="128">
        <v>0</v>
      </c>
      <c r="J53" s="62"/>
      <c r="L53" s="9" t="str">
        <f t="shared" si="15"/>
        <v>Sw</v>
      </c>
      <c r="M53" s="139" t="str">
        <f t="shared" si="16"/>
        <v>obj_003a2#0002</v>
      </c>
      <c r="N53" s="148" t="str">
        <f>IFERROR(_xll.qlRateHelperQuoteName(M53,Trigger),"--")</f>
        <v>USD_CURVE_3M_7Y_Quote</v>
      </c>
      <c r="O53" s="141">
        <f>IFERROR(_xll.qlRateHelperQuoteValue($M53,Trigger),"--")</f>
        <v>1.9119999999999998E-2</v>
      </c>
      <c r="P53" s="140" t="b">
        <v>1</v>
      </c>
      <c r="Q53" s="140">
        <v>50</v>
      </c>
      <c r="R53" s="140">
        <v>1</v>
      </c>
      <c r="S53" s="142">
        <f>IFERROR(_xll.qlRateHelperEarliestDate(M53,Trigger),"--")</f>
        <v>42261</v>
      </c>
      <c r="T53" s="142">
        <f>IFERROR(_xll.qlRateHelperPillarDate(M53,Trigger),"--")</f>
        <v>44818</v>
      </c>
      <c r="V53" s="3" t="str">
        <f t="shared" si="14"/>
        <v>Sw</v>
      </c>
      <c r="W53" s="3" t="str">
        <v>obj_003a0</v>
      </c>
      <c r="X53" s="3" t="str">
        <f>IFERROR(_xll.qlRateHelperQuoteName(W53,Trigger),"")</f>
        <v>USD_CURVE_3M_40Y_Quote</v>
      </c>
      <c r="Y53" s="68">
        <f>IFERROR(_xll.qlRateHelperRate(W53,Trigger),"")</f>
        <v>2.6950000000000002E-2</v>
      </c>
      <c r="Z53" s="103">
        <f>IF(ISERROR(_xll.qlSwapRateHelperSpread($W53)),IF(ISERROR(_xll.qlFuturesRateHelperConvexityAdjustment($W53)),"",_xll.qlFuturesRateHelperConvexityAdjustment($W53)),_xll.qlSwapRateHelperSpread($W53))</f>
        <v>0</v>
      </c>
      <c r="AA53" s="4">
        <f>IFERROR(_xll.qlRateHelperEarliestDate(W53,Trigger),"")</f>
        <v>42261</v>
      </c>
      <c r="AB53" s="4">
        <f>IFERROR(_xll.qlRateHelperPillarDate(W53,Trigger),"")</f>
        <v>56871</v>
      </c>
      <c r="AC53" s="68">
        <v>2.7723938517549174E-2</v>
      </c>
    </row>
    <row r="54" spans="1:29" ht="11.25" customHeight="1" x14ac:dyDescent="0.2">
      <c r="A54" s="58" t="s">
        <v>26</v>
      </c>
      <c r="B54" s="59" t="s">
        <v>51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17"/>
        <v>UsdLibor3M</v>
      </c>
      <c r="H54" s="58" t="str">
        <f t="shared" si="18"/>
        <v>USD_CURVE_3M_21M_Quote</v>
      </c>
      <c r="I54" s="128">
        <v>0</v>
      </c>
      <c r="J54" s="62"/>
      <c r="L54" s="9" t="str">
        <f t="shared" si="15"/>
        <v>Sw</v>
      </c>
      <c r="M54" s="139" t="str">
        <f t="shared" si="16"/>
        <v>obj_003a1#0002</v>
      </c>
      <c r="N54" s="148" t="str">
        <f>IFERROR(_xll.qlRateHelperQuoteName(M54,Trigger),"--")</f>
        <v>USD_CURVE_3M_8Y_Quote</v>
      </c>
      <c r="O54" s="141">
        <f>IFERROR(_xll.qlRateHelperQuoteValue($M54,Trigger),"--")</f>
        <v>2.035E-2</v>
      </c>
      <c r="P54" s="140" t="b">
        <v>1</v>
      </c>
      <c r="Q54" s="140">
        <v>50</v>
      </c>
      <c r="R54" s="140">
        <v>1</v>
      </c>
      <c r="S54" s="142">
        <f>IFERROR(_xll.qlRateHelperEarliestDate(M54,Trigger),"--")</f>
        <v>42261</v>
      </c>
      <c r="T54" s="142">
        <f>IFERROR(_xll.qlRateHelperPillarDate(M54,Trigger),"--")</f>
        <v>45183</v>
      </c>
      <c r="V54" s="3" t="str">
        <f t="shared" si="14"/>
        <v>Sw</v>
      </c>
      <c r="W54" s="3" t="str">
        <v>obj_003b0</v>
      </c>
      <c r="X54" s="3" t="str">
        <f>IFERROR(_xll.qlRateHelperQuoteName(W54,Trigger),"")</f>
        <v>USD_CURVE_3M_50Y_Quote</v>
      </c>
      <c r="Y54" s="68">
        <f>IFERROR(_xll.qlRateHelperRate(W54,Trigger),"")</f>
        <v>2.681E-2</v>
      </c>
      <c r="Z54" s="103">
        <f>IF(ISERROR(_xll.qlSwapRateHelperSpread($W54)),IF(ISERROR(_xll.qlFuturesRateHelperConvexityAdjustment($W54)),"",_xll.qlFuturesRateHelperConvexityAdjustment($W54)),_xll.qlSwapRateHelperSpread($W54))</f>
        <v>0</v>
      </c>
      <c r="AA54" s="4">
        <f>IFERROR(_xll.qlRateHelperEarliestDate(W54,Trigger),"")</f>
        <v>42261</v>
      </c>
      <c r="AB54" s="4">
        <f>IFERROR(_xll.qlRateHelperPillarDate(W54,Trigger),"")</f>
        <v>60524</v>
      </c>
      <c r="AC54" s="68">
        <v>2.7303078926940665E-2</v>
      </c>
    </row>
    <row r="55" spans="1:29" ht="11.25" customHeight="1" x14ac:dyDescent="0.2">
      <c r="A55" s="58" t="s">
        <v>26</v>
      </c>
      <c r="B55" s="59" t="s">
        <v>52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17"/>
        <v>UsdLibor3M</v>
      </c>
      <c r="H55" s="58" t="str">
        <f t="shared" si="18"/>
        <v>USD_CURVE_3M_2Y_Quote</v>
      </c>
      <c r="I55" s="128">
        <v>0</v>
      </c>
      <c r="J55" s="62"/>
      <c r="L55" s="9" t="str">
        <f t="shared" si="15"/>
        <v>Sw</v>
      </c>
      <c r="M55" s="139" t="str">
        <f t="shared" si="16"/>
        <v>obj_003ae#0002</v>
      </c>
      <c r="N55" s="148" t="str">
        <f>IFERROR(_xll.qlRateHelperQuoteName(M55,Trigger),"--")</f>
        <v>USD_CURVE_3M_9Y_Quote</v>
      </c>
      <c r="O55" s="141">
        <f>IFERROR(_xll.qlRateHelperQuoteValue($M55,Trigger),"--")</f>
        <v>2.1349999999999997E-2</v>
      </c>
      <c r="P55" s="140" t="b">
        <v>1</v>
      </c>
      <c r="Q55" s="140">
        <v>50</v>
      </c>
      <c r="R55" s="140">
        <v>1</v>
      </c>
      <c r="S55" s="142">
        <f>IFERROR(_xll.qlRateHelperEarliestDate(M55,Trigger),"--")</f>
        <v>42261</v>
      </c>
      <c r="T55" s="142">
        <f>IFERROR(_xll.qlRateHelperPillarDate(M55,Trigger),"--")</f>
        <v>45551</v>
      </c>
      <c r="V55" s="3" t="str">
        <f t="shared" si="14"/>
        <v>Sw</v>
      </c>
      <c r="W55" s="3" t="str">
        <v>obj_003c4</v>
      </c>
      <c r="X55" s="3" t="str">
        <f>IFERROR(_xll.qlRateHelperQuoteName(W55,Trigger),"")</f>
        <v>USD_CURVE_3M_60Y_Quote</v>
      </c>
      <c r="Y55" s="68">
        <f>IFERROR(_xll.qlRateHelperRate(W55,Trigger),"")</f>
        <v>2.668520165E-2</v>
      </c>
      <c r="Z55" s="103">
        <f>IF(ISERROR(_xll.qlSwapRateHelperSpread($W55)),IF(ISERROR(_xll.qlFuturesRateHelperConvexityAdjustment($W55)),"",_xll.qlFuturesRateHelperConvexityAdjustment($W55)),_xll.qlSwapRateHelperSpread($W55))</f>
        <v>0</v>
      </c>
      <c r="AA55" s="4">
        <f>IFERROR(_xll.qlRateHelperEarliestDate(W55,Trigger),"")</f>
        <v>42261</v>
      </c>
      <c r="AB55" s="4">
        <f>IFERROR(_xll.qlRateHelperPillarDate(W55,Trigger),"")</f>
        <v>64178</v>
      </c>
      <c r="AC55" s="68">
        <v>2.6946517692719416E-2</v>
      </c>
    </row>
    <row r="56" spans="1:29" ht="11.25" customHeight="1" x14ac:dyDescent="0.2">
      <c r="A56" s="58" t="s">
        <v>26</v>
      </c>
      <c r="B56" s="59" t="s">
        <v>53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17"/>
        <v>UsdLibor3M</v>
      </c>
      <c r="H56" s="58" t="str">
        <f t="shared" si="18"/>
        <v>USD_CURVE_3M_3Y_Quote</v>
      </c>
      <c r="I56" s="128">
        <v>0</v>
      </c>
      <c r="J56" s="62" t="str">
        <f>_xll.qlSwapRateHelper2(,H56,,B56,JoinCalendar,USDSTD!D56,USDSTD!E56,USDSTD!F56,USDSTD!G56,USDSTD!I56,USDSTD!C56,Discounting,PillarDate,,Permanent,Trigger,ObjectOverwrite)</f>
        <v>obj_003b6#0002</v>
      </c>
      <c r="L56" s="9" t="str">
        <f t="shared" si="15"/>
        <v>Sw</v>
      </c>
      <c r="M56" s="139" t="str">
        <f t="shared" si="16"/>
        <v>obj_003a6#0002</v>
      </c>
      <c r="N56" s="148" t="str">
        <f>IFERROR(_xll.qlRateHelperQuoteName(M56,Trigger),"--")</f>
        <v>USD_CURVE_3M_10Y_Quote</v>
      </c>
      <c r="O56" s="141">
        <f>IFERROR(_xll.qlRateHelperQuoteValue($M56,Trigger),"--")</f>
        <v>2.2179999999999998E-2</v>
      </c>
      <c r="P56" s="140" t="b">
        <v>1</v>
      </c>
      <c r="Q56" s="140">
        <v>50</v>
      </c>
      <c r="R56" s="140">
        <v>1</v>
      </c>
      <c r="S56" s="142">
        <f>IFERROR(_xll.qlRateHelperEarliestDate(M56,Trigger),"--")</f>
        <v>42261</v>
      </c>
      <c r="T56" s="142">
        <f>IFERROR(_xll.qlRateHelperPillarDate(M56,Trigger),"--")</f>
        <v>45915</v>
      </c>
      <c r="V56" s="3" t="str">
        <f t="shared" si="14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3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26</v>
      </c>
      <c r="B57" s="59" t="s">
        <v>54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17"/>
        <v>UsdLibor3M</v>
      </c>
      <c r="H57" s="58" t="str">
        <f t="shared" si="18"/>
        <v>USD_CURVE_3M_4Y_Quote</v>
      </c>
      <c r="I57" s="128">
        <v>0</v>
      </c>
      <c r="J57" s="62" t="str">
        <f>_xll.qlSwapRateHelper2(,H57,,B57,JoinCalendar,USDSTD!D57,USDSTD!E57,USDSTD!F57,USDSTD!G57,USDSTD!I57,USDSTD!C57,Discounting,PillarDate,,Permanent,Trigger,ObjectOverwrite)</f>
        <v>obj_003a4#0002</v>
      </c>
      <c r="L57" s="9" t="str">
        <f t="shared" si="15"/>
        <v>Sw</v>
      </c>
      <c r="M57" s="139" t="str">
        <f t="shared" si="16"/>
        <v>obj_003ba#0002</v>
      </c>
      <c r="N57" s="148" t="str">
        <f>IFERROR(_xll.qlRateHelperQuoteName(M57,Trigger),"--")</f>
        <v>USD_CURVE_3M_11Y_Quote</v>
      </c>
      <c r="O57" s="141">
        <f>IFERROR(_xll.qlRateHelperQuoteValue($M57,Trigger),"--")</f>
        <v>2.2889750189999999E-2</v>
      </c>
      <c r="P57" s="140" t="b">
        <v>1</v>
      </c>
      <c r="Q57" s="140">
        <v>50</v>
      </c>
      <c r="R57" s="140">
        <v>1</v>
      </c>
      <c r="S57" s="142">
        <f>IFERROR(_xll.qlRateHelperEarliestDate(M57,Trigger),"--")</f>
        <v>42261</v>
      </c>
      <c r="T57" s="142">
        <f>IFERROR(_xll.qlRateHelperPillarDate(M57,Trigger),"--")</f>
        <v>46279</v>
      </c>
      <c r="V57" s="3" t="str">
        <f t="shared" si="14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3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26</v>
      </c>
      <c r="B58" s="59" t="s">
        <v>55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17"/>
        <v>UsdLibor3M</v>
      </c>
      <c r="H58" s="58" t="str">
        <f t="shared" si="18"/>
        <v>USD_CURVE_3M_5Y_Quote</v>
      </c>
      <c r="I58" s="128">
        <v>0</v>
      </c>
      <c r="J58" s="62" t="str">
        <f>_xll.qlSwapRateHelper2(,H58,,B58,JoinCalendar,USDSTD!D58,USDSTD!E58,USDSTD!F58,USDSTD!G58,USDSTD!I58,USDSTD!C58,Discounting,PillarDate,,Permanent,Trigger,ObjectOverwrite)</f>
        <v>obj_003a3#0002</v>
      </c>
      <c r="L58" s="9" t="str">
        <f t="shared" si="15"/>
        <v>Sw</v>
      </c>
      <c r="M58" s="139" t="str">
        <f t="shared" si="16"/>
        <v>obj_003af#0002</v>
      </c>
      <c r="N58" s="148" t="str">
        <f>IFERROR(_xll.qlRateHelperQuoteName(M58,Trigger),"--")</f>
        <v>USD_CURVE_3M_12Y_Quote</v>
      </c>
      <c r="O58" s="141">
        <f>IFERROR(_xll.qlRateHelperQuoteValue($M58,Trigger),"--")</f>
        <v>2.349E-2</v>
      </c>
      <c r="P58" s="140" t="b">
        <v>1</v>
      </c>
      <c r="Q58" s="140">
        <v>50</v>
      </c>
      <c r="R58" s="140">
        <v>1</v>
      </c>
      <c r="S58" s="142">
        <f>IFERROR(_xll.qlRateHelperEarliestDate(M58,Trigger),"--")</f>
        <v>42261</v>
      </c>
      <c r="T58" s="142">
        <f>IFERROR(_xll.qlRateHelperPillarDate(M58,Trigger),"--")</f>
        <v>46644</v>
      </c>
      <c r="V58" s="3" t="str">
        <f t="shared" si="14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3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26</v>
      </c>
      <c r="B59" s="59" t="s">
        <v>56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17"/>
        <v>UsdLibor3M</v>
      </c>
      <c r="H59" s="58" t="str">
        <f t="shared" si="18"/>
        <v>USD_CURVE_3M_6Y_Quote</v>
      </c>
      <c r="I59" s="128">
        <v>0</v>
      </c>
      <c r="J59" s="62" t="str">
        <f>_xll.qlSwapRateHelper2(,H59,,B59,JoinCalendar,USDSTD!D59,USDSTD!E59,USDSTD!F59,USDSTD!G59,USDSTD!I59,USDSTD!C59,Discounting,PillarDate,,Permanent,Trigger,ObjectOverwrite)</f>
        <v>obj_003ad#0002</v>
      </c>
      <c r="L59" s="9" t="str">
        <f t="shared" si="15"/>
        <v>Sw</v>
      </c>
      <c r="M59" s="139" t="str">
        <f t="shared" si="16"/>
        <v>obj_003ac#0002</v>
      </c>
      <c r="N59" s="148" t="str">
        <f>IFERROR(_xll.qlRateHelperQuoteName(M59,Trigger),"--")</f>
        <v>USD_CURVE_3M_13Y_Quote</v>
      </c>
      <c r="O59" s="141">
        <f>IFERROR(_xll.qlRateHelperQuoteValue($M59,Trigger),"--")</f>
        <v>2.398862823E-2</v>
      </c>
      <c r="P59" s="140" t="b">
        <v>1</v>
      </c>
      <c r="Q59" s="140">
        <v>50</v>
      </c>
      <c r="R59" s="140">
        <v>1</v>
      </c>
      <c r="S59" s="142">
        <f>IFERROR(_xll.qlRateHelperEarliestDate(M59,Trigger),"--")</f>
        <v>42261</v>
      </c>
      <c r="T59" s="142">
        <f>IFERROR(_xll.qlRateHelperPillarDate(M59,Trigger),"--")</f>
        <v>47010</v>
      </c>
      <c r="V59" s="3" t="str">
        <f t="shared" si="14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3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26</v>
      </c>
      <c r="B60" s="59" t="s">
        <v>57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17"/>
        <v>UsdLibor3M</v>
      </c>
      <c r="H60" s="58" t="str">
        <f t="shared" si="18"/>
        <v>USD_CURVE_3M_7Y_Quote</v>
      </c>
      <c r="I60" s="128">
        <v>0</v>
      </c>
      <c r="J60" s="62" t="str">
        <f>_xll.qlSwapRateHelper2(,H60,,B60,JoinCalendar,USDSTD!D60,USDSTD!E60,USDSTD!F60,USDSTD!G60,USDSTD!I60,USDSTD!C60,Discounting,PillarDate,,Permanent,Trigger,ObjectOverwrite)</f>
        <v>obj_003a2#0002</v>
      </c>
      <c r="L60" s="9" t="str">
        <f t="shared" si="15"/>
        <v>Sw</v>
      </c>
      <c r="M60" s="139" t="str">
        <f t="shared" si="16"/>
        <v>obj_003aa#0002</v>
      </c>
      <c r="N60" s="148" t="str">
        <f>IFERROR(_xll.qlRateHelperQuoteName(M60,Trigger),"--")</f>
        <v>USD_CURVE_3M_14Y_Quote</v>
      </c>
      <c r="O60" s="141">
        <f>IFERROR(_xll.qlRateHelperQuoteValue($M60,Trigger),"--")</f>
        <v>2.4404396179999999E-2</v>
      </c>
      <c r="P60" s="140" t="b">
        <v>1</v>
      </c>
      <c r="Q60" s="140">
        <v>50</v>
      </c>
      <c r="R60" s="140">
        <v>1</v>
      </c>
      <c r="S60" s="142">
        <f>IFERROR(_xll.qlRateHelperEarliestDate(M60,Trigger),"--")</f>
        <v>42261</v>
      </c>
      <c r="T60" s="142">
        <f>IFERROR(_xll.qlRateHelperPillarDate(M60,Trigger),"--")</f>
        <v>47375</v>
      </c>
      <c r="V60" s="3" t="str">
        <f t="shared" si="14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3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26</v>
      </c>
      <c r="B61" s="59" t="s">
        <v>58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17"/>
        <v>UsdLibor3M</v>
      </c>
      <c r="H61" s="58" t="str">
        <f t="shared" si="18"/>
        <v>USD_CURVE_3M_8Y_Quote</v>
      </c>
      <c r="I61" s="128">
        <v>0</v>
      </c>
      <c r="J61" s="62" t="str">
        <f>_xll.qlSwapRateHelper2(,H61,,B61,JoinCalendar,USDSTD!D61,USDSTD!E61,USDSTD!F61,USDSTD!G61,USDSTD!I61,USDSTD!C61,Discounting,PillarDate,,Permanent,Trigger,ObjectOverwrite)</f>
        <v>obj_003a1#0002</v>
      </c>
      <c r="L61" s="9" t="str">
        <f t="shared" si="15"/>
        <v>Sw</v>
      </c>
      <c r="M61" s="139" t="str">
        <f t="shared" si="16"/>
        <v>obj_003ab#0002</v>
      </c>
      <c r="N61" s="148" t="str">
        <f>IFERROR(_xll.qlRateHelperQuoteName(M61,Trigger),"--")</f>
        <v>USD_CURVE_3M_15Y_Quote</v>
      </c>
      <c r="O61" s="141">
        <f>IFERROR(_xll.qlRateHelperQuoteValue($M61,Trigger),"--")</f>
        <v>2.4760000000000001E-2</v>
      </c>
      <c r="P61" s="140" t="b">
        <v>1</v>
      </c>
      <c r="Q61" s="140">
        <v>50</v>
      </c>
      <c r="R61" s="140">
        <v>1</v>
      </c>
      <c r="S61" s="142">
        <f>IFERROR(_xll.qlRateHelperEarliestDate(M61,Trigger),"--")</f>
        <v>42261</v>
      </c>
      <c r="T61" s="142">
        <f>IFERROR(_xll.qlRateHelperPillarDate(M61,Trigger),"--")</f>
        <v>47742</v>
      </c>
      <c r="V61" s="3" t="str">
        <f t="shared" si="14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3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26</v>
      </c>
      <c r="B62" s="59" t="s">
        <v>59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17"/>
        <v>UsdLibor3M</v>
      </c>
      <c r="H62" s="58" t="str">
        <f t="shared" si="18"/>
        <v>USD_CURVE_3M_9Y_Quote</v>
      </c>
      <c r="I62" s="128">
        <v>0</v>
      </c>
      <c r="J62" s="62" t="str">
        <f>_xll.qlSwapRateHelper2(,H62,,B62,JoinCalendar,USDSTD!D62,USDSTD!E62,USDSTD!F62,USDSTD!G62,USDSTD!I62,USDSTD!C62,Discounting,PillarDate,,Permanent,Trigger,ObjectOverwrite)</f>
        <v>obj_003ae#0002</v>
      </c>
      <c r="L62" s="9" t="str">
        <f t="shared" si="15"/>
        <v>Sw</v>
      </c>
      <c r="M62" s="139" t="str">
        <f t="shared" si="16"/>
        <v>obj_003b2#0002</v>
      </c>
      <c r="N62" s="148" t="str">
        <f>IFERROR(_xll.qlRateHelperQuoteName(M62,Trigger),"--")</f>
        <v>USD_CURVE_3M_16Y_Quote</v>
      </c>
      <c r="O62" s="141">
        <f>IFERROR(_xll.qlRateHelperQuoteValue($M62,Trigger),"--")</f>
        <v>2.50641261E-2</v>
      </c>
      <c r="P62" s="140" t="b">
        <v>1</v>
      </c>
      <c r="Q62" s="140">
        <v>50</v>
      </c>
      <c r="R62" s="140">
        <v>1</v>
      </c>
      <c r="S62" s="142">
        <f>IFERROR(_xll.qlRateHelperEarliestDate(M62,Trigger),"--")</f>
        <v>42261</v>
      </c>
      <c r="T62" s="142">
        <f>IFERROR(_xll.qlRateHelperPillarDate(M62,Trigger),"--")</f>
        <v>48106</v>
      </c>
      <c r="V62" s="3" t="str">
        <f t="shared" si="14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3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26</v>
      </c>
      <c r="B63" s="59" t="s">
        <v>60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17"/>
        <v>UsdLibor3M</v>
      </c>
      <c r="H63" s="58" t="str">
        <f t="shared" si="18"/>
        <v>USD_CURVE_3M_10Y_Quote</v>
      </c>
      <c r="I63" s="128">
        <v>0</v>
      </c>
      <c r="J63" s="62" t="str">
        <f>_xll.qlSwapRateHelper2(,H63,,B63,JoinCalendar,USDSTD!D63,USDSTD!E63,USDSTD!F63,USDSTD!G63,USDSTD!I63,USDSTD!C63,Discounting,PillarDate,,Permanent,Trigger,ObjectOverwrite)</f>
        <v>obj_003a6#0002</v>
      </c>
      <c r="L63" s="9" t="str">
        <f t="shared" si="15"/>
        <v>Sw</v>
      </c>
      <c r="M63" s="139" t="str">
        <f t="shared" si="16"/>
        <v>obj_003be#0002</v>
      </c>
      <c r="N63" s="148" t="str">
        <f>IFERROR(_xll.qlRateHelperQuoteName(M63,Trigger),"--")</f>
        <v>USD_CURVE_3M_17Y_Quote</v>
      </c>
      <c r="O63" s="141">
        <f>IFERROR(_xll.qlRateHelperQuoteValue($M63,Trigger),"--")</f>
        <v>2.5328148800000002E-2</v>
      </c>
      <c r="P63" s="140" t="b">
        <v>1</v>
      </c>
      <c r="Q63" s="140">
        <v>50</v>
      </c>
      <c r="R63" s="140">
        <v>1</v>
      </c>
      <c r="S63" s="142">
        <f>IFERROR(_xll.qlRateHelperEarliestDate(M63,Trigger),"--")</f>
        <v>42261</v>
      </c>
      <c r="T63" s="142">
        <f>IFERROR(_xll.qlRateHelperPillarDate(M63,Trigger),"--")</f>
        <v>48471</v>
      </c>
      <c r="V63" s="3" t="str">
        <f t="shared" si="14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3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26</v>
      </c>
      <c r="B64" s="59" t="s">
        <v>93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17"/>
        <v>UsdLibor3M</v>
      </c>
      <c r="H64" s="58" t="str">
        <f t="shared" si="18"/>
        <v>USD_CURVE_3M_11Y_Quote</v>
      </c>
      <c r="I64" s="128">
        <v>0</v>
      </c>
      <c r="J64" s="62" t="str">
        <f>_xll.qlSwapRateHelper2(,H64,,B64,JoinCalendar,USDSTD!D64,USDSTD!E64,USDSTD!F64,USDSTD!G64,USDSTD!I64,USDSTD!C64,Discounting,PillarDate,,Permanent,Trigger,ObjectOverwrite)</f>
        <v>obj_003ba#0002</v>
      </c>
      <c r="L64" s="9" t="str">
        <f t="shared" ref="L64:L80" si="19">A71</f>
        <v>Sw</v>
      </c>
      <c r="M64" s="139" t="str">
        <f t="shared" ref="M64:M80" si="20">IF(ISBLANK(J71),"--",J71)</f>
        <v>obj_003bb#0002</v>
      </c>
      <c r="N64" s="148" t="str">
        <f>IFERROR(_xll.qlRateHelperQuoteName(M64,Trigger),"--")</f>
        <v>USD_CURVE_3M_18Y_Quote</v>
      </c>
      <c r="O64" s="141">
        <f>IFERROR(_xll.qlRateHelperQuoteValue($M64,Trigger),"--")</f>
        <v>2.5556219979999999E-2</v>
      </c>
      <c r="P64" s="140" t="b">
        <v>1</v>
      </c>
      <c r="Q64" s="140">
        <v>50</v>
      </c>
      <c r="R64" s="140">
        <v>1</v>
      </c>
      <c r="S64" s="142">
        <f>IFERROR(_xll.qlRateHelperEarliestDate(M64,Trigger),"--")</f>
        <v>42261</v>
      </c>
      <c r="T64" s="142">
        <f>IFERROR(_xll.qlRateHelperPillarDate(M64,Trigger),"--")</f>
        <v>48836</v>
      </c>
      <c r="V64" s="3" t="str">
        <f t="shared" si="14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3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26</v>
      </c>
      <c r="B65" s="59" t="s">
        <v>61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17"/>
        <v>UsdLibor3M</v>
      </c>
      <c r="H65" s="58" t="str">
        <f t="shared" si="18"/>
        <v>USD_CURVE_3M_12Y_Quote</v>
      </c>
      <c r="I65" s="128">
        <v>0</v>
      </c>
      <c r="J65" s="62" t="str">
        <f>_xll.qlSwapRateHelper2(,H65,,B65,JoinCalendar,USDSTD!D65,USDSTD!E65,USDSTD!F65,USDSTD!G65,USDSTD!I65,USDSTD!C65,Discounting,PillarDate,,Permanent,Trigger,ObjectOverwrite)</f>
        <v>obj_003af#0002</v>
      </c>
      <c r="L65" s="9" t="str">
        <f t="shared" si="19"/>
        <v>Sw</v>
      </c>
      <c r="M65" s="139" t="str">
        <f t="shared" si="20"/>
        <v>obj_003a8#0002</v>
      </c>
      <c r="N65" s="148" t="str">
        <f>IFERROR(_xll.qlRateHelperQuoteName(M65,Trigger),"--")</f>
        <v>USD_CURVE_3M_19Y_Quote</v>
      </c>
      <c r="O65" s="141">
        <f>IFERROR(_xll.qlRateHelperQuoteValue($M65,Trigger),"--")</f>
        <v>2.5752405989999998E-2</v>
      </c>
      <c r="P65" s="140" t="b">
        <v>1</v>
      </c>
      <c r="Q65" s="140">
        <v>50</v>
      </c>
      <c r="R65" s="140">
        <v>1</v>
      </c>
      <c r="S65" s="142">
        <f>IFERROR(_xll.qlRateHelperEarliestDate(M65,Trigger),"--")</f>
        <v>42261</v>
      </c>
      <c r="T65" s="142">
        <f>IFERROR(_xll.qlRateHelperPillarDate(M65,Trigger),"--")</f>
        <v>49201</v>
      </c>
      <c r="V65" s="3" t="str">
        <f t="shared" si="14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3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26</v>
      </c>
      <c r="B66" s="59" t="s">
        <v>94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17"/>
        <v>UsdLibor3M</v>
      </c>
      <c r="H66" s="58" t="str">
        <f t="shared" si="18"/>
        <v>USD_CURVE_3M_13Y_Quote</v>
      </c>
      <c r="I66" s="128">
        <v>0</v>
      </c>
      <c r="J66" s="62" t="str">
        <f>_xll.qlSwapRateHelper2(,H66,,B66,JoinCalendar,USDSTD!D66,USDSTD!E66,USDSTD!F66,USDSTD!G66,USDSTD!I66,USDSTD!C66,Discounting,PillarDate,,Permanent,Trigger,ObjectOverwrite)</f>
        <v>obj_003ac#0002</v>
      </c>
      <c r="L66" s="9" t="str">
        <f t="shared" si="19"/>
        <v>Sw</v>
      </c>
      <c r="M66" s="139" t="str">
        <f t="shared" si="20"/>
        <v>obj_003b4#0002</v>
      </c>
      <c r="N66" s="148" t="str">
        <f>IFERROR(_xll.qlRateHelperQuoteName(M66,Trigger),"--")</f>
        <v>USD_CURVE_3M_20Y_Quote</v>
      </c>
      <c r="O66" s="141">
        <f>IFERROR(_xll.qlRateHelperQuoteValue($M66,Trigger),"--")</f>
        <v>2.5920000000000002E-2</v>
      </c>
      <c r="P66" s="140" t="b">
        <v>1</v>
      </c>
      <c r="Q66" s="140">
        <v>50</v>
      </c>
      <c r="R66" s="140">
        <v>1</v>
      </c>
      <c r="S66" s="142">
        <f>IFERROR(_xll.qlRateHelperEarliestDate(M66,Trigger),"--")</f>
        <v>42261</v>
      </c>
      <c r="T66" s="142">
        <f>IFERROR(_xll.qlRateHelperPillarDate(M66,Trigger),"--")</f>
        <v>49566</v>
      </c>
      <c r="V66" s="3" t="str">
        <f t="shared" si="14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3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26</v>
      </c>
      <c r="B67" s="59" t="s">
        <v>95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17"/>
        <v>UsdLibor3M</v>
      </c>
      <c r="H67" s="58" t="str">
        <f t="shared" si="18"/>
        <v>USD_CURVE_3M_14Y_Quote</v>
      </c>
      <c r="I67" s="128">
        <v>0</v>
      </c>
      <c r="J67" s="62" t="str">
        <f>_xll.qlSwapRateHelper2(,H67,,B67,JoinCalendar,USDSTD!D67,USDSTD!E67,USDSTD!F67,USDSTD!G67,USDSTD!I67,USDSTD!C67,Discounting,PillarDate,,Permanent,Trigger,ObjectOverwrite)</f>
        <v>obj_003aa#0002</v>
      </c>
      <c r="L67" s="9" t="str">
        <f t="shared" si="19"/>
        <v>Sw</v>
      </c>
      <c r="M67" s="139" t="str">
        <f t="shared" si="20"/>
        <v>obj_003b8#0002</v>
      </c>
      <c r="N67" s="148" t="str">
        <f>IFERROR(_xll.qlRateHelperQuoteName(M67,Trigger),"--")</f>
        <v>USD_CURVE_3M_21Y_Quote</v>
      </c>
      <c r="O67" s="141">
        <f>IFERROR(_xll.qlRateHelperQuoteValue($M67,Trigger),"--")</f>
        <v>2.606308475E-2</v>
      </c>
      <c r="P67" s="140" t="b">
        <v>1</v>
      </c>
      <c r="Q67" s="140">
        <v>50</v>
      </c>
      <c r="R67" s="140">
        <v>1</v>
      </c>
      <c r="S67" s="142">
        <f>IFERROR(_xll.qlRateHelperEarliestDate(M67,Trigger),"--")</f>
        <v>42261</v>
      </c>
      <c r="T67" s="142">
        <f>IFERROR(_xll.qlRateHelperPillarDate(M67,Trigger),"--")</f>
        <v>49933</v>
      </c>
      <c r="V67" s="3" t="str">
        <f t="shared" si="14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3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26</v>
      </c>
      <c r="B68" s="59" t="s">
        <v>62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17"/>
        <v>UsdLibor3M</v>
      </c>
      <c r="H68" s="58" t="str">
        <f t="shared" si="18"/>
        <v>USD_CURVE_3M_15Y_Quote</v>
      </c>
      <c r="I68" s="128">
        <v>0</v>
      </c>
      <c r="J68" s="62" t="str">
        <f>_xll.qlSwapRateHelper2(,H68,,B68,JoinCalendar,USDSTD!D68,USDSTD!E68,USDSTD!F68,USDSTD!G68,USDSTD!I68,USDSTD!C68,Discounting,PillarDate,,Permanent,Trigger,ObjectOverwrite)</f>
        <v>obj_003ab#0002</v>
      </c>
      <c r="L68" s="9" t="str">
        <f t="shared" si="19"/>
        <v>Sw</v>
      </c>
      <c r="M68" s="139" t="str">
        <f t="shared" si="20"/>
        <v>obj_003b5#0002</v>
      </c>
      <c r="N68" s="148" t="str">
        <f>IFERROR(_xll.qlRateHelperQuoteName(M68,Trigger),"--")</f>
        <v>USD_CURVE_3M_22Y_Quote</v>
      </c>
      <c r="O68" s="141">
        <f>IFERROR(_xll.qlRateHelperQuoteValue($M68,Trigger),"--")</f>
        <v>2.6184567200000002E-2</v>
      </c>
      <c r="P68" s="140" t="b">
        <v>1</v>
      </c>
      <c r="Q68" s="140">
        <v>50</v>
      </c>
      <c r="R68" s="140">
        <v>1</v>
      </c>
      <c r="S68" s="142">
        <f>IFERROR(_xll.qlRateHelperEarliestDate(M68,Trigger),"--")</f>
        <v>42261</v>
      </c>
      <c r="T68" s="142">
        <f>IFERROR(_xll.qlRateHelperPillarDate(M68,Trigger),"--")</f>
        <v>50297</v>
      </c>
      <c r="V68" s="3" t="str">
        <f t="shared" si="14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3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26</v>
      </c>
      <c r="B69" s="59" t="s">
        <v>96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17"/>
        <v>UsdLibor3M</v>
      </c>
      <c r="H69" s="58" t="str">
        <f t="shared" si="18"/>
        <v>USD_CURVE_3M_16Y_Quote</v>
      </c>
      <c r="I69" s="128">
        <v>0</v>
      </c>
      <c r="J69" s="62" t="str">
        <f>_xll.qlSwapRateHelper2(,H69,,B69,JoinCalendar,USDSTD!D69,USDSTD!E69,USDSTD!F69,USDSTD!G69,USDSTD!I69,USDSTD!C69,Discounting,PillarDate,,Permanent,Trigger,ObjectOverwrite)</f>
        <v>obj_003b2#0002</v>
      </c>
      <c r="L69" s="9" t="str">
        <f t="shared" si="19"/>
        <v>Sw</v>
      </c>
      <c r="M69" s="139" t="str">
        <f t="shared" si="20"/>
        <v>obj_003a7#0002</v>
      </c>
      <c r="N69" s="148" t="str">
        <f>IFERROR(_xll.qlRateHelperQuoteName(M69,Trigger),"--")</f>
        <v>USD_CURVE_3M_23Y_Quote</v>
      </c>
      <c r="O69" s="141">
        <f>IFERROR(_xll.qlRateHelperQuoteValue($M69,Trigger),"--")</f>
        <v>2.6290650679999999E-2</v>
      </c>
      <c r="P69" s="140" t="b">
        <v>1</v>
      </c>
      <c r="Q69" s="140">
        <v>50</v>
      </c>
      <c r="R69" s="140">
        <v>1</v>
      </c>
      <c r="S69" s="142">
        <f>IFERROR(_xll.qlRateHelperEarliestDate(M69,Trigger),"--")</f>
        <v>42261</v>
      </c>
      <c r="T69" s="142">
        <f>IFERROR(_xll.qlRateHelperPillarDate(M69,Trigger),"--")</f>
        <v>50662</v>
      </c>
      <c r="V69" s="3" t="str">
        <f t="shared" si="14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3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26</v>
      </c>
      <c r="B70" s="59" t="s">
        <v>97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17"/>
        <v>UsdLibor3M</v>
      </c>
      <c r="H70" s="58" t="str">
        <f t="shared" si="18"/>
        <v>USD_CURVE_3M_17Y_Quote</v>
      </c>
      <c r="I70" s="128">
        <v>0</v>
      </c>
      <c r="J70" s="62" t="str">
        <f>_xll.qlSwapRateHelper2(,H70,,B70,JoinCalendar,USDSTD!D70,USDSTD!E70,USDSTD!F70,USDSTD!G70,USDSTD!I70,USDSTD!C70,Discounting,PillarDate,,Permanent,Trigger,ObjectOverwrite)</f>
        <v>obj_003be#0002</v>
      </c>
      <c r="L70" s="9" t="str">
        <f t="shared" si="19"/>
        <v>Sw</v>
      </c>
      <c r="M70" s="139" t="str">
        <f t="shared" si="20"/>
        <v>obj_003bd#0002</v>
      </c>
      <c r="N70" s="148" t="str">
        <f>IFERROR(_xll.qlRateHelperQuoteName(M70,Trigger),"--")</f>
        <v>USD_CURVE_3M_24Y_Quote</v>
      </c>
      <c r="O70" s="141">
        <f>IFERROR(_xll.qlRateHelperQuoteValue($M70,Trigger),"--")</f>
        <v>2.638468159E-2</v>
      </c>
      <c r="P70" s="140" t="b">
        <v>1</v>
      </c>
      <c r="Q70" s="140">
        <v>50</v>
      </c>
      <c r="R70" s="140">
        <v>1</v>
      </c>
      <c r="S70" s="142">
        <f>IFERROR(_xll.qlRateHelperEarliestDate(M70,Trigger),"--")</f>
        <v>42261</v>
      </c>
      <c r="T70" s="142">
        <f>IFERROR(_xll.qlRateHelperPillarDate(M70,Trigger),"--")</f>
        <v>51027</v>
      </c>
      <c r="V70" s="3" t="str">
        <f t="shared" si="14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3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26</v>
      </c>
      <c r="B71" s="59" t="s">
        <v>98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17"/>
        <v>UsdLibor3M</v>
      </c>
      <c r="H71" s="58" t="str">
        <f t="shared" si="18"/>
        <v>USD_CURVE_3M_18Y_Quote</v>
      </c>
      <c r="I71" s="128">
        <v>0</v>
      </c>
      <c r="J71" s="62" t="str">
        <f>_xll.qlSwapRateHelper2(,H71,,B71,JoinCalendar,USDSTD!D71,USDSTD!E71,USDSTD!F71,USDSTD!G71,USDSTD!I71,USDSTD!C71,Discounting,PillarDate,,Permanent,Trigger,ObjectOverwrite)</f>
        <v>obj_003bb#0002</v>
      </c>
      <c r="L71" s="9" t="str">
        <f t="shared" si="19"/>
        <v>Sw</v>
      </c>
      <c r="M71" s="139" t="str">
        <f t="shared" si="20"/>
        <v>obj_003b3#0002</v>
      </c>
      <c r="N71" s="148" t="str">
        <f>IFERROR(_xll.qlRateHelperQuoteName(M71,Trigger),"--")</f>
        <v>USD_CURVE_3M_25Y_Quote</v>
      </c>
      <c r="O71" s="141">
        <f>IFERROR(_xll.qlRateHelperQuoteValue($M71,Trigger),"--")</f>
        <v>2.6470000000000004E-2</v>
      </c>
      <c r="P71" s="140" t="b">
        <v>1</v>
      </c>
      <c r="Q71" s="140">
        <v>50</v>
      </c>
      <c r="R71" s="140">
        <v>1</v>
      </c>
      <c r="S71" s="142">
        <f>IFERROR(_xll.qlRateHelperEarliestDate(M71,Trigger),"--")</f>
        <v>42261</v>
      </c>
      <c r="T71" s="142">
        <f>IFERROR(_xll.qlRateHelperPillarDate(M71,Trigger),"--")</f>
        <v>51393</v>
      </c>
      <c r="V71" s="5" t="str">
        <f t="shared" si="14"/>
        <v/>
      </c>
      <c r="W71" s="5" t="e">
        <v>#N/A</v>
      </c>
      <c r="X71" s="5" t="str">
        <f>IFERROR(_xll.qlRateHelperQuoteName(W71,Trigger),"")</f>
        <v/>
      </c>
      <c r="Y71" s="73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3" t="e">
        <v>#N/A</v>
      </c>
    </row>
    <row r="72" spans="1:29" ht="11.25" customHeight="1" x14ac:dyDescent="0.2">
      <c r="A72" s="58" t="s">
        <v>26</v>
      </c>
      <c r="B72" s="59" t="s">
        <v>99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17"/>
        <v>UsdLibor3M</v>
      </c>
      <c r="H72" s="58" t="str">
        <f t="shared" si="18"/>
        <v>USD_CURVE_3M_19Y_Quote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obj_003a8#0002</v>
      </c>
      <c r="L72" s="9" t="str">
        <f t="shared" si="19"/>
        <v>Sw</v>
      </c>
      <c r="M72" s="139" t="str">
        <f t="shared" si="20"/>
        <v>obj_003b1#0002</v>
      </c>
      <c r="N72" s="148" t="str">
        <f>IFERROR(_xll.qlRateHelperQuoteName(M72,Trigger),"--")</f>
        <v>USD_CURVE_3M_26Y_Quote</v>
      </c>
      <c r="O72" s="141">
        <f>IFERROR(_xll.qlRateHelperQuoteValue($M72,Trigger),"--")</f>
        <v>2.654866421E-2</v>
      </c>
      <c r="P72" s="140" t="b">
        <v>1</v>
      </c>
      <c r="Q72" s="140">
        <v>50</v>
      </c>
      <c r="R72" s="140">
        <v>1</v>
      </c>
      <c r="S72" s="142">
        <f>IFERROR(_xll.qlRateHelperEarliestDate(M72,Trigger),"--")</f>
        <v>42261</v>
      </c>
      <c r="T72" s="142">
        <f>IFERROR(_xll.qlRateHelperPillarDate(M72,Trigger),"--")</f>
        <v>51760</v>
      </c>
    </row>
    <row r="73" spans="1:29" ht="11.25" customHeight="1" x14ac:dyDescent="0.2">
      <c r="A73" s="58" t="s">
        <v>26</v>
      </c>
      <c r="B73" s="59" t="s">
        <v>63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17"/>
        <v>UsdLibor3M</v>
      </c>
      <c r="H73" s="58" t="str">
        <f t="shared" si="18"/>
        <v>USD_CURVE_3M_20Y_Quote</v>
      </c>
      <c r="I73" s="128">
        <v>0</v>
      </c>
      <c r="J73" s="62" t="str">
        <f>_xll.qlSwapRateHelper2(,H73,,B73,JoinCalendar,USDSTD!D73,USDSTD!E73,USDSTD!F73,USDSTD!G73,USDSTD!I73,USDSTD!C73,Discounting,PillarDate,,Permanent,Trigger,ObjectOverwrite)</f>
        <v>obj_003b4#0002</v>
      </c>
      <c r="L73" s="9" t="str">
        <f t="shared" si="19"/>
        <v>Sw</v>
      </c>
      <c r="M73" s="139" t="str">
        <f t="shared" si="20"/>
        <v>obj_003a9#0002</v>
      </c>
      <c r="N73" s="148" t="str">
        <f>IFERROR(_xll.qlRateHelperQuoteName(M73,Trigger),"--")</f>
        <v>USD_CURVE_3M_27Y_Quote</v>
      </c>
      <c r="O73" s="141">
        <f>IFERROR(_xll.qlRateHelperQuoteValue($M73,Trigger),"--")</f>
        <v>2.6619811870000003E-2</v>
      </c>
      <c r="P73" s="140" t="b">
        <v>1</v>
      </c>
      <c r="Q73" s="140">
        <v>50</v>
      </c>
      <c r="R73" s="140">
        <v>1</v>
      </c>
      <c r="S73" s="142">
        <f>IFERROR(_xll.qlRateHelperEarliestDate(M73,Trigger),"--")</f>
        <v>42261</v>
      </c>
      <c r="T73" s="142">
        <f>IFERROR(_xll.qlRateHelperPillarDate(M73,Trigger),"--")</f>
        <v>52124</v>
      </c>
    </row>
    <row r="74" spans="1:29" ht="11.25" customHeight="1" x14ac:dyDescent="0.2">
      <c r="A74" s="58" t="s">
        <v>26</v>
      </c>
      <c r="B74" s="59" t="s">
        <v>100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17"/>
        <v>UsdLibor3M</v>
      </c>
      <c r="H74" s="58" t="str">
        <f t="shared" si="18"/>
        <v>USD_CURVE_3M_21Y_Quote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obj_003b8#0002</v>
      </c>
      <c r="L74" s="9" t="str">
        <f t="shared" si="19"/>
        <v>Sw</v>
      </c>
      <c r="M74" s="139" t="str">
        <f t="shared" si="20"/>
        <v>obj_003a5#0002</v>
      </c>
      <c r="N74" s="148" t="str">
        <f>IFERROR(_xll.qlRateHelperQuoteName(M74,Trigger),"--")</f>
        <v>USD_CURVE_3M_28Y_Quote</v>
      </c>
      <c r="O74" s="141">
        <f>IFERROR(_xll.qlRateHelperQuoteValue($M74,Trigger),"--")</f>
        <v>2.6683845669999998E-2</v>
      </c>
      <c r="P74" s="140" t="b">
        <v>1</v>
      </c>
      <c r="Q74" s="140">
        <v>50</v>
      </c>
      <c r="R74" s="140">
        <v>1</v>
      </c>
      <c r="S74" s="142">
        <f>IFERROR(_xll.qlRateHelperEarliestDate(M74,Trigger),"--")</f>
        <v>42261</v>
      </c>
      <c r="T74" s="142">
        <f>IFERROR(_xll.qlRateHelperPillarDate(M74,Trigger),"--")</f>
        <v>52488</v>
      </c>
    </row>
    <row r="75" spans="1:29" ht="11.25" customHeight="1" x14ac:dyDescent="0.2">
      <c r="A75" s="58" t="s">
        <v>26</v>
      </c>
      <c r="B75" s="59" t="s">
        <v>101</v>
      </c>
      <c r="C75" s="60" t="s">
        <v>6</v>
      </c>
      <c r="D75" s="60" t="s">
        <v>8</v>
      </c>
      <c r="E75" s="60" t="s">
        <v>7</v>
      </c>
      <c r="F75" s="60" t="s">
        <v>28</v>
      </c>
      <c r="G75" s="60" t="str">
        <f t="shared" si="17"/>
        <v>UsdLibor3M</v>
      </c>
      <c r="H75" s="58" t="str">
        <f t="shared" si="18"/>
        <v>USD_CURVE_3M_22Y_Quote</v>
      </c>
      <c r="I75" s="128">
        <v>0</v>
      </c>
      <c r="J75" s="62" t="str">
        <f>_xll.qlSwapRateHelper2(,H75,,B75,JoinCalendar,USDSTD!D75,USDSTD!E75,USDSTD!F75,USDSTD!G75,USDSTD!I75,USDSTD!C75,Discounting,PillarDate,,Permanent,Trigger,ObjectOverwrite)</f>
        <v>obj_003b5#0002</v>
      </c>
      <c r="L75" s="9" t="str">
        <f t="shared" si="19"/>
        <v>Sw</v>
      </c>
      <c r="M75" s="139" t="str">
        <f t="shared" si="20"/>
        <v>obj_003bc#0002</v>
      </c>
      <c r="N75" s="148" t="str">
        <f>IFERROR(_xll.qlRateHelperQuoteName(M75,Trigger),"--")</f>
        <v>USD_CURVE_3M_29Y_Quote</v>
      </c>
      <c r="O75" s="141">
        <f>IFERROR(_xll.qlRateHelperQuoteValue($M75,Trigger),"--")</f>
        <v>2.6740832809999997E-2</v>
      </c>
      <c r="P75" s="140" t="b">
        <v>1</v>
      </c>
      <c r="Q75" s="140">
        <v>50</v>
      </c>
      <c r="R75" s="140">
        <v>1</v>
      </c>
      <c r="S75" s="142">
        <f>IFERROR(_xll.qlRateHelperEarliestDate(M75,Trigger),"--")</f>
        <v>42261</v>
      </c>
      <c r="T75" s="142">
        <f>IFERROR(_xll.qlRateHelperPillarDate(M75,Trigger),"--")</f>
        <v>52854</v>
      </c>
    </row>
    <row r="76" spans="1:29" ht="11.25" customHeight="1" x14ac:dyDescent="0.2">
      <c r="A76" s="58" t="s">
        <v>26</v>
      </c>
      <c r="B76" s="59" t="s">
        <v>102</v>
      </c>
      <c r="C76" s="60" t="s">
        <v>6</v>
      </c>
      <c r="D76" s="60" t="s">
        <v>8</v>
      </c>
      <c r="E76" s="60" t="s">
        <v>7</v>
      </c>
      <c r="F76" s="60" t="s">
        <v>28</v>
      </c>
      <c r="G76" s="60" t="str">
        <f t="shared" si="17"/>
        <v>UsdLibor3M</v>
      </c>
      <c r="H76" s="58" t="str">
        <f t="shared" si="18"/>
        <v>USD_CURVE_3M_23Y_Quote</v>
      </c>
      <c r="I76" s="128">
        <v>0</v>
      </c>
      <c r="J76" s="62" t="str">
        <f>_xll.qlSwapRateHelper2(,H76,,B76,JoinCalendar,USDSTD!D76,USDSTD!E76,USDSTD!F76,USDSTD!G76,USDSTD!I76,USDSTD!C76,Discounting,PillarDate,,Permanent,Trigger,ObjectOverwrite)</f>
        <v>obj_003a7#0002</v>
      </c>
      <c r="L76" s="9" t="str">
        <f t="shared" si="19"/>
        <v>Sw</v>
      </c>
      <c r="M76" s="139" t="str">
        <f t="shared" si="20"/>
        <v>obj_003b9#0002</v>
      </c>
      <c r="N76" s="148" t="str">
        <f>IFERROR(_xll.qlRateHelperQuoteName(M76,Trigger),"--")</f>
        <v>USD_CURVE_3M_30Y_Quote</v>
      </c>
      <c r="O76" s="141">
        <f>IFERROR(_xll.qlRateHelperQuoteValue($M76,Trigger),"--")</f>
        <v>2.6790000000000001E-2</v>
      </c>
      <c r="P76" s="140" t="b">
        <v>1</v>
      </c>
      <c r="Q76" s="140">
        <v>50</v>
      </c>
      <c r="R76" s="140">
        <v>1</v>
      </c>
      <c r="S76" s="142">
        <f>IFERROR(_xll.qlRateHelperEarliestDate(M76,Trigger),"--")</f>
        <v>42261</v>
      </c>
      <c r="T76" s="142">
        <f>IFERROR(_xll.qlRateHelperPillarDate(M76,Trigger),"--")</f>
        <v>53219</v>
      </c>
    </row>
    <row r="77" spans="1:29" ht="11.25" customHeight="1" x14ac:dyDescent="0.2">
      <c r="A77" s="58" t="s">
        <v>26</v>
      </c>
      <c r="B77" s="59" t="s">
        <v>103</v>
      </c>
      <c r="C77" s="60" t="s">
        <v>6</v>
      </c>
      <c r="D77" s="60" t="s">
        <v>8</v>
      </c>
      <c r="E77" s="60" t="s">
        <v>7</v>
      </c>
      <c r="F77" s="60" t="s">
        <v>28</v>
      </c>
      <c r="G77" s="60" t="str">
        <f t="shared" si="17"/>
        <v>UsdLibor3M</v>
      </c>
      <c r="H77" s="58" t="str">
        <f t="shared" si="18"/>
        <v>USD_CURVE_3M_24Y_Quote</v>
      </c>
      <c r="I77" s="128">
        <v>0</v>
      </c>
      <c r="J77" s="62" t="str">
        <f>_xll.qlSwapRateHelper2(,H77,,B77,JoinCalendar,USDSTD!D77,USDSTD!E77,USDSTD!F77,USDSTD!G77,USDSTD!I77,USDSTD!C77,Discounting,PillarDate,,Permanent,Trigger,ObjectOverwrite)</f>
        <v>obj_003bd#0002</v>
      </c>
      <c r="L77" s="9" t="str">
        <f t="shared" si="19"/>
        <v>Sw</v>
      </c>
      <c r="M77" s="139" t="str">
        <f t="shared" si="20"/>
        <v>--</v>
      </c>
      <c r="N77" s="148" t="str">
        <f>IFERROR(_xll.qlRateHelperQuoteName(M77,Trigger),"--")</f>
        <v>--</v>
      </c>
      <c r="O77" s="141" t="str">
        <f>IFERROR(_xll.qlRateHelperQuoteValue($M77,Trigger),"--")</f>
        <v>--</v>
      </c>
      <c r="P77" s="140" t="b">
        <v>0</v>
      </c>
      <c r="Q77" s="140">
        <v>50</v>
      </c>
      <c r="R77" s="140">
        <v>1</v>
      </c>
      <c r="S77" s="142" t="str">
        <f>IFERROR(_xll.qlRateHelperEarliestDate(M77,Trigger),"--")</f>
        <v>--</v>
      </c>
      <c r="T77" s="142" t="str">
        <f>IFERROR(_xll.qlRateHelperPillarDate(M77,Trigger),"--")</f>
        <v>--</v>
      </c>
    </row>
    <row r="78" spans="1:29" ht="11.25" customHeight="1" x14ac:dyDescent="0.2">
      <c r="A78" s="58" t="s">
        <v>26</v>
      </c>
      <c r="B78" s="59" t="s">
        <v>64</v>
      </c>
      <c r="C78" s="60" t="s">
        <v>6</v>
      </c>
      <c r="D78" s="60" t="s">
        <v>8</v>
      </c>
      <c r="E78" s="60" t="s">
        <v>7</v>
      </c>
      <c r="F78" s="60" t="s">
        <v>28</v>
      </c>
      <c r="G78" s="60" t="str">
        <f t="shared" si="17"/>
        <v>UsdLibor3M</v>
      </c>
      <c r="H78" s="58" t="str">
        <f t="shared" si="18"/>
        <v>USD_CURVE_3M_25Y_Quote</v>
      </c>
      <c r="I78" s="128">
        <v>0</v>
      </c>
      <c r="J78" s="62" t="str">
        <f>_xll.qlSwapRateHelper2(,H78,,B78,JoinCalendar,USDSTD!D78,USDSTD!E78,USDSTD!F78,USDSTD!G78,USDSTD!I78,USDSTD!C78,Discounting,PillarDate,,Permanent,Trigger,ObjectOverwrite)</f>
        <v>obj_003b3#0002</v>
      </c>
      <c r="L78" s="9" t="str">
        <f t="shared" si="19"/>
        <v>Sw</v>
      </c>
      <c r="M78" s="139" t="str">
        <f t="shared" si="20"/>
        <v>obj_003a0#0002</v>
      </c>
      <c r="N78" s="148" t="str">
        <f>IFERROR(_xll.qlRateHelperQuoteName(M78,Trigger),"--")</f>
        <v>USD_CURVE_3M_40Y_Quote</v>
      </c>
      <c r="O78" s="141">
        <f>IFERROR(_xll.qlRateHelperQuoteValue($M78,Trigger),"--")</f>
        <v>2.6950000000000002E-2</v>
      </c>
      <c r="P78" s="140" t="b">
        <v>1</v>
      </c>
      <c r="Q78" s="140">
        <v>50</v>
      </c>
      <c r="R78" s="140">
        <v>1</v>
      </c>
      <c r="S78" s="142">
        <f>IFERROR(_xll.qlRateHelperEarliestDate(M78,Trigger),"--")</f>
        <v>42261</v>
      </c>
      <c r="T78" s="142">
        <f>IFERROR(_xll.qlRateHelperPillarDate(M78,Trigger),"--")</f>
        <v>56871</v>
      </c>
    </row>
    <row r="79" spans="1:29" ht="11.25" customHeight="1" x14ac:dyDescent="0.2">
      <c r="A79" s="58" t="s">
        <v>26</v>
      </c>
      <c r="B79" s="59" t="s">
        <v>104</v>
      </c>
      <c r="C79" s="60" t="s">
        <v>6</v>
      </c>
      <c r="D79" s="60" t="s">
        <v>8</v>
      </c>
      <c r="E79" s="60" t="s">
        <v>7</v>
      </c>
      <c r="F79" s="60" t="s">
        <v>28</v>
      </c>
      <c r="G79" s="60" t="str">
        <f t="shared" si="17"/>
        <v>UsdLibor3M</v>
      </c>
      <c r="H79" s="58" t="str">
        <f t="shared" si="18"/>
        <v>USD_CURVE_3M_26Y_Quote</v>
      </c>
      <c r="I79" s="128">
        <v>0</v>
      </c>
      <c r="J79" s="62" t="str">
        <f>_xll.qlSwapRateHelper2(,H79,,B79,JoinCalendar,USDSTD!D79,USDSTD!E79,USDSTD!F79,USDSTD!G79,USDSTD!I79,USDSTD!C79,Discounting,PillarDate,,Permanent,Trigger,ObjectOverwrite)</f>
        <v>obj_003b1#0002</v>
      </c>
      <c r="L79" s="9" t="str">
        <f t="shared" si="19"/>
        <v>Sw</v>
      </c>
      <c r="M79" s="139" t="str">
        <f t="shared" si="20"/>
        <v>obj_003b0#0002</v>
      </c>
      <c r="N79" s="148" t="str">
        <f>IFERROR(_xll.qlRateHelperQuoteName(M79,Trigger),"--")</f>
        <v>USD_CURVE_3M_50Y_Quote</v>
      </c>
      <c r="O79" s="141">
        <f>IFERROR(_xll.qlRateHelperQuoteValue($M79,Trigger),"--")</f>
        <v>2.681E-2</v>
      </c>
      <c r="P79" s="140" t="b">
        <v>1</v>
      </c>
      <c r="Q79" s="140">
        <v>50</v>
      </c>
      <c r="R79" s="140">
        <v>1</v>
      </c>
      <c r="S79" s="142">
        <f>IFERROR(_xll.qlRateHelperEarliestDate(M79,Trigger),"--")</f>
        <v>42261</v>
      </c>
      <c r="T79" s="142">
        <f>IFERROR(_xll.qlRateHelperPillarDate(M79,Trigger),"--")</f>
        <v>60524</v>
      </c>
    </row>
    <row r="80" spans="1:29" ht="11.25" customHeight="1" x14ac:dyDescent="0.2">
      <c r="A80" s="58" t="s">
        <v>26</v>
      </c>
      <c r="B80" s="59" t="s">
        <v>65</v>
      </c>
      <c r="C80" s="60" t="s">
        <v>6</v>
      </c>
      <c r="D80" s="60" t="s">
        <v>8</v>
      </c>
      <c r="E80" s="60" t="s">
        <v>7</v>
      </c>
      <c r="F80" s="60" t="s">
        <v>28</v>
      </c>
      <c r="G80" s="60" t="str">
        <f t="shared" si="17"/>
        <v>UsdLibor3M</v>
      </c>
      <c r="H80" s="58" t="str">
        <f t="shared" si="18"/>
        <v>USD_CURVE_3M_27Y_Quote</v>
      </c>
      <c r="I80" s="128">
        <v>0</v>
      </c>
      <c r="J80" s="62" t="str">
        <f>_xll.qlSwapRateHelper2(,H80,,B80,JoinCalendar,USDSTD!D80,USDSTD!E80,USDSTD!F80,USDSTD!G80,USDSTD!I80,USDSTD!C80,Discounting,PillarDate,,Permanent,Trigger,ObjectOverwrite)</f>
        <v>obj_003a9#0002</v>
      </c>
      <c r="L80" s="10" t="str">
        <f t="shared" si="19"/>
        <v>Sw</v>
      </c>
      <c r="M80" s="277" t="str">
        <f t="shared" si="20"/>
        <v>obj_003c4#0002</v>
      </c>
      <c r="N80" s="152" t="str">
        <f>IFERROR(_xll.qlRateHelperQuoteName(M80,Trigger),"--")</f>
        <v>USD_CURVE_3M_60Y_Quote</v>
      </c>
      <c r="O80" s="153">
        <f>IFERROR(_xll.qlRateHelperQuoteValue($M80,Trigger),"--")</f>
        <v>2.668520165E-2</v>
      </c>
      <c r="P80" s="143" t="b">
        <v>1</v>
      </c>
      <c r="Q80" s="143">
        <v>50</v>
      </c>
      <c r="R80" s="143">
        <v>1</v>
      </c>
      <c r="S80" s="151">
        <f>IFERROR(_xll.qlRateHelperEarliestDate(M80,Trigger),"--")</f>
        <v>42261</v>
      </c>
      <c r="T80" s="151">
        <f>IFERROR(_xll.qlRateHelperPillarDate(M80,Trigger),"--")</f>
        <v>64178</v>
      </c>
    </row>
    <row r="81" spans="1:11" x14ac:dyDescent="0.2">
      <c r="A81" s="58" t="s">
        <v>26</v>
      </c>
      <c r="B81" s="59" t="s">
        <v>105</v>
      </c>
      <c r="C81" s="60" t="s">
        <v>6</v>
      </c>
      <c r="D81" s="60" t="s">
        <v>8</v>
      </c>
      <c r="E81" s="60" t="s">
        <v>7</v>
      </c>
      <c r="F81" s="60" t="s">
        <v>28</v>
      </c>
      <c r="G81" s="60" t="str">
        <f t="shared" si="17"/>
        <v>UsdLibor3M</v>
      </c>
      <c r="H81" s="58" t="str">
        <f t="shared" si="18"/>
        <v>USD_CURVE_3M_28Y_Quote</v>
      </c>
      <c r="I81" s="128">
        <v>0</v>
      </c>
      <c r="J81" s="62" t="str">
        <f>_xll.qlSwapRateHelper2(,H81,,B81,JoinCalendar,USDSTD!D81,USDSTD!E81,USDSTD!F81,USDSTD!G81,USDSTD!I81,USDSTD!C81,Discounting,PillarDate,,Permanent,Trigger,ObjectOverwrite)</f>
        <v>obj_003a5#0002</v>
      </c>
    </row>
    <row r="82" spans="1:11" x14ac:dyDescent="0.2">
      <c r="A82" s="58" t="s">
        <v>26</v>
      </c>
      <c r="B82" s="59" t="s">
        <v>106</v>
      </c>
      <c r="C82" s="60" t="s">
        <v>6</v>
      </c>
      <c r="D82" s="60" t="s">
        <v>8</v>
      </c>
      <c r="E82" s="60" t="s">
        <v>7</v>
      </c>
      <c r="F82" s="60" t="s">
        <v>28</v>
      </c>
      <c r="G82" s="60" t="str">
        <f t="shared" si="17"/>
        <v>UsdLibor3M</v>
      </c>
      <c r="H82" s="58" t="str">
        <f t="shared" si="18"/>
        <v>USD_CURVE_3M_29Y_Quote</v>
      </c>
      <c r="I82" s="128">
        <v>0</v>
      </c>
      <c r="J82" s="62" t="str">
        <f>_xll.qlSwapRateHelper2(,H82,,B82,JoinCalendar,USDSTD!D82,USDSTD!E82,USDSTD!F82,USDSTD!G82,USDSTD!I82,USDSTD!C82,Discounting,PillarDate,,Permanent,Trigger,ObjectOverwrite)</f>
        <v>obj_003bc#0002</v>
      </c>
    </row>
    <row r="83" spans="1:11" x14ac:dyDescent="0.2">
      <c r="A83" s="58" t="s">
        <v>26</v>
      </c>
      <c r="B83" s="59" t="s">
        <v>66</v>
      </c>
      <c r="C83" s="60" t="s">
        <v>6</v>
      </c>
      <c r="D83" s="60" t="s">
        <v>8</v>
      </c>
      <c r="E83" s="60" t="s">
        <v>7</v>
      </c>
      <c r="F83" s="60" t="s">
        <v>28</v>
      </c>
      <c r="G83" s="60" t="str">
        <f t="shared" si="17"/>
        <v>UsdLibor3M</v>
      </c>
      <c r="H83" s="58" t="str">
        <f t="shared" si="18"/>
        <v>USD_CURVE_3M_30Y_Quote</v>
      </c>
      <c r="I83" s="128">
        <v>0</v>
      </c>
      <c r="J83" s="62" t="str">
        <f>_xll.qlSwapRateHelper2(,H83,,B83,JoinCalendar,USDSTD!D83,USDSTD!E83,USDSTD!F83,USDSTD!G83,USDSTD!I83,USDSTD!C83,Discounting,PillarDate,,Permanent,Trigger,ObjectOverwrite)</f>
        <v>obj_003b9#0002</v>
      </c>
    </row>
    <row r="84" spans="1:11" x14ac:dyDescent="0.2">
      <c r="A84" s="58" t="s">
        <v>26</v>
      </c>
      <c r="B84" s="59" t="s">
        <v>67</v>
      </c>
      <c r="C84" s="60" t="s">
        <v>6</v>
      </c>
      <c r="D84" s="60" t="s">
        <v>8</v>
      </c>
      <c r="E84" s="60" t="s">
        <v>7</v>
      </c>
      <c r="F84" s="60" t="s">
        <v>28</v>
      </c>
      <c r="G84" s="60" t="str">
        <f t="shared" si="17"/>
        <v>UsdLibor3M</v>
      </c>
      <c r="H84" s="58" t="str">
        <f t="shared" si="18"/>
        <v>USD_CURVE_3M_35Y_Quote</v>
      </c>
      <c r="I84" s="128">
        <v>0</v>
      </c>
      <c r="J84" s="62"/>
    </row>
    <row r="85" spans="1:11" x14ac:dyDescent="0.2">
      <c r="A85" s="58" t="s">
        <v>26</v>
      </c>
      <c r="B85" s="59" t="s">
        <v>68</v>
      </c>
      <c r="C85" s="60" t="s">
        <v>6</v>
      </c>
      <c r="D85" s="60" t="s">
        <v>8</v>
      </c>
      <c r="E85" s="60" t="s">
        <v>7</v>
      </c>
      <c r="F85" s="60" t="s">
        <v>28</v>
      </c>
      <c r="G85" s="60" t="str">
        <f t="shared" si="17"/>
        <v>UsdLibor3M</v>
      </c>
      <c r="H85" s="58" t="str">
        <f t="shared" si="18"/>
        <v>USD_CURVE_3M_40Y_Quote</v>
      </c>
      <c r="I85" s="126">
        <v>0</v>
      </c>
      <c r="J85" s="62" t="str">
        <f>_xll.qlSwapRateHelper2(,H85,,B85,JoinCalendar,USDSTD!D85,USDSTD!E85,USDSTD!F85,USDSTD!G85,USDSTD!I85,USDSTD!C85,Discounting,PillarDate,,Permanent,Trigger,ObjectOverwrite)</f>
        <v>obj_003a0#0002</v>
      </c>
    </row>
    <row r="86" spans="1:11" x14ac:dyDescent="0.2">
      <c r="A86" s="58" t="s">
        <v>26</v>
      </c>
      <c r="B86" s="59" t="s">
        <v>69</v>
      </c>
      <c r="C86" s="60" t="s">
        <v>6</v>
      </c>
      <c r="D86" s="60" t="s">
        <v>8</v>
      </c>
      <c r="E86" s="60" t="s">
        <v>7</v>
      </c>
      <c r="F86" s="60" t="s">
        <v>28</v>
      </c>
      <c r="G86" s="60" t="str">
        <f t="shared" si="17"/>
        <v>UsdLibor3M</v>
      </c>
      <c r="H86" s="58" t="str">
        <f t="shared" si="18"/>
        <v>USD_CURVE_3M_50Y_Quote</v>
      </c>
      <c r="I86" s="126">
        <v>0</v>
      </c>
      <c r="J86" s="62" t="str">
        <f>_xll.qlSwapRateHelper2(,H86,,B86,JoinCalendar,USDSTD!D86,USDSTD!E86,USDSTD!F86,USDSTD!G86,USDSTD!I86,USDSTD!C86,Discounting,PillarDate,,Permanent,Trigger,ObjectOverwrite)</f>
        <v>obj_003b0#0002</v>
      </c>
    </row>
    <row r="87" spans="1:11" x14ac:dyDescent="0.2">
      <c r="A87" s="1" t="s">
        <v>26</v>
      </c>
      <c r="B87" s="7" t="s">
        <v>107</v>
      </c>
      <c r="C87" s="6" t="s">
        <v>6</v>
      </c>
      <c r="D87" s="6" t="s">
        <v>8</v>
      </c>
      <c r="E87" s="6" t="s">
        <v>7</v>
      </c>
      <c r="F87" s="6" t="s">
        <v>28</v>
      </c>
      <c r="G87" s="6" t="str">
        <f t="shared" si="17"/>
        <v>UsdLibor3M</v>
      </c>
      <c r="H87" s="1" t="str">
        <f t="shared" si="18"/>
        <v>USD_CURVE_3M_60Y_Quote</v>
      </c>
      <c r="I87" s="129">
        <v>0</v>
      </c>
      <c r="J87" s="2" t="str">
        <f>_xll.qlSwapRateHelper2(,H87,,B87,JoinCalendar,USDSTD!D87,USDSTD!E87,USDSTD!F87,USDSTD!G87,USDSTD!I87,USDSTD!C87,Discounting,PillarDate,,Permanent,Trigger,ObjectOverwrite)</f>
        <v>obj_003c4#0002</v>
      </c>
    </row>
    <row r="90" spans="1:11" x14ac:dyDescent="0.2">
      <c r="K90" s="47" t="s">
        <v>46</v>
      </c>
    </row>
  </sheetData>
  <mergeCells count="1">
    <mergeCell ref="AE2:AF2"/>
  </mergeCells>
  <dataValidations count="4">
    <dataValidation type="list" allowBlank="1" showInputMessage="1" showErrorMessage="1" sqref="D51:D87">
      <formula1>"Annual,Semiannual,EveryFourthMonth,Quarterly,Bimonthly,Monthly,Biweekly,Weekly,Daily,Once,NoFrequency"</formula1>
    </dataValidation>
    <dataValidation type="list" allowBlank="1" showInputMessage="1" showErrorMessage="1" sqref="F51:F87 F4: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E51:E87 E4:E21">
      <formula1>"Following,Modified Following,Preceding,Modified Preceding,Unadjusted,Half-Month Modified Following"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opLeftCell="G1" workbookViewId="0">
      <selection activeCell="M3" sqref="M3"/>
    </sheetView>
  </sheetViews>
  <sheetFormatPr defaultRowHeight="11.25" outlineLevelCol="1" x14ac:dyDescent="0.2"/>
  <cols>
    <col min="1" max="1" width="2.7109375" style="47" hidden="1" customWidth="1" outlineLevel="1"/>
    <col min="2" max="2" width="5.140625" style="47" hidden="1" customWidth="1" outlineLevel="1"/>
    <col min="3" max="3" width="17.28515625" style="47" hidden="1" customWidth="1" outlineLevel="1"/>
    <col min="4" max="4" width="22.42578125" style="47" hidden="1" customWidth="1" outlineLevel="1"/>
    <col min="5" max="5" width="66" style="47" hidden="1" customWidth="1" outlineLevel="1"/>
    <col min="6" max="6" width="2.7109375" style="47" hidden="1" customWidth="1" outlineLevel="1"/>
    <col min="7" max="7" width="2.7109375" style="47" customWidth="1" collapsed="1"/>
    <col min="8" max="8" width="2.7109375" style="47" customWidth="1"/>
    <col min="9" max="9" width="4" style="47" customWidth="1"/>
    <col min="10" max="10" width="11" style="47" bestFit="1" customWidth="1"/>
    <col min="11" max="13" width="10.7109375" style="47" customWidth="1"/>
    <col min="14" max="14" width="2.7109375" style="47" customWidth="1"/>
    <col min="15" max="15" width="10.7109375" style="47" customWidth="1"/>
    <col min="16" max="16" width="2.7109375" style="47" customWidth="1"/>
    <col min="17" max="18" width="10.7109375" style="47" customWidth="1"/>
    <col min="19" max="19" width="2.7109375" style="47" customWidth="1"/>
    <col min="20" max="16384" width="9.140625" style="47"/>
  </cols>
  <sheetData>
    <row r="1" spans="1:19" x14ac:dyDescent="0.2">
      <c r="A1" s="159"/>
      <c r="B1" s="160"/>
      <c r="C1" s="160"/>
      <c r="D1" s="160"/>
      <c r="E1" s="160"/>
      <c r="F1" s="161"/>
      <c r="G1" s="162"/>
      <c r="H1" s="163"/>
      <c r="I1" s="164"/>
      <c r="J1" s="165"/>
      <c r="K1" s="165"/>
      <c r="L1" s="165"/>
      <c r="M1" s="165"/>
      <c r="N1" s="165"/>
      <c r="O1" s="165"/>
      <c r="P1" s="165"/>
      <c r="Q1" s="165"/>
      <c r="R1" s="166">
        <f>_xll.ohTrigger(R4:R22)</f>
        <v>3</v>
      </c>
      <c r="S1" s="167"/>
    </row>
    <row r="2" spans="1:19" x14ac:dyDescent="0.2">
      <c r="A2" s="168"/>
      <c r="B2" s="169"/>
      <c r="C2" s="169"/>
      <c r="D2" s="169"/>
      <c r="E2" s="169"/>
      <c r="F2" s="170"/>
      <c r="G2" s="162"/>
      <c r="H2" s="171"/>
      <c r="I2" s="172"/>
      <c r="J2" s="172"/>
      <c r="K2" s="172"/>
      <c r="L2" s="172"/>
      <c r="M2" s="172"/>
      <c r="N2" s="172"/>
      <c r="O2" s="172"/>
      <c r="P2" s="172"/>
      <c r="Q2" s="169"/>
      <c r="R2" s="173"/>
      <c r="S2" s="16"/>
    </row>
    <row r="3" spans="1:19" ht="22.5" x14ac:dyDescent="0.2">
      <c r="A3" s="171"/>
      <c r="B3" s="174"/>
      <c r="C3" s="175" t="s">
        <v>1</v>
      </c>
      <c r="D3" s="175" t="s">
        <v>115</v>
      </c>
      <c r="E3" s="176" t="s">
        <v>116</v>
      </c>
      <c r="F3" s="16"/>
      <c r="G3" s="162"/>
      <c r="H3" s="171"/>
      <c r="I3" s="177"/>
      <c r="J3" s="178" t="str">
        <f>_xll.RData(J4:J22,K3:L3,"RTFEED:DTSIMI1","FRQ:1S",,K4)</f>
        <v>Updated at 11:30:51</v>
      </c>
      <c r="K3" s="179" t="s">
        <v>117</v>
      </c>
      <c r="L3" s="179" t="s">
        <v>118</v>
      </c>
      <c r="M3" s="179" t="s">
        <v>119</v>
      </c>
      <c r="N3" s="172"/>
      <c r="O3" s="179" t="s">
        <v>120</v>
      </c>
      <c r="P3" s="172"/>
      <c r="Q3" s="177" t="s">
        <v>121</v>
      </c>
      <c r="R3" s="177" t="s">
        <v>122</v>
      </c>
      <c r="S3" s="16"/>
    </row>
    <row r="4" spans="1:19" x14ac:dyDescent="0.2">
      <c r="A4" s="171"/>
      <c r="B4" s="180" t="s">
        <v>123</v>
      </c>
      <c r="C4" s="181" t="str">
        <f t="shared" ref="C4" si="0">Currency&amp;$B4&amp;"_Mx"&amp;QuoteSuffix</f>
        <v>USDOND_Mx_Quote</v>
      </c>
      <c r="D4" s="181" t="str">
        <f>_xll.qlSimpleQuote(C4,,0.0001,Permanent,Trigger,ObjectOverwrite)</f>
        <v>USDOND_Mx_Quote#0002</v>
      </c>
      <c r="E4" s="182" t="str">
        <f>_xll.ohRangeRetrieveError(D4)</f>
        <v/>
      </c>
      <c r="F4" s="16"/>
      <c r="G4" s="162"/>
      <c r="H4" s="171"/>
      <c r="I4" s="183" t="s">
        <v>47</v>
      </c>
      <c r="J4" s="184" t="str">
        <f t="shared" ref="J4" si="1">Currency&amp;"X"&amp;I4&amp;"D="</f>
        <v>USDXOND=</v>
      </c>
      <c r="K4" s="185">
        <v>0.27999999999999997</v>
      </c>
      <c r="L4" s="185">
        <v>0.27999999999999997</v>
      </c>
      <c r="M4" s="185">
        <f>AVERAGE(K4:L4)</f>
        <v>0.27999999999999997</v>
      </c>
      <c r="N4" s="172"/>
      <c r="O4" s="186">
        <v>0.27999999999999997</v>
      </c>
      <c r="P4" s="172"/>
      <c r="Q4" s="187">
        <f t="array" ref="Q4:Q22">QuoteLive</f>
        <v>0.27999999999999997</v>
      </c>
      <c r="R4" s="189" t="e">
        <f>_xll.qlSimpleQuoteSetValue(D4,Q4/100,Trigger)</f>
        <v>#N/A</v>
      </c>
      <c r="S4" s="16"/>
    </row>
    <row r="5" spans="1:19" x14ac:dyDescent="0.2">
      <c r="A5" s="171"/>
      <c r="B5" s="190" t="s">
        <v>124</v>
      </c>
      <c r="C5" s="191" t="str">
        <f t="shared" ref="C5:C21" si="2">Currency&amp;$B5&amp;"_Mx"&amp;QuoteSuffix</f>
        <v>USDTND_Mx_Quote</v>
      </c>
      <c r="D5" s="191" t="str">
        <f>_xll.qlSimpleQuote(C5,,0.0001,Permanent,Trigger,ObjectOverwrite)</f>
        <v>USDTND_Mx_Quote#0002</v>
      </c>
      <c r="E5" s="192" t="str">
        <f>_xll.ohRangeRetrieveError(D5)</f>
        <v/>
      </c>
      <c r="F5" s="16"/>
      <c r="G5" s="162"/>
      <c r="H5" s="171"/>
      <c r="I5" s="193" t="s">
        <v>72</v>
      </c>
      <c r="J5" s="184" t="str">
        <f t="shared" ref="J5:J21" si="3">Currency&amp;"X"&amp;I5&amp;"D="</f>
        <v>USDXTND=</v>
      </c>
      <c r="K5" s="187">
        <v>0.27999999999999997</v>
      </c>
      <c r="L5" s="187">
        <v>0.27999999999999997</v>
      </c>
      <c r="M5" s="187">
        <f t="shared" ref="M5:M22" si="4">AVERAGE(K5:L5)</f>
        <v>0.27999999999999997</v>
      </c>
      <c r="N5" s="172"/>
      <c r="O5" s="194">
        <v>0.27999999999999997</v>
      </c>
      <c r="P5" s="172"/>
      <c r="Q5" s="187">
        <v>0.27999999999999997</v>
      </c>
      <c r="R5" s="189" t="e">
        <f>_xll.qlSimpleQuoteSetValue(D5,Q5/100,Trigger)</f>
        <v>#N/A</v>
      </c>
      <c r="S5" s="16"/>
    </row>
    <row r="6" spans="1:19" x14ac:dyDescent="0.2">
      <c r="A6" s="171"/>
      <c r="B6" s="190" t="s">
        <v>125</v>
      </c>
      <c r="C6" s="191" t="str">
        <f t="shared" si="2"/>
        <v>USDSND_Mx_Quote</v>
      </c>
      <c r="D6" s="191" t="str">
        <f>_xll.qlSimpleQuote(C6,,0.0001,Permanent,Trigger,ObjectOverwrite)</f>
        <v>USDSND_Mx_Quote#0002</v>
      </c>
      <c r="E6" s="192" t="str">
        <f>_xll.ohRangeRetrieveError(D6)</f>
        <v/>
      </c>
      <c r="F6" s="16"/>
      <c r="G6" s="162"/>
      <c r="H6" s="171"/>
      <c r="I6" s="195" t="s">
        <v>73</v>
      </c>
      <c r="J6" s="196" t="str">
        <f t="shared" si="3"/>
        <v>USDXSND=</v>
      </c>
      <c r="K6" s="188">
        <v>0.27999999999999997</v>
      </c>
      <c r="L6" s="188">
        <v>0.27999999999999997</v>
      </c>
      <c r="M6" s="188">
        <f t="shared" si="4"/>
        <v>0.27999999999999997</v>
      </c>
      <c r="N6" s="172"/>
      <c r="O6" s="197">
        <v>0.28999999999999998</v>
      </c>
      <c r="P6" s="172"/>
      <c r="Q6" s="187">
        <v>0.27999999999999997</v>
      </c>
      <c r="R6" s="189" t="e">
        <f>_xll.qlSimpleQuoteSetValue(D6,Q6/100,Trigger)</f>
        <v>#N/A</v>
      </c>
      <c r="S6" s="16"/>
    </row>
    <row r="7" spans="1:19" x14ac:dyDescent="0.2">
      <c r="A7" s="171"/>
      <c r="B7" s="190" t="s">
        <v>126</v>
      </c>
      <c r="C7" s="191" t="str">
        <f t="shared" si="2"/>
        <v>USDSWD_Mx_Quote</v>
      </c>
      <c r="D7" s="191" t="str">
        <f>_xll.qlSimpleQuote(C7,,0.0001,Permanent,Trigger,ObjectOverwrite)</f>
        <v>USDSWD_Mx_Quote#0002</v>
      </c>
      <c r="E7" s="192" t="str">
        <f>_xll.ohRangeRetrieveError(D7)</f>
        <v/>
      </c>
      <c r="F7" s="16"/>
      <c r="G7" s="162"/>
      <c r="H7" s="171"/>
      <c r="I7" s="193" t="s">
        <v>87</v>
      </c>
      <c r="J7" s="184" t="str">
        <f t="shared" si="3"/>
        <v>USDXSWD=</v>
      </c>
      <c r="K7" s="187">
        <v>0.15009999999999998</v>
      </c>
      <c r="L7" s="187">
        <v>0.16009999999999999</v>
      </c>
      <c r="M7" s="187">
        <f t="shared" si="4"/>
        <v>0.15509999999999999</v>
      </c>
      <c r="N7" s="172"/>
      <c r="O7" s="194">
        <v>0.14574999999999999</v>
      </c>
      <c r="P7" s="172"/>
      <c r="Q7" s="185">
        <v>0.15509999999999999</v>
      </c>
      <c r="R7" s="198" t="e">
        <f>_xll.qlSimpleQuoteSetValue(D7,Q7/100,Trigger)</f>
        <v>#N/A</v>
      </c>
      <c r="S7" s="16"/>
    </row>
    <row r="8" spans="1:19" x14ac:dyDescent="0.2">
      <c r="A8" s="171"/>
      <c r="B8" s="190" t="s">
        <v>127</v>
      </c>
      <c r="C8" s="191" t="str">
        <f t="shared" si="2"/>
        <v>USD2WD_Mx_Quote</v>
      </c>
      <c r="D8" s="191" t="str">
        <f>_xll.qlSimpleQuote(C8,,0.0001,Permanent,Trigger,ObjectOverwrite)</f>
        <v>USD2WD_Mx_Quote#0002</v>
      </c>
      <c r="E8" s="192" t="str">
        <f>_xll.ohRangeRetrieveError(D8)</f>
        <v/>
      </c>
      <c r="F8" s="16"/>
      <c r="G8" s="162"/>
      <c r="H8" s="171"/>
      <c r="I8" s="193" t="s">
        <v>128</v>
      </c>
      <c r="J8" s="184" t="str">
        <f t="shared" si="3"/>
        <v>USDX2WD=</v>
      </c>
      <c r="K8" s="187">
        <v>0.164982609</v>
      </c>
      <c r="L8" s="187">
        <v>0.17498260900000001</v>
      </c>
      <c r="M8" s="187">
        <f t="shared" si="4"/>
        <v>0.16998260900000001</v>
      </c>
      <c r="N8" s="172"/>
      <c r="O8" s="194">
        <v>0.15614565200000002</v>
      </c>
      <c r="P8" s="172"/>
      <c r="Q8" s="187">
        <v>0.16998260900000001</v>
      </c>
      <c r="R8" s="189" t="e">
        <f>_xll.qlSimpleQuoteSetValue(D8,Q8/100,Trigger)</f>
        <v>#N/A</v>
      </c>
      <c r="S8" s="16"/>
    </row>
    <row r="9" spans="1:19" x14ac:dyDescent="0.2">
      <c r="A9" s="171"/>
      <c r="B9" s="190" t="s">
        <v>129</v>
      </c>
      <c r="C9" s="191" t="str">
        <f t="shared" si="2"/>
        <v>USD3WD_Mx_Quote</v>
      </c>
      <c r="D9" s="191" t="str">
        <f>_xll.qlSimpleQuote(C9,,0.0001,Permanent,Trigger,ObjectOverwrite)</f>
        <v>USD3WD_Mx_Quote#0002</v>
      </c>
      <c r="E9" s="192" t="str">
        <f>_xll.ohRangeRetrieveError(D9)</f>
        <v/>
      </c>
      <c r="F9" s="16"/>
      <c r="G9" s="162"/>
      <c r="H9" s="171"/>
      <c r="I9" s="193" t="s">
        <v>130</v>
      </c>
      <c r="J9" s="184" t="str">
        <f t="shared" si="3"/>
        <v>USDX3WD=</v>
      </c>
      <c r="K9" s="187">
        <v>0.17986521699999999</v>
      </c>
      <c r="L9" s="187">
        <v>0.189865217</v>
      </c>
      <c r="M9" s="187">
        <f t="shared" si="4"/>
        <v>0.184865217</v>
      </c>
      <c r="N9" s="172"/>
      <c r="O9" s="194">
        <v>0.168273913</v>
      </c>
      <c r="P9" s="172"/>
      <c r="Q9" s="187">
        <v>0.184865217</v>
      </c>
      <c r="R9" s="189" t="e">
        <f>_xll.qlSimpleQuoteSetValue(D9,Q9/100,Trigger)</f>
        <v>#N/A</v>
      </c>
      <c r="S9" s="16"/>
    </row>
    <row r="10" spans="1:19" x14ac:dyDescent="0.2">
      <c r="A10" s="171"/>
      <c r="B10" s="190" t="s">
        <v>131</v>
      </c>
      <c r="C10" s="191" t="str">
        <f t="shared" si="2"/>
        <v>USD1MD_Mx_Quote</v>
      </c>
      <c r="D10" s="191" t="str">
        <f>_xll.qlSimpleQuote(C10,,0.0001,Permanent,Trigger,ObjectOverwrite)</f>
        <v>USD1MD_Mx_Quote#0002</v>
      </c>
      <c r="E10" s="192" t="str">
        <f>_xll.ohRangeRetrieveError(D10)</f>
        <v/>
      </c>
      <c r="F10" s="16"/>
      <c r="G10" s="162"/>
      <c r="H10" s="171"/>
      <c r="I10" s="193" t="s">
        <v>2</v>
      </c>
      <c r="J10" s="184" t="str">
        <f t="shared" si="3"/>
        <v>USDX1MD=</v>
      </c>
      <c r="K10" s="187">
        <v>0.19900000000000001</v>
      </c>
      <c r="L10" s="187">
        <v>0.20899999999999999</v>
      </c>
      <c r="M10" s="187">
        <f t="shared" si="4"/>
        <v>0.20400000000000001</v>
      </c>
      <c r="N10" s="172"/>
      <c r="O10" s="194">
        <v>0.18560000000000001</v>
      </c>
      <c r="P10" s="172"/>
      <c r="Q10" s="187">
        <v>0.20400000000000001</v>
      </c>
      <c r="R10" s="189" t="e">
        <f>_xll.qlSimpleQuoteSetValue(D10,Q10/100,Trigger)</f>
        <v>#N/A</v>
      </c>
      <c r="S10" s="16"/>
    </row>
    <row r="11" spans="1:19" x14ac:dyDescent="0.2">
      <c r="A11" s="171"/>
      <c r="B11" s="190" t="s">
        <v>132</v>
      </c>
      <c r="C11" s="191" t="str">
        <f t="shared" si="2"/>
        <v>USD2MD_Mx_Quote</v>
      </c>
      <c r="D11" s="191" t="str">
        <f>_xll.qlSimpleQuote(C11,,0.0001,Permanent,Trigger,ObjectOverwrite)</f>
        <v>USD2MD_Mx_Quote#0002</v>
      </c>
      <c r="E11" s="192" t="str">
        <f>_xll.ohRangeRetrieveError(D11)</f>
        <v/>
      </c>
      <c r="F11" s="16"/>
      <c r="G11" s="162"/>
      <c r="H11" s="171"/>
      <c r="I11" s="193" t="s">
        <v>48</v>
      </c>
      <c r="J11" s="184" t="str">
        <f t="shared" si="3"/>
        <v>USDX2MD=</v>
      </c>
      <c r="K11" s="187">
        <v>0.26355000000000001</v>
      </c>
      <c r="L11" s="187">
        <v>0.27355000000000002</v>
      </c>
      <c r="M11" s="187">
        <f t="shared" si="4"/>
        <v>0.26855000000000001</v>
      </c>
      <c r="N11" s="172"/>
      <c r="O11" s="194">
        <v>0.22464999999999999</v>
      </c>
      <c r="P11" s="172"/>
      <c r="Q11" s="187">
        <v>0.26855000000000001</v>
      </c>
      <c r="R11" s="189" t="e">
        <f>_xll.qlSimpleQuoteSetValue(D11,Q11/100,Trigger)</f>
        <v>#N/A</v>
      </c>
      <c r="S11" s="16"/>
    </row>
    <row r="12" spans="1:19" x14ac:dyDescent="0.2">
      <c r="A12" s="171"/>
      <c r="B12" s="190" t="s">
        <v>133</v>
      </c>
      <c r="C12" s="191" t="str">
        <f t="shared" si="2"/>
        <v>USD3MD_Mx_Quote</v>
      </c>
      <c r="D12" s="191" t="str">
        <f>_xll.qlSimpleQuote(C12,,0.0001,Permanent,Trigger,ObjectOverwrite)</f>
        <v>USD3MD_Mx_Quote#0002</v>
      </c>
      <c r="E12" s="192" t="str">
        <f>_xll.ohRangeRetrieveError(D12)</f>
        <v/>
      </c>
      <c r="F12" s="16"/>
      <c r="G12" s="162"/>
      <c r="H12" s="171"/>
      <c r="I12" s="193" t="s">
        <v>0</v>
      </c>
      <c r="J12" s="184" t="str">
        <f t="shared" si="3"/>
        <v>USDX3MD=</v>
      </c>
      <c r="K12" s="187">
        <v>0.32799999999999996</v>
      </c>
      <c r="L12" s="187">
        <v>0.33799999999999997</v>
      </c>
      <c r="M12" s="187">
        <f t="shared" si="4"/>
        <v>0.33299999999999996</v>
      </c>
      <c r="N12" s="172"/>
      <c r="O12" s="194">
        <v>0.27390000000000003</v>
      </c>
      <c r="P12" s="172"/>
      <c r="Q12" s="187">
        <v>0.33299999999999996</v>
      </c>
      <c r="R12" s="189" t="e">
        <f>_xll.qlSimpleQuoteSetValue(D12,Q12/100,Trigger)</f>
        <v>#N/A</v>
      </c>
      <c r="S12" s="16"/>
    </row>
    <row r="13" spans="1:19" x14ac:dyDescent="0.2">
      <c r="A13" s="171"/>
      <c r="B13" s="190" t="s">
        <v>134</v>
      </c>
      <c r="C13" s="191" t="str">
        <f t="shared" si="2"/>
        <v>USD4MD_Mx_Quote</v>
      </c>
      <c r="D13" s="191" t="str">
        <f>_xll.qlSimpleQuote(C13,,0.0001,Permanent,Trigger,ObjectOverwrite)</f>
        <v>USD4MD_Mx_Quote#0002</v>
      </c>
      <c r="E13" s="192" t="str">
        <f>_xll.ohRangeRetrieveError(D13)</f>
        <v/>
      </c>
      <c r="F13" s="16"/>
      <c r="G13" s="162"/>
      <c r="H13" s="171"/>
      <c r="I13" s="193" t="s">
        <v>135</v>
      </c>
      <c r="J13" s="184" t="str">
        <f t="shared" si="3"/>
        <v>USDX4MD=</v>
      </c>
      <c r="K13" s="187">
        <v>0.39817582400000001</v>
      </c>
      <c r="L13" s="187">
        <v>0.40817582400000002</v>
      </c>
      <c r="M13" s="187">
        <f t="shared" si="4"/>
        <v>0.40317582400000002</v>
      </c>
      <c r="N13" s="172"/>
      <c r="O13" s="194">
        <v>0.32115815199999997</v>
      </c>
      <c r="P13" s="172"/>
      <c r="Q13" s="187">
        <v>0.40317582400000002</v>
      </c>
      <c r="R13" s="189" t="e">
        <f>_xll.qlSimpleQuoteSetValue(D13,Q13/100,Trigger)</f>
        <v>#N/A</v>
      </c>
      <c r="S13" s="16"/>
    </row>
    <row r="14" spans="1:19" x14ac:dyDescent="0.2">
      <c r="A14" s="171"/>
      <c r="B14" s="190" t="s">
        <v>136</v>
      </c>
      <c r="C14" s="191" t="str">
        <f t="shared" si="2"/>
        <v>USD5MD_Mx_Quote</v>
      </c>
      <c r="D14" s="191" t="str">
        <f>_xll.qlSimpleQuote(C14,,0.0001,Permanent,Trigger,ObjectOverwrite)</f>
        <v>USD5MD_Mx_Quote#0002</v>
      </c>
      <c r="E14" s="192" t="str">
        <f>_xll.ohRangeRetrieveError(D14)</f>
        <v/>
      </c>
      <c r="F14" s="16"/>
      <c r="G14" s="162"/>
      <c r="H14" s="171"/>
      <c r="I14" s="193" t="s">
        <v>137</v>
      </c>
      <c r="J14" s="184" t="str">
        <f t="shared" si="3"/>
        <v>USDX5MD=</v>
      </c>
      <c r="K14" s="187">
        <v>0.47287912099999996</v>
      </c>
      <c r="L14" s="187">
        <v>0.48287912100000002</v>
      </c>
      <c r="M14" s="187">
        <f t="shared" si="4"/>
        <v>0.47787912099999996</v>
      </c>
      <c r="N14" s="172"/>
      <c r="O14" s="194">
        <v>0.36841630399999997</v>
      </c>
      <c r="P14" s="172"/>
      <c r="Q14" s="187">
        <v>0.47787912099999996</v>
      </c>
      <c r="R14" s="189" t="e">
        <f>_xll.qlSimpleQuoteSetValue(D14,Q14/100,Trigger)</f>
        <v>#N/A</v>
      </c>
      <c r="S14" s="16"/>
    </row>
    <row r="15" spans="1:19" x14ac:dyDescent="0.2">
      <c r="A15" s="171"/>
      <c r="B15" s="190" t="s">
        <v>138</v>
      </c>
      <c r="C15" s="191" t="str">
        <f t="shared" si="2"/>
        <v>USD6MD_Mx_Quote</v>
      </c>
      <c r="D15" s="191" t="str">
        <f>_xll.qlSimpleQuote(C15,,0.0001,Permanent,Trigger,ObjectOverwrite)</f>
        <v>USD6MD_Mx_Quote#0002</v>
      </c>
      <c r="E15" s="192" t="str">
        <f>_xll.ohRangeRetrieveError(D15)</f>
        <v/>
      </c>
      <c r="F15" s="16"/>
      <c r="G15" s="162"/>
      <c r="H15" s="171"/>
      <c r="I15" s="193" t="s">
        <v>3</v>
      </c>
      <c r="J15" s="184" t="str">
        <f t="shared" si="3"/>
        <v>USDX6MD=</v>
      </c>
      <c r="K15" s="187">
        <v>0.53400000000000003</v>
      </c>
      <c r="L15" s="187">
        <v>0.54400000000000004</v>
      </c>
      <c r="M15" s="187">
        <f t="shared" si="4"/>
        <v>0.53900000000000003</v>
      </c>
      <c r="N15" s="172"/>
      <c r="O15" s="194">
        <v>0.41415000000000002</v>
      </c>
      <c r="P15" s="172"/>
      <c r="Q15" s="187">
        <v>0.53900000000000003</v>
      </c>
      <c r="R15" s="189" t="e">
        <f>_xll.qlSimpleQuoteSetValue(D15,Q15/100,Trigger)</f>
        <v>#N/A</v>
      </c>
      <c r="S15" s="16"/>
    </row>
    <row r="16" spans="1:19" x14ac:dyDescent="0.2">
      <c r="A16" s="171"/>
      <c r="B16" s="190" t="s">
        <v>139</v>
      </c>
      <c r="C16" s="191" t="str">
        <f t="shared" si="2"/>
        <v>USD7MD_Mx_Quote</v>
      </c>
      <c r="D16" s="191" t="str">
        <f>_xll.qlSimpleQuote(C16,,0.0001,Permanent,Trigger,ObjectOverwrite)</f>
        <v>USD7MD_Mx_Quote#0002</v>
      </c>
      <c r="E16" s="192" t="str">
        <f>_xll.ohRangeRetrieveError(D16)</f>
        <v/>
      </c>
      <c r="F16" s="16"/>
      <c r="G16" s="162"/>
      <c r="H16" s="171"/>
      <c r="I16" s="193" t="s">
        <v>140</v>
      </c>
      <c r="J16" s="184" t="str">
        <f t="shared" si="3"/>
        <v>USDX7MD=</v>
      </c>
      <c r="K16" s="187">
        <v>0.58716331499999996</v>
      </c>
      <c r="L16" s="187">
        <v>0.59716331499999997</v>
      </c>
      <c r="M16" s="187">
        <f t="shared" si="4"/>
        <v>0.59216331499999997</v>
      </c>
      <c r="N16" s="172"/>
      <c r="O16" s="194">
        <v>0.46627087899999997</v>
      </c>
      <c r="P16" s="172"/>
      <c r="Q16" s="187">
        <v>0.59216331499999997</v>
      </c>
      <c r="R16" s="189" t="e">
        <f>_xll.qlSimpleQuoteSetValue(D16,Q16/100,Trigger)</f>
        <v>#N/A</v>
      </c>
      <c r="S16" s="16"/>
    </row>
    <row r="17" spans="1:19" x14ac:dyDescent="0.2">
      <c r="A17" s="171"/>
      <c r="B17" s="190" t="s">
        <v>141</v>
      </c>
      <c r="C17" s="191" t="str">
        <f t="shared" si="2"/>
        <v>USD8MD_Mx_Quote</v>
      </c>
      <c r="D17" s="191" t="str">
        <f>_xll.qlSimpleQuote(C17,,0.0001,Permanent,Trigger,ObjectOverwrite)</f>
        <v>USD8MD_Mx_Quote#0002</v>
      </c>
      <c r="E17" s="192" t="str">
        <f>_xll.ohRangeRetrieveError(D17)</f>
        <v/>
      </c>
      <c r="F17" s="16"/>
      <c r="G17" s="162"/>
      <c r="H17" s="171"/>
      <c r="I17" s="193" t="s">
        <v>142</v>
      </c>
      <c r="J17" s="184" t="str">
        <f t="shared" si="3"/>
        <v>USDX8MD=</v>
      </c>
      <c r="K17" s="187">
        <v>0.642041576</v>
      </c>
      <c r="L17" s="187">
        <v>0.65204157600000001</v>
      </c>
      <c r="M17" s="187">
        <f t="shared" si="4"/>
        <v>0.64704157600000001</v>
      </c>
      <c r="N17" s="172"/>
      <c r="O17" s="194">
        <v>0.52186648400000002</v>
      </c>
      <c r="P17" s="172"/>
      <c r="Q17" s="187">
        <v>0.64704157600000001</v>
      </c>
      <c r="R17" s="189" t="e">
        <f>_xll.qlSimpleQuoteSetValue(D17,Q17/100,Trigger)</f>
        <v>#N/A</v>
      </c>
      <c r="S17" s="16"/>
    </row>
    <row r="18" spans="1:19" x14ac:dyDescent="0.2">
      <c r="A18" s="171"/>
      <c r="B18" s="190" t="s">
        <v>143</v>
      </c>
      <c r="C18" s="191" t="str">
        <f t="shared" si="2"/>
        <v>USD9MD_Mx_Quote</v>
      </c>
      <c r="D18" s="191" t="str">
        <f>_xll.qlSimpleQuote(C18,,0.0001,Permanent,Trigger,ObjectOverwrite)</f>
        <v>USD9MD_Mx_Quote#0002</v>
      </c>
      <c r="E18" s="192" t="str">
        <f>_xll.ohRangeRetrieveError(D18)</f>
        <v/>
      </c>
      <c r="F18" s="16"/>
      <c r="G18" s="162"/>
      <c r="H18" s="171"/>
      <c r="I18" s="193" t="s">
        <v>144</v>
      </c>
      <c r="J18" s="184" t="str">
        <f t="shared" si="3"/>
        <v>USDX9MD=</v>
      </c>
      <c r="K18" s="187">
        <v>0.69177500000000003</v>
      </c>
      <c r="L18" s="187">
        <v>0.70177500000000004</v>
      </c>
      <c r="M18" s="187">
        <f t="shared" si="4"/>
        <v>0.69677500000000003</v>
      </c>
      <c r="N18" s="172"/>
      <c r="O18" s="194">
        <v>0.57398736299999997</v>
      </c>
      <c r="P18" s="172"/>
      <c r="Q18" s="187">
        <v>0.69677500000000003</v>
      </c>
      <c r="R18" s="189" t="e">
        <f>_xll.qlSimpleQuoteSetValue(D18,Q18/100,Trigger)</f>
        <v>#N/A</v>
      </c>
      <c r="S18" s="16"/>
    </row>
    <row r="19" spans="1:19" x14ac:dyDescent="0.2">
      <c r="A19" s="171"/>
      <c r="B19" s="190" t="s">
        <v>145</v>
      </c>
      <c r="C19" s="191" t="str">
        <f t="shared" si="2"/>
        <v>USD10MD_Mx_Quote</v>
      </c>
      <c r="D19" s="191" t="str">
        <f>_xll.qlSimpleQuote(C19,,0.0001,Permanent,Trigger,ObjectOverwrite)</f>
        <v>USD10MD_Mx_Quote#0002</v>
      </c>
      <c r="E19" s="192" t="str">
        <f>_xll.ohRangeRetrieveError(D19)</f>
        <v/>
      </c>
      <c r="F19" s="16"/>
      <c r="G19" s="162"/>
      <c r="H19" s="171"/>
      <c r="I19" s="193" t="s">
        <v>146</v>
      </c>
      <c r="J19" s="184" t="str">
        <f t="shared" si="3"/>
        <v>USDX10MD=</v>
      </c>
      <c r="K19" s="187">
        <v>0.74322337000000005</v>
      </c>
      <c r="L19" s="187">
        <v>0.75322336999999995</v>
      </c>
      <c r="M19" s="187">
        <f t="shared" si="4"/>
        <v>0.74822337000000005</v>
      </c>
      <c r="N19" s="172"/>
      <c r="O19" s="194">
        <v>0.62437087899999999</v>
      </c>
      <c r="P19" s="172"/>
      <c r="Q19" s="187">
        <v>0.74822337000000005</v>
      </c>
      <c r="R19" s="189" t="e">
        <f>_xll.qlSimpleQuoteSetValue(D19,Q19/100,Trigger)</f>
        <v>#N/A</v>
      </c>
      <c r="S19" s="16"/>
    </row>
    <row r="20" spans="1:19" x14ac:dyDescent="0.2">
      <c r="A20" s="171"/>
      <c r="B20" s="190" t="s">
        <v>147</v>
      </c>
      <c r="C20" s="191" t="str">
        <f t="shared" si="2"/>
        <v>USD11MD_Mx_Quote</v>
      </c>
      <c r="D20" s="191" t="str">
        <f>_xll.qlSimpleQuote(C20,,0.0001,Permanent,Trigger,ObjectOverwrite)</f>
        <v>USD11MD_Mx_Quote#0002</v>
      </c>
      <c r="E20" s="192" t="str">
        <f>_xll.ohRangeRetrieveError(D20)</f>
        <v/>
      </c>
      <c r="F20" s="16"/>
      <c r="G20" s="162"/>
      <c r="H20" s="171"/>
      <c r="I20" s="193" t="s">
        <v>148</v>
      </c>
      <c r="J20" s="184" t="str">
        <f t="shared" si="3"/>
        <v>USDX11MD=</v>
      </c>
      <c r="K20" s="187">
        <v>0.79810163000000001</v>
      </c>
      <c r="L20" s="187">
        <v>0.80810163000000002</v>
      </c>
      <c r="M20" s="187">
        <f t="shared" si="4"/>
        <v>0.80310163000000001</v>
      </c>
      <c r="N20" s="172"/>
      <c r="O20" s="194">
        <v>0.67822912099999999</v>
      </c>
      <c r="P20" s="172"/>
      <c r="Q20" s="187">
        <v>0.80310163000000001</v>
      </c>
      <c r="R20" s="189" t="e">
        <f>_xll.qlSimpleQuoteSetValue(D20,Q20/100,Trigger)</f>
        <v>#N/A</v>
      </c>
      <c r="S20" s="16"/>
    </row>
    <row r="21" spans="1:19" x14ac:dyDescent="0.2">
      <c r="A21" s="171"/>
      <c r="B21" s="190" t="s">
        <v>149</v>
      </c>
      <c r="C21" s="191" t="str">
        <f t="shared" si="2"/>
        <v>USD1YD_Mx_Quote</v>
      </c>
      <c r="D21" s="191" t="str">
        <f>_xll.qlSimpleQuote(C21,,0.0001,Permanent,Trigger,ObjectOverwrite)</f>
        <v>USD1YD_Mx_Quote#0002</v>
      </c>
      <c r="E21" s="192" t="str">
        <f>_xll.ohRangeRetrieveError(D21)</f>
        <v/>
      </c>
      <c r="F21" s="16"/>
      <c r="G21" s="162"/>
      <c r="H21" s="171"/>
      <c r="I21" s="193" t="s">
        <v>29</v>
      </c>
      <c r="J21" s="184" t="str">
        <f t="shared" si="3"/>
        <v>USDX1YD=</v>
      </c>
      <c r="K21" s="188">
        <v>0.84955000000000003</v>
      </c>
      <c r="L21" s="188">
        <v>0.85954999999999993</v>
      </c>
      <c r="M21" s="188">
        <f t="shared" si="4"/>
        <v>0.85454999999999992</v>
      </c>
      <c r="N21" s="172"/>
      <c r="O21" s="194">
        <v>0.73035000000000005</v>
      </c>
      <c r="P21" s="172"/>
      <c r="Q21" s="188">
        <v>0.85454999999999992</v>
      </c>
      <c r="R21" s="199" t="e">
        <f>_xll.qlSimpleQuoteSetValue(D21,Q21/100,Trigger)</f>
        <v>#N/A</v>
      </c>
      <c r="S21" s="16"/>
    </row>
    <row r="22" spans="1:19" x14ac:dyDescent="0.2">
      <c r="A22" s="171"/>
      <c r="B22" s="200"/>
      <c r="C22" s="201" t="str">
        <f>Currency&amp;"_STUB_Quote"</f>
        <v>USD_STUB_Quote</v>
      </c>
      <c r="D22" s="201" t="str">
        <f>_xll.qlSimpleQuote(C22,,0.0001,Permanent,Trigger,ObjectOverwrite)</f>
        <v>USD_STUB_Quote#0002</v>
      </c>
      <c r="E22" s="202" t="str">
        <f>_xll.ohRangeRetrieveError(D22)</f>
        <v/>
      </c>
      <c r="F22" s="16"/>
      <c r="G22" s="162"/>
      <c r="H22" s="171"/>
      <c r="I22" s="203"/>
      <c r="J22" s="204" t="s">
        <v>150</v>
      </c>
      <c r="K22" s="188">
        <v>0.68848994600000002</v>
      </c>
      <c r="L22" s="188">
        <v>0.70848994600000004</v>
      </c>
      <c r="M22" s="188">
        <f t="shared" si="4"/>
        <v>0.69848994600000003</v>
      </c>
      <c r="N22" s="172"/>
      <c r="O22" s="205">
        <v>0.46279615399999996</v>
      </c>
      <c r="P22" s="172"/>
      <c r="Q22" s="188">
        <v>0.69848994600000003</v>
      </c>
      <c r="R22" s="199" t="e">
        <f>_xll.qlSimpleQuoteSetValue(D22,Q22/100,Trigger)</f>
        <v>#N/A</v>
      </c>
      <c r="S22" s="16"/>
    </row>
    <row r="23" spans="1:19" x14ac:dyDescent="0.2">
      <c r="A23" s="206"/>
      <c r="B23" s="207"/>
      <c r="C23" s="207"/>
      <c r="D23" s="207"/>
      <c r="E23" s="207"/>
      <c r="F23" s="208"/>
      <c r="G23" s="162"/>
      <c r="H23" s="206"/>
      <c r="I23" s="209"/>
      <c r="J23" s="209"/>
      <c r="K23" s="207"/>
      <c r="L23" s="207"/>
      <c r="M23" s="207"/>
      <c r="N23" s="207"/>
      <c r="O23" s="209"/>
      <c r="P23" s="207"/>
      <c r="Q23" s="209"/>
      <c r="R23" s="209"/>
      <c r="S23" s="208"/>
    </row>
  </sheetData>
  <conditionalFormatting sqref="R4:R2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3" sqref="R3"/>
    </sheetView>
  </sheetViews>
  <sheetFormatPr defaultRowHeight="11.25" outlineLevelCol="1" x14ac:dyDescent="0.2"/>
  <cols>
    <col min="1" max="1" width="2.7109375" style="162" hidden="1" customWidth="1" outlineLevel="1"/>
    <col min="2" max="2" width="4" style="162" hidden="1" customWidth="1" outlineLevel="1"/>
    <col min="3" max="3" width="23.42578125" style="162" hidden="1" customWidth="1" outlineLevel="1"/>
    <col min="4" max="4" width="28.5703125" style="239" hidden="1" customWidth="1" outlineLevel="1"/>
    <col min="5" max="5" width="20.7109375" style="162" hidden="1" customWidth="1" outlineLevel="1"/>
    <col min="6" max="6" width="2.7109375" style="162" hidden="1" customWidth="1" outlineLevel="1"/>
    <col min="7" max="7" width="2.7109375" style="162" customWidth="1" collapsed="1"/>
    <col min="8" max="8" width="2.7109375" style="162" customWidth="1"/>
    <col min="9" max="9" width="4" style="240" bestFit="1" customWidth="1"/>
    <col min="10" max="10" width="17.28515625" style="162" bestFit="1" customWidth="1"/>
    <col min="11" max="13" width="10.7109375" style="162" customWidth="1"/>
    <col min="14" max="14" width="2.7109375" style="162" customWidth="1"/>
    <col min="15" max="15" width="10.7109375" style="162" customWidth="1"/>
    <col min="16" max="16" width="2.7109375" style="162" customWidth="1"/>
    <col min="17" max="18" width="10.7109375" style="162" customWidth="1"/>
    <col min="19" max="20" width="2.7109375" style="162" customWidth="1"/>
    <col min="21" max="16384" width="9.140625" style="162"/>
  </cols>
  <sheetData>
    <row r="1" spans="1:25" x14ac:dyDescent="0.2">
      <c r="A1" s="159"/>
      <c r="B1" s="160"/>
      <c r="C1" s="160"/>
      <c r="D1" s="210"/>
      <c r="E1" s="160"/>
      <c r="F1" s="161"/>
      <c r="H1" s="211"/>
      <c r="I1" s="165"/>
      <c r="J1" s="212"/>
      <c r="K1" s="212"/>
      <c r="L1" s="212"/>
      <c r="M1" s="212"/>
      <c r="N1" s="165"/>
      <c r="O1" s="165"/>
      <c r="P1" s="165"/>
      <c r="Q1" s="212"/>
      <c r="R1" s="166">
        <f>_xll.ohTrigger(R4:R41)</f>
        <v>0</v>
      </c>
      <c r="S1" s="75"/>
    </row>
    <row r="2" spans="1:25" x14ac:dyDescent="0.2">
      <c r="A2" s="168"/>
      <c r="B2" s="169"/>
      <c r="C2" s="213"/>
      <c r="D2" s="214"/>
      <c r="E2" s="213"/>
      <c r="F2" s="170"/>
      <c r="H2" s="171"/>
      <c r="I2" s="215"/>
      <c r="J2" s="213"/>
      <c r="K2" s="213"/>
      <c r="L2" s="213"/>
      <c r="M2" s="213"/>
      <c r="N2" s="213"/>
      <c r="O2" s="213"/>
      <c r="P2" s="213"/>
      <c r="Q2" s="213"/>
      <c r="R2" s="213"/>
      <c r="S2" s="16"/>
      <c r="Y2" s="216"/>
    </row>
    <row r="3" spans="1:25" ht="22.5" customHeight="1" x14ac:dyDescent="0.2">
      <c r="A3" s="171"/>
      <c r="B3" s="174"/>
      <c r="C3" s="175" t="s">
        <v>1</v>
      </c>
      <c r="D3" s="175" t="s">
        <v>115</v>
      </c>
      <c r="E3" s="176" t="s">
        <v>116</v>
      </c>
      <c r="F3" s="170"/>
      <c r="H3" s="171"/>
      <c r="I3" s="217"/>
      <c r="J3" s="178" t="str">
        <f>_xll.RData(Instruments,K3:L3,"RTFEED:DTSIMI1","FRQ:1S",,K4)</f>
        <v>Updated at 11:38:14</v>
      </c>
      <c r="K3" s="179" t="s">
        <v>117</v>
      </c>
      <c r="L3" s="179" t="s">
        <v>118</v>
      </c>
      <c r="M3" s="177" t="s">
        <v>151</v>
      </c>
      <c r="N3" s="172"/>
      <c r="O3" s="179" t="s">
        <v>120</v>
      </c>
      <c r="P3" s="172"/>
      <c r="Q3" s="63" t="s">
        <v>121</v>
      </c>
      <c r="R3" s="63" t="s">
        <v>122</v>
      </c>
      <c r="S3" s="16"/>
      <c r="Y3" s="218"/>
    </row>
    <row r="4" spans="1:25" x14ac:dyDescent="0.2">
      <c r="A4" s="171"/>
      <c r="B4" s="219" t="s">
        <v>29</v>
      </c>
      <c r="C4" s="57" t="str">
        <f t="shared" ref="C4" si="0">Currency&amp;"_CURVE_3M_"&amp;B4&amp;QuoteSuffix</f>
        <v>USD_CURVE_3M_1Y_Quote</v>
      </c>
      <c r="D4" s="57" t="str">
        <f>_xll.qlSimpleQuote(C4,,0.0001,Permanent,Trigger,ObjectOverwrite)</f>
        <v>USD_CURVE_3M_1Y_Quote#0002</v>
      </c>
      <c r="E4" s="220" t="str">
        <f>_xll.ohRangeRetrieveError(D4)</f>
        <v/>
      </c>
      <c r="F4" s="170"/>
      <c r="H4" s="171"/>
      <c r="I4" s="193" t="s">
        <v>29</v>
      </c>
      <c r="J4" s="221" t="str">
        <f t="shared" ref="J4" si="1">Currency&amp;"_CURVE_3M_"&amp;I4</f>
        <v>USD_CURVE_3M_1Y</v>
      </c>
      <c r="K4" s="187">
        <v>0.54622977400000006</v>
      </c>
      <c r="L4" s="187">
        <v>0.54622977400000006</v>
      </c>
      <c r="M4" s="187">
        <f>IF(ISERROR(AVERAGE(K4,L4)),#NUM!,AVERAGE(K4,L4))</f>
        <v>0.54622977400000006</v>
      </c>
      <c r="N4" s="222"/>
      <c r="O4" s="223">
        <v>0.45290115000000003</v>
      </c>
      <c r="P4" s="222"/>
      <c r="Q4" s="187">
        <f t="array" ref="Q4:Q40">QuoteLive</f>
        <v>0.54622977400000006</v>
      </c>
      <c r="R4" s="198">
        <f>_xll.qlSimpleQuoteSetValue(D4,Q4/100,Trigger)</f>
        <v>0</v>
      </c>
      <c r="S4" s="16"/>
      <c r="Y4" s="218"/>
    </row>
    <row r="5" spans="1:25" x14ac:dyDescent="0.2">
      <c r="A5" s="171"/>
      <c r="B5" s="224" t="s">
        <v>49</v>
      </c>
      <c r="C5" s="62" t="str">
        <f t="shared" ref="C5:C40" si="2">Currency&amp;"_CURVE_3M_"&amp;B5&amp;QuoteSuffix</f>
        <v>USD_CURVE_3M_15M_Quote</v>
      </c>
      <c r="D5" s="62" t="str">
        <f>_xll.qlSimpleQuote(C5,,0.0001,Permanent,Trigger,ObjectOverwrite)</f>
        <v>USD_CURVE_3M_15M_Quote#0002</v>
      </c>
      <c r="E5" s="225" t="str">
        <f>_xll.ohRangeRetrieveError(D5)</f>
        <v/>
      </c>
      <c r="F5" s="170"/>
      <c r="H5" s="171"/>
      <c r="I5" s="193" t="s">
        <v>49</v>
      </c>
      <c r="J5" s="221" t="str">
        <f t="shared" ref="J5:J40" si="3">Currency&amp;"_CURVE_3M_"&amp;I5</f>
        <v>USD_CURVE_3M_15M</v>
      </c>
      <c r="K5" s="187" t="s">
        <v>152</v>
      </c>
      <c r="L5" s="187" t="s">
        <v>152</v>
      </c>
      <c r="M5" s="187" t="e">
        <f t="shared" ref="M5:M40" si="4">IF(ISERROR(AVERAGE(K5,L5)),#NUM!,AVERAGE(K5,L5))</f>
        <v>#NUM!</v>
      </c>
      <c r="N5" s="222"/>
      <c r="O5" s="223" t="e">
        <v>#NUM!</v>
      </c>
      <c r="P5" s="222"/>
      <c r="Q5" s="187" t="e">
        <v>#NUM!</v>
      </c>
      <c r="R5" s="189">
        <f>_xll.qlSimpleQuoteSetValue(D5,Q5/100,Trigger)</f>
        <v>0</v>
      </c>
      <c r="S5" s="16"/>
      <c r="Y5" s="218"/>
    </row>
    <row r="6" spans="1:25" x14ac:dyDescent="0.2">
      <c r="A6" s="171"/>
      <c r="B6" s="224" t="s">
        <v>50</v>
      </c>
      <c r="C6" s="62" t="str">
        <f t="shared" si="2"/>
        <v>USD_CURVE_3M_18M_Quote</v>
      </c>
      <c r="D6" s="62" t="str">
        <f>_xll.qlSimpleQuote(C6,,0.0001,Permanent,Trigger,ObjectOverwrite)</f>
        <v>USD_CURVE_3M_18M_Quote#0002</v>
      </c>
      <c r="E6" s="225" t="str">
        <f>_xll.ohRangeRetrieveError(D6)</f>
        <v/>
      </c>
      <c r="F6" s="170"/>
      <c r="H6" s="171"/>
      <c r="I6" s="193" t="s">
        <v>50</v>
      </c>
      <c r="J6" s="221" t="str">
        <f t="shared" si="3"/>
        <v>USD_CURVE_3M_18M</v>
      </c>
      <c r="K6" s="187" t="s">
        <v>152</v>
      </c>
      <c r="L6" s="187" t="s">
        <v>152</v>
      </c>
      <c r="M6" s="187" t="e">
        <f t="shared" si="4"/>
        <v>#NUM!</v>
      </c>
      <c r="N6" s="222"/>
      <c r="O6" s="223" t="e">
        <v>#NUM!</v>
      </c>
      <c r="P6" s="222"/>
      <c r="Q6" s="187" t="e">
        <v>#NUM!</v>
      </c>
      <c r="R6" s="189">
        <f>_xll.qlSimpleQuoteSetValue(D6,Q6/100,Trigger)</f>
        <v>0</v>
      </c>
      <c r="S6" s="16"/>
      <c r="Y6" s="218"/>
    </row>
    <row r="7" spans="1:25" x14ac:dyDescent="0.2">
      <c r="A7" s="171"/>
      <c r="B7" s="224" t="s">
        <v>51</v>
      </c>
      <c r="C7" s="62" t="str">
        <f t="shared" si="2"/>
        <v>USD_CURVE_3M_21M_Quote</v>
      </c>
      <c r="D7" s="62" t="str">
        <f>_xll.qlSimpleQuote(C7,,0.0001,Permanent,Trigger,ObjectOverwrite)</f>
        <v>USD_CURVE_3M_21M_Quote#0002</v>
      </c>
      <c r="E7" s="225" t="str">
        <f>_xll.ohRangeRetrieveError(D7)</f>
        <v/>
      </c>
      <c r="F7" s="170"/>
      <c r="H7" s="171"/>
      <c r="I7" s="193" t="s">
        <v>51</v>
      </c>
      <c r="J7" s="221" t="str">
        <f t="shared" si="3"/>
        <v>USD_CURVE_3M_21M</v>
      </c>
      <c r="K7" s="187" t="s">
        <v>152</v>
      </c>
      <c r="L7" s="187" t="s">
        <v>152</v>
      </c>
      <c r="M7" s="187" t="e">
        <f t="shared" si="4"/>
        <v>#NUM!</v>
      </c>
      <c r="N7" s="222"/>
      <c r="O7" s="223" t="e">
        <v>#NUM!</v>
      </c>
      <c r="P7" s="222"/>
      <c r="Q7" s="187" t="e">
        <v>#NUM!</v>
      </c>
      <c r="R7" s="189">
        <f>_xll.qlSimpleQuoteSetValue(D7,Q7/100,Trigger)</f>
        <v>0</v>
      </c>
      <c r="S7" s="16"/>
      <c r="Y7" s="218"/>
    </row>
    <row r="8" spans="1:25" x14ac:dyDescent="0.2">
      <c r="A8" s="171"/>
      <c r="B8" s="224" t="s">
        <v>52</v>
      </c>
      <c r="C8" s="62" t="str">
        <f t="shared" si="2"/>
        <v>USD_CURVE_3M_2Y_Quote</v>
      </c>
      <c r="D8" s="62" t="str">
        <f>_xll.qlSimpleQuote(C8,,0.0001,Permanent,Trigger,ObjectOverwrite)</f>
        <v>USD_CURVE_3M_2Y_Quote#0002</v>
      </c>
      <c r="E8" s="225" t="str">
        <f>_xll.ohRangeRetrieveError(D8)</f>
        <v/>
      </c>
      <c r="F8" s="170"/>
      <c r="H8" s="171"/>
      <c r="I8" s="193" t="s">
        <v>52</v>
      </c>
      <c r="J8" s="221" t="str">
        <f t="shared" si="3"/>
        <v>USD_CURVE_3M_2Y</v>
      </c>
      <c r="K8" s="187">
        <v>0.86304651999999993</v>
      </c>
      <c r="L8" s="187">
        <v>0.86304651999999993</v>
      </c>
      <c r="M8" s="187">
        <f t="shared" si="4"/>
        <v>0.86304651999999993</v>
      </c>
      <c r="N8" s="222"/>
      <c r="O8" s="223">
        <v>0.830631593</v>
      </c>
      <c r="P8" s="222"/>
      <c r="Q8" s="187">
        <v>0.86304651999999993</v>
      </c>
      <c r="R8" s="189">
        <f>_xll.qlSimpleQuoteSetValue(D8,Q8/100,Trigger)</f>
        <v>0</v>
      </c>
      <c r="S8" s="16"/>
      <c r="Y8" s="218"/>
    </row>
    <row r="9" spans="1:25" x14ac:dyDescent="0.2">
      <c r="A9" s="171"/>
      <c r="B9" s="224" t="s">
        <v>53</v>
      </c>
      <c r="C9" s="62" t="str">
        <f t="shared" si="2"/>
        <v>USD_CURVE_3M_3Y_Quote</v>
      </c>
      <c r="D9" s="62" t="str">
        <f>_xll.qlSimpleQuote(C9,,0.0001,Permanent,Trigger,ObjectOverwrite)</f>
        <v>USD_CURVE_3M_3Y_Quote#0002</v>
      </c>
      <c r="E9" s="225" t="str">
        <f>_xll.ohRangeRetrieveError(D9)</f>
        <v/>
      </c>
      <c r="F9" s="170"/>
      <c r="H9" s="171"/>
      <c r="I9" s="193" t="s">
        <v>53</v>
      </c>
      <c r="J9" s="221" t="str">
        <f t="shared" si="3"/>
        <v>USD_CURVE_3M_3Y</v>
      </c>
      <c r="K9" s="187">
        <v>1.1379999999999999</v>
      </c>
      <c r="L9" s="187">
        <v>1.1379999999999999</v>
      </c>
      <c r="M9" s="187">
        <f t="shared" si="4"/>
        <v>1.1379999999999999</v>
      </c>
      <c r="N9" s="222"/>
      <c r="O9" s="223">
        <v>1.177</v>
      </c>
      <c r="P9" s="222"/>
      <c r="Q9" s="187">
        <v>1.1379999999999999</v>
      </c>
      <c r="R9" s="189">
        <f>_xll.qlSimpleQuoteSetValue(D9,Q9/100,Trigger)</f>
        <v>0</v>
      </c>
      <c r="S9" s="16"/>
      <c r="Y9" s="218"/>
    </row>
    <row r="10" spans="1:25" x14ac:dyDescent="0.2">
      <c r="A10" s="171"/>
      <c r="B10" s="224" t="s">
        <v>54</v>
      </c>
      <c r="C10" s="62" t="str">
        <f t="shared" si="2"/>
        <v>USD_CURVE_3M_4Y_Quote</v>
      </c>
      <c r="D10" s="62" t="str">
        <f>_xll.qlSimpleQuote(C10,,0.0001,Permanent,Trigger,ObjectOverwrite)</f>
        <v>USD_CURVE_3M_4Y_Quote#0002</v>
      </c>
      <c r="E10" s="225" t="str">
        <f>_xll.ohRangeRetrieveError(D10)</f>
        <v/>
      </c>
      <c r="F10" s="170"/>
      <c r="H10" s="171"/>
      <c r="I10" s="193" t="s">
        <v>54</v>
      </c>
      <c r="J10" s="221" t="str">
        <f t="shared" si="3"/>
        <v>USD_CURVE_3M_4Y</v>
      </c>
      <c r="K10" s="187">
        <v>1.38</v>
      </c>
      <c r="L10" s="187">
        <v>1.38</v>
      </c>
      <c r="M10" s="187">
        <f t="shared" si="4"/>
        <v>1.38</v>
      </c>
      <c r="N10" s="222"/>
      <c r="O10" s="223">
        <v>1.456</v>
      </c>
      <c r="P10" s="222"/>
      <c r="Q10" s="187">
        <v>1.38</v>
      </c>
      <c r="R10" s="189">
        <f>_xll.qlSimpleQuoteSetValue(D10,Q10/100,Trigger)</f>
        <v>0</v>
      </c>
      <c r="S10" s="16"/>
      <c r="Y10" s="218"/>
    </row>
    <row r="11" spans="1:25" x14ac:dyDescent="0.2">
      <c r="A11" s="171"/>
      <c r="B11" s="224" t="s">
        <v>55</v>
      </c>
      <c r="C11" s="62" t="str">
        <f t="shared" si="2"/>
        <v>USD_CURVE_3M_5Y_Quote</v>
      </c>
      <c r="D11" s="62" t="str">
        <f>_xll.qlSimpleQuote(C11,,0.0001,Permanent,Trigger,ObjectOverwrite)</f>
        <v>USD_CURVE_3M_5Y_Quote#0002</v>
      </c>
      <c r="E11" s="225" t="str">
        <f>_xll.ohRangeRetrieveError(D11)</f>
        <v/>
      </c>
      <c r="F11" s="170"/>
      <c r="H11" s="171"/>
      <c r="I11" s="193" t="s">
        <v>55</v>
      </c>
      <c r="J11" s="221" t="str">
        <f t="shared" si="3"/>
        <v>USD_CURVE_3M_5Y</v>
      </c>
      <c r="K11" s="187">
        <v>1.585</v>
      </c>
      <c r="L11" s="187">
        <v>1.585</v>
      </c>
      <c r="M11" s="187">
        <f t="shared" si="4"/>
        <v>1.585</v>
      </c>
      <c r="N11" s="222"/>
      <c r="O11" s="223">
        <v>1.6759999999999999</v>
      </c>
      <c r="P11" s="222"/>
      <c r="Q11" s="187">
        <v>1.585</v>
      </c>
      <c r="R11" s="189">
        <f>_xll.qlSimpleQuoteSetValue(D11,Q11/100,Trigger)</f>
        <v>0</v>
      </c>
      <c r="S11" s="16"/>
      <c r="Y11" s="218"/>
    </row>
    <row r="12" spans="1:25" x14ac:dyDescent="0.2">
      <c r="A12" s="171"/>
      <c r="B12" s="224" t="s">
        <v>56</v>
      </c>
      <c r="C12" s="62" t="str">
        <f t="shared" si="2"/>
        <v>USD_CURVE_3M_6Y_Quote</v>
      </c>
      <c r="D12" s="62" t="str">
        <f>_xll.qlSimpleQuote(C12,,0.0001,Permanent,Trigger,ObjectOverwrite)</f>
        <v>USD_CURVE_3M_6Y_Quote#0002</v>
      </c>
      <c r="E12" s="225" t="str">
        <f>_xll.ohRangeRetrieveError(D12)</f>
        <v/>
      </c>
      <c r="F12" s="170"/>
      <c r="H12" s="171"/>
      <c r="I12" s="193" t="s">
        <v>56</v>
      </c>
      <c r="J12" s="221" t="str">
        <f t="shared" si="3"/>
        <v>USD_CURVE_3M_6Y</v>
      </c>
      <c r="K12" s="187">
        <v>1.7629999999999999</v>
      </c>
      <c r="L12" s="187">
        <v>1.7629999999999999</v>
      </c>
      <c r="M12" s="187">
        <f t="shared" si="4"/>
        <v>1.7629999999999999</v>
      </c>
      <c r="N12" s="222"/>
      <c r="O12" s="223">
        <v>1.8599999999999999</v>
      </c>
      <c r="P12" s="222"/>
      <c r="Q12" s="187">
        <v>1.7629999999999999</v>
      </c>
      <c r="R12" s="189">
        <f>_xll.qlSimpleQuoteSetValue(D12,Q12/100,Trigger)</f>
        <v>0</v>
      </c>
      <c r="S12" s="16"/>
      <c r="Y12" s="218"/>
    </row>
    <row r="13" spans="1:25" x14ac:dyDescent="0.2">
      <c r="A13" s="171"/>
      <c r="B13" s="224" t="s">
        <v>57</v>
      </c>
      <c r="C13" s="62" t="str">
        <f t="shared" si="2"/>
        <v>USD_CURVE_3M_7Y_Quote</v>
      </c>
      <c r="D13" s="62" t="str">
        <f>_xll.qlSimpleQuote(C13,,0.0001,Permanent,Trigger,ObjectOverwrite)</f>
        <v>USD_CURVE_3M_7Y_Quote#0002</v>
      </c>
      <c r="E13" s="225" t="str">
        <f>_xll.ohRangeRetrieveError(D13)</f>
        <v/>
      </c>
      <c r="F13" s="170"/>
      <c r="H13" s="171"/>
      <c r="I13" s="193" t="s">
        <v>57</v>
      </c>
      <c r="J13" s="221" t="str">
        <f t="shared" si="3"/>
        <v>USD_CURVE_3M_7Y</v>
      </c>
      <c r="K13" s="187">
        <v>1.9119999999999999</v>
      </c>
      <c r="L13" s="187">
        <v>1.9119999999999999</v>
      </c>
      <c r="M13" s="187">
        <f t="shared" si="4"/>
        <v>1.9119999999999999</v>
      </c>
      <c r="N13" s="222"/>
      <c r="O13" s="223">
        <v>2.0089999999999999</v>
      </c>
      <c r="P13" s="222"/>
      <c r="Q13" s="187">
        <v>1.9119999999999999</v>
      </c>
      <c r="R13" s="189">
        <f>_xll.qlSimpleQuoteSetValue(D13,Q13/100,Trigger)</f>
        <v>0</v>
      </c>
      <c r="S13" s="16"/>
      <c r="Y13" s="218"/>
    </row>
    <row r="14" spans="1:25" x14ac:dyDescent="0.2">
      <c r="A14" s="171"/>
      <c r="B14" s="224" t="s">
        <v>58</v>
      </c>
      <c r="C14" s="62" t="str">
        <f t="shared" si="2"/>
        <v>USD_CURVE_3M_8Y_Quote</v>
      </c>
      <c r="D14" s="62" t="str">
        <f>_xll.qlSimpleQuote(C14,,0.0001,Permanent,Trigger,ObjectOverwrite)</f>
        <v>USD_CURVE_3M_8Y_Quote#0002</v>
      </c>
      <c r="E14" s="225" t="str">
        <f>_xll.ohRangeRetrieveError(D14)</f>
        <v/>
      </c>
      <c r="F14" s="170"/>
      <c r="H14" s="171"/>
      <c r="I14" s="193" t="s">
        <v>58</v>
      </c>
      <c r="J14" s="221" t="str">
        <f t="shared" si="3"/>
        <v>USD_CURVE_3M_8Y</v>
      </c>
      <c r="K14" s="187">
        <v>2.0350000000000001</v>
      </c>
      <c r="L14" s="187">
        <v>2.0350000000000001</v>
      </c>
      <c r="M14" s="187">
        <f t="shared" si="4"/>
        <v>2.0350000000000001</v>
      </c>
      <c r="N14" s="222"/>
      <c r="O14" s="223">
        <v>2.1280000000000001</v>
      </c>
      <c r="P14" s="222"/>
      <c r="Q14" s="187">
        <v>2.0350000000000001</v>
      </c>
      <c r="R14" s="189">
        <f>_xll.qlSimpleQuoteSetValue(D14,Q14/100,Trigger)</f>
        <v>0</v>
      </c>
      <c r="S14" s="16"/>
      <c r="Y14" s="218"/>
    </row>
    <row r="15" spans="1:25" x14ac:dyDescent="0.2">
      <c r="A15" s="171"/>
      <c r="B15" s="224" t="s">
        <v>59</v>
      </c>
      <c r="C15" s="62" t="str">
        <f t="shared" si="2"/>
        <v>USD_CURVE_3M_9Y_Quote</v>
      </c>
      <c r="D15" s="62" t="str">
        <f>_xll.qlSimpleQuote(C15,,0.0001,Permanent,Trigger,ObjectOverwrite)</f>
        <v>USD_CURVE_3M_9Y_Quote#0002</v>
      </c>
      <c r="E15" s="225" t="str">
        <f>_xll.ohRangeRetrieveError(D15)</f>
        <v/>
      </c>
      <c r="F15" s="170"/>
      <c r="H15" s="171"/>
      <c r="I15" s="193" t="s">
        <v>59</v>
      </c>
      <c r="J15" s="221" t="str">
        <f t="shared" si="3"/>
        <v>USD_CURVE_3M_9Y</v>
      </c>
      <c r="K15" s="187">
        <v>2.1349999999999998</v>
      </c>
      <c r="L15" s="187">
        <v>2.1349999999999998</v>
      </c>
      <c r="M15" s="187">
        <f t="shared" si="4"/>
        <v>2.1349999999999998</v>
      </c>
      <c r="N15" s="222"/>
      <c r="O15" s="223">
        <v>2.226</v>
      </c>
      <c r="P15" s="222"/>
      <c r="Q15" s="187">
        <v>2.1349999999999998</v>
      </c>
      <c r="R15" s="189">
        <f>_xll.qlSimpleQuoteSetValue(D15,Q15/100,Trigger)</f>
        <v>0</v>
      </c>
      <c r="S15" s="16"/>
      <c r="Y15" s="218"/>
    </row>
    <row r="16" spans="1:25" x14ac:dyDescent="0.2">
      <c r="A16" s="171"/>
      <c r="B16" s="224" t="s">
        <v>60</v>
      </c>
      <c r="C16" s="62" t="str">
        <f t="shared" si="2"/>
        <v>USD_CURVE_3M_10Y_Quote</v>
      </c>
      <c r="D16" s="62" t="str">
        <f>_xll.qlSimpleQuote(C16,,0.0001,Permanent,Trigger,ObjectOverwrite)</f>
        <v>USD_CURVE_3M_10Y_Quote#0002</v>
      </c>
      <c r="E16" s="225" t="str">
        <f>_xll.ohRangeRetrieveError(D16)</f>
        <v/>
      </c>
      <c r="F16" s="170"/>
      <c r="H16" s="171"/>
      <c r="I16" s="193" t="s">
        <v>60</v>
      </c>
      <c r="J16" s="221" t="str">
        <f t="shared" si="3"/>
        <v>USD_CURVE_3M_10Y</v>
      </c>
      <c r="K16" s="187">
        <v>2.218</v>
      </c>
      <c r="L16" s="187">
        <v>2.218</v>
      </c>
      <c r="M16" s="187">
        <f t="shared" si="4"/>
        <v>2.218</v>
      </c>
      <c r="N16" s="222"/>
      <c r="O16" s="223">
        <v>2.306</v>
      </c>
      <c r="P16" s="222"/>
      <c r="Q16" s="187">
        <v>2.218</v>
      </c>
      <c r="R16" s="189">
        <f>_xll.qlSimpleQuoteSetValue(D16,Q16/100,Trigger)</f>
        <v>0</v>
      </c>
      <c r="S16" s="16"/>
      <c r="Y16" s="218"/>
    </row>
    <row r="17" spans="1:25" x14ac:dyDescent="0.2">
      <c r="A17" s="171"/>
      <c r="B17" s="224" t="s">
        <v>93</v>
      </c>
      <c r="C17" s="62" t="str">
        <f t="shared" si="2"/>
        <v>USD_CURVE_3M_11Y_Quote</v>
      </c>
      <c r="D17" s="62" t="str">
        <f>_xll.qlSimpleQuote(C17,,0.0001,Permanent,Trigger,ObjectOverwrite)</f>
        <v>USD_CURVE_3M_11Y_Quote#0002</v>
      </c>
      <c r="E17" s="225" t="str">
        <f>_xll.ohRangeRetrieveError(D17)</f>
        <v/>
      </c>
      <c r="F17" s="170"/>
      <c r="H17" s="171"/>
      <c r="I17" s="193" t="s">
        <v>93</v>
      </c>
      <c r="J17" s="221" t="str">
        <f t="shared" si="3"/>
        <v>USD_CURVE_3M_11Y</v>
      </c>
      <c r="K17" s="187">
        <v>2.2889748619999999</v>
      </c>
      <c r="L17" s="187">
        <v>2.2889748619999999</v>
      </c>
      <c r="M17" s="187">
        <f t="shared" si="4"/>
        <v>2.2889748619999999</v>
      </c>
      <c r="N17" s="222"/>
      <c r="O17" s="223">
        <v>2.3770247640000002</v>
      </c>
      <c r="P17" s="222"/>
      <c r="Q17" s="187">
        <v>2.2889748619999999</v>
      </c>
      <c r="R17" s="189">
        <f>_xll.qlSimpleQuoteSetValue(D17,Q17/100,Trigger)</f>
        <v>-1.5700000015328452E-9</v>
      </c>
      <c r="S17" s="16"/>
      <c r="Y17" s="218"/>
    </row>
    <row r="18" spans="1:25" x14ac:dyDescent="0.2">
      <c r="A18" s="171"/>
      <c r="B18" s="224" t="s">
        <v>61</v>
      </c>
      <c r="C18" s="62" t="str">
        <f t="shared" si="2"/>
        <v>USD_CURVE_3M_12Y_Quote</v>
      </c>
      <c r="D18" s="62" t="str">
        <f>_xll.qlSimpleQuote(C18,,0.0001,Permanent,Trigger,ObjectOverwrite)</f>
        <v>USD_CURVE_3M_12Y_Quote#0002</v>
      </c>
      <c r="E18" s="225" t="str">
        <f>_xll.ohRangeRetrieveError(D18)</f>
        <v/>
      </c>
      <c r="F18" s="170"/>
      <c r="H18" s="171"/>
      <c r="I18" s="193" t="s">
        <v>61</v>
      </c>
      <c r="J18" s="221" t="str">
        <f t="shared" si="3"/>
        <v>USD_CURVE_3M_12Y</v>
      </c>
      <c r="K18" s="187">
        <v>2.3490000000000002</v>
      </c>
      <c r="L18" s="187">
        <v>2.3490000000000002</v>
      </c>
      <c r="M18" s="187">
        <f t="shared" si="4"/>
        <v>2.3490000000000002</v>
      </c>
      <c r="N18" s="222"/>
      <c r="O18" s="223">
        <v>2.4390000000000001</v>
      </c>
      <c r="P18" s="222"/>
      <c r="Q18" s="187">
        <v>2.3490000000000002</v>
      </c>
      <c r="R18" s="189">
        <f>_xll.qlSimpleQuoteSetValue(D18,Q18/100,Trigger)</f>
        <v>0</v>
      </c>
      <c r="S18" s="16"/>
      <c r="Y18" s="218"/>
    </row>
    <row r="19" spans="1:25" x14ac:dyDescent="0.2">
      <c r="A19" s="171"/>
      <c r="B19" s="224" t="s">
        <v>94</v>
      </c>
      <c r="C19" s="62" t="str">
        <f t="shared" si="2"/>
        <v>USD_CURVE_3M_13Y_Quote</v>
      </c>
      <c r="D19" s="62" t="str">
        <f>_xll.qlSimpleQuote(C19,,0.0001,Permanent,Trigger,ObjectOverwrite)</f>
        <v>USD_CURVE_3M_13Y_Quote#0002</v>
      </c>
      <c r="E19" s="225" t="str">
        <f>_xll.ohRangeRetrieveError(D19)</f>
        <v/>
      </c>
      <c r="F19" s="170"/>
      <c r="H19" s="171"/>
      <c r="I19" s="193" t="s">
        <v>94</v>
      </c>
      <c r="J19" s="221" t="str">
        <f t="shared" si="3"/>
        <v>USD_CURVE_3M_13Y</v>
      </c>
      <c r="K19" s="187">
        <v>2.398863484</v>
      </c>
      <c r="L19" s="187">
        <v>2.398863484</v>
      </c>
      <c r="M19" s="187">
        <f t="shared" si="4"/>
        <v>2.398863484</v>
      </c>
      <c r="N19" s="222"/>
      <c r="O19" s="223">
        <v>2.490890636</v>
      </c>
      <c r="P19" s="222"/>
      <c r="Q19" s="187">
        <v>2.398863484</v>
      </c>
      <c r="R19" s="189">
        <f>_xll.qlSimpleQuoteSetValue(D19,Q19/100,Trigger)</f>
        <v>6.6100000022106808E-9</v>
      </c>
      <c r="S19" s="16"/>
      <c r="Y19" s="218"/>
    </row>
    <row r="20" spans="1:25" x14ac:dyDescent="0.2">
      <c r="A20" s="171"/>
      <c r="B20" s="224" t="s">
        <v>95</v>
      </c>
      <c r="C20" s="62" t="str">
        <f t="shared" si="2"/>
        <v>USD_CURVE_3M_14Y_Quote</v>
      </c>
      <c r="D20" s="62" t="str">
        <f>_xll.qlSimpleQuote(C20,,0.0001,Permanent,Trigger,ObjectOverwrite)</f>
        <v>USD_CURVE_3M_14Y_Quote#0002</v>
      </c>
      <c r="E20" s="225" t="str">
        <f>_xll.ohRangeRetrieveError(D20)</f>
        <v/>
      </c>
      <c r="F20" s="170"/>
      <c r="H20" s="171"/>
      <c r="I20" s="193" t="s">
        <v>95</v>
      </c>
      <c r="J20" s="221" t="str">
        <f t="shared" si="3"/>
        <v>USD_CURVE_3M_14Y</v>
      </c>
      <c r="K20" s="187">
        <v>2.4404405640000002</v>
      </c>
      <c r="L20" s="187">
        <v>2.4404405640000002</v>
      </c>
      <c r="M20" s="187">
        <f t="shared" si="4"/>
        <v>2.4404405640000002</v>
      </c>
      <c r="N20" s="222"/>
      <c r="O20" s="223">
        <v>2.5344122330000003</v>
      </c>
      <c r="P20" s="222"/>
      <c r="Q20" s="187">
        <v>2.4404405640000002</v>
      </c>
      <c r="R20" s="189">
        <f>_xll.qlSimpleQuoteSetValue(D20,Q20/100,Trigger)</f>
        <v>9.4600000020983455E-9</v>
      </c>
      <c r="S20" s="16"/>
      <c r="Y20" s="218"/>
    </row>
    <row r="21" spans="1:25" x14ac:dyDescent="0.2">
      <c r="A21" s="171"/>
      <c r="B21" s="224" t="s">
        <v>62</v>
      </c>
      <c r="C21" s="62" t="str">
        <f t="shared" si="2"/>
        <v>USD_CURVE_3M_15Y_Quote</v>
      </c>
      <c r="D21" s="62" t="str">
        <f>_xll.qlSimpleQuote(C21,,0.0001,Permanent,Trigger,ObjectOverwrite)</f>
        <v>USD_CURVE_3M_15Y_Quote#0002</v>
      </c>
      <c r="E21" s="225" t="str">
        <f>_xll.ohRangeRetrieveError(D21)</f>
        <v/>
      </c>
      <c r="F21" s="170"/>
      <c r="H21" s="171"/>
      <c r="I21" s="193" t="s">
        <v>62</v>
      </c>
      <c r="J21" s="221" t="str">
        <f t="shared" si="3"/>
        <v>USD_CURVE_3M_15Y</v>
      </c>
      <c r="K21" s="187">
        <v>2.476</v>
      </c>
      <c r="L21" s="187">
        <v>2.476</v>
      </c>
      <c r="M21" s="187">
        <f t="shared" si="4"/>
        <v>2.476</v>
      </c>
      <c r="N21" s="222"/>
      <c r="O21" s="223">
        <v>2.5720000000000001</v>
      </c>
      <c r="P21" s="222"/>
      <c r="Q21" s="187">
        <v>2.476</v>
      </c>
      <c r="R21" s="189">
        <f>_xll.qlSimpleQuoteSetValue(D21,Q21/100,Trigger)</f>
        <v>0</v>
      </c>
      <c r="S21" s="16"/>
      <c r="Y21" s="218"/>
    </row>
    <row r="22" spans="1:25" x14ac:dyDescent="0.2">
      <c r="A22" s="171"/>
      <c r="B22" s="224" t="s">
        <v>96</v>
      </c>
      <c r="C22" s="62" t="str">
        <f t="shared" si="2"/>
        <v>USD_CURVE_3M_16Y_Quote</v>
      </c>
      <c r="D22" s="62" t="str">
        <f>_xll.qlSimpleQuote(C22,,0.0001,Permanent,Trigger,ObjectOverwrite)</f>
        <v>USD_CURVE_3M_16Y_Quote#0002</v>
      </c>
      <c r="E22" s="225" t="str">
        <f>_xll.ohRangeRetrieveError(D22)</f>
        <v/>
      </c>
      <c r="F22" s="170"/>
      <c r="H22" s="171"/>
      <c r="I22" s="193" t="s">
        <v>96</v>
      </c>
      <c r="J22" s="221" t="str">
        <f t="shared" si="3"/>
        <v>USD_CURVE_3M_16Y</v>
      </c>
      <c r="K22" s="187">
        <v>2.5064102479999999</v>
      </c>
      <c r="L22" s="187">
        <v>2.5064102479999999</v>
      </c>
      <c r="M22" s="187">
        <f t="shared" si="4"/>
        <v>2.5064102479999999</v>
      </c>
      <c r="N22" s="222"/>
      <c r="O22" s="223">
        <v>2.604554668</v>
      </c>
      <c r="P22" s="222"/>
      <c r="Q22" s="187">
        <v>2.5064102479999999</v>
      </c>
      <c r="R22" s="189">
        <f>_xll.qlSimpleQuoteSetValue(D22,Q22/100,Trigger)</f>
        <v>-2.3620000001028929E-8</v>
      </c>
      <c r="S22" s="16"/>
      <c r="Y22" s="218"/>
    </row>
    <row r="23" spans="1:25" x14ac:dyDescent="0.2">
      <c r="A23" s="171"/>
      <c r="B23" s="224" t="s">
        <v>97</v>
      </c>
      <c r="C23" s="62" t="str">
        <f t="shared" si="2"/>
        <v>USD_CURVE_3M_17Y_Quote</v>
      </c>
      <c r="D23" s="62" t="str">
        <f>_xll.qlSimpleQuote(C23,,0.0001,Permanent,Trigger,ObjectOverwrite)</f>
        <v>USD_CURVE_3M_17Y_Quote#0002</v>
      </c>
      <c r="E23" s="225" t="str">
        <f>_xll.ohRangeRetrieveError(D23)</f>
        <v/>
      </c>
      <c r="F23" s="170"/>
      <c r="H23" s="171"/>
      <c r="I23" s="193" t="s">
        <v>97</v>
      </c>
      <c r="J23" s="221" t="str">
        <f t="shared" si="3"/>
        <v>USD_CURVE_3M_17Y</v>
      </c>
      <c r="K23" s="187">
        <v>2.5328101009999999</v>
      </c>
      <c r="L23" s="187">
        <v>2.5328101009999999</v>
      </c>
      <c r="M23" s="187">
        <f t="shared" si="4"/>
        <v>2.5328101009999999</v>
      </c>
      <c r="N23" s="222"/>
      <c r="O23" s="223">
        <v>2.6331308289999997</v>
      </c>
      <c r="P23" s="222"/>
      <c r="Q23" s="187">
        <v>2.5328101009999999</v>
      </c>
      <c r="R23" s="189">
        <f>_xll.qlSimpleQuoteSetValue(D23,Q23/100,Trigger)</f>
        <v>-4.7790000002462252E-8</v>
      </c>
      <c r="S23" s="16"/>
      <c r="Y23" s="218"/>
    </row>
    <row r="24" spans="1:25" x14ac:dyDescent="0.2">
      <c r="A24" s="171"/>
      <c r="B24" s="224" t="s">
        <v>98</v>
      </c>
      <c r="C24" s="62" t="str">
        <f t="shared" si="2"/>
        <v>USD_CURVE_3M_18Y_Quote</v>
      </c>
      <c r="D24" s="62" t="str">
        <f>_xll.qlSimpleQuote(C24,,0.0001,Permanent,Trigger,ObjectOverwrite)</f>
        <v>USD_CURVE_3M_18Y_Quote#0002</v>
      </c>
      <c r="E24" s="225" t="str">
        <f>_xll.ohRangeRetrieveError(D24)</f>
        <v/>
      </c>
      <c r="F24" s="170"/>
      <c r="H24" s="171"/>
      <c r="I24" s="193" t="s">
        <v>98</v>
      </c>
      <c r="J24" s="221" t="str">
        <f t="shared" si="3"/>
        <v>USD_CURVE_3M_18Y</v>
      </c>
      <c r="K24" s="187">
        <v>2.5556161450000001</v>
      </c>
      <c r="L24" s="187">
        <v>2.5556161450000001</v>
      </c>
      <c r="M24" s="187">
        <f t="shared" si="4"/>
        <v>2.5556161450000001</v>
      </c>
      <c r="N24" s="222"/>
      <c r="O24" s="223">
        <v>2.6580241710000001</v>
      </c>
      <c r="P24" s="222"/>
      <c r="Q24" s="187">
        <v>2.5556161450000001</v>
      </c>
      <c r="R24" s="189">
        <f>_xll.qlSimpleQuoteSetValue(D24,Q24/100,Trigger)</f>
        <v>-5.852999999944597E-8</v>
      </c>
      <c r="S24" s="16"/>
      <c r="Y24" s="218"/>
    </row>
    <row r="25" spans="1:25" x14ac:dyDescent="0.2">
      <c r="A25" s="171"/>
      <c r="B25" s="224" t="s">
        <v>99</v>
      </c>
      <c r="C25" s="62" t="str">
        <f t="shared" si="2"/>
        <v>USD_CURVE_3M_19Y_Quote</v>
      </c>
      <c r="D25" s="62" t="str">
        <f>_xll.qlSimpleQuote(C25,,0.0001,Permanent,Trigger,ObjectOverwrite)</f>
        <v>USD_CURVE_3M_19Y_Quote#0002</v>
      </c>
      <c r="E25" s="225" t="str">
        <f>_xll.ohRangeRetrieveError(D25)</f>
        <v/>
      </c>
      <c r="F25" s="170"/>
      <c r="H25" s="171"/>
      <c r="I25" s="193" t="s">
        <v>99</v>
      </c>
      <c r="J25" s="221" t="str">
        <f t="shared" si="3"/>
        <v>USD_CURVE_3M_19Y</v>
      </c>
      <c r="K25" s="187">
        <v>2.575236071</v>
      </c>
      <c r="L25" s="187">
        <v>2.575236071</v>
      </c>
      <c r="M25" s="187">
        <f t="shared" si="4"/>
        <v>2.575236071</v>
      </c>
      <c r="N25" s="222"/>
      <c r="O25" s="223">
        <v>2.6795580210000001</v>
      </c>
      <c r="P25" s="222"/>
      <c r="Q25" s="187">
        <v>2.575236071</v>
      </c>
      <c r="R25" s="189">
        <f>_xll.qlSimpleQuoteSetValue(D25,Q25/100,Trigger)</f>
        <v>-4.5279999999481291E-8</v>
      </c>
      <c r="S25" s="16"/>
      <c r="Y25" s="218"/>
    </row>
    <row r="26" spans="1:25" x14ac:dyDescent="0.2">
      <c r="A26" s="171"/>
      <c r="B26" s="224" t="s">
        <v>63</v>
      </c>
      <c r="C26" s="62" t="str">
        <f t="shared" si="2"/>
        <v>USD_CURVE_3M_20Y_Quote</v>
      </c>
      <c r="D26" s="62" t="str">
        <f>_xll.qlSimpleQuote(C26,,0.0001,Permanent,Trigger,ObjectOverwrite)</f>
        <v>USD_CURVE_3M_20Y_Quote#0002</v>
      </c>
      <c r="E26" s="225" t="str">
        <f>_xll.ohRangeRetrieveError(D26)</f>
        <v/>
      </c>
      <c r="F26" s="170"/>
      <c r="H26" s="171"/>
      <c r="I26" s="193" t="s">
        <v>63</v>
      </c>
      <c r="J26" s="221" t="str">
        <f t="shared" si="3"/>
        <v>USD_CURVE_3M_20Y</v>
      </c>
      <c r="K26" s="187">
        <v>2.5920000000000001</v>
      </c>
      <c r="L26" s="187">
        <v>2.5920000000000001</v>
      </c>
      <c r="M26" s="187">
        <f t="shared" si="4"/>
        <v>2.5920000000000001</v>
      </c>
      <c r="N26" s="222"/>
      <c r="O26" s="223">
        <v>2.698</v>
      </c>
      <c r="P26" s="222"/>
      <c r="Q26" s="187">
        <v>2.5920000000000001</v>
      </c>
      <c r="R26" s="189">
        <f>_xll.qlSimpleQuoteSetValue(D26,Q26/100,Trigger)</f>
        <v>0</v>
      </c>
      <c r="S26" s="16"/>
      <c r="Y26" s="218"/>
    </row>
    <row r="27" spans="1:25" x14ac:dyDescent="0.2">
      <c r="A27" s="171"/>
      <c r="B27" s="224" t="s">
        <v>100</v>
      </c>
      <c r="C27" s="62" t="str">
        <f t="shared" si="2"/>
        <v>USD_CURVE_3M_21Y_Quote</v>
      </c>
      <c r="D27" s="62" t="str">
        <f>_xll.qlSimpleQuote(C27,,0.0001,Permanent,Trigger,ObjectOverwrite)</f>
        <v>USD_CURVE_3M_21Y_Quote#0002</v>
      </c>
      <c r="E27" s="225" t="str">
        <f>_xll.ohRangeRetrieveError(D27)</f>
        <v/>
      </c>
      <c r="F27" s="170"/>
      <c r="H27" s="171"/>
      <c r="I27" s="193" t="s">
        <v>100</v>
      </c>
      <c r="J27" s="221" t="str">
        <f t="shared" si="3"/>
        <v>USD_CURVE_3M_21Y</v>
      </c>
      <c r="K27" s="187">
        <v>2.6063160009999997</v>
      </c>
      <c r="L27" s="187">
        <v>2.6063160009999997</v>
      </c>
      <c r="M27" s="187">
        <f t="shared" si="4"/>
        <v>2.6063160009999997</v>
      </c>
      <c r="N27" s="222"/>
      <c r="O27" s="223">
        <v>2.713734358</v>
      </c>
      <c r="P27" s="222"/>
      <c r="Q27" s="187">
        <v>2.6063160009999997</v>
      </c>
      <c r="R27" s="189">
        <f>_xll.qlSimpleQuoteSetValue(D27,Q27/100,Trigger)</f>
        <v>7.5259999995913596E-8</v>
      </c>
      <c r="S27" s="16"/>
      <c r="Y27" s="218"/>
    </row>
    <row r="28" spans="1:25" x14ac:dyDescent="0.2">
      <c r="A28" s="171"/>
      <c r="B28" s="224" t="s">
        <v>101</v>
      </c>
      <c r="C28" s="62" t="str">
        <f t="shared" si="2"/>
        <v>USD_CURVE_3M_22Y_Quote</v>
      </c>
      <c r="D28" s="62" t="str">
        <f>_xll.qlSimpleQuote(C28,,0.0001,Permanent,Trigger,ObjectOverwrite)</f>
        <v>USD_CURVE_3M_22Y_Quote#0002</v>
      </c>
      <c r="E28" s="225" t="str">
        <f>_xll.ohRangeRetrieveError(D28)</f>
        <v/>
      </c>
      <c r="F28" s="170"/>
      <c r="H28" s="171"/>
      <c r="I28" s="193" t="s">
        <v>101</v>
      </c>
      <c r="J28" s="221" t="str">
        <f t="shared" si="3"/>
        <v>USD_CURVE_3M_22Y</v>
      </c>
      <c r="K28" s="187">
        <v>2.6184711790000001</v>
      </c>
      <c r="L28" s="187">
        <v>2.6184711790000001</v>
      </c>
      <c r="M28" s="187">
        <f t="shared" si="4"/>
        <v>2.6184711790000001</v>
      </c>
      <c r="N28" s="222"/>
      <c r="O28" s="223">
        <v>2.727058687</v>
      </c>
      <c r="P28" s="222"/>
      <c r="Q28" s="187">
        <v>2.6184711790000001</v>
      </c>
      <c r="R28" s="189">
        <f>_xll.qlSimpleQuoteSetValue(D28,Q28/100,Trigger)</f>
        <v>1.4459000000077715E-7</v>
      </c>
      <c r="S28" s="16"/>
      <c r="Y28" s="218"/>
    </row>
    <row r="29" spans="1:25" x14ac:dyDescent="0.2">
      <c r="A29" s="171"/>
      <c r="B29" s="224" t="s">
        <v>102</v>
      </c>
      <c r="C29" s="62" t="str">
        <f t="shared" si="2"/>
        <v>USD_CURVE_3M_23Y_Quote</v>
      </c>
      <c r="D29" s="62" t="str">
        <f>_xll.qlSimpleQuote(C29,,0.0001,Permanent,Trigger,ObjectOverwrite)</f>
        <v>USD_CURVE_3M_23Y_Quote#0002</v>
      </c>
      <c r="E29" s="225" t="str">
        <f>_xll.ohRangeRetrieveError(D29)</f>
        <v/>
      </c>
      <c r="F29" s="170"/>
      <c r="H29" s="171"/>
      <c r="I29" s="193" t="s">
        <v>102</v>
      </c>
      <c r="J29" s="221" t="str">
        <f t="shared" si="3"/>
        <v>USD_CURVE_3M_23Y</v>
      </c>
      <c r="K29" s="187">
        <v>2.629082404</v>
      </c>
      <c r="L29" s="187">
        <v>2.629082404</v>
      </c>
      <c r="M29" s="187">
        <f t="shared" si="4"/>
        <v>2.629082404</v>
      </c>
      <c r="N29" s="222"/>
      <c r="O29" s="223">
        <v>2.7386407959999999</v>
      </c>
      <c r="P29" s="222"/>
      <c r="Q29" s="187">
        <v>2.629082404</v>
      </c>
      <c r="R29" s="189">
        <f>_xll.qlSimpleQuoteSetValue(D29,Q29/100,Trigger)</f>
        <v>1.7336000000117702E-7</v>
      </c>
      <c r="S29" s="16"/>
      <c r="Y29" s="218"/>
    </row>
    <row r="30" spans="1:25" x14ac:dyDescent="0.2">
      <c r="A30" s="171"/>
      <c r="B30" s="224" t="s">
        <v>103</v>
      </c>
      <c r="C30" s="62" t="str">
        <f t="shared" si="2"/>
        <v>USD_CURVE_3M_24Y_Quote</v>
      </c>
      <c r="D30" s="62" t="str">
        <f>_xll.qlSimpleQuote(C30,,0.0001,Permanent,Trigger,ObjectOverwrite)</f>
        <v>USD_CURVE_3M_24Y_Quote#0002</v>
      </c>
      <c r="E30" s="225" t="str">
        <f>_xll.ohRangeRetrieveError(D30)</f>
        <v/>
      </c>
      <c r="F30" s="170"/>
      <c r="H30" s="171"/>
      <c r="I30" s="193" t="s">
        <v>103</v>
      </c>
      <c r="J30" s="221" t="str">
        <f t="shared" si="3"/>
        <v>USD_CURVE_3M_24Y</v>
      </c>
      <c r="K30" s="187">
        <v>2.6384814519999997</v>
      </c>
      <c r="L30" s="187">
        <v>2.6384814519999997</v>
      </c>
      <c r="M30" s="187">
        <f t="shared" si="4"/>
        <v>2.6384814519999997</v>
      </c>
      <c r="N30" s="222"/>
      <c r="O30" s="223">
        <v>2.7488361399999999</v>
      </c>
      <c r="P30" s="222"/>
      <c r="Q30" s="187">
        <v>2.6384814519999997</v>
      </c>
      <c r="R30" s="189">
        <f>_xll.qlSimpleQuoteSetValue(D30,Q30/100,Trigger)</f>
        <v>1.3292999999706123E-7</v>
      </c>
      <c r="S30" s="16"/>
      <c r="Y30" s="218"/>
    </row>
    <row r="31" spans="1:25" x14ac:dyDescent="0.2">
      <c r="A31" s="171"/>
      <c r="B31" s="224" t="s">
        <v>64</v>
      </c>
      <c r="C31" s="62" t="str">
        <f t="shared" si="2"/>
        <v>USD_CURVE_3M_25Y_Quote</v>
      </c>
      <c r="D31" s="62" t="str">
        <f>_xll.qlSimpleQuote(C31,,0.0001,Permanent,Trigger,ObjectOverwrite)</f>
        <v>USD_CURVE_3M_25Y_Quote#0002</v>
      </c>
      <c r="E31" s="225" t="str">
        <f>_xll.ohRangeRetrieveError(D31)</f>
        <v/>
      </c>
      <c r="F31" s="170"/>
      <c r="H31" s="171"/>
      <c r="I31" s="193" t="s">
        <v>64</v>
      </c>
      <c r="J31" s="221" t="str">
        <f t="shared" si="3"/>
        <v>USD_CURVE_3M_25Y</v>
      </c>
      <c r="K31" s="187">
        <v>2.6470000000000002</v>
      </c>
      <c r="L31" s="187">
        <v>2.6470000000000002</v>
      </c>
      <c r="M31" s="187">
        <f t="shared" si="4"/>
        <v>2.6470000000000002</v>
      </c>
      <c r="N31" s="222"/>
      <c r="O31" s="223">
        <v>2.758</v>
      </c>
      <c r="P31" s="222"/>
      <c r="Q31" s="187">
        <v>2.6470000000000002</v>
      </c>
      <c r="R31" s="189">
        <f>_xll.qlSimpleQuoteSetValue(D31,Q31/100,Trigger)</f>
        <v>0</v>
      </c>
      <c r="S31" s="16"/>
      <c r="Y31" s="218"/>
    </row>
    <row r="32" spans="1:25" x14ac:dyDescent="0.2">
      <c r="A32" s="171"/>
      <c r="B32" s="224" t="s">
        <v>104</v>
      </c>
      <c r="C32" s="62" t="str">
        <f t="shared" si="2"/>
        <v>USD_CURVE_3M_26Y_Quote</v>
      </c>
      <c r="D32" s="62" t="str">
        <f>_xll.qlSimpleQuote(C32,,0.0001,Permanent,Trigger,ObjectOverwrite)</f>
        <v>USD_CURVE_3M_26Y_Quote#0002</v>
      </c>
      <c r="E32" s="225" t="str">
        <f>_xll.ohRangeRetrieveError(D32)</f>
        <v/>
      </c>
      <c r="F32" s="170"/>
      <c r="H32" s="171"/>
      <c r="I32" s="193" t="s">
        <v>104</v>
      </c>
      <c r="J32" s="221" t="str">
        <f t="shared" si="3"/>
        <v>USD_CURVE_3M_26Y</v>
      </c>
      <c r="K32" s="187">
        <v>2.6548444369999999</v>
      </c>
      <c r="L32" s="187">
        <v>2.6548444369999999</v>
      </c>
      <c r="M32" s="187">
        <f t="shared" si="4"/>
        <v>2.6548444369999999</v>
      </c>
      <c r="N32" s="222"/>
      <c r="O32" s="223">
        <v>2.7663597480000002</v>
      </c>
      <c r="P32" s="222"/>
      <c r="Q32" s="187">
        <v>2.6548444369999999</v>
      </c>
      <c r="R32" s="189">
        <f>_xll.qlSimpleQuoteSetValue(D32,Q32/100,Trigger)</f>
        <v>-2.1983999999933279E-7</v>
      </c>
      <c r="S32" s="16"/>
      <c r="Y32" s="218"/>
    </row>
    <row r="33" spans="1:25" x14ac:dyDescent="0.2">
      <c r="A33" s="171"/>
      <c r="B33" s="224" t="s">
        <v>65</v>
      </c>
      <c r="C33" s="62" t="str">
        <f t="shared" si="2"/>
        <v>USD_CURVE_3M_27Y_Quote</v>
      </c>
      <c r="D33" s="62" t="str">
        <f>_xll.qlSimpleQuote(C33,,0.0001,Permanent,Trigger,ObjectOverwrite)</f>
        <v>USD_CURVE_3M_27Y_Quote#0002</v>
      </c>
      <c r="E33" s="225" t="str">
        <f>_xll.ohRangeRetrieveError(D33)</f>
        <v/>
      </c>
      <c r="F33" s="170"/>
      <c r="H33" s="171"/>
      <c r="I33" s="193" t="s">
        <v>65</v>
      </c>
      <c r="J33" s="221" t="str">
        <f t="shared" si="3"/>
        <v>USD_CURVE_3M_27Y</v>
      </c>
      <c r="K33" s="187">
        <v>2.6619387420000002</v>
      </c>
      <c r="L33" s="187">
        <v>2.6619387420000002</v>
      </c>
      <c r="M33" s="187">
        <f t="shared" si="4"/>
        <v>2.6619387420000002</v>
      </c>
      <c r="N33" s="222"/>
      <c r="O33" s="223">
        <v>2.7738722920000001</v>
      </c>
      <c r="P33" s="222"/>
      <c r="Q33" s="187">
        <v>2.6619387420000002</v>
      </c>
      <c r="R33" s="189">
        <f>_xll.qlSimpleQuoteSetValue(D33,Q33/100,Trigger)</f>
        <v>-4.2445000000140842E-7</v>
      </c>
      <c r="S33" s="16"/>
      <c r="Y33" s="218"/>
    </row>
    <row r="34" spans="1:25" x14ac:dyDescent="0.2">
      <c r="A34" s="171"/>
      <c r="B34" s="224" t="s">
        <v>105</v>
      </c>
      <c r="C34" s="62" t="str">
        <f t="shared" si="2"/>
        <v>USD_CURVE_3M_28Y_Quote</v>
      </c>
      <c r="D34" s="62" t="str">
        <f>_xll.qlSimpleQuote(C34,,0.0001,Permanent,Trigger,ObjectOverwrite)</f>
        <v>USD_CURVE_3M_28Y_Quote#0002</v>
      </c>
      <c r="E34" s="225" t="str">
        <f>_xll.ohRangeRetrieveError(D34)</f>
        <v/>
      </c>
      <c r="F34" s="170"/>
      <c r="H34" s="171"/>
      <c r="I34" s="193" t="s">
        <v>105</v>
      </c>
      <c r="J34" s="221" t="str">
        <f t="shared" si="3"/>
        <v>USD_CURVE_3M_28Y</v>
      </c>
      <c r="K34" s="187">
        <v>2.668333386</v>
      </c>
      <c r="L34" s="187">
        <v>2.668333386</v>
      </c>
      <c r="M34" s="187">
        <f t="shared" si="4"/>
        <v>2.668333386</v>
      </c>
      <c r="N34" s="222"/>
      <c r="O34" s="223">
        <v>2.7806318330000002</v>
      </c>
      <c r="P34" s="222"/>
      <c r="Q34" s="187">
        <v>2.668333386</v>
      </c>
      <c r="R34" s="189">
        <f>_xll.qlSimpleQuoteSetValue(D34,Q34/100,Trigger)</f>
        <v>-5.1180999999581034E-7</v>
      </c>
      <c r="S34" s="16"/>
      <c r="Y34" s="218"/>
    </row>
    <row r="35" spans="1:25" x14ac:dyDescent="0.2">
      <c r="A35" s="171"/>
      <c r="B35" s="224" t="s">
        <v>106</v>
      </c>
      <c r="C35" s="62" t="str">
        <f t="shared" si="2"/>
        <v>USD_CURVE_3M_29Y_Quote</v>
      </c>
      <c r="D35" s="62" t="str">
        <f>_xll.qlSimpleQuote(C35,,0.0001,Permanent,Trigger,ObjectOverwrite)</f>
        <v>USD_CURVE_3M_29Y_Quote#0002</v>
      </c>
      <c r="E35" s="225" t="str">
        <f>_xll.ohRangeRetrieveError(D35)</f>
        <v/>
      </c>
      <c r="F35" s="170"/>
      <c r="H35" s="171"/>
      <c r="I35" s="193" t="s">
        <v>106</v>
      </c>
      <c r="J35" s="221" t="str">
        <f t="shared" si="3"/>
        <v>USD_CURVE_3M_29Y</v>
      </c>
      <c r="K35" s="187">
        <v>2.6740438389999999</v>
      </c>
      <c r="L35" s="187">
        <v>2.6740438389999999</v>
      </c>
      <c r="M35" s="187">
        <f t="shared" si="4"/>
        <v>2.6740438389999999</v>
      </c>
      <c r="N35" s="222"/>
      <c r="O35" s="223">
        <v>2.7866892939999999</v>
      </c>
      <c r="P35" s="222"/>
      <c r="Q35" s="187">
        <v>2.6740438389999999</v>
      </c>
      <c r="R35" s="189">
        <f>_xll.qlSimpleQuoteSetValue(D35,Q35/100,Trigger)</f>
        <v>-3.9441999999736965E-7</v>
      </c>
      <c r="S35" s="16"/>
      <c r="Y35" s="218"/>
    </row>
    <row r="36" spans="1:25" x14ac:dyDescent="0.2">
      <c r="A36" s="171"/>
      <c r="B36" s="224" t="s">
        <v>66</v>
      </c>
      <c r="C36" s="62" t="str">
        <f t="shared" si="2"/>
        <v>USD_CURVE_3M_30Y_Quote</v>
      </c>
      <c r="D36" s="62" t="str">
        <f>_xll.qlSimpleQuote(C36,,0.0001,Permanent,Trigger,ObjectOverwrite)</f>
        <v>USD_CURVE_3M_30Y_Quote#0002</v>
      </c>
      <c r="E36" s="225" t="str">
        <f>_xll.ohRangeRetrieveError(D36)</f>
        <v/>
      </c>
      <c r="F36" s="170"/>
      <c r="H36" s="171"/>
      <c r="I36" s="193" t="s">
        <v>66</v>
      </c>
      <c r="J36" s="221" t="str">
        <f t="shared" si="3"/>
        <v>USD_CURVE_3M_30Y</v>
      </c>
      <c r="K36" s="187">
        <v>2.6790000000000003</v>
      </c>
      <c r="L36" s="187">
        <v>2.6790000000000003</v>
      </c>
      <c r="M36" s="187">
        <f t="shared" si="4"/>
        <v>2.6790000000000003</v>
      </c>
      <c r="N36" s="222"/>
      <c r="O36" s="223">
        <v>2.7919999999999998</v>
      </c>
      <c r="P36" s="222"/>
      <c r="Q36" s="187">
        <v>2.6790000000000003</v>
      </c>
      <c r="R36" s="189">
        <f>_xll.qlSimpleQuoteSetValue(D36,Q36/100,Trigger)</f>
        <v>0</v>
      </c>
      <c r="S36" s="16"/>
      <c r="Y36" s="218"/>
    </row>
    <row r="37" spans="1:25" x14ac:dyDescent="0.2">
      <c r="A37" s="171"/>
      <c r="B37" s="224" t="s">
        <v>67</v>
      </c>
      <c r="C37" s="62" t="str">
        <f t="shared" si="2"/>
        <v>USD_CURVE_3M_35Y_Quote</v>
      </c>
      <c r="D37" s="62" t="str">
        <f>_xll.qlSimpleQuote(C37,,0.0001,Permanent,Trigger,ObjectOverwrite)</f>
        <v>USD_CURVE_3M_35Y_Quote#0002</v>
      </c>
      <c r="E37" s="225" t="str">
        <f>_xll.ohRangeRetrieveError(D37)</f>
        <v/>
      </c>
      <c r="F37" s="170"/>
      <c r="H37" s="171"/>
      <c r="I37" s="193" t="s">
        <v>67</v>
      </c>
      <c r="J37" s="221" t="str">
        <f t="shared" si="3"/>
        <v>USD_CURVE_3M_35Y</v>
      </c>
      <c r="K37" s="187" t="s">
        <v>152</v>
      </c>
      <c r="L37" s="187" t="s">
        <v>152</v>
      </c>
      <c r="M37" s="187" t="e">
        <f t="shared" si="4"/>
        <v>#NUM!</v>
      </c>
      <c r="N37" s="222"/>
      <c r="O37" s="223" t="e">
        <v>#NUM!</v>
      </c>
      <c r="P37" s="222"/>
      <c r="Q37" s="187" t="e">
        <v>#NUM!</v>
      </c>
      <c r="R37" s="189">
        <f>_xll.qlSimpleQuoteSetValue(D37,Q37/100,Trigger)</f>
        <v>0</v>
      </c>
      <c r="S37" s="16"/>
      <c r="Y37" s="218"/>
    </row>
    <row r="38" spans="1:25" x14ac:dyDescent="0.2">
      <c r="A38" s="171"/>
      <c r="B38" s="224" t="s">
        <v>68</v>
      </c>
      <c r="C38" s="62" t="str">
        <f t="shared" si="2"/>
        <v>USD_CURVE_3M_40Y_Quote</v>
      </c>
      <c r="D38" s="62" t="str">
        <f>_xll.qlSimpleQuote(C38,,0.0001,Permanent,Trigger,ObjectOverwrite)</f>
        <v>USD_CURVE_3M_40Y_Quote#0002</v>
      </c>
      <c r="E38" s="225" t="str">
        <f>_xll.ohRangeRetrieveError(D38)</f>
        <v/>
      </c>
      <c r="F38" s="170"/>
      <c r="H38" s="171"/>
      <c r="I38" s="193" t="s">
        <v>68</v>
      </c>
      <c r="J38" s="221" t="str">
        <f t="shared" si="3"/>
        <v>USD_CURVE_3M_40Y</v>
      </c>
      <c r="K38" s="187">
        <v>2.6959999999999997</v>
      </c>
      <c r="L38" s="187">
        <v>2.6959999999999997</v>
      </c>
      <c r="M38" s="187">
        <f t="shared" si="4"/>
        <v>2.6959999999999997</v>
      </c>
      <c r="N38" s="222"/>
      <c r="O38" s="223">
        <v>2.8109999999999999</v>
      </c>
      <c r="P38" s="222"/>
      <c r="Q38" s="187">
        <v>2.6959999999999997</v>
      </c>
      <c r="R38" s="189">
        <f>_xll.qlSimpleQuoteSetValue(D38,Q38/100,Trigger)</f>
        <v>9.9999999999961231E-6</v>
      </c>
      <c r="S38" s="16"/>
      <c r="Y38" s="218"/>
    </row>
    <row r="39" spans="1:25" x14ac:dyDescent="0.2">
      <c r="A39" s="171"/>
      <c r="B39" s="224" t="s">
        <v>69</v>
      </c>
      <c r="C39" s="62" t="str">
        <f t="shared" si="2"/>
        <v>USD_CURVE_3M_50Y_Quote</v>
      </c>
      <c r="D39" s="62" t="str">
        <f>_xll.qlSimpleQuote(C39,,0.0001,Permanent,Trigger,ObjectOverwrite)</f>
        <v>USD_CURVE_3M_50Y_Quote#0002</v>
      </c>
      <c r="E39" s="225" t="str">
        <f>_xll.ohRangeRetrieveError(D39)</f>
        <v/>
      </c>
      <c r="F39" s="170"/>
      <c r="H39" s="171"/>
      <c r="I39" s="193" t="s">
        <v>69</v>
      </c>
      <c r="J39" s="221" t="str">
        <f t="shared" si="3"/>
        <v>USD_CURVE_3M_50Y</v>
      </c>
      <c r="K39" s="187">
        <v>2.6819999999999999</v>
      </c>
      <c r="L39" s="187">
        <v>2.6819999999999999</v>
      </c>
      <c r="M39" s="187">
        <f t="shared" si="4"/>
        <v>2.6819999999999999</v>
      </c>
      <c r="N39" s="222"/>
      <c r="O39" s="223">
        <v>2.7919999999999998</v>
      </c>
      <c r="P39" s="222"/>
      <c r="Q39" s="187">
        <v>2.6819999999999999</v>
      </c>
      <c r="R39" s="189">
        <f>_xll.qlSimpleQuoteSetValue(D39,Q39/100,Trigger)</f>
        <v>9.9999999999995925E-6</v>
      </c>
      <c r="S39" s="16"/>
      <c r="Y39" s="218"/>
    </row>
    <row r="40" spans="1:25" x14ac:dyDescent="0.2">
      <c r="A40" s="171"/>
      <c r="B40" s="226" t="s">
        <v>107</v>
      </c>
      <c r="C40" s="2" t="str">
        <f t="shared" si="2"/>
        <v>USD_CURVE_3M_60Y_Quote</v>
      </c>
      <c r="D40" s="2" t="str">
        <f>_xll.qlSimpleQuote(C40,,0.0001,Permanent,Trigger,ObjectOverwrite)</f>
        <v>USD_CURVE_3M_60Y_Quote#0002</v>
      </c>
      <c r="E40" s="227" t="str">
        <f>_xll.ohRangeRetrieveError(D40)</f>
        <v/>
      </c>
      <c r="F40" s="170"/>
      <c r="H40" s="171"/>
      <c r="I40" s="195" t="s">
        <v>107</v>
      </c>
      <c r="J40" s="228" t="str">
        <f t="shared" si="3"/>
        <v>USD_CURVE_3M_60Y</v>
      </c>
      <c r="K40" s="188">
        <v>2.6693453260000002</v>
      </c>
      <c r="L40" s="188">
        <v>2.6693453260000002</v>
      </c>
      <c r="M40" s="188">
        <f t="shared" si="4"/>
        <v>2.6693453260000002</v>
      </c>
      <c r="N40" s="222"/>
      <c r="O40" s="223">
        <v>2.7745322080000001</v>
      </c>
      <c r="P40" s="222"/>
      <c r="Q40" s="188">
        <v>2.6693453260000002</v>
      </c>
      <c r="R40" s="199">
        <f>_xll.qlSimpleQuoteSetValue(D40,Q40/100,Trigger)</f>
        <v>8.2516100000026849E-6</v>
      </c>
      <c r="S40" s="16"/>
      <c r="Y40" s="218"/>
    </row>
    <row r="41" spans="1:25" x14ac:dyDescent="0.2">
      <c r="A41" s="206"/>
      <c r="B41" s="207"/>
      <c r="C41" s="207"/>
      <c r="D41" s="229"/>
      <c r="E41" s="229"/>
      <c r="F41" s="208"/>
      <c r="H41" s="230"/>
      <c r="I41" s="231"/>
      <c r="J41" s="232"/>
      <c r="K41" s="233"/>
      <c r="L41" s="233"/>
      <c r="M41" s="233"/>
      <c r="N41" s="234"/>
      <c r="O41" s="235"/>
      <c r="P41" s="234"/>
      <c r="Q41" s="236"/>
      <c r="R41" s="237"/>
      <c r="S41" s="238"/>
      <c r="T41" s="49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GeneralSettings</vt:lpstr>
      <vt:lpstr>USDSTD</vt:lpstr>
      <vt:lpstr>Mx_Deposits</vt:lpstr>
      <vt:lpstr>Mx_Swaps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Mx_Swaps!Instruments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Mx_Deposits!QuoteLive</vt:lpstr>
      <vt:lpstr>Mx_Swaps!QuoteLive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2015-09-10T09:38:20Z</dcterms:modified>
</cp:coreProperties>
</file>