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K13" i="2" l="1"/>
  <c r="L13" i="2"/>
  <c r="M13" i="2"/>
  <c r="K10" i="2" l="1"/>
  <c r="Q13" i="2"/>
  <c r="K7" i="2" l="1"/>
  <c r="P7" i="2"/>
  <c r="C14" i="2" a="1"/>
  <c r="Q7" i="2"/>
  <c r="Q5" i="2"/>
  <c r="C14" i="2" l="1"/>
  <c r="C16" i="2"/>
  <c r="C15" i="2"/>
  <c r="C17" i="2"/>
  <c r="M7" i="2" l="1"/>
  <c r="M10" i="2"/>
  <c r="L10" i="2"/>
  <c r="K15" i="2" l="1"/>
  <c r="K14" i="2"/>
  <c r="K12" i="2"/>
  <c r="K11" i="2"/>
  <c r="D14" i="2" a="1"/>
  <c r="L14" i="2"/>
  <c r="L12" i="2"/>
  <c r="L15" i="2"/>
  <c r="Q10" i="2"/>
  <c r="L11" i="2"/>
  <c r="U5" i="2"/>
  <c r="U6" i="2"/>
  <c r="D14" i="2" l="1"/>
  <c r="K6" i="2" s="1"/>
  <c r="D15" i="2"/>
  <c r="D16" i="2"/>
  <c r="D17" i="2"/>
  <c r="Q6" i="2"/>
  <c r="M14" i="2"/>
  <c r="Q14" i="2"/>
  <c r="M12" i="2"/>
  <c r="Q12" i="2" s="1"/>
  <c r="M15" i="2"/>
  <c r="Q15" i="2" s="1"/>
  <c r="M11" i="2"/>
  <c r="Q11" i="2" s="1"/>
</calcChain>
</file>

<file path=xl/sharedStrings.xml><?xml version="1.0" encoding="utf-8"?>
<sst xmlns="http://schemas.openxmlformats.org/spreadsheetml/2006/main" count="99" uniqueCount="57">
  <si>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</si>
  <si>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</si>
  <si>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</si>
  <si>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</si>
  <si>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</si>
  <si>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</si>
  <si>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</si>
  <si>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</si>
  <si>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</si>
  <si>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</si>
  <si>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</si>
  <si>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</si>
  <si>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</si>
  <si>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</si>
  <si>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</si>
  <si>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</si>
  <si>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</si>
  <si>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</si>
  <si>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</si>
  <si>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</si>
  <si>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</si>
  <si>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</si>
  <si>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</si>
  <si>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</si>
  <si>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</si>
  <si>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</si>
  <si>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</si>
  <si>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</si>
  <si>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</si>
  <si>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</si>
  <si>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</si>
  <si>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</si>
  <si>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</si>
  <si>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</si>
  <si>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</si>
  <si>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</si>
  <si>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</si>
  <si>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</si>
  <si>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</si>
  <si>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</si>
  <si>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</si>
  <si>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</si>
  <si>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</si>
  <si>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</si>
  <si>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</si>
  <si>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</si>
  <si>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</si>
  <si>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</si>
  <si>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</si>
  <si>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</si>
  <si>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</si>
  <si>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</si>
  <si>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</si>
  <si>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TRHK</t>
  </si>
  <si>
    <t>-</t>
  </si>
  <si>
    <t>3S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</si>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</sst>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" fillId="5" borderId="10" applyNumberFormat="0" applyFont="0" applyAlignment="0" applyProtection="0"/>
  </cellStyleXfs>
  <cellXfs count="47">
    <xf numFmtId="0" fontId="0" fillId="0" borderId="0" xfId="0"/>
    <xf numFmtId="0" fontId="6" fillId="3" borderId="0" xfId="0" applyFont="1" applyFill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  <xf numFmtId="0" fontId="6" fillId="0" borderId="5" xfId="0" applyFont="1" applyFill="1" applyBorder="1"/>
    <xf numFmtId="0" fontId="6" fillId="0" borderId="0" xfId="0" applyFont="1" applyFill="1" applyBorder="1"/>
  </cellXfs>
  <cellStyles count="10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Note 2" xfId="9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09:17:19</v>
        <stp/>
        <stp>{E883D679-7032-4296-912F-1E34E7DF7E8F}</stp>
        <tr r="P7" s="2"/>
      </tp>
      <tp t="s">
        <v>Updated at 09:17:19</v>
        <stp/>
        <stp>{9833AEDB-01CF-4010-A556-83AC475FE16F}</stp>
        <tr r="Q7" s="2"/>
      </tp>
      <tp t="s">
        <v>Updated at 09:17:19</v>
        <stp/>
        <stp>{5C3DA699-1530-4467-A795-DDF3705F50FB}</stp>
        <tr r="Q6" s="2"/>
      </tp>
      <tp t="s">
        <v>Updated at 09:30:10</v>
        <stp/>
        <stp>{B8FD550A-6DA3-452C-9FC3-AFD3948CF36F}</stp>
        <tr r="Q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U17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7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21" ht="12" thickBot="1" x14ac:dyDescent="0.25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J2" s="3"/>
      <c r="K2" s="4"/>
      <c r="L2" s="4"/>
      <c r="M2" s="4"/>
      <c r="N2" s="4"/>
      <c r="O2" s="4"/>
      <c r="P2" s="4"/>
      <c r="Q2" s="4"/>
      <c r="R2" s="5" t="s">
        <v>13</v>
      </c>
      <c r="S2" s="1"/>
      <c r="T2" s="19" t="s">
        <v>1</v>
      </c>
      <c r="U2" s="18"/>
    </row>
    <row r="3" spans="1:21" ht="17.25" thickBot="1" x14ac:dyDescent="0.25">
      <c r="J3" s="6"/>
      <c r="K3" s="13" t="s">
        <v>9</v>
      </c>
      <c r="L3" s="14"/>
      <c r="M3" s="14"/>
      <c r="N3" s="14"/>
      <c r="O3" s="14"/>
      <c r="P3" s="14"/>
      <c r="Q3" s="15"/>
      <c r="R3" s="7" t="s">
        <v>13</v>
      </c>
      <c r="S3" s="1"/>
      <c r="T3" s="1"/>
      <c r="U3" s="1"/>
    </row>
    <row r="4" spans="1:21" x14ac:dyDescent="0.2">
      <c r="A4" s="3" t="s">
        <v>5</v>
      </c>
      <c r="B4" s="4" t="s">
        <v>39</v>
      </c>
      <c r="C4" s="4" t="s">
        <v>3</v>
      </c>
      <c r="D4" s="4" t="s">
        <v>25</v>
      </c>
      <c r="E4" s="4" t="s">
        <v>29</v>
      </c>
      <c r="F4" s="4" t="s">
        <v>31</v>
      </c>
      <c r="G4" s="4" t="s">
        <v>49</v>
      </c>
      <c r="H4" s="5" t="s">
        <v>35</v>
      </c>
      <c r="J4" s="6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7" t="s">
        <v>13</v>
      </c>
      <c r="S4" s="1"/>
      <c r="T4" s="19" t="s">
        <v>8</v>
      </c>
      <c r="U4" s="11" t="s">
        <v>21</v>
      </c>
    </row>
    <row r="5" spans="1:21" x14ac:dyDescent="0.2">
      <c r="A5" s="6" t="s">
        <v>17</v>
      </c>
      <c r="B5" s="37" t="s">
        <v>40</v>
      </c>
      <c r="C5" s="37" t="s">
        <v>16</v>
      </c>
      <c r="D5" s="37" t="s">
        <v>26</v>
      </c>
      <c r="E5" s="37" t="s">
        <v>34</v>
      </c>
      <c r="F5" s="37" t="s">
        <v>33</v>
      </c>
      <c r="G5" s="37" t="s">
        <v>49</v>
      </c>
      <c r="H5" s="7" t="s">
        <v>36</v>
      </c>
      <c r="J5" s="6"/>
      <c r="K5" s="26" t="str">
        <f>VLOOKUP(Currency,FuturesTable,3,0)</f>
        <v>TYcm1t</v>
      </c>
      <c r="L5" s="27">
        <v>42359</v>
      </c>
      <c r="M5" s="28">
        <v>128.65625</v>
      </c>
      <c r="N5" s="28"/>
      <c r="O5" s="28"/>
      <c r="P5" s="28"/>
      <c r="Q5" s="29" t="str">
        <f>_xll.RData(K5,{"EXPIR_DATE","LAST"},,"FRQ:1S",,L5)</f>
        <v>Updated at 09:30:10</v>
      </c>
      <c r="R5" s="7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1_58 / 1.7.0 / 1.7</v>
      </c>
    </row>
    <row r="6" spans="1:21" x14ac:dyDescent="0.2">
      <c r="A6" s="6" t="s">
        <v>18</v>
      </c>
      <c r="B6" s="37" t="s">
        <v>39</v>
      </c>
      <c r="C6" s="37" t="s">
        <v>15</v>
      </c>
      <c r="D6" s="37" t="s">
        <v>27</v>
      </c>
      <c r="E6" s="37" t="s">
        <v>32</v>
      </c>
      <c r="F6" s="37" t="s">
        <v>30</v>
      </c>
      <c r="G6" s="37" t="s">
        <v>49</v>
      </c>
      <c r="H6" s="7" t="s">
        <v>36</v>
      </c>
      <c r="J6" s="20"/>
      <c r="K6" s="23" t="str">
        <f>D14</f>
        <v>YBAZ5</v>
      </c>
      <c r="L6" s="24">
        <v>42348</v>
      </c>
      <c r="M6" s="30">
        <v>0</v>
      </c>
      <c r="N6" s="30"/>
      <c r="O6" s="30"/>
      <c r="P6" s="30"/>
      <c r="Q6" s="31" t="str">
        <f>_xll.RData(K6,{"EXPIR_DATE","LAST"},,"FRQ:1S",,L6)</f>
        <v>Updated at 09:17:19</v>
      </c>
      <c r="R6" s="7" t="s">
        <v>13</v>
      </c>
      <c r="S6" s="1"/>
      <c r="T6" s="19" t="s">
        <v>2</v>
      </c>
      <c r="U6" s="11">
        <f>_xll.ohRepositoryObjectCount(Trigger)</f>
        <v>713</v>
      </c>
    </row>
    <row r="7" spans="1:21" x14ac:dyDescent="0.2">
      <c r="A7" s="6" t="s">
        <v>19</v>
      </c>
      <c r="B7" s="37" t="s">
        <v>40</v>
      </c>
      <c r="C7" s="37" t="s">
        <v>16</v>
      </c>
      <c r="D7" s="37" t="s">
        <v>41</v>
      </c>
      <c r="E7" s="37" t="s">
        <v>42</v>
      </c>
      <c r="F7" s="37" t="s">
        <v>43</v>
      </c>
      <c r="G7" s="37" t="s">
        <v>51</v>
      </c>
      <c r="H7" s="7" t="s">
        <v>37</v>
      </c>
      <c r="J7" s="20"/>
      <c r="K7" s="23" t="str">
        <f>Currency&amp;VLOOKUP(Currency,FuturesTable,5,0)&amp;VLOOKUP(Currency,FuturesTable,6,0)&amp;"10Y"</f>
        <v>AUDSM6AB10Y</v>
      </c>
      <c r="L7" s="24">
        <v>42278</v>
      </c>
      <c r="M7" s="33" t="str">
        <f>N7&amp;"/"&amp;O7</f>
        <v>2.875/2.935</v>
      </c>
      <c r="N7" s="30">
        <v>2.875</v>
      </c>
      <c r="O7" s="30">
        <v>2.9350000000000001</v>
      </c>
      <c r="P7" s="30" t="str">
        <f>_xll.RData(K7&amp;"="&amp;VLOOKUP(Currency,FuturesTable,7,0),{"BID","ASK"},,"FRQ:1S",,N7)</f>
        <v>Updated at 09:17:19</v>
      </c>
      <c r="Q7" s="31" t="str">
        <f>_xll.RData(K7&amp;"="&amp;VLOOKUP(Currency,FuturesTable,7,0),"VALUE_DT1",,"FRQ:1S",,L7)</f>
        <v>Updated at 09:17:19</v>
      </c>
      <c r="R7" s="7" t="s">
        <v>13</v>
      </c>
      <c r="S7" s="1"/>
      <c r="T7" s="1"/>
      <c r="U7" s="1"/>
    </row>
    <row r="8" spans="1:21" ht="16.5" x14ac:dyDescent="0.2">
      <c r="A8" s="6" t="s">
        <v>20</v>
      </c>
      <c r="B8" s="37" t="s">
        <v>39</v>
      </c>
      <c r="C8" s="37" t="s">
        <v>52</v>
      </c>
      <c r="D8" s="37" t="s">
        <v>44</v>
      </c>
      <c r="E8" s="37" t="s">
        <v>32</v>
      </c>
      <c r="F8" s="37" t="s">
        <v>30</v>
      </c>
      <c r="G8" s="37" t="s">
        <v>49</v>
      </c>
      <c r="H8" s="7" t="s">
        <v>36</v>
      </c>
      <c r="J8" s="6"/>
      <c r="K8" s="13" t="s">
        <v>7</v>
      </c>
      <c r="L8" s="14"/>
      <c r="M8" s="14"/>
      <c r="N8" s="14"/>
      <c r="O8" s="14"/>
      <c r="P8" s="14"/>
      <c r="Q8" s="15"/>
      <c r="R8" s="7" t="s">
        <v>13</v>
      </c>
      <c r="S8" s="1"/>
      <c r="T8" s="1"/>
      <c r="U8" s="1"/>
    </row>
    <row r="9" spans="1:21" x14ac:dyDescent="0.2">
      <c r="A9" s="6" t="s">
        <v>21</v>
      </c>
      <c r="B9" s="37" t="s">
        <v>39</v>
      </c>
      <c r="C9" s="37" t="s">
        <v>16</v>
      </c>
      <c r="D9" s="37" t="s">
        <v>45</v>
      </c>
      <c r="E9" s="37" t="s">
        <v>46</v>
      </c>
      <c r="F9" s="37" t="s">
        <v>47</v>
      </c>
      <c r="G9" s="37" t="s">
        <v>50</v>
      </c>
      <c r="H9" s="7" t="s">
        <v>38</v>
      </c>
      <c r="J9" s="6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7" t="s">
        <v>13</v>
      </c>
      <c r="S9" s="1"/>
      <c r="T9" s="1"/>
      <c r="U9" s="1"/>
    </row>
    <row r="10" spans="1:21" x14ac:dyDescent="0.2">
      <c r="A10" s="6" t="s">
        <v>22</v>
      </c>
      <c r="B10" s="37" t="s">
        <v>40</v>
      </c>
      <c r="C10" s="46" t="s">
        <v>16</v>
      </c>
      <c r="D10" s="46" t="s">
        <v>54</v>
      </c>
      <c r="E10" s="46" t="s">
        <v>42</v>
      </c>
      <c r="F10" s="46" t="s">
        <v>55</v>
      </c>
      <c r="G10" s="46" t="s">
        <v>53</v>
      </c>
      <c r="H10" s="45" t="s">
        <v>56</v>
      </c>
      <c r="J10" s="6"/>
      <c r="K10" s="21" t="str">
        <f>PROPER(Currency)&amp;VLOOKUP(Currency,FuturesTable,8,0)&amp;VLOOKUP(Currency,FuturesTable,2,0)</f>
        <v>AudBBSW6M</v>
      </c>
      <c r="L10" s="22">
        <f>_xll.qlLastFixingQuoteReferenceDate(FirstIndex&amp;"LastFixing_Quote",Trigger)</f>
        <v>42278</v>
      </c>
      <c r="M10" s="32">
        <f>_xll.qlQuoteValue(FirstIndex&amp;"LastFixing_Quote",Trigger)</f>
        <v>2.2400000000000003E-2</v>
      </c>
      <c r="N10" s="32"/>
      <c r="O10" s="32"/>
      <c r="P10" s="32"/>
      <c r="Q10" s="34" t="str">
        <f>IF(AND(ISERROR(L10),ISERROR(M10)),_xll.ohRangeRetrieveError(L10)&amp;" "&amp;_xll.ohRangeRetrieveError(M10),IF(ISERROR(L10),_xll.ohRangeRetrieveError(L10),_xll.ohRangeRetrieveError(M10)))</f>
        <v/>
      </c>
      <c r="R10" s="7" t="s">
        <v>13</v>
      </c>
      <c r="S10" s="1"/>
      <c r="T10" s="1"/>
      <c r="U10" s="1"/>
    </row>
    <row r="11" spans="1:21" x14ac:dyDescent="0.2">
      <c r="A11" s="6" t="s">
        <v>23</v>
      </c>
      <c r="B11" s="37" t="s">
        <v>40</v>
      </c>
      <c r="C11" s="46" t="s">
        <v>16</v>
      </c>
      <c r="D11" s="46" t="s">
        <v>54</v>
      </c>
      <c r="E11" s="46" t="s">
        <v>42</v>
      </c>
      <c r="F11" s="46" t="s">
        <v>43</v>
      </c>
      <c r="G11" s="46" t="s">
        <v>53</v>
      </c>
      <c r="H11" s="45" t="s">
        <v>37</v>
      </c>
      <c r="J11" s="6"/>
      <c r="K11" s="23" t="str">
        <f>UPPER(Currency)&amp;"STD"</f>
        <v>AUDSTD</v>
      </c>
      <c r="L11" s="24">
        <f>_xll.qlTermStructureReferenceDate(K11,Trigger)</f>
        <v>42278</v>
      </c>
      <c r="M11" s="25">
        <f>_xll.qlYieldTSDiscount(K11,L11)</f>
        <v>1</v>
      </c>
      <c r="N11" s="25"/>
      <c r="O11" s="25"/>
      <c r="P11" s="25"/>
      <c r="Q11" s="35" t="str">
        <f>IF(ISERROR(L11),_xll.ohRangeRetrieveError(L11),_xll.ohRangeRetrieveError(M11))</f>
        <v/>
      </c>
      <c r="R11" s="7" t="s">
        <v>13</v>
      </c>
      <c r="S11" s="1"/>
      <c r="T11" s="1"/>
      <c r="U11" s="1"/>
    </row>
    <row r="12" spans="1:21" ht="12" thickBot="1" x14ac:dyDescent="0.25">
      <c r="A12" s="42" t="s">
        <v>24</v>
      </c>
      <c r="B12" s="43"/>
      <c r="C12" s="40"/>
      <c r="D12" s="9" t="s">
        <v>28</v>
      </c>
      <c r="E12" s="9" t="s">
        <v>29</v>
      </c>
      <c r="F12" s="9" t="s">
        <v>30</v>
      </c>
      <c r="G12" s="9"/>
      <c r="H12" s="10" t="s">
        <v>36</v>
      </c>
      <c r="J12" s="6"/>
      <c r="K12" s="23" t="str">
        <f>UPPER(Currency)&amp;"ON"</f>
        <v>AUDON</v>
      </c>
      <c r="L12" s="24">
        <f>_xll.qlTermStructureReferenceDate(K12,Trigger)</f>
        <v>42278</v>
      </c>
      <c r="M12" s="25">
        <f>_xll.qlYieldTSDiscount(K12,L12)</f>
        <v>1</v>
      </c>
      <c r="N12" s="25"/>
      <c r="O12" s="25"/>
      <c r="P12" s="25"/>
      <c r="Q12" s="36" t="str">
        <f>IF(ISERROR(L12),_xll.ohRangeRetrieveError(L12),_xll.ohRangeRetrieveError(M12))</f>
        <v/>
      </c>
      <c r="R12" s="7" t="s">
        <v>13</v>
      </c>
      <c r="S12" s="1"/>
      <c r="T12" s="1"/>
      <c r="U12" s="1"/>
    </row>
    <row r="13" spans="1:21" ht="12" thickBot="1" x14ac:dyDescent="0.25">
      <c r="J13" s="6"/>
      <c r="K13" s="23" t="str">
        <f>UPPER(Currency)&amp;"1M"</f>
        <v>AUD1M</v>
      </c>
      <c r="L13" s="24">
        <f>_xll.qlTermStructureReferenceDate(K13,Trigger)</f>
        <v>42278</v>
      </c>
      <c r="M13" s="25" t="e">
        <f>_xll.qlYieldTSDiscount(K13,L13)</f>
        <v>#NUM!</v>
      </c>
      <c r="N13" s="25"/>
      <c r="O13" s="25"/>
      <c r="P13" s="25"/>
      <c r="Q13" s="36" t="str">
        <f ca="1">IF(ISERROR(L13),_xll.ohRangeRetrieveError(L13),_xll.ohRangeRetrieveError(M13))</f>
        <v>qlYieldTSDiscount - 1st instrument (maturity: October 2nd, 2015, pillar: October 2nd, 2015) has an invalid quote</v>
      </c>
      <c r="R13" s="7" t="s">
        <v>13</v>
      </c>
      <c r="S13" s="1"/>
      <c r="T13" s="1"/>
      <c r="U13" s="1"/>
    </row>
    <row r="14" spans="1:21" x14ac:dyDescent="0.2">
      <c r="B14" s="3" t="b">
        <v>1</v>
      </c>
      <c r="C14" s="38">
        <f t="array" ref="C14:C17">_xll.qlIMMNextDates(_xll.qlSettingsEvaluationDate(Trigger)-1,B14:B17)</f>
        <v>42354</v>
      </c>
      <c r="D14" s="5" t="str">
        <f t="array" ref="D14:D17">VLOOKUP(Currency,FuturesTable,4,0)&amp;_xll.qlIMMcode(FuturesDates)</f>
        <v>YBAZ5</v>
      </c>
      <c r="J14" s="6"/>
      <c r="K14" s="23" t="str">
        <f>UPPER(Currency)&amp;"3M"</f>
        <v>AUD3M</v>
      </c>
      <c r="L14" s="24">
        <f>_xll.qlTermStructureReferenceDate(K14,Trigger)</f>
        <v>42278</v>
      </c>
      <c r="M14" s="25">
        <f>_xll.qlYieldTSDiscount(K14,L14)</f>
        <v>1</v>
      </c>
      <c r="N14" s="25"/>
      <c r="O14" s="25"/>
      <c r="P14" s="25"/>
      <c r="Q14" s="36" t="str">
        <f>IF(ISERROR(L14),_xll.ohRangeRetrieveError(L14),_xll.ohRangeRetrieveError(M14))</f>
        <v/>
      </c>
      <c r="R14" s="7" t="s">
        <v>13</v>
      </c>
      <c r="S14" s="1"/>
      <c r="T14" s="1"/>
      <c r="U14" s="1"/>
    </row>
    <row r="15" spans="1:21" x14ac:dyDescent="0.2">
      <c r="B15" s="41" t="b">
        <v>1</v>
      </c>
      <c r="C15" s="39">
        <v>42445</v>
      </c>
      <c r="D15" s="7" t="str">
        <v>YBAH6</v>
      </c>
      <c r="J15" s="6"/>
      <c r="K15" s="23" t="str">
        <f>UPPER(Currency)&amp;"6M"</f>
        <v>AUD6M</v>
      </c>
      <c r="L15" s="24">
        <f>_xll.qlTermStructureReferenceDate(K15,Trigger)</f>
        <v>42278</v>
      </c>
      <c r="M15" s="25" t="e">
        <f>_xll.qlYieldTSDiscount(K15,L15)</f>
        <v>#NUM!</v>
      </c>
      <c r="N15" s="25"/>
      <c r="O15" s="25"/>
      <c r="P15" s="25"/>
      <c r="Q15" s="36" t="str">
        <f ca="1">IF(ISERROR(L15),_xll.ohRangeRetrieveError(L15),_xll.ohRangeRetrieveError(M15))</f>
        <v>qlYieldTSDiscount - 1st instrument (maturity: October 2nd, 2015, pillar: October 2nd, 2015) has an invalid quote</v>
      </c>
      <c r="R15" s="7" t="s">
        <v>13</v>
      </c>
      <c r="S15" s="1"/>
      <c r="T15" s="1"/>
      <c r="U15" s="1"/>
    </row>
    <row r="16" spans="1:21" ht="12" thickBot="1" x14ac:dyDescent="0.25">
      <c r="B16" s="41" t="b">
        <v>1</v>
      </c>
      <c r="C16" s="39">
        <v>42536</v>
      </c>
      <c r="D16" s="7" t="str">
        <v>YBAM6</v>
      </c>
      <c r="J16" s="8"/>
      <c r="K16" s="44"/>
      <c r="L16" s="44"/>
      <c r="M16" s="44"/>
      <c r="N16" s="44"/>
      <c r="O16" s="44"/>
      <c r="P16" s="44"/>
      <c r="Q16" s="44"/>
      <c r="R16" s="10" t="s">
        <v>13</v>
      </c>
      <c r="S16" s="1"/>
      <c r="T16" s="1"/>
      <c r="U16" s="1"/>
    </row>
    <row r="17" spans="2:21" ht="12" thickBot="1" x14ac:dyDescent="0.25">
      <c r="B17" s="42" t="b">
        <v>1</v>
      </c>
      <c r="C17" s="40">
        <v>42634</v>
      </c>
      <c r="D17" s="10" t="str">
        <v>YBAU6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2015-10-01T07:30:45Z</dcterms:modified>
</cp:coreProperties>
</file>