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945"/>
  </bookViews>
  <sheets>
    <sheet name="GeneralSettings" sheetId="1" r:id="rId1"/>
    <sheet name="USDON" sheetId="14" r:id="rId2"/>
    <sheet name="USD3M" sheetId="15" r:id="rId3"/>
    <sheet name="USD6M" sheetId="16" r:id="rId4"/>
    <sheet name="USD1M" sheetId="17" r:id="rId5"/>
    <sheet name="USD1Y" sheetId="18" r:id="rId6"/>
  </sheets>
  <externalReferences>
    <externalReference r:id="rId7"/>
  </externalReferences>
  <definedNames>
    <definedName name="Calendar">GeneralSettings!$I$10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GeneralSettings!$D$8</definedName>
    <definedName name="HolidayCheck">GeneralSettings!$I$9</definedName>
    <definedName name="IncludeFlag" localSheetId="4">USD1M!$P$3:$P$55</definedName>
    <definedName name="IncludeFlag" localSheetId="5">USD1Y!$P$3:$P$78</definedName>
    <definedName name="IncludeFlag" localSheetId="2">USD3M!$P$3:$P$88</definedName>
    <definedName name="IncludeFlag" localSheetId="3">USD6M!$P$3:$P$66</definedName>
    <definedName name="IncludeFlag" localSheetId="1">USDON!$L$3:$L$59</definedName>
    <definedName name="JoinCalendar">GeneralSettings!$I$8</definedName>
    <definedName name="LiborCalendar">GeneralSettings!$I$6</definedName>
    <definedName name="LocalCalendar">GeneralSettings!$I$7</definedName>
    <definedName name="MinDistance" localSheetId="4">USD1M!$R$3:$R$55</definedName>
    <definedName name="MinDistance" localSheetId="5">USD1Y!$R$3:$R$78</definedName>
    <definedName name="MinDistance" localSheetId="2">USD3M!$R$3:$R$88</definedName>
    <definedName name="MinDistance" localSheetId="3">USD6M!$R$3:$R$66</definedName>
    <definedName name="MinDistance" localSheetId="1">USDON!$N$3:$N$59</definedName>
    <definedName name="ObjectOverwrite">GeneralSettings!$D$6</definedName>
    <definedName name="Permanent">GeneralSettings!$D$4</definedName>
    <definedName name="PillarDate">GeneralSettings!$D$10</definedName>
    <definedName name="Priority" localSheetId="4">USD1M!$Q$3:$Q$55</definedName>
    <definedName name="Priority" localSheetId="5">USD1Y!$Q$3:$Q$78</definedName>
    <definedName name="Priority" localSheetId="2">USD3M!$Q$3:$Q$88</definedName>
    <definedName name="Priority" localSheetId="3">USD6M!$Q$3:$Q$66</definedName>
    <definedName name="Priority" localSheetId="1">USDON!$M$3:$M$59</definedName>
    <definedName name="QuoteSuffix">GeneralSettings!$D$9</definedName>
    <definedName name="RateHelpers" localSheetId="4">USD1M!$M$3:$M$55</definedName>
    <definedName name="RateHelpers" localSheetId="5">USD1Y!$M$3:$M$78</definedName>
    <definedName name="RateHelpers" localSheetId="2">USD3M!$M$3:$M$88</definedName>
    <definedName name="RateHelpers" localSheetId="3">USD6M!$M$3:$M$66</definedName>
    <definedName name="RateHelpers" localSheetId="1">USDON!$I$3:$I$59</definedName>
    <definedName name="Settlementdate">GeneralSettings!$I$4</definedName>
    <definedName name="Tenor" localSheetId="4">USD1M!$G$1</definedName>
    <definedName name="Tenor" localSheetId="5">USD1Y!$G$1</definedName>
    <definedName name="Tenor" localSheetId="2">USD3M!$G$1</definedName>
    <definedName name="Tenor" localSheetId="3">USD6M!$G$1</definedName>
    <definedName name="Tenor" localSheetId="1">USDON!$D$1</definedName>
    <definedName name="Trigger">GeneralSettings!$D$5</definedName>
    <definedName name="YieldCurve_1M">GeneralSettings!$I$29</definedName>
    <definedName name="YieldCurve_1Y">GeneralSettings!$D$44</definedName>
    <definedName name="YieldCurve_3M">GeneralSettings!$I$14</definedName>
    <definedName name="YieldCurve_6M">GeneralSettings!$D$29</definedName>
    <definedName name="YieldCurve_ON">GeneralSettings!$D$14</definedName>
    <definedName name="YieldCurve_STD">GeneralSettings!$I$44</definedName>
  </definedNames>
  <calcPr calcId="145621"/>
</workbook>
</file>

<file path=xl/calcChain.xml><?xml version="1.0" encoding="utf-8"?>
<calcChain xmlns="http://schemas.openxmlformats.org/spreadsheetml/2006/main">
  <c r="C44" i="18" l="1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28" i="18"/>
  <c r="C27" i="18"/>
  <c r="C26" i="18"/>
  <c r="C25" i="18"/>
  <c r="C24" i="18"/>
  <c r="C23" i="18"/>
  <c r="C22" i="18"/>
  <c r="C21" i="18"/>
  <c r="G18" i="18"/>
  <c r="G12" i="18"/>
  <c r="G9" i="18"/>
  <c r="G8" i="18"/>
  <c r="G7" i="18"/>
  <c r="G4" i="18"/>
  <c r="G3" i="18"/>
  <c r="V1" i="18"/>
  <c r="G82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H1" i="18"/>
  <c r="V1" i="17"/>
  <c r="G7" i="17"/>
  <c r="G4" i="17"/>
  <c r="G3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V1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G12" i="16"/>
  <c r="G10" i="16"/>
  <c r="G9" i="16"/>
  <c r="G8" i="16"/>
  <c r="G7" i="16"/>
  <c r="G4" i="16"/>
  <c r="G3" i="15"/>
  <c r="G3" i="16"/>
  <c r="G9" i="15"/>
  <c r="G8" i="15"/>
  <c r="G7" i="15"/>
  <c r="G4" i="15"/>
  <c r="V1" i="15"/>
  <c r="G96" i="15"/>
  <c r="G95" i="15"/>
  <c r="G94" i="15"/>
  <c r="G93" i="15"/>
  <c r="G92" i="15"/>
  <c r="G91" i="15"/>
  <c r="G90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H3" i="15"/>
  <c r="H1" i="15"/>
  <c r="R1" i="14"/>
  <c r="D61" i="14"/>
  <c r="D60" i="14"/>
  <c r="D59" i="14"/>
  <c r="D58" i="14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5" i="14"/>
  <c r="D4" i="14"/>
  <c r="D3" i="14"/>
  <c r="AC2" i="17" a="1"/>
  <c r="W3" i="17" a="1"/>
  <c r="AC2" i="17" l="1"/>
  <c r="AC10" i="17"/>
  <c r="AC18" i="17"/>
  <c r="AC26" i="17"/>
  <c r="AC34" i="17"/>
  <c r="AC42" i="17"/>
  <c r="AC50" i="17"/>
  <c r="AC3" i="17"/>
  <c r="AC11" i="17"/>
  <c r="AC19" i="17"/>
  <c r="AC27" i="17"/>
  <c r="AC35" i="17"/>
  <c r="AC43" i="17"/>
  <c r="AC51" i="17"/>
  <c r="AC4" i="17"/>
  <c r="AC12" i="17"/>
  <c r="AC20" i="17"/>
  <c r="AC28" i="17"/>
  <c r="AC36" i="17"/>
  <c r="AC44" i="17"/>
  <c r="AC52" i="17"/>
  <c r="AC5" i="17"/>
  <c r="AC13" i="17"/>
  <c r="AC21" i="17"/>
  <c r="AC29" i="17"/>
  <c r="AC37" i="17"/>
  <c r="AC45" i="17"/>
  <c r="AC53" i="17"/>
  <c r="AC6" i="17"/>
  <c r="AC14" i="17"/>
  <c r="AC22" i="17"/>
  <c r="AC30" i="17"/>
  <c r="AC38" i="17"/>
  <c r="AC46" i="17"/>
  <c r="AC54" i="17"/>
  <c r="AC7" i="17"/>
  <c r="AC15" i="17"/>
  <c r="AC23" i="17"/>
  <c r="AC31" i="17"/>
  <c r="AC39" i="17"/>
  <c r="AC47" i="17"/>
  <c r="AC55" i="17"/>
  <c r="AC8" i="17"/>
  <c r="AC16" i="17"/>
  <c r="AC24" i="17"/>
  <c r="AC32" i="17"/>
  <c r="AC40" i="17"/>
  <c r="AC48" i="17"/>
  <c r="AC9" i="17"/>
  <c r="AC17" i="17"/>
  <c r="AC25" i="17"/>
  <c r="AC33" i="17"/>
  <c r="AC41" i="17"/>
  <c r="AC49" i="17"/>
  <c r="W10" i="17"/>
  <c r="W18" i="17"/>
  <c r="W26" i="17"/>
  <c r="W34" i="17"/>
  <c r="W42" i="17"/>
  <c r="W50" i="17"/>
  <c r="W3" i="17"/>
  <c r="W11" i="17"/>
  <c r="W19" i="17"/>
  <c r="W27" i="17"/>
  <c r="W35" i="17"/>
  <c r="W43" i="17"/>
  <c r="W51" i="17"/>
  <c r="W4" i="17"/>
  <c r="W12" i="17"/>
  <c r="W20" i="17"/>
  <c r="W28" i="17"/>
  <c r="W36" i="17"/>
  <c r="W44" i="17"/>
  <c r="W52" i="17"/>
  <c r="W5" i="17"/>
  <c r="W13" i="17"/>
  <c r="W21" i="17"/>
  <c r="W29" i="17"/>
  <c r="W37" i="17"/>
  <c r="W45" i="17"/>
  <c r="W53" i="17"/>
  <c r="W6" i="17"/>
  <c r="W14" i="17"/>
  <c r="W22" i="17"/>
  <c r="W30" i="17"/>
  <c r="W38" i="17"/>
  <c r="W46" i="17"/>
  <c r="W54" i="17"/>
  <c r="W7" i="17"/>
  <c r="W15" i="17"/>
  <c r="W23" i="17"/>
  <c r="W31" i="17"/>
  <c r="W39" i="17"/>
  <c r="W47" i="17"/>
  <c r="W55" i="17"/>
  <c r="W8" i="17"/>
  <c r="W16" i="17"/>
  <c r="W24" i="17"/>
  <c r="W32" i="17"/>
  <c r="W40" i="17"/>
  <c r="W48" i="17"/>
  <c r="W9" i="17"/>
  <c r="W17" i="17"/>
  <c r="W25" i="17"/>
  <c r="W33" i="17"/>
  <c r="W41" i="17"/>
  <c r="W49" i="17"/>
  <c r="D46" i="1"/>
  <c r="I31" i="1"/>
  <c r="D31" i="1"/>
  <c r="I16" i="1"/>
  <c r="D16" i="1"/>
  <c r="C54" i="1" l="1"/>
  <c r="H39" i="1"/>
  <c r="C39" i="1"/>
  <c r="H24" i="1"/>
  <c r="C24" i="1"/>
  <c r="H56" i="14" l="1"/>
  <c r="I56" i="14"/>
  <c r="H57" i="14"/>
  <c r="H58" i="14"/>
  <c r="I58" i="14"/>
  <c r="H59" i="14"/>
  <c r="I21" i="14"/>
  <c r="I22" i="14"/>
  <c r="I24" i="14"/>
  <c r="I25" i="14"/>
  <c r="I27" i="14"/>
  <c r="I28" i="14"/>
  <c r="I30" i="14"/>
  <c r="I31" i="14"/>
  <c r="I33" i="14"/>
  <c r="I34" i="14"/>
  <c r="I35" i="14"/>
  <c r="I37" i="14"/>
  <c r="I38" i="14"/>
  <c r="I39" i="14"/>
  <c r="I41" i="14"/>
  <c r="I42" i="14"/>
  <c r="I43" i="14"/>
  <c r="I54" i="14"/>
  <c r="I4" i="14"/>
  <c r="I5" i="14"/>
  <c r="V57" i="14"/>
  <c r="V59" i="14"/>
  <c r="V58" i="14"/>
  <c r="J57" i="17"/>
  <c r="U58" i="14"/>
  <c r="T59" i="14"/>
  <c r="P56" i="14"/>
  <c r="J56" i="14"/>
  <c r="W59" i="14"/>
  <c r="U57" i="14"/>
  <c r="K56" i="14"/>
  <c r="J58" i="14"/>
  <c r="K58" i="14"/>
  <c r="P58" i="14"/>
  <c r="T57" i="14"/>
  <c r="X59" i="14"/>
  <c r="X57" i="14"/>
  <c r="U59" i="14"/>
  <c r="X58" i="14"/>
  <c r="T58" i="14"/>
  <c r="W57" i="14"/>
  <c r="W58" i="14"/>
  <c r="O58" i="14"/>
  <c r="O56" i="14"/>
  <c r="M58" i="18" l="1"/>
  <c r="M59" i="18"/>
  <c r="M60" i="18"/>
  <c r="M61" i="18"/>
  <c r="M63" i="18"/>
  <c r="M64" i="18"/>
  <c r="M65" i="18"/>
  <c r="M66" i="18"/>
  <c r="M68" i="18"/>
  <c r="M69" i="18"/>
  <c r="M70" i="18"/>
  <c r="M71" i="18"/>
  <c r="M75" i="18"/>
  <c r="M77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25" i="18"/>
  <c r="M26" i="18"/>
  <c r="M28" i="18"/>
  <c r="M29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1" i="18"/>
  <c r="H32" i="18"/>
  <c r="H33" i="18"/>
  <c r="H34" i="18"/>
  <c r="H41" i="18"/>
  <c r="H42" i="18"/>
  <c r="H44" i="18"/>
  <c r="H43" i="18"/>
  <c r="H40" i="18"/>
  <c r="H39" i="18"/>
  <c r="H23" i="18"/>
  <c r="H24" i="18"/>
  <c r="H25" i="18"/>
  <c r="H26" i="18"/>
  <c r="H27" i="18"/>
  <c r="H28" i="18"/>
  <c r="H29" i="18"/>
  <c r="H30" i="18"/>
  <c r="H35" i="18"/>
  <c r="H36" i="18"/>
  <c r="H37" i="18"/>
  <c r="H38" i="18"/>
  <c r="H21" i="18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23" i="17"/>
  <c r="H20" i="17"/>
  <c r="H19" i="17"/>
  <c r="H18" i="17"/>
  <c r="H17" i="17"/>
  <c r="H16" i="17"/>
  <c r="H15" i="17"/>
  <c r="H14" i="17"/>
  <c r="H13" i="17"/>
  <c r="H12" i="17"/>
  <c r="H11" i="17"/>
  <c r="H10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C7" i="17"/>
  <c r="M6" i="17"/>
  <c r="L6" i="17"/>
  <c r="C6" i="17"/>
  <c r="M5" i="17"/>
  <c r="L5" i="17"/>
  <c r="C5" i="17"/>
  <c r="L4" i="17"/>
  <c r="M3" i="17"/>
  <c r="L3" i="17"/>
  <c r="H7" i="17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35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H96" i="15"/>
  <c r="H95" i="15"/>
  <c r="H94" i="15"/>
  <c r="H93" i="15"/>
  <c r="H92" i="15"/>
  <c r="H91" i="15"/>
  <c r="H90" i="15"/>
  <c r="C10" i="16"/>
  <c r="C11" i="16"/>
  <c r="C12" i="16"/>
  <c r="H24" i="16"/>
  <c r="H23" i="16"/>
  <c r="H22" i="16"/>
  <c r="H21" i="16"/>
  <c r="H20" i="16"/>
  <c r="H19" i="16"/>
  <c r="H18" i="16"/>
  <c r="H17" i="16"/>
  <c r="H16" i="16"/>
  <c r="H15" i="16"/>
  <c r="L9" i="16"/>
  <c r="C9" i="16"/>
  <c r="L8" i="16"/>
  <c r="C8" i="16"/>
  <c r="L7" i="16"/>
  <c r="C7" i="16"/>
  <c r="M6" i="16"/>
  <c r="L6" i="16"/>
  <c r="C6" i="16"/>
  <c r="M5" i="16"/>
  <c r="L5" i="16"/>
  <c r="C5" i="16"/>
  <c r="M4" i="16"/>
  <c r="L4" i="16"/>
  <c r="M3" i="16"/>
  <c r="L3" i="16"/>
  <c r="H8" i="16"/>
  <c r="H17" i="18" l="1"/>
  <c r="H13" i="18"/>
  <c r="H18" i="18"/>
  <c r="H16" i="18"/>
  <c r="H15" i="18"/>
  <c r="H14" i="18"/>
  <c r="H7" i="18"/>
  <c r="H6" i="18"/>
  <c r="H5" i="18"/>
  <c r="H9" i="18"/>
  <c r="H3" i="18"/>
  <c r="H4" i="18"/>
  <c r="H8" i="18"/>
  <c r="H10" i="18"/>
  <c r="H11" i="18"/>
  <c r="M21" i="17"/>
  <c r="M20" i="17"/>
  <c r="M45" i="17"/>
  <c r="M44" i="17"/>
  <c r="M35" i="17"/>
  <c r="M37" i="17"/>
  <c r="M52" i="17"/>
  <c r="M43" i="17"/>
  <c r="M50" i="17"/>
  <c r="M42" i="17"/>
  <c r="M34" i="17"/>
  <c r="M49" i="17"/>
  <c r="M48" i="17"/>
  <c r="M40" i="17"/>
  <c r="M32" i="17"/>
  <c r="M55" i="17"/>
  <c r="M47" i="17"/>
  <c r="M39" i="17"/>
  <c r="M38" i="17"/>
  <c r="M22" i="17"/>
  <c r="M8" i="17"/>
  <c r="H6" i="17"/>
  <c r="H3" i="17"/>
  <c r="H4" i="17"/>
  <c r="H5" i="17"/>
  <c r="M29" i="16"/>
  <c r="M28" i="16"/>
  <c r="M27" i="16"/>
  <c r="M26" i="16"/>
  <c r="M23" i="16"/>
  <c r="M30" i="16"/>
  <c r="M49" i="16"/>
  <c r="M57" i="16"/>
  <c r="M56" i="16"/>
  <c r="M47" i="16"/>
  <c r="M54" i="16"/>
  <c r="M46" i="16"/>
  <c r="M52" i="16"/>
  <c r="M44" i="16"/>
  <c r="M59" i="16"/>
  <c r="M51" i="16"/>
  <c r="M31" i="16"/>
  <c r="H11" i="16"/>
  <c r="H12" i="16"/>
  <c r="H10" i="16"/>
  <c r="H4" i="16"/>
  <c r="H9" i="16"/>
  <c r="H3" i="16"/>
  <c r="H7" i="16"/>
  <c r="H6" i="16"/>
  <c r="H5" i="16"/>
  <c r="L83" i="15"/>
  <c r="L84" i="15"/>
  <c r="L85" i="15"/>
  <c r="L86" i="15"/>
  <c r="L87" i="15"/>
  <c r="L88" i="15"/>
  <c r="L82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44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86" i="15"/>
  <c r="H87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C6" i="15"/>
  <c r="C7" i="15"/>
  <c r="C8" i="15"/>
  <c r="C9" i="15"/>
  <c r="C5" i="15"/>
  <c r="L3" i="15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6" i="14"/>
  <c r="H4" i="14"/>
  <c r="H5" i="14"/>
  <c r="H3" i="14"/>
  <c r="E5" i="14"/>
  <c r="E4" i="14"/>
  <c r="E3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M14" i="18" l="1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48" i="15"/>
  <c r="M57" i="15"/>
  <c r="M75" i="15"/>
  <c r="M59" i="15"/>
  <c r="M74" i="15"/>
  <c r="M73" i="15"/>
  <c r="M65" i="15"/>
  <c r="M72" i="15"/>
  <c r="M64" i="15"/>
  <c r="M79" i="15"/>
  <c r="M63" i="15"/>
  <c r="M70" i="15"/>
  <c r="M62" i="15"/>
  <c r="M77" i="15"/>
  <c r="M69" i="15"/>
  <c r="M68" i="15"/>
  <c r="M60" i="15"/>
  <c r="M67" i="15"/>
  <c r="M84" i="15"/>
  <c r="M86" i="15"/>
  <c r="M87" i="15"/>
  <c r="M83" i="15"/>
  <c r="M85" i="15"/>
  <c r="M88" i="15"/>
  <c r="H8" i="15"/>
  <c r="H7" i="15"/>
  <c r="H5" i="15"/>
  <c r="H6" i="15"/>
  <c r="I8" i="1"/>
  <c r="O3" i="17"/>
  <c r="P35" i="14"/>
  <c r="T20" i="17"/>
  <c r="J17" i="16"/>
  <c r="T52" i="17"/>
  <c r="N25" i="18"/>
  <c r="J23" i="16"/>
  <c r="J34" i="14"/>
  <c r="J18" i="16"/>
  <c r="G15" i="18"/>
  <c r="S3" i="18"/>
  <c r="T28" i="16"/>
  <c r="N61" i="18"/>
  <c r="N6" i="18"/>
  <c r="S63" i="18"/>
  <c r="J26" i="16"/>
  <c r="K31" i="14"/>
  <c r="G11" i="18"/>
  <c r="O26" i="16"/>
  <c r="T44" i="17"/>
  <c r="S46" i="16"/>
  <c r="T5" i="16"/>
  <c r="S56" i="16"/>
  <c r="S41" i="18"/>
  <c r="T77" i="18"/>
  <c r="O60" i="18"/>
  <c r="T60" i="18"/>
  <c r="T63" i="18"/>
  <c r="N59" i="16"/>
  <c r="G5" i="15"/>
  <c r="K39" i="14"/>
  <c r="N48" i="17"/>
  <c r="O61" i="18"/>
  <c r="N52" i="17"/>
  <c r="P30" i="14"/>
  <c r="O6" i="18"/>
  <c r="T69" i="18"/>
  <c r="N5" i="17"/>
  <c r="S10" i="15"/>
  <c r="O62" i="15"/>
  <c r="S79" i="15"/>
  <c r="T17" i="15"/>
  <c r="O46" i="15"/>
  <c r="S44" i="15"/>
  <c r="S85" i="15"/>
  <c r="S11" i="15"/>
  <c r="O44" i="15"/>
  <c r="J8" i="15"/>
  <c r="S21" i="15"/>
  <c r="N64" i="15"/>
  <c r="T45" i="15"/>
  <c r="O75" i="15"/>
  <c r="O13" i="15"/>
  <c r="T57" i="15"/>
  <c r="O88" i="15"/>
  <c r="N85" i="15"/>
  <c r="N21" i="15"/>
  <c r="N67" i="15"/>
  <c r="O14" i="18"/>
  <c r="T13" i="15"/>
  <c r="N15" i="15"/>
  <c r="N13" i="15"/>
  <c r="N88" i="15"/>
  <c r="S74" i="15"/>
  <c r="T8" i="17"/>
  <c r="S59" i="15"/>
  <c r="T87" i="15"/>
  <c r="O46" i="16"/>
  <c r="N47" i="17"/>
  <c r="O22" i="14"/>
  <c r="S59" i="18"/>
  <c r="N28" i="18"/>
  <c r="N57" i="16"/>
  <c r="O28" i="16"/>
  <c r="O52" i="17"/>
  <c r="N70" i="18"/>
  <c r="G6" i="15"/>
  <c r="J15" i="16"/>
  <c r="O65" i="18"/>
  <c r="S67" i="15"/>
  <c r="T75" i="15"/>
  <c r="S84" i="15"/>
  <c r="T62" i="15"/>
  <c r="S48" i="15"/>
  <c r="O8" i="17"/>
  <c r="T17" i="18"/>
  <c r="T15" i="15"/>
  <c r="S6" i="17"/>
  <c r="N46" i="16"/>
  <c r="P39" i="14"/>
  <c r="O29" i="16"/>
  <c r="G11" i="16"/>
  <c r="T5" i="17"/>
  <c r="O59" i="18"/>
  <c r="S75" i="18"/>
  <c r="T27" i="16"/>
  <c r="S31" i="18"/>
  <c r="O31" i="18"/>
  <c r="O41" i="18"/>
  <c r="T74" i="15"/>
  <c r="N17" i="15"/>
  <c r="O77" i="15"/>
  <c r="O11" i="15"/>
  <c r="S70" i="15"/>
  <c r="K30" i="14"/>
  <c r="N4" i="18"/>
  <c r="O49" i="17"/>
  <c r="T56" i="16"/>
  <c r="J20" i="16"/>
  <c r="S4" i="18"/>
  <c r="O75" i="18"/>
  <c r="S61" i="18"/>
  <c r="T52" i="16"/>
  <c r="O28" i="18"/>
  <c r="S5" i="16"/>
  <c r="O27" i="14"/>
  <c r="S57" i="16"/>
  <c r="O45" i="15"/>
  <c r="T59" i="18"/>
  <c r="T3" i="17"/>
  <c r="O54" i="16"/>
  <c r="T68" i="18"/>
  <c r="N27" i="16"/>
  <c r="O38" i="14"/>
  <c r="S28" i="18"/>
  <c r="T31" i="18"/>
  <c r="T6" i="17"/>
  <c r="G17" i="18"/>
  <c r="T25" i="18"/>
  <c r="T44" i="16"/>
  <c r="N68" i="18"/>
  <c r="J23" i="18"/>
  <c r="T70" i="18"/>
  <c r="T6" i="16"/>
  <c r="O6" i="17"/>
  <c r="O3" i="16"/>
  <c r="S43" i="18"/>
  <c r="N66" i="18"/>
  <c r="J32" i="18"/>
  <c r="N64" i="18"/>
  <c r="O43" i="18"/>
  <c r="T49" i="16"/>
  <c r="J24" i="18"/>
  <c r="O44" i="16"/>
  <c r="N28" i="16"/>
  <c r="N52" i="16"/>
  <c r="O77" i="18"/>
  <c r="J25" i="18"/>
  <c r="K34" i="14"/>
  <c r="T61" i="18"/>
  <c r="K22" i="14"/>
  <c r="N6" i="17"/>
  <c r="O5" i="16"/>
  <c r="P25" i="14"/>
  <c r="O69" i="18"/>
  <c r="T29" i="18"/>
  <c r="N75" i="15"/>
  <c r="N84" i="15"/>
  <c r="O19" i="15"/>
  <c r="S62" i="15"/>
  <c r="O47" i="15"/>
  <c r="O74" i="15"/>
  <c r="N83" i="15"/>
  <c r="N12" i="15"/>
  <c r="O70" i="15"/>
  <c r="S83" i="15"/>
  <c r="O68" i="15"/>
  <c r="O48" i="15"/>
  <c r="T86" i="15"/>
  <c r="S60" i="15"/>
  <c r="N69" i="15"/>
  <c r="O13" i="18"/>
  <c r="O83" i="15"/>
  <c r="T10" i="15"/>
  <c r="S18" i="15"/>
  <c r="T13" i="18"/>
  <c r="S16" i="15"/>
  <c r="S63" i="15"/>
  <c r="T21" i="15"/>
  <c r="T14" i="18"/>
  <c r="S4" i="15"/>
  <c r="S15" i="15"/>
  <c r="S46" i="15"/>
  <c r="S6" i="16"/>
  <c r="J27" i="16"/>
  <c r="S26" i="16"/>
  <c r="O28" i="14"/>
  <c r="O21" i="17"/>
  <c r="S59" i="16"/>
  <c r="J28" i="14"/>
  <c r="S65" i="18"/>
  <c r="G5" i="17"/>
  <c r="J9" i="18"/>
  <c r="O65" i="15"/>
  <c r="J9" i="16"/>
  <c r="S16" i="18"/>
  <c r="S69" i="15"/>
  <c r="T47" i="15"/>
  <c r="J11" i="18"/>
  <c r="T71" i="18"/>
  <c r="G5" i="16"/>
  <c r="O4" i="18"/>
  <c r="N49" i="16"/>
  <c r="G14" i="18"/>
  <c r="T65" i="18"/>
  <c r="N31" i="16"/>
  <c r="O24" i="14"/>
  <c r="T3" i="16"/>
  <c r="N29" i="18"/>
  <c r="T57" i="16"/>
  <c r="N29" i="16"/>
  <c r="N71" i="18"/>
  <c r="O17" i="18"/>
  <c r="S13" i="18"/>
  <c r="T46" i="15"/>
  <c r="O72" i="15"/>
  <c r="T18" i="15"/>
  <c r="N56" i="16"/>
  <c r="N51" i="16"/>
  <c r="S4" i="16"/>
  <c r="J12" i="18"/>
  <c r="O29" i="18"/>
  <c r="G6" i="17"/>
  <c r="J19" i="16"/>
  <c r="J21" i="18"/>
  <c r="S8" i="17"/>
  <c r="S49" i="16"/>
  <c r="S29" i="16"/>
  <c r="O64" i="18"/>
  <c r="O35" i="14"/>
  <c r="T31" i="16"/>
  <c r="O30" i="14"/>
  <c r="S48" i="17"/>
  <c r="O63" i="18"/>
  <c r="S21" i="17"/>
  <c r="N3" i="18"/>
  <c r="S3" i="17"/>
  <c r="N77" i="18"/>
  <c r="O5" i="17"/>
  <c r="O6" i="16"/>
  <c r="N4" i="16"/>
  <c r="T58" i="18"/>
  <c r="G13" i="18"/>
  <c r="S25" i="18"/>
  <c r="N30" i="16"/>
  <c r="N21" i="17"/>
  <c r="N54" i="16"/>
  <c r="P31" i="14"/>
  <c r="S71" i="18"/>
  <c r="N44" i="17"/>
  <c r="J26" i="18"/>
  <c r="N49" i="17"/>
  <c r="N47" i="16"/>
  <c r="S44" i="17"/>
  <c r="S26" i="18"/>
  <c r="O23" i="16"/>
  <c r="S58" i="18"/>
  <c r="T51" i="16"/>
  <c r="J16" i="16"/>
  <c r="O47" i="17"/>
  <c r="S77" i="18"/>
  <c r="N58" i="18"/>
  <c r="O25" i="14"/>
  <c r="T4" i="18"/>
  <c r="T26" i="18"/>
  <c r="O21" i="15"/>
  <c r="S86" i="15"/>
  <c r="O59" i="15"/>
  <c r="S88" i="15"/>
  <c r="T69" i="15"/>
  <c r="O86" i="15"/>
  <c r="T85" i="15"/>
  <c r="N70" i="15"/>
  <c r="T4" i="15"/>
  <c r="O60" i="15"/>
  <c r="T88" i="15"/>
  <c r="S72" i="15"/>
  <c r="N11" i="15"/>
  <c r="O14" i="15"/>
  <c r="O64" i="15"/>
  <c r="N47" i="15"/>
  <c r="J24" i="16"/>
  <c r="K24" i="14"/>
  <c r="O5" i="18"/>
  <c r="N75" i="18"/>
  <c r="S49" i="17"/>
  <c r="O25" i="18"/>
  <c r="J39" i="14"/>
  <c r="T26" i="16"/>
  <c r="O44" i="17"/>
  <c r="N23" i="16"/>
  <c r="O58" i="18"/>
  <c r="P22" i="14"/>
  <c r="O20" i="17"/>
  <c r="T83" i="15"/>
  <c r="T72" i="15"/>
  <c r="T20" i="15"/>
  <c r="J11" i="16"/>
  <c r="N4" i="15"/>
  <c r="N17" i="18"/>
  <c r="N86" i="15"/>
  <c r="T63" i="15"/>
  <c r="T79" i="15"/>
  <c r="T30" i="16"/>
  <c r="T49" i="17"/>
  <c r="G6" i="16"/>
  <c r="J30" i="14"/>
  <c r="N65" i="18"/>
  <c r="G6" i="18"/>
  <c r="J22" i="18"/>
  <c r="O27" i="16"/>
  <c r="O59" i="16"/>
  <c r="O49" i="16"/>
  <c r="O66" i="18"/>
  <c r="N62" i="15"/>
  <c r="S45" i="15"/>
  <c r="N74" i="15"/>
  <c r="T64" i="15"/>
  <c r="N72" i="15"/>
  <c r="O20" i="15"/>
  <c r="T28" i="18"/>
  <c r="J27" i="14"/>
  <c r="O70" i="18"/>
  <c r="J9" i="15"/>
  <c r="S6" i="18"/>
  <c r="J38" i="14"/>
  <c r="S70" i="18"/>
  <c r="P21" i="14"/>
  <c r="O57" i="16"/>
  <c r="T41" i="18"/>
  <c r="S30" i="16"/>
  <c r="S28" i="16"/>
  <c r="K28" i="14"/>
  <c r="S14" i="15"/>
  <c r="T65" i="15"/>
  <c r="T54" i="16"/>
  <c r="O39" i="14"/>
  <c r="J7" i="15"/>
  <c r="O68" i="18"/>
  <c r="P34" i="14"/>
  <c r="S23" i="16"/>
  <c r="T6" i="18"/>
  <c r="O63" i="15"/>
  <c r="N87" i="15"/>
  <c r="T67" i="15"/>
  <c r="N60" i="15"/>
  <c r="S17" i="15"/>
  <c r="S68" i="15"/>
  <c r="N63" i="18"/>
  <c r="J10" i="16"/>
  <c r="S29" i="18"/>
  <c r="T47" i="17"/>
  <c r="T5" i="18"/>
  <c r="N16" i="18"/>
  <c r="N5" i="16"/>
  <c r="F3" i="14"/>
  <c r="S54" i="16"/>
  <c r="S3" i="16"/>
  <c r="S69" i="18"/>
  <c r="T21" i="17"/>
  <c r="J18" i="18"/>
  <c r="N20" i="17"/>
  <c r="N31" i="18"/>
  <c r="S27" i="16"/>
  <c r="S60" i="18"/>
  <c r="T29" i="16"/>
  <c r="S47" i="16"/>
  <c r="O51" i="16"/>
  <c r="K25" i="14"/>
  <c r="N77" i="15"/>
  <c r="T11" i="15"/>
  <c r="O4" i="15"/>
  <c r="N18" i="15"/>
  <c r="N14" i="15"/>
  <c r="T68" i="15"/>
  <c r="O79" i="15"/>
  <c r="S47" i="15"/>
  <c r="N6" i="16"/>
  <c r="N43" i="18"/>
  <c r="N3" i="17"/>
  <c r="T4" i="16"/>
  <c r="J31" i="14"/>
  <c r="O34" i="14"/>
  <c r="S5" i="17"/>
  <c r="O47" i="16"/>
  <c r="S20" i="17"/>
  <c r="S47" i="17"/>
  <c r="T12" i="15"/>
  <c r="S17" i="18"/>
  <c r="O57" i="15"/>
  <c r="N65" i="15"/>
  <c r="T84" i="15"/>
  <c r="T14" i="15"/>
  <c r="N20" i="15"/>
  <c r="S87" i="15"/>
  <c r="N63" i="15"/>
  <c r="T47" i="16"/>
  <c r="P27" i="14"/>
  <c r="S31" i="16"/>
  <c r="O31" i="16"/>
  <c r="P28" i="14"/>
  <c r="J21" i="16"/>
  <c r="S52" i="17"/>
  <c r="O71" i="18"/>
  <c r="N26" i="18"/>
  <c r="G16" i="18"/>
  <c r="O15" i="15"/>
  <c r="O84" i="15"/>
  <c r="N59" i="15"/>
  <c r="N16" i="15"/>
  <c r="S77" i="15"/>
  <c r="N73" i="15"/>
  <c r="S13" i="15"/>
  <c r="N19" i="15"/>
  <c r="N45" i="15"/>
  <c r="S66" i="18"/>
  <c r="O31" i="14"/>
  <c r="O3" i="18"/>
  <c r="N59" i="18"/>
  <c r="S51" i="16"/>
  <c r="O30" i="16"/>
  <c r="N3" i="16"/>
  <c r="J24" i="14"/>
  <c r="J29" i="18"/>
  <c r="O85" i="15"/>
  <c r="N13" i="18"/>
  <c r="O17" i="15"/>
  <c r="O87" i="15"/>
  <c r="O73" i="15"/>
  <c r="J7" i="18"/>
  <c r="O69" i="15"/>
  <c r="S14" i="18"/>
  <c r="N14" i="18"/>
  <c r="S52" i="16"/>
  <c r="J35" i="14"/>
  <c r="O21" i="14"/>
  <c r="N5" i="18"/>
  <c r="T48" i="17"/>
  <c r="G10" i="18"/>
  <c r="O4" i="16"/>
  <c r="N60" i="18"/>
  <c r="J22" i="16"/>
  <c r="S12" i="15"/>
  <c r="N57" i="15"/>
  <c r="S65" i="15"/>
  <c r="S19" i="15"/>
  <c r="S20" i="15"/>
  <c r="O16" i="15"/>
  <c r="S64" i="15"/>
  <c r="T19" i="15"/>
  <c r="T73" i="15"/>
  <c r="T3" i="18"/>
  <c r="T23" i="16"/>
  <c r="J22" i="14"/>
  <c r="J8" i="18"/>
  <c r="O48" i="17"/>
  <c r="K27" i="14"/>
  <c r="O52" i="16"/>
  <c r="J21" i="14"/>
  <c r="S68" i="18"/>
  <c r="T66" i="18"/>
  <c r="O10" i="15"/>
  <c r="T16" i="18"/>
  <c r="O18" i="15"/>
  <c r="T16" i="15"/>
  <c r="O16" i="18"/>
  <c r="N68" i="15"/>
  <c r="S75" i="15"/>
  <c r="N46" i="15"/>
  <c r="N26" i="16"/>
  <c r="S5" i="18"/>
  <c r="S44" i="16"/>
  <c r="N44" i="16"/>
  <c r="P38" i="14"/>
  <c r="J25" i="14"/>
  <c r="N69" i="18"/>
  <c r="G5" i="18"/>
  <c r="T75" i="18"/>
  <c r="T46" i="16"/>
  <c r="K21" i="14"/>
  <c r="N8" i="17"/>
  <c r="T44" i="15"/>
  <c r="T70" i="15"/>
  <c r="S57" i="15"/>
  <c r="N10" i="15"/>
  <c r="T77" i="15"/>
  <c r="J12" i="16"/>
  <c r="O67" i="15"/>
  <c r="T43" i="18"/>
  <c r="O26" i="18"/>
  <c r="T64" i="18"/>
  <c r="K38" i="14"/>
  <c r="P24" i="14"/>
  <c r="T59" i="16"/>
  <c r="N41" i="18"/>
  <c r="S64" i="18"/>
  <c r="K35" i="14"/>
  <c r="O56" i="16"/>
  <c r="T48" i="15"/>
  <c r="S73" i="15"/>
  <c r="N79" i="15"/>
  <c r="N44" i="15"/>
  <c r="N48" i="15"/>
  <c r="T59" i="15"/>
  <c r="O12" i="15"/>
  <c r="T60" i="15"/>
  <c r="M9" i="18" l="1"/>
  <c r="M20" i="16"/>
  <c r="M27" i="18"/>
  <c r="M19" i="18"/>
  <c r="M13" i="16"/>
  <c r="M14" i="16"/>
  <c r="M23" i="18"/>
  <c r="M17" i="16"/>
  <c r="M22" i="18"/>
  <c r="M24" i="18"/>
  <c r="M10" i="16"/>
  <c r="M30" i="18"/>
  <c r="M19" i="16"/>
  <c r="M20" i="18"/>
  <c r="M24" i="16"/>
  <c r="I3" i="14"/>
  <c r="M18" i="16"/>
  <c r="M21" i="18"/>
  <c r="M25" i="16"/>
  <c r="M16" i="16"/>
  <c r="M21" i="16"/>
  <c r="M15" i="16"/>
  <c r="M22" i="16"/>
  <c r="M7" i="18"/>
  <c r="M9" i="16"/>
  <c r="M12" i="16"/>
  <c r="M8" i="18"/>
  <c r="M18" i="18"/>
  <c r="M11" i="16"/>
  <c r="M11" i="18"/>
  <c r="M12" i="18"/>
  <c r="M9" i="15"/>
  <c r="M6" i="15"/>
  <c r="M3" i="15"/>
  <c r="M5" i="15"/>
  <c r="M7" i="15"/>
  <c r="M8" i="15"/>
  <c r="D7" i="1"/>
  <c r="J7" i="16"/>
  <c r="O16" i="16"/>
  <c r="J37" i="17"/>
  <c r="J60" i="15"/>
  <c r="J77" i="18"/>
  <c r="T6" i="15"/>
  <c r="O17" i="16"/>
  <c r="S21" i="16"/>
  <c r="J50" i="17"/>
  <c r="J57" i="15"/>
  <c r="T19" i="18"/>
  <c r="O22" i="16"/>
  <c r="S11" i="18"/>
  <c r="N10" i="16"/>
  <c r="T14" i="16"/>
  <c r="J37" i="16"/>
  <c r="J58" i="15"/>
  <c r="T27" i="18"/>
  <c r="J55" i="17"/>
  <c r="J45" i="17"/>
  <c r="S24" i="18"/>
  <c r="S9" i="16"/>
  <c r="T9" i="15"/>
  <c r="O9" i="16"/>
  <c r="T5" i="15"/>
  <c r="J36" i="16"/>
  <c r="J20" i="17"/>
  <c r="T8" i="18"/>
  <c r="J62" i="15"/>
  <c r="J87" i="15"/>
  <c r="J56" i="15"/>
  <c r="N19" i="18"/>
  <c r="N22" i="16"/>
  <c r="O13" i="16"/>
  <c r="O7" i="18"/>
  <c r="S11" i="16"/>
  <c r="S27" i="18"/>
  <c r="O7" i="15"/>
  <c r="T24" i="18"/>
  <c r="N12" i="16"/>
  <c r="S8" i="15"/>
  <c r="O12" i="16"/>
  <c r="O11" i="16"/>
  <c r="J51" i="18"/>
  <c r="N3" i="15"/>
  <c r="S9" i="18"/>
  <c r="T19" i="16"/>
  <c r="J41" i="16"/>
  <c r="N8" i="15"/>
  <c r="J80" i="18"/>
  <c r="N15" i="16"/>
  <c r="J32" i="17"/>
  <c r="T13" i="16"/>
  <c r="S14" i="16"/>
  <c r="T11" i="18"/>
  <c r="J82" i="15"/>
  <c r="N22" i="18"/>
  <c r="J49" i="18"/>
  <c r="J72" i="15"/>
  <c r="T3" i="15"/>
  <c r="T25" i="16"/>
  <c r="J56" i="18"/>
  <c r="S19" i="16"/>
  <c r="S18" i="18"/>
  <c r="N20" i="18"/>
  <c r="J57" i="18"/>
  <c r="N24" i="16"/>
  <c r="J54" i="18"/>
  <c r="N13" i="16"/>
  <c r="O14" i="16"/>
  <c r="J76" i="18"/>
  <c r="S22" i="18"/>
  <c r="S9" i="15"/>
  <c r="J40" i="17"/>
  <c r="N30" i="18"/>
  <c r="N9" i="18"/>
  <c r="O19" i="16"/>
  <c r="N5" i="15"/>
  <c r="O20" i="16"/>
  <c r="O20" i="18"/>
  <c r="J50" i="18"/>
  <c r="O6" i="15"/>
  <c r="T18" i="16"/>
  <c r="J59" i="16"/>
  <c r="N6" i="15"/>
  <c r="N11" i="18"/>
  <c r="N11" i="16"/>
  <c r="S23" i="18"/>
  <c r="O21" i="18"/>
  <c r="O30" i="18"/>
  <c r="J66" i="16"/>
  <c r="T15" i="16"/>
  <c r="S18" i="16"/>
  <c r="J35" i="17"/>
  <c r="O3" i="15"/>
  <c r="O22" i="18"/>
  <c r="J60" i="18"/>
  <c r="T23" i="18"/>
  <c r="T21" i="18"/>
  <c r="S30" i="18"/>
  <c r="J40" i="16"/>
  <c r="N9" i="15"/>
  <c r="S5" i="15"/>
  <c r="J67" i="15"/>
  <c r="J46" i="16"/>
  <c r="P22" i="16"/>
  <c r="T30" i="18"/>
  <c r="J55" i="15"/>
  <c r="O21" i="16"/>
  <c r="S19" i="18"/>
  <c r="S22" i="16"/>
  <c r="J82" i="18"/>
  <c r="O27" i="18"/>
  <c r="N24" i="18"/>
  <c r="O8" i="18"/>
  <c r="T7" i="18"/>
  <c r="J34" i="17"/>
  <c r="J10" i="18"/>
  <c r="N16" i="16"/>
  <c r="O12" i="18"/>
  <c r="T24" i="16"/>
  <c r="J8" i="16"/>
  <c r="J31" i="17"/>
  <c r="N14" i="16"/>
  <c r="J68" i="16"/>
  <c r="J71" i="18"/>
  <c r="J29" i="17"/>
  <c r="J28" i="17"/>
  <c r="O24" i="16"/>
  <c r="J86" i="15"/>
  <c r="O18" i="16"/>
  <c r="S7" i="15"/>
  <c r="J84" i="15"/>
  <c r="J55" i="18"/>
  <c r="J33" i="17"/>
  <c r="J14" i="17"/>
  <c r="J52" i="18"/>
  <c r="J66" i="18"/>
  <c r="O9" i="18"/>
  <c r="J65" i="16"/>
  <c r="J58" i="18"/>
  <c r="S15" i="16"/>
  <c r="N12" i="18"/>
  <c r="N18" i="16"/>
  <c r="J30" i="17"/>
  <c r="J44" i="16"/>
  <c r="O23" i="18"/>
  <c r="S8" i="18"/>
  <c r="O25" i="16"/>
  <c r="J61" i="15"/>
  <c r="J64" i="15"/>
  <c r="T11" i="16"/>
  <c r="S13" i="16"/>
  <c r="J15" i="18"/>
  <c r="T22" i="18"/>
  <c r="J58" i="17"/>
  <c r="N25" i="16"/>
  <c r="T9" i="18"/>
  <c r="T12" i="18"/>
  <c r="S20" i="18"/>
  <c r="S17" i="16"/>
  <c r="J49" i="16"/>
  <c r="O10" i="16"/>
  <c r="N7" i="18"/>
  <c r="O5" i="15"/>
  <c r="J59" i="15"/>
  <c r="J64" i="16"/>
  <c r="O8" i="15"/>
  <c r="T20" i="18"/>
  <c r="N17" i="16"/>
  <c r="S12" i="18"/>
  <c r="T22" i="16"/>
  <c r="J43" i="16"/>
  <c r="O24" i="18"/>
  <c r="J11" i="17"/>
  <c r="T9" i="16"/>
  <c r="S12" i="16"/>
  <c r="J7" i="17"/>
  <c r="J61" i="18"/>
  <c r="S10" i="16"/>
  <c r="T12" i="16"/>
  <c r="J53" i="18"/>
  <c r="S7" i="18"/>
  <c r="T20" i="16"/>
  <c r="N9" i="16"/>
  <c r="J17" i="17"/>
  <c r="J77" i="15"/>
  <c r="S21" i="18"/>
  <c r="S24" i="16"/>
  <c r="O15" i="16"/>
  <c r="O9" i="15"/>
  <c r="J4" i="17"/>
  <c r="J42" i="16"/>
  <c r="O18" i="18"/>
  <c r="N19" i="16"/>
  <c r="P19" i="16" s="1"/>
  <c r="N20" i="16"/>
  <c r="P20" i="16" s="1"/>
  <c r="N8" i="18"/>
  <c r="N21" i="16"/>
  <c r="J59" i="18"/>
  <c r="T8" i="15"/>
  <c r="J27" i="17"/>
  <c r="J54" i="16"/>
  <c r="S25" i="16"/>
  <c r="S16" i="16"/>
  <c r="S20" i="16"/>
  <c r="N7" i="15"/>
  <c r="T21" i="16"/>
  <c r="O19" i="18"/>
  <c r="T10" i="16"/>
  <c r="N27" i="18"/>
  <c r="T18" i="18"/>
  <c r="J70" i="16"/>
  <c r="N23" i="18"/>
  <c r="N21" i="18"/>
  <c r="T16" i="16"/>
  <c r="N18" i="18"/>
  <c r="T17" i="16"/>
  <c r="J38" i="16"/>
  <c r="O11" i="18"/>
  <c r="S6" i="15"/>
  <c r="T7" i="15"/>
  <c r="J78" i="18"/>
  <c r="S3" i="15"/>
  <c r="J48" i="18"/>
  <c r="J39" i="16"/>
  <c r="M10" i="18" l="1"/>
  <c r="M7" i="16"/>
  <c r="M15" i="18"/>
  <c r="M4" i="17"/>
  <c r="M8" i="16"/>
  <c r="M7" i="17"/>
  <c r="M54" i="18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78" i="18"/>
  <c r="M44" i="18"/>
  <c r="M46" i="17"/>
  <c r="M30" i="17"/>
  <c r="M54" i="17"/>
  <c r="M23" i="17"/>
  <c r="M31" i="17"/>
  <c r="M24" i="17"/>
  <c r="M25" i="17"/>
  <c r="M33" i="17"/>
  <c r="M41" i="17"/>
  <c r="M26" i="17"/>
  <c r="M27" i="17"/>
  <c r="M51" i="17"/>
  <c r="M28" i="17"/>
  <c r="M36" i="17"/>
  <c r="M29" i="17"/>
  <c r="M53" i="17"/>
  <c r="M18" i="17"/>
  <c r="M19" i="17"/>
  <c r="M16" i="17"/>
  <c r="M13" i="17"/>
  <c r="M17" i="17"/>
  <c r="M14" i="17"/>
  <c r="M11" i="17"/>
  <c r="M12" i="17"/>
  <c r="M15" i="17"/>
  <c r="M9" i="17"/>
  <c r="M10" i="17"/>
  <c r="M35" i="16"/>
  <c r="M60" i="16"/>
  <c r="M61" i="16"/>
  <c r="M62" i="16"/>
  <c r="M55" i="16"/>
  <c r="M64" i="16"/>
  <c r="M50" i="16"/>
  <c r="M66" i="16"/>
  <c r="M32" i="16"/>
  <c r="M33" i="16"/>
  <c r="M34" i="16"/>
  <c r="M58" i="16"/>
  <c r="M37" i="16"/>
  <c r="M45" i="16"/>
  <c r="M38" i="16"/>
  <c r="M65" i="16"/>
  <c r="M43" i="16"/>
  <c r="M40" i="16"/>
  <c r="M53" i="16"/>
  <c r="M41" i="16"/>
  <c r="M42" i="16"/>
  <c r="M63" i="16"/>
  <c r="M48" i="16"/>
  <c r="M36" i="16"/>
  <c r="M39" i="16"/>
  <c r="M58" i="15"/>
  <c r="M51" i="15"/>
  <c r="M76" i="15"/>
  <c r="M50" i="15"/>
  <c r="M61" i="15"/>
  <c r="M49" i="15"/>
  <c r="M78" i="15"/>
  <c r="M55" i="15"/>
  <c r="M80" i="15"/>
  <c r="M81" i="15"/>
  <c r="M66" i="15"/>
  <c r="M56" i="15"/>
  <c r="M71" i="15"/>
  <c r="M54" i="15"/>
  <c r="M53" i="15"/>
  <c r="M52" i="15"/>
  <c r="P25" i="16"/>
  <c r="O15" i="18"/>
  <c r="N8" i="16"/>
  <c r="O81" i="15"/>
  <c r="O10" i="18"/>
  <c r="N10" i="18"/>
  <c r="S10" i="18"/>
  <c r="T10" i="18"/>
  <c r="S15" i="18"/>
  <c r="S8" i="16"/>
  <c r="O7" i="16"/>
  <c r="T7" i="16"/>
  <c r="N7" i="16"/>
  <c r="S7" i="16"/>
  <c r="N15" i="18"/>
  <c r="T8" i="16"/>
  <c r="T15" i="18"/>
  <c r="O8" i="16"/>
  <c r="N4" i="17"/>
  <c r="O4" i="17"/>
  <c r="T7" i="17"/>
  <c r="O7" i="17"/>
  <c r="T4" i="17"/>
  <c r="N7" i="17"/>
  <c r="S4" i="17"/>
  <c r="S7" i="17"/>
  <c r="C29" i="14" l="1"/>
  <c r="C26" i="14"/>
  <c r="C58" i="14"/>
  <c r="C49" i="14"/>
  <c r="C56" i="14"/>
  <c r="C44" i="14"/>
  <c r="C27" i="14"/>
  <c r="C46" i="14"/>
  <c r="C48" i="14"/>
  <c r="C30" i="14"/>
  <c r="C61" i="14"/>
  <c r="C33" i="14"/>
  <c r="C59" i="14"/>
  <c r="C52" i="14"/>
  <c r="C57" i="14"/>
  <c r="C38" i="14"/>
  <c r="C60" i="14"/>
  <c r="C41" i="14"/>
  <c r="C55" i="14"/>
  <c r="C53" i="14"/>
  <c r="C35" i="14"/>
  <c r="C40" i="14"/>
  <c r="C47" i="14"/>
  <c r="C42" i="14"/>
  <c r="C50" i="14"/>
  <c r="C25" i="14"/>
  <c r="C32" i="14"/>
  <c r="C39" i="14"/>
  <c r="C45" i="14"/>
  <c r="C28" i="14"/>
  <c r="C36" i="14"/>
  <c r="C24" i="14"/>
  <c r="C31" i="14"/>
  <c r="C34" i="14"/>
  <c r="C54" i="14"/>
  <c r="C51" i="14"/>
  <c r="C23" i="14"/>
  <c r="C43" i="14"/>
  <c r="C37" i="14"/>
  <c r="N33" i="18"/>
  <c r="N34" i="18"/>
  <c r="N54" i="18"/>
  <c r="O23" i="17"/>
  <c r="S62" i="16"/>
  <c r="T28" i="17"/>
  <c r="T41" i="16"/>
  <c r="S76" i="18"/>
  <c r="O66" i="16"/>
  <c r="S36" i="17"/>
  <c r="N36" i="18"/>
  <c r="T23" i="17"/>
  <c r="T54" i="17"/>
  <c r="F49" i="14"/>
  <c r="T53" i="17"/>
  <c r="K41" i="14"/>
  <c r="S64" i="16"/>
  <c r="S17" i="17"/>
  <c r="F34" i="14"/>
  <c r="O38" i="16"/>
  <c r="T42" i="18"/>
  <c r="S23" i="17"/>
  <c r="S47" i="18"/>
  <c r="T17" i="17"/>
  <c r="N51" i="15"/>
  <c r="N74" i="18"/>
  <c r="N53" i="15"/>
  <c r="S16" i="17"/>
  <c r="O50" i="16"/>
  <c r="N45" i="16"/>
  <c r="S39" i="18"/>
  <c r="T11" i="17"/>
  <c r="O14" i="17"/>
  <c r="N46" i="17"/>
  <c r="T57" i="18"/>
  <c r="N78" i="18"/>
  <c r="S48" i="16"/>
  <c r="J43" i="14"/>
  <c r="F55" i="14"/>
  <c r="O61" i="16"/>
  <c r="O28" i="17"/>
  <c r="S54" i="17"/>
  <c r="N55" i="18"/>
  <c r="S43" i="17"/>
  <c r="T65" i="16"/>
  <c r="O45" i="17"/>
  <c r="T45" i="16"/>
  <c r="T38" i="16"/>
  <c r="T50" i="17"/>
  <c r="S35" i="17"/>
  <c r="S33" i="16"/>
  <c r="S46" i="18"/>
  <c r="T34" i="17"/>
  <c r="N15" i="17"/>
  <c r="N50" i="15"/>
  <c r="O42" i="17"/>
  <c r="N34" i="16"/>
  <c r="S31" i="17"/>
  <c r="T61" i="16"/>
  <c r="N62" i="16"/>
  <c r="O40" i="17"/>
  <c r="N72" i="18"/>
  <c r="T35" i="16"/>
  <c r="T56" i="18"/>
  <c r="T35" i="18"/>
  <c r="O35" i="17"/>
  <c r="T74" i="18"/>
  <c r="O37" i="18"/>
  <c r="T72" i="18"/>
  <c r="N37" i="17"/>
  <c r="N43" i="17"/>
  <c r="T42" i="16"/>
  <c r="O11" i="17"/>
  <c r="N36" i="16"/>
  <c r="O56" i="15"/>
  <c r="N32" i="16"/>
  <c r="T48" i="18"/>
  <c r="S72" i="18"/>
  <c r="O51" i="15"/>
  <c r="P33" i="14"/>
  <c r="O41" i="17"/>
  <c r="N26" i="17"/>
  <c r="O27" i="17"/>
  <c r="O71" i="15"/>
  <c r="S30" i="17"/>
  <c r="S50" i="18"/>
  <c r="O73" i="18"/>
  <c r="N63" i="16"/>
  <c r="N38" i="16"/>
  <c r="T40" i="16"/>
  <c r="N33" i="16"/>
  <c r="S37" i="16"/>
  <c r="P43" i="14"/>
  <c r="N53" i="16"/>
  <c r="S78" i="15"/>
  <c r="N43" i="16"/>
  <c r="N39" i="18"/>
  <c r="T56" i="15"/>
  <c r="T27" i="17"/>
  <c r="K43" i="14"/>
  <c r="O60" i="16"/>
  <c r="N36" i="17"/>
  <c r="S42" i="18"/>
  <c r="O63" i="16"/>
  <c r="S51" i="18"/>
  <c r="O19" i="17"/>
  <c r="N52" i="15"/>
  <c r="J54" i="14"/>
  <c r="N78" i="15"/>
  <c r="O39" i="18"/>
  <c r="S45" i="16"/>
  <c r="T55" i="18"/>
  <c r="N23" i="17"/>
  <c r="T37" i="17"/>
  <c r="T24" i="17"/>
  <c r="S14" i="17"/>
  <c r="O10" i="17"/>
  <c r="N14" i="17"/>
  <c r="F52" i="14"/>
  <c r="F28" i="14"/>
  <c r="T63" i="16"/>
  <c r="S54" i="15"/>
  <c r="S81" i="15"/>
  <c r="O44" i="18"/>
  <c r="K54" i="14"/>
  <c r="O40" i="18"/>
  <c r="S78" i="18"/>
  <c r="T67" i="18"/>
  <c r="O38" i="18"/>
  <c r="S42" i="17"/>
  <c r="F54" i="14"/>
  <c r="O51" i="17"/>
  <c r="T15" i="17"/>
  <c r="O46" i="17"/>
  <c r="T78" i="15"/>
  <c r="O36" i="16"/>
  <c r="O52" i="15"/>
  <c r="O54" i="15"/>
  <c r="O58" i="16"/>
  <c r="T18" i="17"/>
  <c r="N37" i="16"/>
  <c r="O56" i="18"/>
  <c r="T61" i="15"/>
  <c r="S32" i="16"/>
  <c r="S53" i="18"/>
  <c r="N17" i="17"/>
  <c r="O41" i="14"/>
  <c r="T53" i="15"/>
  <c r="N44" i="18"/>
  <c r="T53" i="18"/>
  <c r="S32" i="17"/>
  <c r="N32" i="18"/>
  <c r="T16" i="17"/>
  <c r="T51" i="15"/>
  <c r="T36" i="18"/>
  <c r="O53" i="15"/>
  <c r="O62" i="16"/>
  <c r="O76" i="18"/>
  <c r="N35" i="18"/>
  <c r="N37" i="18"/>
  <c r="O37" i="16"/>
  <c r="T38" i="18"/>
  <c r="N73" i="18"/>
  <c r="N41" i="17"/>
  <c r="T55" i="17"/>
  <c r="S55" i="18"/>
  <c r="N39" i="16"/>
  <c r="F51" i="14"/>
  <c r="F53" i="14"/>
  <c r="T58" i="15"/>
  <c r="O43" i="14"/>
  <c r="O78" i="15"/>
  <c r="S45" i="17"/>
  <c r="T46" i="18"/>
  <c r="N27" i="17"/>
  <c r="S80" i="15"/>
  <c r="T36" i="16"/>
  <c r="N58" i="16"/>
  <c r="O49" i="18"/>
  <c r="O35" i="18"/>
  <c r="S53" i="16"/>
  <c r="N48" i="18"/>
  <c r="T39" i="17"/>
  <c r="T14" i="17"/>
  <c r="T32" i="18"/>
  <c r="N51" i="18"/>
  <c r="N51" i="17"/>
  <c r="N55" i="16"/>
  <c r="S36" i="16"/>
  <c r="O37" i="14"/>
  <c r="S18" i="17"/>
  <c r="O42" i="16"/>
  <c r="T60" i="16"/>
  <c r="F61" i="14"/>
  <c r="N67" i="18"/>
  <c r="S32" i="18"/>
  <c r="O42" i="18"/>
  <c r="N35" i="17"/>
  <c r="S36" i="18"/>
  <c r="N61" i="16"/>
  <c r="S39" i="17"/>
  <c r="S34" i="17"/>
  <c r="S37" i="18"/>
  <c r="N52" i="18"/>
  <c r="T78" i="18"/>
  <c r="O18" i="17"/>
  <c r="O26" i="17"/>
  <c r="S39" i="16"/>
  <c r="N34" i="17"/>
  <c r="P42" i="14"/>
  <c r="N64" i="16"/>
  <c r="S35" i="18"/>
  <c r="P54" i="14"/>
  <c r="O9" i="17"/>
  <c r="T33" i="16"/>
  <c r="O16" i="17"/>
  <c r="T19" i="17"/>
  <c r="N18" i="17"/>
  <c r="O39" i="17"/>
  <c r="T49" i="15"/>
  <c r="S37" i="17"/>
  <c r="O24" i="17"/>
  <c r="T53" i="16"/>
  <c r="F46" i="14"/>
  <c r="O57" i="18"/>
  <c r="T73" i="18"/>
  <c r="S67" i="18"/>
  <c r="S26" i="17"/>
  <c r="O46" i="18"/>
  <c r="S15" i="17"/>
  <c r="N19" i="17"/>
  <c r="S53" i="17"/>
  <c r="N48" i="16"/>
  <c r="O50" i="17"/>
  <c r="T33" i="17"/>
  <c r="N53" i="18"/>
  <c r="N40" i="16"/>
  <c r="S27" i="17"/>
  <c r="S51" i="15"/>
  <c r="O66" i="15"/>
  <c r="O43" i="16"/>
  <c r="T62" i="16"/>
  <c r="W3" i="16" a="1"/>
  <c r="K37" i="14"/>
  <c r="O54" i="17"/>
  <c r="N45" i="17"/>
  <c r="N71" i="15"/>
  <c r="O50" i="18"/>
  <c r="T37" i="16"/>
  <c r="O22" i="17"/>
  <c r="T34" i="18"/>
  <c r="O55" i="16"/>
  <c r="O43" i="17"/>
  <c r="N54" i="17"/>
  <c r="N41" i="16"/>
  <c r="S58" i="15"/>
  <c r="T49" i="18"/>
  <c r="O51" i="18"/>
  <c r="N46" i="18"/>
  <c r="O13" i="17"/>
  <c r="N40" i="17"/>
  <c r="T80" i="15"/>
  <c r="S40" i="17"/>
  <c r="O38" i="17"/>
  <c r="N47" i="18"/>
  <c r="K42" i="14"/>
  <c r="O58" i="15"/>
  <c r="O54" i="18"/>
  <c r="O50" i="15"/>
  <c r="T62" i="18"/>
  <c r="N50" i="18"/>
  <c r="T47" i="18"/>
  <c r="N9" i="17"/>
  <c r="S57" i="18"/>
  <c r="T34" i="16"/>
  <c r="S40" i="18"/>
  <c r="T40" i="17"/>
  <c r="F59" i="14"/>
  <c r="O42" i="14"/>
  <c r="S56" i="15"/>
  <c r="O53" i="17"/>
  <c r="O25" i="17"/>
  <c r="T42" i="17"/>
  <c r="S41" i="16"/>
  <c r="S38" i="16"/>
  <c r="S45" i="18"/>
  <c r="T39" i="18"/>
  <c r="T54" i="18"/>
  <c r="T31" i="17"/>
  <c r="O34" i="18"/>
  <c r="S65" i="16"/>
  <c r="T76" i="18"/>
  <c r="S55" i="16"/>
  <c r="N16" i="17"/>
  <c r="T12" i="17"/>
  <c r="N32" i="17"/>
  <c r="O64" i="16"/>
  <c r="T51" i="18"/>
  <c r="T50" i="15"/>
  <c r="F48" i="14"/>
  <c r="T81" i="15"/>
  <c r="O48" i="18"/>
  <c r="O30" i="17"/>
  <c r="S19" i="17"/>
  <c r="O15" i="17"/>
  <c r="T55" i="16"/>
  <c r="N42" i="18"/>
  <c r="S33" i="18"/>
  <c r="S48" i="18"/>
  <c r="J37" i="14"/>
  <c r="O35" i="16"/>
  <c r="S24" i="17"/>
  <c r="T40" i="18"/>
  <c r="T29" i="17"/>
  <c r="T9" i="17"/>
  <c r="T51" i="17"/>
  <c r="S49" i="18"/>
  <c r="T64" i="16"/>
  <c r="S38" i="18"/>
  <c r="S40" i="16"/>
  <c r="S34" i="18"/>
  <c r="S52" i="15"/>
  <c r="O48" i="16"/>
  <c r="N60" i="16"/>
  <c r="N38" i="18"/>
  <c r="S28" i="17"/>
  <c r="T26" i="17"/>
  <c r="N80" i="15"/>
  <c r="N42" i="16"/>
  <c r="N33" i="17"/>
  <c r="F50" i="14"/>
  <c r="N31" i="17"/>
  <c r="O32" i="17"/>
  <c r="T66" i="15"/>
  <c r="S42" i="16"/>
  <c r="S58" i="16"/>
  <c r="O36" i="17"/>
  <c r="S34" i="16"/>
  <c r="T45" i="17"/>
  <c r="T25" i="17"/>
  <c r="T32" i="17"/>
  <c r="N58" i="15"/>
  <c r="N57" i="18"/>
  <c r="T46" i="17"/>
  <c r="T43" i="16"/>
  <c r="S29" i="17"/>
  <c r="T41" i="17"/>
  <c r="T50" i="16"/>
  <c r="T39" i="16"/>
  <c r="O33" i="14"/>
  <c r="S12" i="17"/>
  <c r="O62" i="18"/>
  <c r="T66" i="16"/>
  <c r="S66" i="15"/>
  <c r="O54" i="14"/>
  <c r="S50" i="17"/>
  <c r="O80" i="15"/>
  <c r="F42" i="14"/>
  <c r="N30" i="17"/>
  <c r="N66" i="15"/>
  <c r="N35" i="16"/>
  <c r="S49" i="15"/>
  <c r="S51" i="17"/>
  <c r="F47" i="14"/>
  <c r="T43" i="17"/>
  <c r="T38" i="17"/>
  <c r="O12" i="17"/>
  <c r="S55" i="17"/>
  <c r="N61" i="15"/>
  <c r="N29" i="17"/>
  <c r="S56" i="18"/>
  <c r="P37" i="14"/>
  <c r="O76" i="15"/>
  <c r="S61" i="16"/>
  <c r="T71" i="15"/>
  <c r="S54" i="18"/>
  <c r="S46" i="17"/>
  <c r="O74" i="18"/>
  <c r="N11" i="17"/>
  <c r="K33" i="14"/>
  <c r="T45" i="18"/>
  <c r="T48" i="16"/>
  <c r="O40" i="16"/>
  <c r="S50" i="16"/>
  <c r="T44" i="18"/>
  <c r="N49" i="15"/>
  <c r="S38" i="17"/>
  <c r="S13" i="17"/>
  <c r="N24" i="17"/>
  <c r="O33" i="17"/>
  <c r="S43" i="16"/>
  <c r="T54" i="15"/>
  <c r="N12" i="17"/>
  <c r="S53" i="15"/>
  <c r="S11" i="17"/>
  <c r="N76" i="15"/>
  <c r="N62" i="18"/>
  <c r="S50" i="15"/>
  <c r="S76" i="15"/>
  <c r="N45" i="18"/>
  <c r="T35" i="17"/>
  <c r="S10" i="17"/>
  <c r="O39" i="16"/>
  <c r="O72" i="18"/>
  <c r="S35" i="16"/>
  <c r="S74" i="18"/>
  <c r="O55" i="17"/>
  <c r="O33" i="16"/>
  <c r="N49" i="18"/>
  <c r="N55" i="15"/>
  <c r="T52" i="15"/>
  <c r="T30" i="17"/>
  <c r="O31" i="17"/>
  <c r="S66" i="16"/>
  <c r="N53" i="17"/>
  <c r="S71" i="15"/>
  <c r="T55" i="15"/>
  <c r="O61" i="15"/>
  <c r="N56" i="18"/>
  <c r="N42" i="17"/>
  <c r="O32" i="18"/>
  <c r="S52" i="18"/>
  <c r="S44" i="18"/>
  <c r="T32" i="16"/>
  <c r="F31" i="14"/>
  <c r="O49" i="15"/>
  <c r="T22" i="17"/>
  <c r="O52" i="18"/>
  <c r="O33" i="18"/>
  <c r="S33" i="17"/>
  <c r="P41" i="14"/>
  <c r="S41" i="17"/>
  <c r="O36" i="18"/>
  <c r="O17" i="17"/>
  <c r="S62" i="18"/>
  <c r="N10" i="17"/>
  <c r="F25" i="14"/>
  <c r="T37" i="18"/>
  <c r="O55" i="18"/>
  <c r="T52" i="18"/>
  <c r="O55" i="15"/>
  <c r="O29" i="17"/>
  <c r="S61" i="15"/>
  <c r="O53" i="18"/>
  <c r="J42" i="14"/>
  <c r="F57" i="14"/>
  <c r="N25" i="17"/>
  <c r="N40" i="18"/>
  <c r="O67" i="18"/>
  <c r="T76" i="15"/>
  <c r="N38" i="17"/>
  <c r="O41" i="16"/>
  <c r="O53" i="16"/>
  <c r="O34" i="17"/>
  <c r="T33" i="18"/>
  <c r="O32" i="16"/>
  <c r="J33" i="14"/>
  <c r="I3" i="1"/>
  <c r="N50" i="16"/>
  <c r="N28" i="17"/>
  <c r="N39" i="17"/>
  <c r="F38" i="14"/>
  <c r="O45" i="16"/>
  <c r="N55" i="17"/>
  <c r="T36" i="17"/>
  <c r="S25" i="17"/>
  <c r="O34" i="16"/>
  <c r="O37" i="17"/>
  <c r="N50" i="17"/>
  <c r="O78" i="18"/>
  <c r="N56" i="15"/>
  <c r="S9" i="17"/>
  <c r="N65" i="16"/>
  <c r="N66" i="16"/>
  <c r="O45" i="18"/>
  <c r="T10" i="17"/>
  <c r="N13" i="17"/>
  <c r="S22" i="17"/>
  <c r="S55" i="15"/>
  <c r="W3" i="18" a="1"/>
  <c r="T13" i="17"/>
  <c r="T58" i="16"/>
  <c r="S73" i="18"/>
  <c r="S63" i="16"/>
  <c r="N54" i="15"/>
  <c r="N76" i="18"/>
  <c r="T50" i="18"/>
  <c r="O65" i="16"/>
  <c r="N81" i="15"/>
  <c r="J41" i="14"/>
  <c r="S60" i="16"/>
  <c r="O47" i="18"/>
  <c r="N22" i="17"/>
  <c r="W34" i="18" l="1"/>
  <c r="W9" i="18"/>
  <c r="W31" i="18"/>
  <c r="W54" i="18"/>
  <c r="W77" i="18"/>
  <c r="W74" i="18"/>
  <c r="W71" i="18"/>
  <c r="W21" i="18"/>
  <c r="W48" i="18"/>
  <c r="W56" i="18"/>
  <c r="W19" i="18"/>
  <c r="W73" i="18"/>
  <c r="W24" i="18"/>
  <c r="W39" i="18"/>
  <c r="W62" i="18"/>
  <c r="W44" i="18"/>
  <c r="W41" i="18"/>
  <c r="W70" i="18"/>
  <c r="W65" i="18"/>
  <c r="W26" i="18"/>
  <c r="W4" i="18"/>
  <c r="W42" i="18"/>
  <c r="W17" i="18"/>
  <c r="W32" i="18"/>
  <c r="W47" i="18"/>
  <c r="W14" i="18"/>
  <c r="W11" i="18"/>
  <c r="W40" i="18"/>
  <c r="W18" i="18"/>
  <c r="W45" i="18"/>
  <c r="W68" i="18"/>
  <c r="W27" i="18"/>
  <c r="W50" i="18"/>
  <c r="W25" i="18"/>
  <c r="W66" i="18"/>
  <c r="W63" i="18"/>
  <c r="W60" i="18"/>
  <c r="W57" i="18"/>
  <c r="W37" i="18"/>
  <c r="W64" i="18"/>
  <c r="W53" i="18"/>
  <c r="W12" i="18"/>
  <c r="W35" i="18"/>
  <c r="W58" i="18"/>
  <c r="W36" i="18"/>
  <c r="W33" i="18"/>
  <c r="W30" i="18"/>
  <c r="W10" i="18"/>
  <c r="W7" i="18"/>
  <c r="W38" i="18"/>
  <c r="W69" i="18"/>
  <c r="W52" i="18"/>
  <c r="W75" i="18"/>
  <c r="W20" i="18"/>
  <c r="W23" i="18"/>
  <c r="W43" i="18"/>
  <c r="W22" i="18"/>
  <c r="W15" i="18"/>
  <c r="W59" i="18"/>
  <c r="W29" i="18"/>
  <c r="W16" i="18"/>
  <c r="W28" i="18"/>
  <c r="W8" i="18"/>
  <c r="W67" i="18"/>
  <c r="W72" i="18"/>
  <c r="W76" i="18"/>
  <c r="W13" i="18"/>
  <c r="W49" i="18"/>
  <c r="W46" i="18"/>
  <c r="W61" i="18"/>
  <c r="W6" i="18"/>
  <c r="W51" i="18"/>
  <c r="W55" i="18"/>
  <c r="W5" i="18"/>
  <c r="W3" i="18"/>
  <c r="W78" i="18"/>
  <c r="W62" i="16"/>
  <c r="W6" i="16"/>
  <c r="W14" i="16"/>
  <c r="W22" i="16"/>
  <c r="W30" i="16"/>
  <c r="W54" i="16"/>
  <c r="W50" i="16"/>
  <c r="W48" i="16"/>
  <c r="W63" i="16"/>
  <c r="W7" i="16"/>
  <c r="W15" i="16"/>
  <c r="W23" i="16"/>
  <c r="W31" i="16"/>
  <c r="W49" i="16"/>
  <c r="W37" i="16"/>
  <c r="W38" i="16"/>
  <c r="W64" i="16"/>
  <c r="W8" i="16"/>
  <c r="W16" i="16"/>
  <c r="W24" i="16"/>
  <c r="W32" i="16"/>
  <c r="W44" i="16"/>
  <c r="W55" i="16"/>
  <c r="W43" i="16"/>
  <c r="W65" i="16"/>
  <c r="W9" i="16"/>
  <c r="W17" i="16"/>
  <c r="W25" i="16"/>
  <c r="W33" i="16"/>
  <c r="W39" i="16"/>
  <c r="W58" i="16"/>
  <c r="W56" i="16"/>
  <c r="W66" i="16"/>
  <c r="W10" i="16"/>
  <c r="W18" i="16"/>
  <c r="W26" i="16"/>
  <c r="W34" i="16"/>
  <c r="W51" i="16"/>
  <c r="W57" i="16"/>
  <c r="W45" i="16"/>
  <c r="W5" i="16"/>
  <c r="W28" i="16"/>
  <c r="W40" i="16"/>
  <c r="W11" i="16"/>
  <c r="W29" i="16"/>
  <c r="W35" i="16"/>
  <c r="W60" i="16"/>
  <c r="W21" i="16"/>
  <c r="W52" i="16"/>
  <c r="W12" i="16"/>
  <c r="W46" i="16"/>
  <c r="W53" i="16"/>
  <c r="W19" i="16"/>
  <c r="W3" i="16"/>
  <c r="W59" i="16"/>
  <c r="W13" i="16"/>
  <c r="W41" i="16"/>
  <c r="W61" i="16"/>
  <c r="W20" i="16"/>
  <c r="W42" i="16"/>
  <c r="W36" i="16"/>
  <c r="W4" i="16"/>
  <c r="W27" i="16"/>
  <c r="W47" i="16"/>
  <c r="I48" i="14"/>
  <c r="I23" i="14"/>
  <c r="I51" i="14"/>
  <c r="I44" i="14"/>
  <c r="I29" i="14"/>
  <c r="I40" i="14"/>
  <c r="I55" i="14"/>
  <c r="I50" i="14"/>
  <c r="I46" i="14"/>
  <c r="I49" i="14"/>
  <c r="I52" i="14"/>
  <c r="I26" i="14"/>
  <c r="I36" i="14"/>
  <c r="I47" i="14"/>
  <c r="I53" i="14"/>
  <c r="I59" i="14"/>
  <c r="I57" i="14"/>
  <c r="I32" i="14"/>
  <c r="I45" i="14"/>
  <c r="C11" i="14"/>
  <c r="C14" i="14"/>
  <c r="C16" i="14"/>
  <c r="C13" i="14"/>
  <c r="C21" i="14"/>
  <c r="C12" i="14"/>
  <c r="C17" i="14"/>
  <c r="C15" i="14"/>
  <c r="C18" i="14"/>
  <c r="C20" i="14"/>
  <c r="C10" i="14"/>
  <c r="C8" i="14"/>
  <c r="C22" i="14"/>
  <c r="C19" i="14"/>
  <c r="C9" i="14"/>
  <c r="P54" i="17"/>
  <c r="P53" i="17"/>
  <c r="I9" i="1"/>
  <c r="P18" i="17"/>
  <c r="P78" i="15"/>
  <c r="P80" i="15"/>
  <c r="I10" i="1" l="1"/>
  <c r="M82" i="15"/>
  <c r="O49" i="14"/>
  <c r="Z43" i="16"/>
  <c r="Y6" i="18"/>
  <c r="AA10" i="18"/>
  <c r="Y26" i="18"/>
  <c r="D44" i="1"/>
  <c r="X20" i="16"/>
  <c r="Y38" i="16"/>
  <c r="Z8" i="16"/>
  <c r="Z66" i="18"/>
  <c r="X42" i="18"/>
  <c r="AA50" i="18"/>
  <c r="C52" i="1"/>
  <c r="Z74" i="18"/>
  <c r="P50" i="14"/>
  <c r="Y3" i="18"/>
  <c r="O40" i="14"/>
  <c r="Z26" i="18"/>
  <c r="AB65" i="18"/>
  <c r="AB28" i="16"/>
  <c r="AA75" i="18"/>
  <c r="Z54" i="18"/>
  <c r="X51" i="16"/>
  <c r="Z58" i="18"/>
  <c r="AB40" i="18"/>
  <c r="AA25" i="18"/>
  <c r="AA27" i="16"/>
  <c r="X52" i="16"/>
  <c r="X63" i="18"/>
  <c r="AA27" i="18"/>
  <c r="AB55" i="18"/>
  <c r="Y7" i="18"/>
  <c r="X69" i="18"/>
  <c r="AA9" i="18"/>
  <c r="AA7" i="16"/>
  <c r="AB54" i="16"/>
  <c r="AB12" i="18"/>
  <c r="Y21" i="16"/>
  <c r="AA32" i="18"/>
  <c r="AB38" i="16"/>
  <c r="Y33" i="16"/>
  <c r="AB24" i="18"/>
  <c r="AA53" i="16"/>
  <c r="Y43" i="16"/>
  <c r="X12" i="16"/>
  <c r="AA18" i="18"/>
  <c r="Y55" i="16"/>
  <c r="Z34" i="18"/>
  <c r="Z55" i="16"/>
  <c r="K59" i="14"/>
  <c r="P26" i="14"/>
  <c r="Y34" i="18"/>
  <c r="AB22" i="18"/>
  <c r="AB69" i="18"/>
  <c r="X7" i="16"/>
  <c r="AB5" i="18"/>
  <c r="Z8" i="18"/>
  <c r="F14" i="14"/>
  <c r="AA4" i="18"/>
  <c r="X48" i="16"/>
  <c r="Y20" i="16"/>
  <c r="X36" i="16"/>
  <c r="X71" i="18"/>
  <c r="AA34" i="18"/>
  <c r="AB28" i="18"/>
  <c r="X77" i="18"/>
  <c r="Z58" i="16"/>
  <c r="J45" i="14"/>
  <c r="X29" i="16"/>
  <c r="AA55" i="18"/>
  <c r="AA41" i="18"/>
  <c r="AB52" i="18"/>
  <c r="Z45" i="18"/>
  <c r="X5" i="16"/>
  <c r="AB32" i="18"/>
  <c r="Y45" i="16"/>
  <c r="AB58" i="16"/>
  <c r="Y16" i="16"/>
  <c r="AA12" i="16"/>
  <c r="Z37" i="16"/>
  <c r="X62" i="16"/>
  <c r="Y14" i="18"/>
  <c r="Z7" i="16"/>
  <c r="AA21" i="16"/>
  <c r="J50" i="14"/>
  <c r="AA65" i="18"/>
  <c r="F9" i="14"/>
  <c r="AB8" i="16"/>
  <c r="J3" i="14"/>
  <c r="Z65" i="18"/>
  <c r="AB12" i="16"/>
  <c r="Y64" i="16"/>
  <c r="Y25" i="16"/>
  <c r="Y32" i="18"/>
  <c r="J44" i="14"/>
  <c r="AA28" i="18"/>
  <c r="Y72" i="18"/>
  <c r="Y40" i="16"/>
  <c r="Y28" i="18"/>
  <c r="AA14" i="18"/>
  <c r="D45" i="1"/>
  <c r="AB48" i="16"/>
  <c r="AB39" i="18"/>
  <c r="AB19" i="16"/>
  <c r="AB27" i="18"/>
  <c r="AA54" i="16"/>
  <c r="Y26" i="16"/>
  <c r="AB4" i="16"/>
  <c r="AA29" i="16"/>
  <c r="AA70" i="18"/>
  <c r="Z5" i="18"/>
  <c r="Y11" i="16"/>
  <c r="AA17" i="16"/>
  <c r="X6" i="18"/>
  <c r="AA51" i="18"/>
  <c r="Y7" i="16"/>
  <c r="Y59" i="18"/>
  <c r="C53" i="1"/>
  <c r="Y4" i="18"/>
  <c r="AB34" i="16"/>
  <c r="AB37" i="18"/>
  <c r="Z49" i="16"/>
  <c r="AB74" i="18"/>
  <c r="X60" i="18"/>
  <c r="P45" i="14"/>
  <c r="AB49" i="18"/>
  <c r="AB41" i="18"/>
  <c r="Y51" i="18"/>
  <c r="AA6" i="18"/>
  <c r="Y13" i="18"/>
  <c r="F11" i="14"/>
  <c r="AB40" i="16"/>
  <c r="Y33" i="18"/>
  <c r="Y30" i="18"/>
  <c r="X19" i="18"/>
  <c r="X24" i="16"/>
  <c r="K52" i="14"/>
  <c r="X3" i="16"/>
  <c r="X59" i="16"/>
  <c r="P29" i="14"/>
  <c r="Z31" i="18"/>
  <c r="AB77" i="18"/>
  <c r="AB57" i="18"/>
  <c r="Z47" i="18"/>
  <c r="X31" i="18"/>
  <c r="AB20" i="18"/>
  <c r="Y61" i="16"/>
  <c r="X13" i="16"/>
  <c r="X7" i="18"/>
  <c r="X4" i="18"/>
  <c r="AB16" i="18"/>
  <c r="AB54" i="18"/>
  <c r="K5" i="14"/>
  <c r="Z62" i="16"/>
  <c r="Z39" i="16"/>
  <c r="X74" i="18"/>
  <c r="P49" i="14"/>
  <c r="X39" i="16"/>
  <c r="X17" i="16"/>
  <c r="O57" i="14"/>
  <c r="Y67" i="18"/>
  <c r="Z53" i="18"/>
  <c r="Z9" i="18"/>
  <c r="Z12" i="16"/>
  <c r="AA12" i="18"/>
  <c r="Z54" i="16"/>
  <c r="AA37" i="18"/>
  <c r="P55" i="14"/>
  <c r="Z31" i="16"/>
  <c r="AC2" i="18" a="1"/>
  <c r="X12" i="18"/>
  <c r="Y6" i="16"/>
  <c r="X19" i="16"/>
  <c r="AA19" i="16"/>
  <c r="AB27" i="16"/>
  <c r="AA40" i="18"/>
  <c r="O45" i="14"/>
  <c r="Y62" i="16"/>
  <c r="AA58" i="18"/>
  <c r="AB15" i="16"/>
  <c r="O59" i="14"/>
  <c r="Y63" i="16"/>
  <c r="AA32" i="16"/>
  <c r="AA22" i="18"/>
  <c r="X60" i="16"/>
  <c r="X50" i="16"/>
  <c r="Y54" i="18"/>
  <c r="X25" i="16"/>
  <c r="X29" i="18"/>
  <c r="AB44" i="18"/>
  <c r="AB36" i="18"/>
  <c r="P52" i="14"/>
  <c r="X49" i="18"/>
  <c r="K4" i="14"/>
  <c r="X33" i="18"/>
  <c r="X67" i="18"/>
  <c r="AB11" i="18"/>
  <c r="AA51" i="16"/>
  <c r="Y39" i="16"/>
  <c r="Y17" i="16"/>
  <c r="Y46" i="18"/>
  <c r="Y54" i="16"/>
  <c r="AA13" i="16"/>
  <c r="AB23" i="16"/>
  <c r="AB64" i="18"/>
  <c r="F17" i="14"/>
  <c r="F10" i="14"/>
  <c r="X39" i="18"/>
  <c r="AB62" i="18"/>
  <c r="O50" i="14"/>
  <c r="AB22" i="16"/>
  <c r="Z15" i="18"/>
  <c r="X38" i="18"/>
  <c r="AA66" i="18"/>
  <c r="AB46" i="18"/>
  <c r="AB33" i="16"/>
  <c r="X55" i="18"/>
  <c r="AB53" i="18"/>
  <c r="X38" i="16"/>
  <c r="P44" i="14"/>
  <c r="Y44" i="16"/>
  <c r="X73" i="18"/>
  <c r="Z6" i="16"/>
  <c r="AA23" i="18"/>
  <c r="X50" i="18"/>
  <c r="AB9" i="16"/>
  <c r="Z13" i="18"/>
  <c r="AB50" i="18"/>
  <c r="Y43" i="18"/>
  <c r="AB6" i="16"/>
  <c r="AA52" i="16"/>
  <c r="X48" i="18"/>
  <c r="AB11" i="16"/>
  <c r="AB67" i="18"/>
  <c r="AB68" i="18"/>
  <c r="X25" i="18"/>
  <c r="Z63" i="16"/>
  <c r="Y60" i="16"/>
  <c r="AA42" i="18"/>
  <c r="Z13" i="16"/>
  <c r="AA3" i="16"/>
  <c r="P57" i="14"/>
  <c r="X54" i="18"/>
  <c r="J51" i="14"/>
  <c r="X30" i="16"/>
  <c r="Y16" i="18"/>
  <c r="O32" i="14"/>
  <c r="O46" i="14"/>
  <c r="AB43" i="16"/>
  <c r="AB63" i="18"/>
  <c r="X47" i="18"/>
  <c r="K26" i="14"/>
  <c r="AB51" i="18"/>
  <c r="AB42" i="16"/>
  <c r="AA59" i="18"/>
  <c r="Z24" i="18"/>
  <c r="P36" i="14"/>
  <c r="AB61" i="16"/>
  <c r="AA9" i="16"/>
  <c r="Y42" i="18"/>
  <c r="AB37" i="16"/>
  <c r="AB26" i="16"/>
  <c r="X56" i="16"/>
  <c r="AA77" i="18"/>
  <c r="AB30" i="18"/>
  <c r="X24" i="18"/>
  <c r="Y48" i="16"/>
  <c r="AA29" i="18"/>
  <c r="X32" i="18"/>
  <c r="Z29" i="18"/>
  <c r="Y15" i="18"/>
  <c r="AA43" i="18"/>
  <c r="K44" i="14"/>
  <c r="X36" i="18"/>
  <c r="Z22" i="18"/>
  <c r="I4" i="1"/>
  <c r="Z48" i="18"/>
  <c r="K55" i="14"/>
  <c r="Z6" i="18"/>
  <c r="AA4" i="16"/>
  <c r="AA56" i="16"/>
  <c r="AA64" i="18"/>
  <c r="J59" i="14"/>
  <c r="Z35" i="16"/>
  <c r="AA26" i="18"/>
  <c r="X5" i="18"/>
  <c r="F16" i="14"/>
  <c r="AB26" i="18"/>
  <c r="AB44" i="16"/>
  <c r="J46" i="14"/>
  <c r="AB50" i="16"/>
  <c r="Y31" i="18"/>
  <c r="AA49" i="18"/>
  <c r="Z43" i="18"/>
  <c r="Y58" i="16"/>
  <c r="Y63" i="18"/>
  <c r="Y8" i="18"/>
  <c r="Z17" i="16"/>
  <c r="P32" i="14"/>
  <c r="X37" i="18"/>
  <c r="AB66" i="16"/>
  <c r="Z4" i="18"/>
  <c r="K40" i="14"/>
  <c r="AB25" i="18"/>
  <c r="Z25" i="18"/>
  <c r="Z41" i="16"/>
  <c r="Z63" i="18"/>
  <c r="X64" i="16"/>
  <c r="AB13" i="18"/>
  <c r="Y19" i="18"/>
  <c r="Y71" i="18"/>
  <c r="AA30" i="18"/>
  <c r="Z11" i="16"/>
  <c r="AA38" i="18"/>
  <c r="AB29" i="18"/>
  <c r="AB14" i="16"/>
  <c r="X72" i="18"/>
  <c r="Z51" i="16"/>
  <c r="AB52" i="16"/>
  <c r="AB6" i="18"/>
  <c r="AB33" i="18"/>
  <c r="Z29" i="16"/>
  <c r="Z47" i="16"/>
  <c r="AB31" i="18"/>
  <c r="J55" i="14"/>
  <c r="X56" i="18"/>
  <c r="Z32" i="18"/>
  <c r="X40" i="16"/>
  <c r="Y76" i="18"/>
  <c r="O5" i="14"/>
  <c r="AB58" i="18"/>
  <c r="X18" i="16"/>
  <c r="X61" i="16"/>
  <c r="J53" i="14"/>
  <c r="AA18" i="16"/>
  <c r="X46" i="18"/>
  <c r="Z36" i="18"/>
  <c r="AB45" i="18"/>
  <c r="Z45" i="16"/>
  <c r="Z5" i="16"/>
  <c r="Z44" i="16"/>
  <c r="O44" i="14"/>
  <c r="Y55" i="18"/>
  <c r="AB17" i="16"/>
  <c r="AA45" i="16"/>
  <c r="AA7" i="18"/>
  <c r="AA65" i="16"/>
  <c r="J47" i="14"/>
  <c r="Z21" i="16"/>
  <c r="Z38" i="18"/>
  <c r="X52" i="18"/>
  <c r="Z52" i="16"/>
  <c r="O4" i="14"/>
  <c r="Y27" i="16"/>
  <c r="X76" i="18"/>
  <c r="Z69" i="18"/>
  <c r="AB62" i="16"/>
  <c r="P3" i="14"/>
  <c r="Y69" i="18"/>
  <c r="Y77" i="18"/>
  <c r="AA61" i="18"/>
  <c r="AA62" i="18"/>
  <c r="X11" i="18"/>
  <c r="Y17" i="18"/>
  <c r="Y56" i="18"/>
  <c r="Z7" i="18"/>
  <c r="X9" i="18"/>
  <c r="AA57" i="16"/>
  <c r="AB64" i="16"/>
  <c r="Y24" i="18"/>
  <c r="F13" i="14"/>
  <c r="Z44" i="18"/>
  <c r="Y3" i="16"/>
  <c r="X58" i="18"/>
  <c r="AB20" i="16"/>
  <c r="X16" i="18"/>
  <c r="Z28" i="18"/>
  <c r="AA67" i="18"/>
  <c r="Z72" i="18"/>
  <c r="O47" i="14"/>
  <c r="Y61" i="18"/>
  <c r="Y62" i="18"/>
  <c r="X46" i="16"/>
  <c r="Y47" i="16"/>
  <c r="Y39" i="18"/>
  <c r="X41" i="18"/>
  <c r="AA24" i="16"/>
  <c r="K47" i="14"/>
  <c r="Y21" i="18"/>
  <c r="AA58" i="16"/>
  <c r="AA49" i="16"/>
  <c r="Y45" i="18"/>
  <c r="K53" i="14"/>
  <c r="X9" i="16"/>
  <c r="AA66" i="16"/>
  <c r="AA44" i="16"/>
  <c r="X47" i="16"/>
  <c r="AA39" i="16"/>
  <c r="X45" i="18"/>
  <c r="Y37" i="16"/>
  <c r="Z27" i="16"/>
  <c r="Z15" i="16"/>
  <c r="Y12" i="16"/>
  <c r="Z61" i="16"/>
  <c r="O36" i="14"/>
  <c r="Z48" i="16"/>
  <c r="AA3" i="18"/>
  <c r="Z3" i="18"/>
  <c r="O26" i="14"/>
  <c r="Z25" i="16"/>
  <c r="AB73" i="18"/>
  <c r="P48" i="14"/>
  <c r="Y12" i="18"/>
  <c r="Y10" i="16"/>
  <c r="Z32" i="16"/>
  <c r="J23" i="14"/>
  <c r="AB18" i="16"/>
  <c r="X23" i="16"/>
  <c r="Y58" i="18"/>
  <c r="AB76" i="18"/>
  <c r="Y78" i="18"/>
  <c r="X44" i="16"/>
  <c r="AA36" i="18"/>
  <c r="AB59" i="16"/>
  <c r="K45" i="14"/>
  <c r="Y9" i="16"/>
  <c r="AB32" i="16"/>
  <c r="X17" i="18"/>
  <c r="AA16" i="16"/>
  <c r="O82" i="15"/>
  <c r="Z18" i="18"/>
  <c r="AA31" i="16"/>
  <c r="AB23" i="18"/>
  <c r="J49" i="14"/>
  <c r="AB9" i="18"/>
  <c r="AB59" i="18"/>
  <c r="Y50" i="16"/>
  <c r="AA15" i="16"/>
  <c r="Z52" i="18"/>
  <c r="Y59" i="16"/>
  <c r="K23" i="14"/>
  <c r="X45" i="16"/>
  <c r="Y47" i="18"/>
  <c r="X8" i="16"/>
  <c r="AA24" i="18"/>
  <c r="AA48" i="18"/>
  <c r="AA60" i="16"/>
  <c r="AA26" i="16"/>
  <c r="Z27" i="18"/>
  <c r="AB41" i="16"/>
  <c r="X41" i="16"/>
  <c r="AB72" i="18"/>
  <c r="X15" i="16"/>
  <c r="Z10" i="16"/>
  <c r="AB60" i="18"/>
  <c r="AA19" i="18"/>
  <c r="AA28" i="16"/>
  <c r="AA63" i="16"/>
  <c r="Y66" i="16"/>
  <c r="Y28" i="16"/>
  <c r="Z34" i="16"/>
  <c r="Z3" i="16"/>
  <c r="Y30" i="16"/>
  <c r="X27" i="18"/>
  <c r="Z33" i="18"/>
  <c r="Z53" i="16"/>
  <c r="T82" i="15"/>
  <c r="X64" i="18"/>
  <c r="AB66" i="18"/>
  <c r="Z11" i="18"/>
  <c r="AB63" i="16"/>
  <c r="Z37" i="18"/>
  <c r="Y41" i="18"/>
  <c r="Z33" i="16"/>
  <c r="AA8" i="18"/>
  <c r="Y32" i="16"/>
  <c r="AA37" i="16"/>
  <c r="Z16" i="18"/>
  <c r="C26" i="15"/>
  <c r="Z75" i="18"/>
  <c r="AB38" i="18"/>
  <c r="Y25" i="18"/>
  <c r="AA55" i="16"/>
  <c r="Y52" i="16"/>
  <c r="AA50" i="16"/>
  <c r="J29" i="14"/>
  <c r="X51" i="18"/>
  <c r="AB31" i="16"/>
  <c r="AA15" i="18"/>
  <c r="S82" i="15"/>
  <c r="Z12" i="18"/>
  <c r="AB21" i="16"/>
  <c r="AB45" i="16"/>
  <c r="D29" i="1"/>
  <c r="O23" i="14"/>
  <c r="Y64" i="18"/>
  <c r="J57" i="14"/>
  <c r="P59" i="14"/>
  <c r="Z28" i="16"/>
  <c r="X43" i="16"/>
  <c r="AA73" i="18"/>
  <c r="AA44" i="18"/>
  <c r="AA61" i="16"/>
  <c r="Y13" i="16"/>
  <c r="Z26" i="16"/>
  <c r="F12" i="14"/>
  <c r="AB7" i="18"/>
  <c r="AB55" i="16"/>
  <c r="Y35" i="16"/>
  <c r="AB48" i="18"/>
  <c r="D30" i="1"/>
  <c r="AA74" i="18"/>
  <c r="AB49" i="16"/>
  <c r="Z57" i="18"/>
  <c r="Z76" i="18"/>
  <c r="Y42" i="16"/>
  <c r="Z65" i="16"/>
  <c r="X65" i="16"/>
  <c r="Y18" i="18"/>
  <c r="AA47" i="16"/>
  <c r="AA13" i="18"/>
  <c r="AA69" i="18"/>
  <c r="Z22" i="16"/>
  <c r="X75" i="18"/>
  <c r="Z4" i="16"/>
  <c r="Y70" i="18"/>
  <c r="Z68" i="18"/>
  <c r="AA35" i="18"/>
  <c r="AB51" i="16"/>
  <c r="Z10" i="18"/>
  <c r="Y65" i="18"/>
  <c r="Y68" i="18"/>
  <c r="J26" i="14"/>
  <c r="AB34" i="18"/>
  <c r="AA17" i="18"/>
  <c r="AA23" i="16"/>
  <c r="AA42" i="16"/>
  <c r="Y36" i="18"/>
  <c r="AB25" i="16"/>
  <c r="AA54" i="18"/>
  <c r="AB47" i="16"/>
  <c r="AB61" i="18"/>
  <c r="X10" i="16"/>
  <c r="AA33" i="18"/>
  <c r="Z51" i="18"/>
  <c r="AA40" i="16"/>
  <c r="AB35" i="16"/>
  <c r="AA25" i="16"/>
  <c r="P47" i="14"/>
  <c r="X35" i="18"/>
  <c r="AA63" i="18"/>
  <c r="Y4" i="16"/>
  <c r="K36" i="14"/>
  <c r="Z20" i="16"/>
  <c r="Z39" i="18"/>
  <c r="AB56" i="18"/>
  <c r="X32" i="16"/>
  <c r="Z16" i="16"/>
  <c r="X53" i="16"/>
  <c r="Z46" i="18"/>
  <c r="F18" i="14"/>
  <c r="AB56" i="16"/>
  <c r="Z60" i="16"/>
  <c r="AB3" i="18"/>
  <c r="AB43" i="18"/>
  <c r="AB39" i="16"/>
  <c r="K48" i="14"/>
  <c r="Z59" i="16"/>
  <c r="P5" i="14"/>
  <c r="AB15" i="18"/>
  <c r="Y49" i="16"/>
  <c r="Z23" i="18"/>
  <c r="Y53" i="16"/>
  <c r="AB42" i="18"/>
  <c r="Z42" i="16"/>
  <c r="Z64" i="18"/>
  <c r="AB29" i="16"/>
  <c r="Y60" i="18"/>
  <c r="AA30" i="16"/>
  <c r="C37" i="1"/>
  <c r="D37" i="1" s="1"/>
  <c r="Y57" i="18"/>
  <c r="X14" i="16"/>
  <c r="AA53" i="18"/>
  <c r="J5" i="14"/>
  <c r="Z21" i="18"/>
  <c r="Z64" i="16"/>
  <c r="F19" i="14"/>
  <c r="AA21" i="18"/>
  <c r="F15" i="14"/>
  <c r="X57" i="18"/>
  <c r="Y48" i="18"/>
  <c r="AB70" i="18"/>
  <c r="X22" i="18"/>
  <c r="Y15" i="16"/>
  <c r="X20" i="18"/>
  <c r="Y50" i="18"/>
  <c r="Z38" i="16"/>
  <c r="AA14" i="16"/>
  <c r="Y29" i="16"/>
  <c r="X15" i="18"/>
  <c r="X6" i="16"/>
  <c r="Z67" i="18"/>
  <c r="K49" i="14"/>
  <c r="J40" i="14"/>
  <c r="X26" i="16"/>
  <c r="X13" i="18"/>
  <c r="X34" i="16"/>
  <c r="Y36" i="16"/>
  <c r="AB16" i="16"/>
  <c r="Y40" i="18"/>
  <c r="X3" i="18"/>
  <c r="AB53" i="16"/>
  <c r="X10" i="18"/>
  <c r="Z50" i="16"/>
  <c r="P4" i="14"/>
  <c r="K3" i="14"/>
  <c r="Y5" i="16"/>
  <c r="AB17" i="18"/>
  <c r="AA20" i="16"/>
  <c r="AA57" i="18"/>
  <c r="Z14" i="16"/>
  <c r="X40" i="18"/>
  <c r="Y52" i="18"/>
  <c r="AB24" i="16"/>
  <c r="AA64" i="16"/>
  <c r="AA22" i="16"/>
  <c r="AB46" i="16"/>
  <c r="X37" i="16"/>
  <c r="AA47" i="18"/>
  <c r="AB10" i="16"/>
  <c r="AA31" i="18"/>
  <c r="Y24" i="16"/>
  <c r="O48" i="14"/>
  <c r="AA45" i="18"/>
  <c r="J52" i="14"/>
  <c r="Z24" i="16"/>
  <c r="Z9" i="16"/>
  <c r="AC2" i="16" a="1"/>
  <c r="Y27" i="18"/>
  <c r="X78" i="18"/>
  <c r="Z61" i="18"/>
  <c r="Y5" i="18"/>
  <c r="AA11" i="18"/>
  <c r="X49" i="16"/>
  <c r="AA52" i="18"/>
  <c r="X66" i="18"/>
  <c r="X22" i="16"/>
  <c r="Y38" i="18"/>
  <c r="X14" i="18"/>
  <c r="Z19" i="18"/>
  <c r="AA20" i="18"/>
  <c r="Z59" i="18"/>
  <c r="Y23" i="18"/>
  <c r="X57" i="16"/>
  <c r="X28" i="16"/>
  <c r="X34" i="18"/>
  <c r="Z70" i="18"/>
  <c r="Y74" i="18"/>
  <c r="AA71" i="18"/>
  <c r="X58" i="16"/>
  <c r="X53" i="18"/>
  <c r="J32" i="14"/>
  <c r="J4" i="14"/>
  <c r="Z41" i="18"/>
  <c r="Z36" i="16"/>
  <c r="AB57" i="16"/>
  <c r="J48" i="14"/>
  <c r="AA35" i="16"/>
  <c r="F21" i="14"/>
  <c r="Z73" i="18"/>
  <c r="Y49" i="18"/>
  <c r="Z18" i="16"/>
  <c r="AB13" i="16"/>
  <c r="AB47" i="18"/>
  <c r="Z71" i="18"/>
  <c r="AA68" i="18"/>
  <c r="Z55" i="18"/>
  <c r="Z60" i="18"/>
  <c r="AB4" i="18"/>
  <c r="Y35" i="18"/>
  <c r="AB30" i="16"/>
  <c r="AB78" i="18"/>
  <c r="Y8" i="16"/>
  <c r="AA60" i="18"/>
  <c r="X55" i="16"/>
  <c r="Y73" i="18"/>
  <c r="X4" i="16"/>
  <c r="P46" i="14"/>
  <c r="X21" i="18"/>
  <c r="AB10" i="18"/>
  <c r="AA5" i="18"/>
  <c r="X59" i="18"/>
  <c r="J36" i="14"/>
  <c r="AB14" i="18"/>
  <c r="Y20" i="18"/>
  <c r="Z30" i="16"/>
  <c r="AA11" i="16"/>
  <c r="K46" i="14"/>
  <c r="Z56" i="16"/>
  <c r="F22" i="14"/>
  <c r="Z66" i="16"/>
  <c r="X11" i="16"/>
  <c r="O52" i="14"/>
  <c r="Z50" i="18"/>
  <c r="AA76" i="18"/>
  <c r="K32" i="14"/>
  <c r="AB19" i="18"/>
  <c r="O3" i="14"/>
  <c r="AA62" i="16"/>
  <c r="AA33" i="16"/>
  <c r="Z42" i="18"/>
  <c r="Z17" i="18"/>
  <c r="AB60" i="16"/>
  <c r="AA46" i="16"/>
  <c r="AA78" i="18"/>
  <c r="X54" i="16"/>
  <c r="K57" i="14"/>
  <c r="AB3" i="16"/>
  <c r="Z23" i="16"/>
  <c r="X27" i="16"/>
  <c r="Y22" i="16"/>
  <c r="Y37" i="18"/>
  <c r="AA6" i="16"/>
  <c r="AA36" i="16"/>
  <c r="P53" i="14"/>
  <c r="AA8" i="16"/>
  <c r="X31" i="16"/>
  <c r="Y53" i="18"/>
  <c r="K29" i="14"/>
  <c r="Z30" i="18"/>
  <c r="X42" i="16"/>
  <c r="AB75" i="18"/>
  <c r="Z57" i="16"/>
  <c r="AB71" i="18"/>
  <c r="Y18" i="16"/>
  <c r="Y65" i="16"/>
  <c r="AA46" i="18"/>
  <c r="Z35" i="18"/>
  <c r="Z62" i="18"/>
  <c r="X30" i="18"/>
  <c r="X62" i="18"/>
  <c r="Z56" i="18"/>
  <c r="O53" i="14"/>
  <c r="AB8" i="18"/>
  <c r="Y56" i="16"/>
  <c r="P40" i="14"/>
  <c r="Z49" i="18"/>
  <c r="Y44" i="18"/>
  <c r="AA48" i="16"/>
  <c r="Y22" i="18"/>
  <c r="Y10" i="18"/>
  <c r="K50" i="14"/>
  <c r="X16" i="16"/>
  <c r="N82" i="15"/>
  <c r="Y46" i="16"/>
  <c r="X23" i="18"/>
  <c r="X18" i="18"/>
  <c r="X70" i="18"/>
  <c r="C38" i="1"/>
  <c r="Y9" i="18"/>
  <c r="Y14" i="16"/>
  <c r="O51" i="14"/>
  <c r="Z46" i="16"/>
  <c r="X35" i="16"/>
  <c r="AB5" i="16"/>
  <c r="AB21" i="18"/>
  <c r="AA38" i="16"/>
  <c r="Z77" i="18"/>
  <c r="AB65" i="16"/>
  <c r="Z40" i="16"/>
  <c r="AB35" i="18"/>
  <c r="Z78" i="18"/>
  <c r="Y31" i="16"/>
  <c r="P51" i="14"/>
  <c r="Y11" i="18"/>
  <c r="K51" i="14"/>
  <c r="AA72" i="18"/>
  <c r="AA56" i="18"/>
  <c r="X61" i="18"/>
  <c r="Y66" i="18"/>
  <c r="Y34" i="16"/>
  <c r="X21" i="16"/>
  <c r="X65" i="18"/>
  <c r="Z20" i="18"/>
  <c r="AA59" i="16"/>
  <c r="X63" i="16"/>
  <c r="AA39" i="18"/>
  <c r="X66" i="16"/>
  <c r="P23" i="14"/>
  <c r="O55" i="14"/>
  <c r="AB18" i="18"/>
  <c r="Y19" i="16"/>
  <c r="Y51" i="16"/>
  <c r="Y23" i="16"/>
  <c r="X8" i="18"/>
  <c r="F8" i="14"/>
  <c r="AA16" i="18"/>
  <c r="AB36" i="16"/>
  <c r="AA10" i="16"/>
  <c r="Y29" i="18"/>
  <c r="X26" i="18"/>
  <c r="X68" i="18"/>
  <c r="AB7" i="16"/>
  <c r="AA41" i="16"/>
  <c r="O29" i="14"/>
  <c r="F20" i="14"/>
  <c r="AA34" i="16"/>
  <c r="Z40" i="18"/>
  <c r="Z14" i="18"/>
  <c r="X33" i="16"/>
  <c r="Y41" i="16"/>
  <c r="Y57" i="16"/>
  <c r="X28" i="18"/>
  <c r="X44" i="18"/>
  <c r="AA43" i="16"/>
  <c r="Y75" i="18"/>
  <c r="X43" i="18"/>
  <c r="Z19" i="16"/>
  <c r="AA5" i="16"/>
  <c r="D39" i="1"/>
  <c r="D54" i="1"/>
  <c r="H26" i="15" l="1"/>
  <c r="I26" i="15"/>
  <c r="AC42" i="16"/>
  <c r="AC40" i="16"/>
  <c r="AC46" i="16"/>
  <c r="AC9" i="16"/>
  <c r="AC7" i="16"/>
  <c r="AC15" i="16"/>
  <c r="AC24" i="16"/>
  <c r="AC32" i="16"/>
  <c r="AC20" i="16"/>
  <c r="AC44" i="16"/>
  <c r="AC12" i="16"/>
  <c r="AC39" i="16"/>
  <c r="AC13" i="16"/>
  <c r="AC34" i="16"/>
  <c r="AC35" i="16"/>
  <c r="AC57" i="16"/>
  <c r="AC55" i="16"/>
  <c r="AC64" i="16"/>
  <c r="AC8" i="16"/>
  <c r="AC16" i="16"/>
  <c r="AC41" i="16"/>
  <c r="AC33" i="16"/>
  <c r="AC61" i="16"/>
  <c r="AC21" i="16"/>
  <c r="AC49" i="16"/>
  <c r="AC62" i="16"/>
  <c r="AC22" i="16"/>
  <c r="AC27" i="16"/>
  <c r="AC36" i="16"/>
  <c r="AC45" i="16"/>
  <c r="AC58" i="16"/>
  <c r="AC2" i="16"/>
  <c r="AC17" i="16"/>
  <c r="AC25" i="16"/>
  <c r="AC26" i="16"/>
  <c r="AC53" i="16"/>
  <c r="AC4" i="16"/>
  <c r="AC29" i="16"/>
  <c r="AC56" i="16"/>
  <c r="AC5" i="16"/>
  <c r="AC30" i="16"/>
  <c r="AC37" i="16"/>
  <c r="AC48" i="16"/>
  <c r="AC43" i="16"/>
  <c r="AC59" i="16"/>
  <c r="AC54" i="16"/>
  <c r="AC66" i="16"/>
  <c r="AC10" i="16"/>
  <c r="AC18" i="16"/>
  <c r="AC19" i="16"/>
  <c r="AC38" i="16"/>
  <c r="AC65" i="16"/>
  <c r="AC51" i="16"/>
  <c r="AC60" i="16"/>
  <c r="AC3" i="16"/>
  <c r="AC11" i="16"/>
  <c r="AC28" i="16"/>
  <c r="AC47" i="16"/>
  <c r="AC63" i="16"/>
  <c r="AC6" i="16"/>
  <c r="AC14" i="16"/>
  <c r="AC23" i="16"/>
  <c r="AC31" i="16"/>
  <c r="AC50" i="16"/>
  <c r="AC52" i="16"/>
  <c r="AC33" i="18"/>
  <c r="AC4" i="18"/>
  <c r="AC37" i="18"/>
  <c r="AC44" i="18"/>
  <c r="AC57" i="18"/>
  <c r="AC25" i="18"/>
  <c r="AC29" i="18"/>
  <c r="AC2" i="18"/>
  <c r="AC45" i="18"/>
  <c r="AC53" i="18"/>
  <c r="AC69" i="18"/>
  <c r="AC56" i="18"/>
  <c r="AC74" i="18"/>
  <c r="AC12" i="18"/>
  <c r="AC49" i="18"/>
  <c r="AC17" i="18"/>
  <c r="AC20" i="18"/>
  <c r="AC78" i="18"/>
  <c r="AC71" i="18"/>
  <c r="AC40" i="18"/>
  <c r="AC38" i="18"/>
  <c r="AC66" i="18"/>
  <c r="AC68" i="18"/>
  <c r="AC10" i="18"/>
  <c r="AC27" i="18"/>
  <c r="AC54" i="18"/>
  <c r="AC11" i="18"/>
  <c r="AC55" i="18"/>
  <c r="AC67" i="18"/>
  <c r="AC76" i="18"/>
  <c r="AC48" i="18"/>
  <c r="AC18" i="18"/>
  <c r="AC16" i="18"/>
  <c r="AC30" i="18"/>
  <c r="AC7" i="18"/>
  <c r="AC23" i="18"/>
  <c r="AC70" i="18"/>
  <c r="AC73" i="18"/>
  <c r="AC5" i="18"/>
  <c r="AC22" i="18"/>
  <c r="AC46" i="18"/>
  <c r="AC52" i="18"/>
  <c r="AC21" i="18"/>
  <c r="AC60" i="18"/>
  <c r="AC65" i="18"/>
  <c r="AC14" i="18"/>
  <c r="AC42" i="18"/>
  <c r="AC64" i="18"/>
  <c r="AC15" i="18"/>
  <c r="AC58" i="18"/>
  <c r="AC63" i="18"/>
  <c r="AC9" i="18"/>
  <c r="AC31" i="18"/>
  <c r="AC72" i="18"/>
  <c r="AC61" i="18"/>
  <c r="AC26" i="18"/>
  <c r="AC34" i="18"/>
  <c r="AC41" i="18"/>
  <c r="AC47" i="18"/>
  <c r="AC59" i="18"/>
  <c r="AC77" i="18"/>
  <c r="AC8" i="18"/>
  <c r="AC43" i="18"/>
  <c r="AC24" i="18"/>
  <c r="AC36" i="18"/>
  <c r="AC3" i="18"/>
  <c r="AC6" i="18"/>
  <c r="AC75" i="18"/>
  <c r="AC50" i="18"/>
  <c r="AC51" i="18"/>
  <c r="AC62" i="18"/>
  <c r="AC13" i="18"/>
  <c r="AC19" i="18"/>
  <c r="AC35" i="18"/>
  <c r="AC28" i="18"/>
  <c r="AC39" i="18"/>
  <c r="AC32" i="18"/>
  <c r="V38" i="18"/>
  <c r="V33" i="18"/>
  <c r="I7" i="14"/>
  <c r="V15" i="16"/>
  <c r="V25" i="16"/>
  <c r="V14" i="18"/>
  <c r="V56" i="16"/>
  <c r="V11" i="18"/>
  <c r="V9" i="16"/>
  <c r="V63" i="16"/>
  <c r="V9" i="18"/>
  <c r="V68" i="18"/>
  <c r="V48" i="16"/>
  <c r="V18" i="18"/>
  <c r="V59" i="16"/>
  <c r="V35" i="18"/>
  <c r="V21" i="18"/>
  <c r="V52" i="18"/>
  <c r="I20" i="14"/>
  <c r="V42" i="18"/>
  <c r="V23" i="16"/>
  <c r="V56" i="18"/>
  <c r="V10" i="18"/>
  <c r="V11" i="16"/>
  <c r="I9" i="14"/>
  <c r="V28" i="16"/>
  <c r="V60" i="18"/>
  <c r="V65" i="18"/>
  <c r="V45" i="18"/>
  <c r="V51" i="18"/>
  <c r="V4" i="16"/>
  <c r="V55" i="18"/>
  <c r="V28" i="18"/>
  <c r="V5" i="16"/>
  <c r="V30" i="16"/>
  <c r="V27" i="16"/>
  <c r="V39" i="18"/>
  <c r="V75" i="18"/>
  <c r="V8" i="18"/>
  <c r="V17" i="16"/>
  <c r="V48" i="18"/>
  <c r="V36" i="18"/>
  <c r="I12" i="14"/>
  <c r="V51" i="16"/>
  <c r="V50" i="16"/>
  <c r="V3" i="16"/>
  <c r="V31" i="18"/>
  <c r="I14" i="14"/>
  <c r="V14" i="16"/>
  <c r="V6" i="18"/>
  <c r="I16" i="14"/>
  <c r="V61" i="16"/>
  <c r="V47" i="18"/>
  <c r="V49" i="18"/>
  <c r="I10" i="14"/>
  <c r="V57" i="16"/>
  <c r="V37" i="18"/>
  <c r="V27" i="18"/>
  <c r="V6" i="16"/>
  <c r="V29" i="16"/>
  <c r="V60" i="16"/>
  <c r="V34" i="16"/>
  <c r="V76" i="18"/>
  <c r="V66" i="18"/>
  <c r="V5" i="18"/>
  <c r="V16" i="18"/>
  <c r="V64" i="18"/>
  <c r="V8" i="16"/>
  <c r="V39" i="16"/>
  <c r="V64" i="16"/>
  <c r="V55" i="16"/>
  <c r="V70" i="18"/>
  <c r="V38" i="16"/>
  <c r="V30" i="18"/>
  <c r="V49" i="16"/>
  <c r="V20" i="16"/>
  <c r="V25" i="18"/>
  <c r="V53" i="16"/>
  <c r="V18" i="16"/>
  <c r="V41" i="16"/>
  <c r="V66" i="16"/>
  <c r="V62" i="16"/>
  <c r="V4" i="18"/>
  <c r="V7" i="16"/>
  <c r="V13" i="18"/>
  <c r="V24" i="16"/>
  <c r="V20" i="18"/>
  <c r="V23" i="18"/>
  <c r="V44" i="16"/>
  <c r="V44" i="18"/>
  <c r="V62" i="18"/>
  <c r="V69" i="18"/>
  <c r="V7" i="18"/>
  <c r="V16" i="16"/>
  <c r="V15" i="18"/>
  <c r="V26" i="18"/>
  <c r="V77" i="18"/>
  <c r="V12" i="16"/>
  <c r="I18" i="14"/>
  <c r="V31" i="16"/>
  <c r="V19" i="18"/>
  <c r="V41" i="18"/>
  <c r="V3" i="18"/>
  <c r="V19" i="16"/>
  <c r="V57" i="18"/>
  <c r="V32" i="16"/>
  <c r="I8" i="14"/>
  <c r="I19" i="14"/>
  <c r="V74" i="18"/>
  <c r="V72" i="18"/>
  <c r="V32" i="18"/>
  <c r="V26" i="16"/>
  <c r="V47" i="16"/>
  <c r="V10" i="16"/>
  <c r="V33" i="16"/>
  <c r="V61" i="18"/>
  <c r="V54" i="18"/>
  <c r="I11" i="14"/>
  <c r="V45" i="16"/>
  <c r="V65" i="16"/>
  <c r="V13" i="16"/>
  <c r="V73" i="18"/>
  <c r="V37" i="16"/>
  <c r="I6" i="14"/>
  <c r="V59" i="18"/>
  <c r="V58" i="16"/>
  <c r="V35" i="16"/>
  <c r="V58" i="18"/>
  <c r="V43" i="16"/>
  <c r="V21" i="16"/>
  <c r="V71" i="18"/>
  <c r="V46" i="16"/>
  <c r="V53" i="18"/>
  <c r="V12" i="18"/>
  <c r="I17" i="14"/>
  <c r="V63" i="18"/>
  <c r="V46" i="18"/>
  <c r="V40" i="16"/>
  <c r="V17" i="18"/>
  <c r="V43" i="18"/>
  <c r="V24" i="18"/>
  <c r="V36" i="16"/>
  <c r="V67" i="18"/>
  <c r="V42" i="16"/>
  <c r="V22" i="16"/>
  <c r="V40" i="18"/>
  <c r="V34" i="18"/>
  <c r="V22" i="18"/>
  <c r="I13" i="14"/>
  <c r="V52" i="16"/>
  <c r="V50" i="18"/>
  <c r="I15" i="14"/>
  <c r="V29" i="18"/>
  <c r="V78" i="18"/>
  <c r="V54" i="16"/>
  <c r="C27" i="15"/>
  <c r="P18" i="14"/>
  <c r="K8" i="14"/>
  <c r="J9" i="14"/>
  <c r="J12" i="14"/>
  <c r="J18" i="14"/>
  <c r="P7" i="14"/>
  <c r="O15" i="14"/>
  <c r="O8" i="14"/>
  <c r="K14" i="14"/>
  <c r="K12" i="14"/>
  <c r="K13" i="14"/>
  <c r="P8" i="14"/>
  <c r="O14" i="14"/>
  <c r="P9" i="14"/>
  <c r="O19" i="14"/>
  <c r="J11" i="14"/>
  <c r="P15" i="14"/>
  <c r="P6" i="14"/>
  <c r="S3" i="14" a="1"/>
  <c r="P20" i="14"/>
  <c r="K9" i="14"/>
  <c r="K11" i="14"/>
  <c r="P11" i="14"/>
  <c r="O11" i="14"/>
  <c r="P12" i="14"/>
  <c r="P19" i="14"/>
  <c r="O13" i="14"/>
  <c r="P17" i="14"/>
  <c r="D52" i="1"/>
  <c r="K15" i="14"/>
  <c r="P13" i="14"/>
  <c r="K18" i="14"/>
  <c r="J26" i="15"/>
  <c r="O7" i="14"/>
  <c r="K20" i="14"/>
  <c r="P14" i="14"/>
  <c r="J16" i="14"/>
  <c r="K7" i="14"/>
  <c r="J13" i="14"/>
  <c r="O18" i="14"/>
  <c r="J10" i="14"/>
  <c r="D38" i="1"/>
  <c r="O20" i="14"/>
  <c r="O17" i="14"/>
  <c r="J19" i="14"/>
  <c r="J14" i="14"/>
  <c r="J17" i="14"/>
  <c r="J8" i="14"/>
  <c r="K16" i="14"/>
  <c r="K19" i="14"/>
  <c r="O9" i="14"/>
  <c r="O16" i="14"/>
  <c r="O10" i="14"/>
  <c r="P16" i="14"/>
  <c r="K17" i="14"/>
  <c r="J6" i="14"/>
  <c r="J15" i="14"/>
  <c r="O6" i="14"/>
  <c r="J20" i="14"/>
  <c r="D53" i="1"/>
  <c r="J7" i="14"/>
  <c r="K6" i="14"/>
  <c r="K10" i="14"/>
  <c r="O12" i="14"/>
  <c r="P10" i="14"/>
  <c r="C28" i="15"/>
  <c r="C29" i="15"/>
  <c r="AB19" i="17"/>
  <c r="AA54" i="17"/>
  <c r="X34" i="17"/>
  <c r="X39" i="17"/>
  <c r="AA43" i="17"/>
  <c r="AB29" i="17"/>
  <c r="AB10" i="17"/>
  <c r="AA52" i="17"/>
  <c r="AB14" i="17"/>
  <c r="AA8" i="17"/>
  <c r="AA50" i="17"/>
  <c r="Y19" i="17"/>
  <c r="Z33" i="17"/>
  <c r="Z8" i="17"/>
  <c r="AB45" i="17"/>
  <c r="AA11" i="17"/>
  <c r="AB7" i="17"/>
  <c r="X44" i="17"/>
  <c r="X31" i="17"/>
  <c r="Z12" i="17"/>
  <c r="Y8" i="17"/>
  <c r="Z55" i="17"/>
  <c r="AB8" i="17"/>
  <c r="AA40" i="17"/>
  <c r="X13" i="17"/>
  <c r="Y34" i="17"/>
  <c r="X18" i="17"/>
  <c r="Y31" i="17"/>
  <c r="AA7" i="17"/>
  <c r="X50" i="17"/>
  <c r="X38" i="17"/>
  <c r="AA20" i="17"/>
  <c r="AA22" i="17"/>
  <c r="X43" i="17"/>
  <c r="Z47" i="17"/>
  <c r="Z19" i="17"/>
  <c r="Z25" i="17"/>
  <c r="X14" i="17"/>
  <c r="Z17" i="17"/>
  <c r="AB48" i="17"/>
  <c r="Z28" i="17"/>
  <c r="AA27" i="17"/>
  <c r="Z14" i="17"/>
  <c r="Y20" i="17"/>
  <c r="Z5" i="17"/>
  <c r="AB16" i="17"/>
  <c r="X35" i="17"/>
  <c r="Y44" i="17"/>
  <c r="AB38" i="17"/>
  <c r="Y35" i="17"/>
  <c r="Y33" i="17"/>
  <c r="AB41" i="17"/>
  <c r="AA44" i="17"/>
  <c r="AA53" i="17"/>
  <c r="AA32" i="17"/>
  <c r="X8" i="17"/>
  <c r="Y3" i="17"/>
  <c r="AA9" i="17"/>
  <c r="AA29" i="17"/>
  <c r="Z42" i="17"/>
  <c r="AB21" i="17"/>
  <c r="AA14" i="17"/>
  <c r="AB18" i="17"/>
  <c r="Z26" i="17"/>
  <c r="X15" i="17"/>
  <c r="AA6" i="17"/>
  <c r="AB3" i="17"/>
  <c r="AA12" i="17"/>
  <c r="Y12" i="17"/>
  <c r="Z4" i="17"/>
  <c r="AA49" i="17"/>
  <c r="X23" i="17"/>
  <c r="X16" i="17"/>
  <c r="Y5" i="17"/>
  <c r="AB28" i="17"/>
  <c r="Y37" i="17"/>
  <c r="Z41" i="17"/>
  <c r="AA13" i="17"/>
  <c r="AB30" i="17"/>
  <c r="AB54" i="17"/>
  <c r="X19" i="17"/>
  <c r="AA39" i="17"/>
  <c r="Y39" i="17"/>
  <c r="X25" i="17"/>
  <c r="AA21" i="17"/>
  <c r="Y10" i="17"/>
  <c r="Y29" i="17"/>
  <c r="X51" i="17"/>
  <c r="AB44" i="17"/>
  <c r="Y43" i="17"/>
  <c r="X3" i="17"/>
  <c r="AB27" i="17"/>
  <c r="Y55" i="17"/>
  <c r="X52" i="17"/>
  <c r="Y51" i="17"/>
  <c r="X21" i="17"/>
  <c r="Y11" i="17"/>
  <c r="AA31" i="17"/>
  <c r="Z21" i="17"/>
  <c r="X37" i="17"/>
  <c r="AB51" i="17"/>
  <c r="AB39" i="17"/>
  <c r="X33" i="17"/>
  <c r="AB40" i="17"/>
  <c r="AB25" i="17"/>
  <c r="Z43" i="17"/>
  <c r="Z27" i="17"/>
  <c r="AB4" i="17"/>
  <c r="Z7" i="17"/>
  <c r="Z13" i="17"/>
  <c r="Z50" i="17"/>
  <c r="AA46" i="17"/>
  <c r="X30" i="17"/>
  <c r="Y48" i="17"/>
  <c r="Z29" i="17"/>
  <c r="AA42" i="17"/>
  <c r="AB31" i="17"/>
  <c r="Y23" i="17"/>
  <c r="Y28" i="17"/>
  <c r="Z22" i="17"/>
  <c r="AA4" i="17"/>
  <c r="X32" i="17"/>
  <c r="X46" i="17"/>
  <c r="Y30" i="17"/>
  <c r="AA15" i="17"/>
  <c r="Z37" i="17"/>
  <c r="AA55" i="17"/>
  <c r="AB47" i="17"/>
  <c r="X6" i="17"/>
  <c r="Z9" i="17"/>
  <c r="Z16" i="17"/>
  <c r="AB22" i="17"/>
  <c r="AA33" i="17"/>
  <c r="Y27" i="17"/>
  <c r="AB6" i="17"/>
  <c r="X22" i="17"/>
  <c r="Z31" i="17"/>
  <c r="X24" i="17"/>
  <c r="AA18" i="17"/>
  <c r="X54" i="17"/>
  <c r="AA41" i="17"/>
  <c r="X20" i="17"/>
  <c r="X36" i="17"/>
  <c r="AA45" i="17"/>
  <c r="AB50" i="17"/>
  <c r="AB55" i="17"/>
  <c r="Z30" i="17"/>
  <c r="AB13" i="17"/>
  <c r="Y14" i="17"/>
  <c r="X49" i="17"/>
  <c r="X12" i="17"/>
  <c r="X45" i="17"/>
  <c r="Y40" i="17"/>
  <c r="Z18" i="17"/>
  <c r="AB32" i="17"/>
  <c r="Y16" i="17"/>
  <c r="Y15" i="17"/>
  <c r="Y25" i="17"/>
  <c r="Y41" i="17"/>
  <c r="Z51" i="17"/>
  <c r="Z54" i="17"/>
  <c r="AA24" i="17"/>
  <c r="Z15" i="17"/>
  <c r="AB33" i="17"/>
  <c r="AA17" i="17"/>
  <c r="AB46" i="17"/>
  <c r="Z34" i="17"/>
  <c r="X48" i="17"/>
  <c r="AA34" i="17"/>
  <c r="AA30" i="17"/>
  <c r="Y46" i="17"/>
  <c r="AA26" i="17"/>
  <c r="Z24" i="17"/>
  <c r="AA38" i="17"/>
  <c r="AA51" i="17"/>
  <c r="Z40" i="17"/>
  <c r="X42" i="17"/>
  <c r="AB42" i="17"/>
  <c r="Y36" i="17"/>
  <c r="X28" i="17"/>
  <c r="Z46" i="17"/>
  <c r="Y4" i="17"/>
  <c r="Y22" i="17"/>
  <c r="Y26" i="17"/>
  <c r="Y17" i="17"/>
  <c r="X53" i="17"/>
  <c r="AB20" i="17"/>
  <c r="AA3" i="17"/>
  <c r="Y32" i="17"/>
  <c r="AB35" i="17"/>
  <c r="Y42" i="17"/>
  <c r="Y52" i="17"/>
  <c r="X11" i="17"/>
  <c r="X55" i="17"/>
  <c r="Z52" i="17"/>
  <c r="AB23" i="17"/>
  <c r="Z23" i="17"/>
  <c r="Y9" i="17"/>
  <c r="AA48" i="17"/>
  <c r="AA16" i="17"/>
  <c r="X7" i="17"/>
  <c r="Y53" i="17"/>
  <c r="Y50" i="17"/>
  <c r="AB26" i="17"/>
  <c r="Z39" i="17"/>
  <c r="AB12" i="17"/>
  <c r="Y13" i="17"/>
  <c r="Z38" i="17"/>
  <c r="Y18" i="17"/>
  <c r="Y49" i="17"/>
  <c r="AB43" i="17"/>
  <c r="AA5" i="17"/>
  <c r="AA19" i="17"/>
  <c r="AA37" i="17"/>
  <c r="AB53" i="17"/>
  <c r="AB49" i="17"/>
  <c r="Z49" i="17"/>
  <c r="AA47" i="17"/>
  <c r="AB52" i="17"/>
  <c r="X10" i="17"/>
  <c r="Z53" i="17"/>
  <c r="Y6" i="17"/>
  <c r="X4" i="17"/>
  <c r="Z11" i="17"/>
  <c r="Z10" i="17"/>
  <c r="X17" i="17"/>
  <c r="X9" i="17"/>
  <c r="AA28" i="17"/>
  <c r="AB24" i="17"/>
  <c r="AB9" i="17"/>
  <c r="X29" i="17"/>
  <c r="Z35" i="17"/>
  <c r="AB34" i="17"/>
  <c r="X47" i="17"/>
  <c r="Y21" i="17"/>
  <c r="Y45" i="17"/>
  <c r="X27" i="17"/>
  <c r="Z45" i="17"/>
  <c r="AB11" i="17"/>
  <c r="X26" i="17"/>
  <c r="AB17" i="17"/>
  <c r="Z36" i="17"/>
  <c r="Z32" i="17"/>
  <c r="Y38" i="17"/>
  <c r="AA25" i="17"/>
  <c r="AA35" i="17"/>
  <c r="Y54" i="17"/>
  <c r="Z20" i="17"/>
  <c r="Y47" i="17"/>
  <c r="Z48" i="17"/>
  <c r="AB15" i="17"/>
  <c r="AB5" i="17"/>
  <c r="Z44" i="17"/>
  <c r="Z3" i="17"/>
  <c r="Y7" i="17"/>
  <c r="Y24" i="17"/>
  <c r="X41" i="17"/>
  <c r="X40" i="17"/>
  <c r="X5" i="17"/>
  <c r="AB37" i="17"/>
  <c r="AA36" i="17"/>
  <c r="AA23" i="17"/>
  <c r="Z6" i="17"/>
  <c r="AA10" i="17"/>
  <c r="AB36" i="17"/>
  <c r="V5" i="17" l="1"/>
  <c r="V40" i="17"/>
  <c r="V41" i="17"/>
  <c r="V26" i="17"/>
  <c r="V27" i="17"/>
  <c r="V47" i="17"/>
  <c r="V29" i="17"/>
  <c r="V9" i="17"/>
  <c r="V17" i="17"/>
  <c r="V4" i="17"/>
  <c r="V10" i="17"/>
  <c r="V7" i="17"/>
  <c r="V55" i="17"/>
  <c r="V11" i="17"/>
  <c r="V53" i="17"/>
  <c r="V28" i="17"/>
  <c r="V42" i="17"/>
  <c r="V48" i="17"/>
  <c r="V45" i="17"/>
  <c r="V12" i="17"/>
  <c r="V49" i="17"/>
  <c r="V36" i="17"/>
  <c r="V20" i="17"/>
  <c r="V54" i="17"/>
  <c r="V24" i="17"/>
  <c r="V22" i="17"/>
  <c r="V6" i="17"/>
  <c r="V46" i="17"/>
  <c r="V32" i="17"/>
  <c r="V30" i="17"/>
  <c r="V33" i="17"/>
  <c r="V37" i="17"/>
  <c r="V21" i="17"/>
  <c r="V52" i="17"/>
  <c r="V3" i="17"/>
  <c r="V51" i="17"/>
  <c r="V25" i="17"/>
  <c r="V19" i="17"/>
  <c r="V16" i="17"/>
  <c r="V23" i="17"/>
  <c r="V15" i="17"/>
  <c r="V8" i="17"/>
  <c r="V35" i="17"/>
  <c r="V14" i="17"/>
  <c r="V43" i="17"/>
  <c r="V38" i="17"/>
  <c r="V50" i="17"/>
  <c r="V18" i="17"/>
  <c r="V13" i="17"/>
  <c r="V31" i="17"/>
  <c r="V44" i="17"/>
  <c r="V39" i="17"/>
  <c r="V34" i="17"/>
  <c r="H29" i="15"/>
  <c r="I29" i="15"/>
  <c r="H28" i="15"/>
  <c r="I28" i="15"/>
  <c r="H27" i="15"/>
  <c r="I27" i="15"/>
  <c r="R57" i="14"/>
  <c r="R58" i="14"/>
  <c r="R59" i="14"/>
  <c r="S16" i="14"/>
  <c r="S40" i="14"/>
  <c r="S7" i="14"/>
  <c r="S30" i="14"/>
  <c r="S23" i="14"/>
  <c r="S17" i="14"/>
  <c r="S45" i="14"/>
  <c r="S24" i="14"/>
  <c r="S3" i="14"/>
  <c r="S47" i="14"/>
  <c r="S15" i="14"/>
  <c r="S43" i="14"/>
  <c r="S6" i="14"/>
  <c r="S37" i="14"/>
  <c r="S42" i="14"/>
  <c r="S41" i="14"/>
  <c r="S5" i="14"/>
  <c r="S28" i="14"/>
  <c r="S18" i="14"/>
  <c r="S34" i="14"/>
  <c r="S9" i="14"/>
  <c r="S49" i="14"/>
  <c r="S33" i="14"/>
  <c r="S48" i="14"/>
  <c r="S13" i="14"/>
  <c r="S50" i="14"/>
  <c r="S29" i="14"/>
  <c r="S46" i="14"/>
  <c r="S56" i="14"/>
  <c r="S12" i="14"/>
  <c r="S19" i="14"/>
  <c r="S39" i="14"/>
  <c r="S53" i="14"/>
  <c r="S31" i="14"/>
  <c r="S51" i="14"/>
  <c r="S55" i="14"/>
  <c r="S11" i="14"/>
  <c r="S44" i="14"/>
  <c r="S38" i="14"/>
  <c r="S22" i="14"/>
  <c r="S10" i="14"/>
  <c r="S36" i="14"/>
  <c r="S25" i="14"/>
  <c r="S14" i="14"/>
  <c r="S20" i="14"/>
  <c r="S26" i="14"/>
  <c r="S21" i="14"/>
  <c r="S52" i="14"/>
  <c r="S4" i="14"/>
  <c r="S54" i="14"/>
  <c r="S8" i="14"/>
  <c r="S35" i="14"/>
  <c r="S32" i="14"/>
  <c r="S27" i="14"/>
  <c r="M22" i="15"/>
  <c r="C30" i="15"/>
  <c r="W47" i="14"/>
  <c r="X25" i="14"/>
  <c r="U13" i="14"/>
  <c r="X27" i="14"/>
  <c r="W39" i="14"/>
  <c r="W16" i="14"/>
  <c r="X38" i="14"/>
  <c r="T39" i="14"/>
  <c r="T43" i="14"/>
  <c r="V42" i="14"/>
  <c r="W18" i="14"/>
  <c r="U29" i="14"/>
  <c r="X42" i="14"/>
  <c r="W14" i="14"/>
  <c r="T48" i="14"/>
  <c r="V4" i="14"/>
  <c r="T36" i="14"/>
  <c r="V5" i="14"/>
  <c r="X28" i="14"/>
  <c r="V6" i="14"/>
  <c r="V24" i="14"/>
  <c r="V38" i="14"/>
  <c r="T55" i="14"/>
  <c r="X32" i="14"/>
  <c r="U47" i="14"/>
  <c r="W17" i="14"/>
  <c r="V21" i="14"/>
  <c r="V20" i="14"/>
  <c r="V28" i="14"/>
  <c r="X3" i="14"/>
  <c r="W15" i="14"/>
  <c r="U12" i="14"/>
  <c r="W30" i="14"/>
  <c r="U41" i="14"/>
  <c r="W56" i="14"/>
  <c r="U28" i="14"/>
  <c r="W27" i="14"/>
  <c r="U23" i="14"/>
  <c r="T45" i="14"/>
  <c r="V13" i="14"/>
  <c r="X18" i="14"/>
  <c r="X5" i="14"/>
  <c r="V35" i="14"/>
  <c r="W49" i="14"/>
  <c r="T56" i="14"/>
  <c r="X54" i="14"/>
  <c r="W53" i="14"/>
  <c r="U55" i="14"/>
  <c r="X6" i="14"/>
  <c r="W31" i="14"/>
  <c r="U48" i="14"/>
  <c r="W5" i="14"/>
  <c r="T51" i="14"/>
  <c r="W35" i="14"/>
  <c r="W4" i="14"/>
  <c r="V56" i="14"/>
  <c r="V33" i="14"/>
  <c r="T10" i="14"/>
  <c r="W10" i="14"/>
  <c r="T11" i="14"/>
  <c r="W46" i="14"/>
  <c r="T33" i="14"/>
  <c r="X49" i="14"/>
  <c r="X16" i="14"/>
  <c r="T31" i="14"/>
  <c r="T6" i="14"/>
  <c r="X31" i="14"/>
  <c r="T17" i="14"/>
  <c r="X11" i="14"/>
  <c r="W13" i="14"/>
  <c r="V54" i="14"/>
  <c r="W20" i="14"/>
  <c r="X9" i="14"/>
  <c r="X55" i="14"/>
  <c r="V9" i="14"/>
  <c r="X17" i="14"/>
  <c r="T28" i="14"/>
  <c r="V43" i="14"/>
  <c r="W23" i="14"/>
  <c r="T13" i="14"/>
  <c r="W51" i="14"/>
  <c r="U15" i="14"/>
  <c r="T44" i="14"/>
  <c r="U36" i="14"/>
  <c r="U26" i="14"/>
  <c r="U43" i="14"/>
  <c r="T50" i="14"/>
  <c r="V16" i="14"/>
  <c r="U30" i="14"/>
  <c r="V17" i="14"/>
  <c r="W43" i="14"/>
  <c r="T3" i="14"/>
  <c r="U9" i="14"/>
  <c r="X30" i="14"/>
  <c r="V19" i="14"/>
  <c r="U33" i="14"/>
  <c r="T35" i="14"/>
  <c r="U22" i="14"/>
  <c r="T49" i="14"/>
  <c r="W6" i="14"/>
  <c r="V55" i="14"/>
  <c r="X48" i="14"/>
  <c r="U14" i="14"/>
  <c r="T22" i="15"/>
  <c r="U49" i="14"/>
  <c r="W52" i="14"/>
  <c r="W37" i="14"/>
  <c r="U45" i="14"/>
  <c r="V12" i="14"/>
  <c r="T20" i="14"/>
  <c r="U37" i="14"/>
  <c r="W42" i="14"/>
  <c r="T40" i="14"/>
  <c r="W34" i="14"/>
  <c r="W22" i="14"/>
  <c r="U52" i="14"/>
  <c r="U3" i="14"/>
  <c r="V14" i="14"/>
  <c r="W25" i="14"/>
  <c r="N22" i="15"/>
  <c r="V23" i="14"/>
  <c r="T9" i="14"/>
  <c r="J29" i="15"/>
  <c r="X50" i="14"/>
  <c r="U8" i="14"/>
  <c r="V10" i="14"/>
  <c r="T22" i="14"/>
  <c r="W21" i="14"/>
  <c r="V8" i="14"/>
  <c r="W12" i="14"/>
  <c r="U50" i="14"/>
  <c r="X52" i="14"/>
  <c r="U24" i="14"/>
  <c r="X53" i="14"/>
  <c r="V27" i="14"/>
  <c r="X36" i="14"/>
  <c r="W45" i="14"/>
  <c r="V36" i="14"/>
  <c r="U4" i="14"/>
  <c r="V34" i="14"/>
  <c r="T24" i="14"/>
  <c r="V40" i="14"/>
  <c r="V48" i="14"/>
  <c r="V52" i="14"/>
  <c r="V18" i="14"/>
  <c r="T21" i="14"/>
  <c r="V15" i="14"/>
  <c r="U38" i="14"/>
  <c r="X22" i="14"/>
  <c r="V50" i="14"/>
  <c r="U39" i="14"/>
  <c r="X47" i="14"/>
  <c r="O22" i="15"/>
  <c r="U53" i="14"/>
  <c r="V7" i="14"/>
  <c r="T25" i="14"/>
  <c r="V51" i="14"/>
  <c r="W48" i="14"/>
  <c r="W9" i="14"/>
  <c r="J28" i="15"/>
  <c r="U54" i="14"/>
  <c r="T52" i="14"/>
  <c r="X35" i="14"/>
  <c r="T54" i="14"/>
  <c r="V39" i="14"/>
  <c r="V31" i="14"/>
  <c r="T37" i="14"/>
  <c r="U34" i="14"/>
  <c r="T18" i="14"/>
  <c r="T4" i="14"/>
  <c r="U35" i="14"/>
  <c r="W7" i="14"/>
  <c r="S22" i="15"/>
  <c r="T12" i="14"/>
  <c r="U42" i="14"/>
  <c r="V47" i="14"/>
  <c r="X15" i="14"/>
  <c r="W38" i="14"/>
  <c r="X20" i="14"/>
  <c r="T46" i="14"/>
  <c r="X19" i="14"/>
  <c r="U18" i="14"/>
  <c r="V46" i="14"/>
  <c r="T16" i="14"/>
  <c r="X24" i="14"/>
  <c r="W26" i="14"/>
  <c r="X51" i="14"/>
  <c r="W8" i="14"/>
  <c r="U56" i="14"/>
  <c r="W55" i="14"/>
  <c r="U19" i="14"/>
  <c r="X23" i="14"/>
  <c r="T29" i="14"/>
  <c r="W41" i="14"/>
  <c r="W36" i="14"/>
  <c r="U44" i="14"/>
  <c r="X43" i="14"/>
  <c r="W32" i="14"/>
  <c r="T38" i="14"/>
  <c r="U27" i="14"/>
  <c r="U10" i="14"/>
  <c r="V25" i="14"/>
  <c r="T15" i="14"/>
  <c r="V22" i="14"/>
  <c r="T7" i="14"/>
  <c r="W44" i="14"/>
  <c r="W40" i="14"/>
  <c r="X37" i="14"/>
  <c r="T19" i="14"/>
  <c r="T41" i="14"/>
  <c r="W19" i="14"/>
  <c r="X8" i="14"/>
  <c r="V49" i="14"/>
  <c r="T53" i="14"/>
  <c r="V41" i="14"/>
  <c r="T42" i="14"/>
  <c r="U16" i="14"/>
  <c r="V3" i="14"/>
  <c r="U32" i="14"/>
  <c r="U21" i="14"/>
  <c r="U17" i="14"/>
  <c r="V44" i="14"/>
  <c r="V32" i="14"/>
  <c r="T30" i="14"/>
  <c r="W33" i="14"/>
  <c r="U25" i="14"/>
  <c r="U5" i="14"/>
  <c r="U51" i="14"/>
  <c r="X7" i="14"/>
  <c r="W50" i="14"/>
  <c r="T26" i="14"/>
  <c r="X34" i="14"/>
  <c r="U7" i="14"/>
  <c r="X10" i="14"/>
  <c r="X13" i="14"/>
  <c r="X12" i="14"/>
  <c r="X14" i="14"/>
  <c r="T27" i="14"/>
  <c r="T23" i="14"/>
  <c r="W24" i="14"/>
  <c r="V11" i="14"/>
  <c r="W29" i="14"/>
  <c r="J27" i="15"/>
  <c r="X29" i="14"/>
  <c r="X33" i="14"/>
  <c r="U31" i="14"/>
  <c r="U11" i="14"/>
  <c r="X39" i="14"/>
  <c r="V37" i="14"/>
  <c r="U46" i="14"/>
  <c r="T32" i="14"/>
  <c r="T34" i="14"/>
  <c r="T47" i="14"/>
  <c r="V45" i="14"/>
  <c r="T5" i="14"/>
  <c r="X45" i="14"/>
  <c r="X44" i="14"/>
  <c r="W3" i="14"/>
  <c r="T14" i="14"/>
  <c r="U6" i="14"/>
  <c r="V30" i="14"/>
  <c r="X26" i="14"/>
  <c r="U20" i="14"/>
  <c r="X21" i="14"/>
  <c r="W11" i="14"/>
  <c r="X40" i="14"/>
  <c r="T8" i="14"/>
  <c r="U40" i="14"/>
  <c r="V29" i="14"/>
  <c r="V26" i="14"/>
  <c r="V53" i="14"/>
  <c r="W28" i="14"/>
  <c r="X41" i="14"/>
  <c r="X4" i="14"/>
  <c r="X46" i="14"/>
  <c r="X56" i="14"/>
  <c r="W54" i="14"/>
  <c r="I30" i="15" l="1"/>
  <c r="H30" i="15"/>
  <c r="M23" i="15"/>
  <c r="M24" i="15"/>
  <c r="M25" i="15"/>
  <c r="R52" i="14"/>
  <c r="R22" i="14"/>
  <c r="R39" i="14"/>
  <c r="R48" i="14"/>
  <c r="R41" i="14"/>
  <c r="R24" i="14"/>
  <c r="R21" i="14"/>
  <c r="R38" i="14"/>
  <c r="R19" i="14"/>
  <c r="R33" i="14"/>
  <c r="R42" i="14"/>
  <c r="R45" i="14"/>
  <c r="R27" i="14"/>
  <c r="R26" i="14"/>
  <c r="R44" i="14"/>
  <c r="R12" i="14"/>
  <c r="R49" i="14"/>
  <c r="R37" i="14"/>
  <c r="R17" i="14"/>
  <c r="R9" i="14"/>
  <c r="R4" i="14"/>
  <c r="R10" i="14"/>
  <c r="R53" i="14"/>
  <c r="R13" i="14"/>
  <c r="R5" i="14"/>
  <c r="R3" i="14"/>
  <c r="R16" i="14"/>
  <c r="R32" i="14"/>
  <c r="R20" i="14"/>
  <c r="R11" i="14"/>
  <c r="R56" i="14"/>
  <c r="R6" i="14"/>
  <c r="R23" i="14"/>
  <c r="R35" i="14"/>
  <c r="R14" i="14"/>
  <c r="R55" i="14"/>
  <c r="R46" i="14"/>
  <c r="R34" i="14"/>
  <c r="R43" i="14"/>
  <c r="R30" i="14"/>
  <c r="R8" i="14"/>
  <c r="R25" i="14"/>
  <c r="R51" i="14"/>
  <c r="R29" i="14"/>
  <c r="R18" i="14"/>
  <c r="R15" i="14"/>
  <c r="R7" i="14"/>
  <c r="R54" i="14"/>
  <c r="R36" i="14"/>
  <c r="R31" i="14"/>
  <c r="R50" i="14"/>
  <c r="R28" i="14"/>
  <c r="R47" i="14"/>
  <c r="R40" i="14"/>
  <c r="O23" i="15"/>
  <c r="S23" i="15"/>
  <c r="T23" i="15"/>
  <c r="N23" i="15"/>
  <c r="C31" i="15"/>
  <c r="J30" i="15"/>
  <c r="O24" i="15"/>
  <c r="N24" i="15"/>
  <c r="T24" i="15"/>
  <c r="S24" i="15"/>
  <c r="S25" i="15"/>
  <c r="N25" i="15"/>
  <c r="T25" i="15"/>
  <c r="O25" i="15"/>
  <c r="I31" i="15" l="1"/>
  <c r="H31" i="15"/>
  <c r="M26" i="15"/>
  <c r="T26" i="15"/>
  <c r="N26" i="15"/>
  <c r="O26" i="15"/>
  <c r="S26" i="15"/>
  <c r="C32" i="15"/>
  <c r="J31" i="15"/>
  <c r="I29" i="1"/>
  <c r="I39" i="1"/>
  <c r="I30" i="1"/>
  <c r="H37" i="1"/>
  <c r="H38" i="1"/>
  <c r="H32" i="15" l="1"/>
  <c r="I32" i="15"/>
  <c r="M27" i="15"/>
  <c r="N27" i="15"/>
  <c r="O27" i="15"/>
  <c r="T27" i="15"/>
  <c r="S27" i="15"/>
  <c r="C33" i="15"/>
  <c r="J32" i="15"/>
  <c r="C34" i="15"/>
  <c r="I37" i="1"/>
  <c r="I38" i="1"/>
  <c r="I40" i="1"/>
  <c r="H34" i="15" l="1"/>
  <c r="I34" i="15"/>
  <c r="H33" i="15"/>
  <c r="I33" i="15"/>
  <c r="M28" i="15"/>
  <c r="C35" i="15"/>
  <c r="J34" i="15"/>
  <c r="S28" i="15"/>
  <c r="N28" i="15"/>
  <c r="O28" i="15"/>
  <c r="T28" i="15"/>
  <c r="J33" i="15"/>
  <c r="D14" i="1"/>
  <c r="Y2" i="14" a="1"/>
  <c r="H35" i="15" l="1"/>
  <c r="I35" i="15"/>
  <c r="M29" i="15"/>
  <c r="M30" i="15"/>
  <c r="Y21" i="14"/>
  <c r="Y4" i="14"/>
  <c r="Y19" i="14"/>
  <c r="Y38" i="14"/>
  <c r="Y15" i="14"/>
  <c r="Y2" i="14"/>
  <c r="Y29" i="14"/>
  <c r="Y44" i="14"/>
  <c r="Y26" i="14"/>
  <c r="Y33" i="14"/>
  <c r="Y47" i="14"/>
  <c r="Y9" i="14"/>
  <c r="Y48" i="14"/>
  <c r="Y7" i="14"/>
  <c r="Y42" i="14"/>
  <c r="Y45" i="14"/>
  <c r="Y14" i="14"/>
  <c r="Y16" i="14"/>
  <c r="Y32" i="14"/>
  <c r="Y28" i="14"/>
  <c r="Y49" i="14"/>
  <c r="Y11" i="14"/>
  <c r="Y8" i="14"/>
  <c r="Y35" i="14"/>
  <c r="Y13" i="14"/>
  <c r="Y5" i="14"/>
  <c r="Y30" i="14"/>
  <c r="Y55" i="14"/>
  <c r="Y27" i="14"/>
  <c r="Y10" i="14"/>
  <c r="Y31" i="14"/>
  <c r="Y22" i="14"/>
  <c r="Y54" i="14"/>
  <c r="Y17" i="14"/>
  <c r="Y37" i="14"/>
  <c r="Y56" i="14"/>
  <c r="Y53" i="14"/>
  <c r="Y41" i="14"/>
  <c r="Y23" i="14"/>
  <c r="Y18" i="14"/>
  <c r="Y51" i="14"/>
  <c r="Y52" i="14"/>
  <c r="Y20" i="14"/>
  <c r="Y3" i="14"/>
  <c r="Y34" i="14"/>
  <c r="Y46" i="14"/>
  <c r="Y50" i="14"/>
  <c r="Y24" i="14"/>
  <c r="Y25" i="14"/>
  <c r="Y12" i="14"/>
  <c r="Y36" i="14"/>
  <c r="Y40" i="14"/>
  <c r="Y6" i="14"/>
  <c r="Y39" i="14"/>
  <c r="Y43" i="14"/>
  <c r="S29" i="15"/>
  <c r="N29" i="15"/>
  <c r="T29" i="15"/>
  <c r="O29" i="15"/>
  <c r="N30" i="15"/>
  <c r="S30" i="15"/>
  <c r="O30" i="15"/>
  <c r="T30" i="15"/>
  <c r="D25" i="1"/>
  <c r="C36" i="15"/>
  <c r="J35" i="15"/>
  <c r="C22" i="1"/>
  <c r="D22" i="1"/>
  <c r="D15" i="1"/>
  <c r="C23" i="1"/>
  <c r="D23" i="1" s="1"/>
  <c r="D24" i="1"/>
  <c r="H36" i="15" l="1"/>
  <c r="I36" i="15"/>
  <c r="M31" i="15"/>
  <c r="N31" i="15"/>
  <c r="T31" i="15"/>
  <c r="O31" i="15"/>
  <c r="S31" i="15"/>
  <c r="J36" i="15"/>
  <c r="C37" i="15"/>
  <c r="H37" i="15" l="1"/>
  <c r="I37" i="15"/>
  <c r="M32" i="15"/>
  <c r="C38" i="15"/>
  <c r="J37" i="15"/>
  <c r="S32" i="15"/>
  <c r="T32" i="15"/>
  <c r="O32" i="15"/>
  <c r="N32" i="15"/>
  <c r="I38" i="15" l="1"/>
  <c r="H38" i="15"/>
  <c r="M33" i="15"/>
  <c r="N33" i="15"/>
  <c r="O33" i="15"/>
  <c r="T33" i="15"/>
  <c r="S33" i="15"/>
  <c r="C39" i="15"/>
  <c r="J38" i="15"/>
  <c r="I39" i="15" l="1"/>
  <c r="H39" i="15"/>
  <c r="M34" i="15"/>
  <c r="S34" i="15"/>
  <c r="O34" i="15"/>
  <c r="N34" i="15"/>
  <c r="T34" i="15"/>
  <c r="C40" i="15"/>
  <c r="J39" i="15"/>
  <c r="H40" i="15" l="1"/>
  <c r="I40" i="15"/>
  <c r="M35" i="15"/>
  <c r="N35" i="15"/>
  <c r="T35" i="15"/>
  <c r="O35" i="15"/>
  <c r="S35" i="15"/>
  <c r="C41" i="15"/>
  <c r="J40" i="15"/>
  <c r="H41" i="15" l="1"/>
  <c r="I41" i="15"/>
  <c r="M36" i="15"/>
  <c r="N36" i="15"/>
  <c r="O36" i="15"/>
  <c r="S36" i="15"/>
  <c r="T36" i="15"/>
  <c r="C42" i="15"/>
  <c r="J41" i="15"/>
  <c r="H42" i="15" l="1"/>
  <c r="I42" i="15"/>
  <c r="M37" i="15"/>
  <c r="O37" i="15"/>
  <c r="T37" i="15"/>
  <c r="S37" i="15"/>
  <c r="N37" i="15"/>
  <c r="C43" i="15"/>
  <c r="J42" i="15"/>
  <c r="H43" i="15" l="1"/>
  <c r="I43" i="15"/>
  <c r="M38" i="15"/>
  <c r="T38" i="15"/>
  <c r="O38" i="15"/>
  <c r="S38" i="15"/>
  <c r="N38" i="15"/>
  <c r="C44" i="15"/>
  <c r="J43" i="15"/>
  <c r="H44" i="15" l="1"/>
  <c r="I44" i="15"/>
  <c r="M39" i="15"/>
  <c r="S39" i="15"/>
  <c r="N39" i="15"/>
  <c r="O39" i="15"/>
  <c r="T39" i="15"/>
  <c r="C45" i="15"/>
  <c r="J44" i="15"/>
  <c r="H45" i="15" l="1"/>
  <c r="I45" i="15"/>
  <c r="M40" i="15"/>
  <c r="S40" i="15"/>
  <c r="O40" i="15"/>
  <c r="T40" i="15"/>
  <c r="N40" i="15"/>
  <c r="C46" i="15"/>
  <c r="J45" i="15"/>
  <c r="I46" i="15" l="1"/>
  <c r="H46" i="15"/>
  <c r="M41" i="15"/>
  <c r="O41" i="15"/>
  <c r="N41" i="15"/>
  <c r="S41" i="15"/>
  <c r="T41" i="15"/>
  <c r="C47" i="15"/>
  <c r="J46" i="15"/>
  <c r="I47" i="15" l="1"/>
  <c r="H47" i="15"/>
  <c r="M42" i="15"/>
  <c r="N42" i="15"/>
  <c r="S42" i="15"/>
  <c r="O42" i="15"/>
  <c r="T42" i="15"/>
  <c r="J47" i="15"/>
  <c r="M43" i="15" l="1"/>
  <c r="W3" i="15" a="1"/>
  <c r="O43" i="15"/>
  <c r="N43" i="15"/>
  <c r="T43" i="15"/>
  <c r="S43" i="15"/>
  <c r="W67" i="15" l="1"/>
  <c r="W8" i="15"/>
  <c r="W42" i="15"/>
  <c r="W77" i="15"/>
  <c r="W29" i="15"/>
  <c r="W39" i="15"/>
  <c r="W63" i="15"/>
  <c r="W81" i="15"/>
  <c r="W74" i="15"/>
  <c r="W61" i="15"/>
  <c r="W15" i="15"/>
  <c r="W83" i="15"/>
  <c r="W56" i="15"/>
  <c r="W69" i="15"/>
  <c r="W72" i="15"/>
  <c r="W58" i="15"/>
  <c r="W16" i="15"/>
  <c r="W52" i="15"/>
  <c r="W60" i="15"/>
  <c r="W48" i="15"/>
  <c r="W18" i="15"/>
  <c r="W12" i="15"/>
  <c r="W14" i="15"/>
  <c r="W28" i="15"/>
  <c r="W65" i="15"/>
  <c r="W35" i="15"/>
  <c r="W37" i="15"/>
  <c r="W71" i="15"/>
  <c r="W54" i="15"/>
  <c r="W68" i="15"/>
  <c r="W45" i="15"/>
  <c r="W66" i="15"/>
  <c r="W79" i="15"/>
  <c r="W3" i="15"/>
  <c r="W27" i="15"/>
  <c r="W21" i="15"/>
  <c r="W4" i="15"/>
  <c r="W44" i="15"/>
  <c r="W32" i="15"/>
  <c r="W46" i="15"/>
  <c r="W13" i="15"/>
  <c r="W43" i="15"/>
  <c r="W25" i="15"/>
  <c r="W80" i="15"/>
  <c r="W23" i="15"/>
  <c r="W57" i="15"/>
  <c r="W47" i="15"/>
  <c r="W24" i="15"/>
  <c r="W31" i="15"/>
  <c r="W62" i="15"/>
  <c r="W40" i="15"/>
  <c r="W22" i="15"/>
  <c r="W70" i="15"/>
  <c r="W51" i="15"/>
  <c r="W59" i="15"/>
  <c r="W78" i="15"/>
  <c r="W86" i="15"/>
  <c r="W33" i="15"/>
  <c r="W87" i="15"/>
  <c r="W36" i="15"/>
  <c r="W88" i="15"/>
  <c r="W7" i="15"/>
  <c r="W19" i="15"/>
  <c r="W34" i="15"/>
  <c r="W64" i="15"/>
  <c r="W41" i="15"/>
  <c r="W38" i="15"/>
  <c r="W20" i="15"/>
  <c r="W49" i="15"/>
  <c r="W26" i="15"/>
  <c r="W53" i="15"/>
  <c r="W84" i="15"/>
  <c r="W50" i="15"/>
  <c r="W10" i="15"/>
  <c r="W55" i="15"/>
  <c r="W76" i="15"/>
  <c r="W30" i="15"/>
  <c r="W17" i="15"/>
  <c r="W75" i="15"/>
  <c r="W11" i="15"/>
  <c r="W9" i="15"/>
  <c r="W6" i="15"/>
  <c r="W5" i="15"/>
  <c r="W82" i="15"/>
  <c r="W85" i="15"/>
  <c r="W73" i="15"/>
  <c r="Y67" i="15"/>
  <c r="AB67" i="15"/>
  <c r="AA67" i="15"/>
  <c r="Z67" i="15"/>
  <c r="X67" i="15"/>
  <c r="X74" i="15"/>
  <c r="AB74" i="15"/>
  <c r="Y74" i="15"/>
  <c r="AA74" i="15"/>
  <c r="Z74" i="15"/>
  <c r="AA16" i="15"/>
  <c r="Y16" i="15"/>
  <c r="AB16" i="15"/>
  <c r="Z16" i="15"/>
  <c r="X16" i="15"/>
  <c r="X65" i="15"/>
  <c r="AA65" i="15"/>
  <c r="Z65" i="15"/>
  <c r="Y65" i="15"/>
  <c r="AB65" i="15"/>
  <c r="Z79" i="15"/>
  <c r="AB79" i="15"/>
  <c r="AA79" i="15"/>
  <c r="X79" i="15"/>
  <c r="Y79" i="15"/>
  <c r="Y13" i="15"/>
  <c r="AB13" i="15"/>
  <c r="Z13" i="15"/>
  <c r="X13" i="15"/>
  <c r="AA13" i="15"/>
  <c r="AB31" i="15"/>
  <c r="AA31" i="15"/>
  <c r="X31" i="15"/>
  <c r="Z31" i="15"/>
  <c r="Y31" i="15"/>
  <c r="Z86" i="15"/>
  <c r="Y86" i="15"/>
  <c r="AA86" i="15"/>
  <c r="X86" i="15"/>
  <c r="AB86" i="15"/>
  <c r="X64" i="15"/>
  <c r="Z64" i="15"/>
  <c r="Y64" i="15"/>
  <c r="AB64" i="15"/>
  <c r="AA64" i="15"/>
  <c r="Y50" i="15"/>
  <c r="Z50" i="15"/>
  <c r="X50" i="15"/>
  <c r="AA50" i="15"/>
  <c r="AB50" i="15"/>
  <c r="AA9" i="15"/>
  <c r="Z9" i="15"/>
  <c r="AB9" i="15"/>
  <c r="X9" i="15"/>
  <c r="Y9" i="15"/>
  <c r="X8" i="15"/>
  <c r="Y8" i="15"/>
  <c r="AB8" i="15"/>
  <c r="Z8" i="15"/>
  <c r="AA8" i="15"/>
  <c r="Z61" i="15"/>
  <c r="AB61" i="15"/>
  <c r="Y61" i="15"/>
  <c r="X61" i="15"/>
  <c r="AA61" i="15"/>
  <c r="X52" i="15"/>
  <c r="Z52" i="15"/>
  <c r="Y52" i="15"/>
  <c r="AA52" i="15"/>
  <c r="AB52" i="15"/>
  <c r="X35" i="15"/>
  <c r="AB35" i="15"/>
  <c r="Y35" i="15"/>
  <c r="AA35" i="15"/>
  <c r="Z35" i="15"/>
  <c r="Y3" i="15"/>
  <c r="AB3" i="15"/>
  <c r="AA3" i="15"/>
  <c r="X3" i="15"/>
  <c r="Z3" i="15"/>
  <c r="AB43" i="15"/>
  <c r="Z43" i="15"/>
  <c r="AA43" i="15"/>
  <c r="Y43" i="15"/>
  <c r="X43" i="15"/>
  <c r="Y62" i="15"/>
  <c r="X62" i="15"/>
  <c r="Z62" i="15"/>
  <c r="AA62" i="15"/>
  <c r="AB62" i="15"/>
  <c r="Z33" i="15"/>
  <c r="Y33" i="15"/>
  <c r="X33" i="15"/>
  <c r="AA33" i="15"/>
  <c r="AB33" i="15"/>
  <c r="X41" i="15"/>
  <c r="AB41" i="15"/>
  <c r="Z41" i="15"/>
  <c r="AA41" i="15"/>
  <c r="Y41" i="15"/>
  <c r="Y10" i="15"/>
  <c r="AA10" i="15"/>
  <c r="AB10" i="15"/>
  <c r="Z10" i="15"/>
  <c r="X10" i="15"/>
  <c r="Z6" i="15"/>
  <c r="X6" i="15"/>
  <c r="Y6" i="15"/>
  <c r="AA6" i="15"/>
  <c r="AB6" i="15"/>
  <c r="X42" i="15"/>
  <c r="AB42" i="15"/>
  <c r="Z42" i="15"/>
  <c r="Y42" i="15"/>
  <c r="AA42" i="15"/>
  <c r="X15" i="15"/>
  <c r="AA15" i="15"/>
  <c r="Z15" i="15"/>
  <c r="Y15" i="15"/>
  <c r="AB15" i="15"/>
  <c r="Y60" i="15"/>
  <c r="Z60" i="15"/>
  <c r="AA60" i="15"/>
  <c r="X60" i="15"/>
  <c r="AB60" i="15"/>
  <c r="AB37" i="15"/>
  <c r="X37" i="15"/>
  <c r="Y37" i="15"/>
  <c r="AA37" i="15"/>
  <c r="Z37" i="15"/>
  <c r="AB27" i="15"/>
  <c r="AA27" i="15"/>
  <c r="Y27" i="15"/>
  <c r="X27" i="15"/>
  <c r="Z27" i="15"/>
  <c r="Z25" i="15"/>
  <c r="AA25" i="15"/>
  <c r="AB25" i="15"/>
  <c r="Y25" i="15"/>
  <c r="X25" i="15"/>
  <c r="Y40" i="15"/>
  <c r="AB40" i="15"/>
  <c r="X40" i="15"/>
  <c r="AA40" i="15"/>
  <c r="Z40" i="15"/>
  <c r="AB87" i="15"/>
  <c r="Z87" i="15"/>
  <c r="X87" i="15"/>
  <c r="Y87" i="15"/>
  <c r="AA87" i="15"/>
  <c r="AA38" i="15"/>
  <c r="X38" i="15"/>
  <c r="Z38" i="15"/>
  <c r="Y38" i="15"/>
  <c r="AB38" i="15"/>
  <c r="AA55" i="15"/>
  <c r="Z55" i="15"/>
  <c r="Y55" i="15"/>
  <c r="X55" i="15"/>
  <c r="AB55" i="15"/>
  <c r="AA5" i="15"/>
  <c r="Z5" i="15"/>
  <c r="Y5" i="15"/>
  <c r="X5" i="15"/>
  <c r="AB5" i="15"/>
  <c r="X77" i="15"/>
  <c r="AB77" i="15"/>
  <c r="Z77" i="15"/>
  <c r="AA77" i="15"/>
  <c r="Y77" i="15"/>
  <c r="Z83" i="15"/>
  <c r="Y83" i="15"/>
  <c r="AA83" i="15"/>
  <c r="X83" i="15"/>
  <c r="AB83" i="15"/>
  <c r="AB48" i="15"/>
  <c r="Y48" i="15"/>
  <c r="X48" i="15"/>
  <c r="Z48" i="15"/>
  <c r="AA48" i="15"/>
  <c r="Y71" i="15"/>
  <c r="X71" i="15"/>
  <c r="AA71" i="15"/>
  <c r="AB71" i="15"/>
  <c r="Z71" i="15"/>
  <c r="AA21" i="15"/>
  <c r="Z21" i="15"/>
  <c r="Y21" i="15"/>
  <c r="AB21" i="15"/>
  <c r="X21" i="15"/>
  <c r="X80" i="15"/>
  <c r="AA80" i="15"/>
  <c r="AB80" i="15"/>
  <c r="Y80" i="15"/>
  <c r="Z80" i="15"/>
  <c r="Y22" i="15"/>
  <c r="AA22" i="15"/>
  <c r="X22" i="15"/>
  <c r="AB22" i="15"/>
  <c r="Z22" i="15"/>
  <c r="Z36" i="15"/>
  <c r="Y36" i="15"/>
  <c r="X36" i="15"/>
  <c r="AA36" i="15"/>
  <c r="AB36" i="15"/>
  <c r="Z20" i="15"/>
  <c r="AA20" i="15"/>
  <c r="AB20" i="15"/>
  <c r="Y20" i="15"/>
  <c r="X20" i="15"/>
  <c r="X76" i="15"/>
  <c r="AB76" i="15"/>
  <c r="Z76" i="15"/>
  <c r="Y76" i="15"/>
  <c r="AA76" i="15"/>
  <c r="Z82" i="15"/>
  <c r="Y82" i="15"/>
  <c r="X82" i="15"/>
  <c r="AB82" i="15"/>
  <c r="AA82" i="15"/>
  <c r="X29" i="15"/>
  <c r="AB29" i="15"/>
  <c r="Y29" i="15"/>
  <c r="AA29" i="15"/>
  <c r="Z29" i="15"/>
  <c r="AA56" i="15"/>
  <c r="Z56" i="15"/>
  <c r="X56" i="15"/>
  <c r="AB56" i="15"/>
  <c r="Y56" i="15"/>
  <c r="Y18" i="15"/>
  <c r="X18" i="15"/>
  <c r="AA18" i="15"/>
  <c r="AB18" i="15"/>
  <c r="Z18" i="15"/>
  <c r="X54" i="15"/>
  <c r="AB54" i="15"/>
  <c r="AA54" i="15"/>
  <c r="Z54" i="15"/>
  <c r="Y54" i="15"/>
  <c r="X4" i="15"/>
  <c r="Y4" i="15"/>
  <c r="AB4" i="15"/>
  <c r="AA4" i="15"/>
  <c r="Z4" i="15"/>
  <c r="Z23" i="15"/>
  <c r="AA23" i="15"/>
  <c r="Y23" i="15"/>
  <c r="AB23" i="15"/>
  <c r="X23" i="15"/>
  <c r="AB70" i="15"/>
  <c r="Z70" i="15"/>
  <c r="Y70" i="15"/>
  <c r="X70" i="15"/>
  <c r="AA70" i="15"/>
  <c r="AA88" i="15"/>
  <c r="Y88" i="15"/>
  <c r="Z88" i="15"/>
  <c r="AB88" i="15"/>
  <c r="X88" i="15"/>
  <c r="AA49" i="15"/>
  <c r="Y49" i="15"/>
  <c r="AB49" i="15"/>
  <c r="X49" i="15"/>
  <c r="Z49" i="15"/>
  <c r="Z30" i="15"/>
  <c r="AB30" i="15"/>
  <c r="Y30" i="15"/>
  <c r="AA30" i="15"/>
  <c r="X30" i="15"/>
  <c r="AA85" i="15"/>
  <c r="X85" i="15"/>
  <c r="Y85" i="15"/>
  <c r="Z85" i="15"/>
  <c r="AB85" i="15"/>
  <c r="Y39" i="15"/>
  <c r="X39" i="15"/>
  <c r="AB39" i="15"/>
  <c r="Z39" i="15"/>
  <c r="AA39" i="15"/>
  <c r="Y69" i="15"/>
  <c r="X69" i="15"/>
  <c r="AA69" i="15"/>
  <c r="AB69" i="15"/>
  <c r="Z69" i="15"/>
  <c r="AA12" i="15"/>
  <c r="Y12" i="15"/>
  <c r="X12" i="15"/>
  <c r="AB12" i="15"/>
  <c r="Z12" i="15"/>
  <c r="AB68" i="15"/>
  <c r="X68" i="15"/>
  <c r="Z68" i="15"/>
  <c r="AA68" i="15"/>
  <c r="Y68" i="15"/>
  <c r="AB44" i="15"/>
  <c r="Z44" i="15"/>
  <c r="X44" i="15"/>
  <c r="Y44" i="15"/>
  <c r="AA44" i="15"/>
  <c r="Y57" i="15"/>
  <c r="X57" i="15"/>
  <c r="AA57" i="15"/>
  <c r="AB57" i="15"/>
  <c r="Z57" i="15"/>
  <c r="X51" i="15"/>
  <c r="AB51" i="15"/>
  <c r="Y51" i="15"/>
  <c r="Z51" i="15"/>
  <c r="AA51" i="15"/>
  <c r="Z7" i="15"/>
  <c r="Y7" i="15"/>
  <c r="AA7" i="15"/>
  <c r="X7" i="15"/>
  <c r="AB7" i="15"/>
  <c r="X26" i="15"/>
  <c r="AA26" i="15"/>
  <c r="AB26" i="15"/>
  <c r="Z26" i="15"/>
  <c r="Y26" i="15"/>
  <c r="Z17" i="15"/>
  <c r="Y17" i="15"/>
  <c r="X17" i="15"/>
  <c r="AA17" i="15"/>
  <c r="AB17" i="15"/>
  <c r="AB73" i="15"/>
  <c r="Y73" i="15"/>
  <c r="Z73" i="15"/>
  <c r="X73" i="15"/>
  <c r="AA73" i="15"/>
  <c r="Z63" i="15"/>
  <c r="AB63" i="15"/>
  <c r="X63" i="15"/>
  <c r="Y63" i="15"/>
  <c r="AA63" i="15"/>
  <c r="AB72" i="15"/>
  <c r="Y72" i="15"/>
  <c r="X72" i="15"/>
  <c r="Z72" i="15"/>
  <c r="AA72" i="15"/>
  <c r="AB14" i="15"/>
  <c r="Y14" i="15"/>
  <c r="X14" i="15"/>
  <c r="Z14" i="15"/>
  <c r="AA14" i="15"/>
  <c r="AB45" i="15"/>
  <c r="Z45" i="15"/>
  <c r="Y45" i="15"/>
  <c r="X45" i="15"/>
  <c r="AA45" i="15"/>
  <c r="AA32" i="15"/>
  <c r="Z32" i="15"/>
  <c r="Y32" i="15"/>
  <c r="X32" i="15"/>
  <c r="AB32" i="15"/>
  <c r="X47" i="15"/>
  <c r="AA47" i="15"/>
  <c r="AB47" i="15"/>
  <c r="Z47" i="15"/>
  <c r="Y47" i="15"/>
  <c r="Y59" i="15"/>
  <c r="X59" i="15"/>
  <c r="Z59" i="15"/>
  <c r="AA59" i="15"/>
  <c r="AB59" i="15"/>
  <c r="Y19" i="15"/>
  <c r="X19" i="15"/>
  <c r="AB19" i="15"/>
  <c r="AA19" i="15"/>
  <c r="Z19" i="15"/>
  <c r="X53" i="15"/>
  <c r="AB53" i="15"/>
  <c r="Z53" i="15"/>
  <c r="Y53" i="15"/>
  <c r="AA53" i="15"/>
  <c r="Y75" i="15"/>
  <c r="AA75" i="15"/>
  <c r="X75" i="15"/>
  <c r="AB75" i="15"/>
  <c r="Z75" i="15"/>
  <c r="AA81" i="15"/>
  <c r="Z81" i="15"/>
  <c r="X81" i="15"/>
  <c r="Y81" i="15"/>
  <c r="AB81" i="15"/>
  <c r="AA58" i="15"/>
  <c r="X58" i="15"/>
  <c r="AB58" i="15"/>
  <c r="Z58" i="15"/>
  <c r="Y58" i="15"/>
  <c r="X28" i="15"/>
  <c r="Y28" i="15"/>
  <c r="Z28" i="15"/>
  <c r="AB28" i="15"/>
  <c r="AA28" i="15"/>
  <c r="Y66" i="15"/>
  <c r="Z66" i="15"/>
  <c r="AA66" i="15"/>
  <c r="AB66" i="15"/>
  <c r="X66" i="15"/>
  <c r="Y46" i="15"/>
  <c r="Z46" i="15"/>
  <c r="X46" i="15"/>
  <c r="AA46" i="15"/>
  <c r="AB46" i="15"/>
  <c r="AB24" i="15"/>
  <c r="Y24" i="15"/>
  <c r="Z24" i="15"/>
  <c r="AA24" i="15"/>
  <c r="X24" i="15"/>
  <c r="Z78" i="15"/>
  <c r="AB78" i="15"/>
  <c r="AA78" i="15"/>
  <c r="X78" i="15"/>
  <c r="Y78" i="15"/>
  <c r="Z34" i="15"/>
  <c r="Y34" i="15"/>
  <c r="AA34" i="15"/>
  <c r="X34" i="15"/>
  <c r="AB34" i="15"/>
  <c r="AB84" i="15"/>
  <c r="X84" i="15"/>
  <c r="Y84" i="15"/>
  <c r="Z84" i="15"/>
  <c r="AA84" i="15"/>
  <c r="AB11" i="15"/>
  <c r="X11" i="15"/>
  <c r="AA11" i="15"/>
  <c r="Y11" i="15"/>
  <c r="Z11" i="15"/>
  <c r="V11" i="15" l="1"/>
  <c r="V84" i="15"/>
  <c r="V34" i="15"/>
  <c r="V78" i="15"/>
  <c r="V24" i="15"/>
  <c r="V46" i="15"/>
  <c r="V66" i="15"/>
  <c r="V28" i="15"/>
  <c r="V58" i="15"/>
  <c r="V81" i="15"/>
  <c r="V75" i="15"/>
  <c r="V53" i="15"/>
  <c r="V19" i="15"/>
  <c r="V59" i="15"/>
  <c r="V47" i="15"/>
  <c r="V32" i="15"/>
  <c r="V45" i="15"/>
  <c r="V14" i="15"/>
  <c r="V72" i="15"/>
  <c r="V63" i="15"/>
  <c r="V73" i="15"/>
  <c r="V17" i="15"/>
  <c r="V26" i="15"/>
  <c r="V7" i="15"/>
  <c r="V51" i="15"/>
  <c r="V57" i="15"/>
  <c r="V44" i="15"/>
  <c r="V68" i="15"/>
  <c r="V12" i="15"/>
  <c r="V69" i="15"/>
  <c r="V39" i="15"/>
  <c r="V85" i="15"/>
  <c r="V30" i="15"/>
  <c r="V49" i="15"/>
  <c r="V88" i="15"/>
  <c r="V70" i="15"/>
  <c r="V23" i="15"/>
  <c r="V4" i="15"/>
  <c r="V54" i="15"/>
  <c r="V18" i="15"/>
  <c r="V56" i="15"/>
  <c r="V29" i="15"/>
  <c r="V82" i="15"/>
  <c r="V76" i="15"/>
  <c r="V20" i="15"/>
  <c r="V36" i="15"/>
  <c r="V22" i="15"/>
  <c r="V80" i="15"/>
  <c r="V21" i="15"/>
  <c r="V71" i="15"/>
  <c r="V48" i="15"/>
  <c r="V83" i="15"/>
  <c r="V77" i="15"/>
  <c r="V5" i="15"/>
  <c r="V55" i="15"/>
  <c r="V38" i="15"/>
  <c r="V87" i="15"/>
  <c r="V40" i="15"/>
  <c r="V25" i="15"/>
  <c r="V27" i="15"/>
  <c r="V37" i="15"/>
  <c r="V60" i="15"/>
  <c r="V15" i="15"/>
  <c r="V42" i="15"/>
  <c r="V6" i="15"/>
  <c r="V10" i="15"/>
  <c r="V41" i="15"/>
  <c r="V33" i="15"/>
  <c r="V62" i="15"/>
  <c r="V43" i="15"/>
  <c r="V3" i="15"/>
  <c r="V35" i="15"/>
  <c r="V52" i="15"/>
  <c r="V61" i="15"/>
  <c r="V8" i="15"/>
  <c r="V9" i="15"/>
  <c r="V50" i="15"/>
  <c r="V64" i="15"/>
  <c r="V86" i="15"/>
  <c r="V31" i="15"/>
  <c r="V13" i="15"/>
  <c r="V79" i="15"/>
  <c r="V65" i="15"/>
  <c r="V16" i="15"/>
  <c r="V74" i="15"/>
  <c r="V67" i="15"/>
  <c r="I14" i="1" l="1"/>
  <c r="I15" i="1"/>
  <c r="H23" i="1"/>
  <c r="H22" i="1"/>
  <c r="AC2" i="15" a="1"/>
  <c r="I22" i="1"/>
  <c r="AC84" i="15" l="1"/>
  <c r="AC12" i="15"/>
  <c r="AC25" i="15"/>
  <c r="AC33" i="15"/>
  <c r="AC61" i="15"/>
  <c r="AC17" i="15"/>
  <c r="AC19" i="15"/>
  <c r="AC9" i="15"/>
  <c r="AC27" i="15"/>
  <c r="AC52" i="15"/>
  <c r="AC71" i="15"/>
  <c r="AC47" i="15"/>
  <c r="AC13" i="15"/>
  <c r="AC63" i="15"/>
  <c r="AC37" i="15"/>
  <c r="AC59" i="15"/>
  <c r="AC79" i="15"/>
  <c r="AC65" i="15"/>
  <c r="AC10" i="15"/>
  <c r="AC80" i="15"/>
  <c r="AC38" i="15"/>
  <c r="AC50" i="15"/>
  <c r="AC86" i="15"/>
  <c r="AC54" i="15"/>
  <c r="AC42" i="15"/>
  <c r="AC43" i="15"/>
  <c r="AC67" i="15"/>
  <c r="AC48" i="15"/>
  <c r="AC46" i="15"/>
  <c r="AC3" i="15"/>
  <c r="AC77" i="15"/>
  <c r="AC58" i="15"/>
  <c r="AC83" i="15"/>
  <c r="AC23" i="15"/>
  <c r="AC62" i="15"/>
  <c r="AC82" i="15"/>
  <c r="AC18" i="15"/>
  <c r="AC2" i="15"/>
  <c r="AC24" i="15"/>
  <c r="AC11" i="15"/>
  <c r="AC72" i="15"/>
  <c r="AC76" i="15"/>
  <c r="AC14" i="15"/>
  <c r="AC60" i="15"/>
  <c r="AC45" i="15"/>
  <c r="AC41" i="15"/>
  <c r="AC73" i="15"/>
  <c r="AC15" i="15"/>
  <c r="AC32" i="15"/>
  <c r="AC81" i="15"/>
  <c r="AC69" i="15"/>
  <c r="AC57" i="15"/>
  <c r="AC74" i="15"/>
  <c r="AC21" i="15"/>
  <c r="AC28" i="15"/>
  <c r="AC55" i="15"/>
  <c r="AC40" i="15"/>
  <c r="AC36" i="15"/>
  <c r="AC68" i="15"/>
  <c r="AC39" i="15"/>
  <c r="AC35" i="15"/>
  <c r="AC31" i="15"/>
  <c r="AC44" i="15"/>
  <c r="AC26" i="15"/>
  <c r="AC64" i="15"/>
  <c r="AC34" i="15"/>
  <c r="AC85" i="15"/>
  <c r="AC5" i="15"/>
  <c r="AC20" i="15"/>
  <c r="AC6" i="15"/>
  <c r="AC22" i="15"/>
  <c r="AC51" i="15"/>
  <c r="AC56" i="15"/>
  <c r="AC7" i="15"/>
  <c r="AC8" i="15"/>
  <c r="AC30" i="15"/>
  <c r="AC66" i="15"/>
  <c r="AC16" i="15"/>
  <c r="AC49" i="15"/>
  <c r="AC53" i="15"/>
  <c r="AC75" i="15"/>
  <c r="AC70" i="15"/>
  <c r="AC78" i="15"/>
  <c r="AC29" i="15"/>
  <c r="AC87" i="15"/>
  <c r="AC88" i="15"/>
  <c r="AC4" i="15"/>
  <c r="I23" i="1"/>
  <c r="I24" i="1"/>
  <c r="I25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<sst xmlns="http://schemas.openxmlformats.org/spreadsheetml/2006/main" count="1597" uniqueCount="163">
  <si>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</si>
  <si>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</si>
  <si>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</si>
  <si>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</si>
  <si>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</si>
  <si>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</si>
  <si>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</si>
  <si>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</si>
  <si>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</si>
  <si>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</si>
  <si>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</si>
  <si>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</si>
  <si>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</si>
  <si>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</si>
  <si>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</si>
  <si>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</si>
  <si>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</si>
  <si>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</si>
  <si>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</si>
  <si>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</si>
  <si>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</si>
  <si>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</si>
  <si>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</si>
  <si>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</si>
  <si>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</si>
  <si>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</si>
  <si>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</si>
  <si>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</si>
  <si>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</si>
  <si>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</si>
  <si>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</si>
  <si>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</si>
  <si>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</si>
  <si>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</si>
  <si>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</si>
  <si>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</si>
  <si>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USD</t>
  </si>
  <si>
    <t>JoinCalendar Rule</t>
  </si>
  <si>
    <t>JoinHolidays</t>
  </si>
  <si>
    <t>GB Calendar</t>
  </si>
  <si>
    <t>US Calendar</t>
  </si>
  <si>
    <t>UnitedStates::Settlement</t>
  </si>
  <si>
    <t>JoinCalendar</t>
  </si>
  <si>
    <t>Family Name</t>
  </si>
  <si>
    <t>Libor</t>
  </si>
  <si>
    <t>UnitedKingdom::Exchange</t>
  </si>
  <si>
    <t>HolidayCheck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</si>
  <si>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</si>
  <si>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</si>
  <si>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</si>
  <si>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</si>
  <si>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</si>
  <si>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</si>
  <si>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</si>
  <si>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</si>
  <si>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</si>
  <si>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</si>
  <si>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</si>
  <si>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</si>
  <si>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</si>
  <si>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</si>
  <si>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</si>
  <si>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</si>
  <si>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</si>
  <si>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</si>
  <si>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</si>
  <si>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</si>
  <si>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</si>
  <si>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</si>
  <si>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</si>
  <si>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</si>
  <si>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</si>
  <si>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2Y</t>
  </si>
  <si>
    <t>27M</t>
  </si>
  <si>
    <t>30M</t>
  </si>
  <si>
    <t>33M</t>
  </si>
  <si>
    <t>3Y</t>
  </si>
  <si>
    <t>39M</t>
  </si>
  <si>
    <t>42M</t>
  </si>
  <si>
    <t>45M</t>
  </si>
  <si>
    <t>4Y</t>
  </si>
  <si>
    <t>51M</t>
  </si>
  <si>
    <t>54M</t>
  </si>
  <si>
    <t>57M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</si>
  <si>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</si>
  <si>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</si>
  <si>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</si>
  <si>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</si>
  <si>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</si>
  <si>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</si>
  <si>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</si>
  <si>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</si>
  <si>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</si>
  <si>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</si>
  <si>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</si>
  <si>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</si>
  <si>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</si>
  <si>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</si>
  <si>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</si>
  <si>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</si>
  <si>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OIS</t>
  </si>
  <si>
    <t>QuoteSuffix</t>
  </si>
  <si>
    <t>_Quote</t>
  </si>
  <si>
    <t>TN</t>
  </si>
  <si>
    <t>SN</t>
  </si>
  <si>
    <t>FedFunds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</si>
  <si>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</si>
  <si>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</si>
  <si>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</si>
  <si>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</si>
  <si>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</si>
  <si>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</si>
  <si>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</si>
  <si>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</si>
  <si>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</si>
  <si>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</si>
  <si>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</si>
  <si>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</si>
  <si>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</si>
  <si>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</si>
  <si>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</si>
  <si>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</si>
  <si>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</si>
  <si>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</si>
  <si>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</si>
  <si>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</si>
  <si>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</si>
  <si>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</si>
  <si>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</si>
  <si>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</si>
  <si>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</si>
  <si>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</si>
  <si>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</si>
  <si>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</si>
  <si>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</si>
  <si>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</si>
  <si>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</si>
  <si>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</si>
  <si>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</si>
  <si>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</si>
  <si>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</si>
  <si>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</si>
  <si>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</si>
  <si>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</si>
  <si>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</si>
  <si>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</si>
  <si>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</si>
  <si>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</si>
  <si>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</si>
  <si>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AM</t>
  </si>
  <si>
    <t>3L</t>
  </si>
  <si>
    <t>fwd</t>
  </si>
  <si>
    <t>Day Count</t>
  </si>
  <si>
    <t>qlFraRateHelper(,H12,B12&amp;"M",G12,PillarDate,,Permanent,Trigger,ObjectOverwrite)</t>
  </si>
  <si>
    <t>qlSwapRateHelper2(,H90,,B90&amp;"M",JoinCalendar,USD3M!D90,USD3M!E90,USD3M!F90,USD3M!G90,USD3M!I90,USD3M!C90,Discounting,PillarDate,,Permanent,Trigger,ObjectOverwrite)</t>
  </si>
  <si>
    <t>55Y</t>
  </si>
  <si>
    <t>6L</t>
  </si>
  <si>
    <t>12M</t>
  </si>
  <si>
    <t>X1S</t>
  </si>
  <si>
    <t>1L</t>
  </si>
  <si>
    <t>BasSw</t>
  </si>
  <si>
    <t>12L</t>
  </si>
  <si>
    <t>Extrapolation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</si>
</sst>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6" formatCode="&quot;£&quot;#,##0;[Red]\-&quot;£&quot;#,##0"/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</cellStyleXfs>
  <cellXfs count="194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right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167" fontId="3" fillId="2" borderId="3" xfId="1" applyNumberFormat="1" applyFont="1" applyFill="1" applyBorder="1" applyAlignment="1">
      <alignment horizontal="center"/>
    </xf>
    <xf numFmtId="167" fontId="3" fillId="2" borderId="10" xfId="1" applyNumberFormat="1" applyFont="1" applyFill="1" applyBorder="1" applyAlignment="1">
      <alignment vertic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7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5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5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5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5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5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7" fontId="5" fillId="0" borderId="8" xfId="0" applyNumberFormat="1" applyFont="1" applyBorder="1" applyAlignment="1">
      <alignment horizontal="center"/>
    </xf>
    <xf numFmtId="177" fontId="5" fillId="0" borderId="6" xfId="0" applyNumberFormat="1" applyFont="1" applyBorder="1" applyAlignment="1">
      <alignment horizontal="center"/>
    </xf>
    <xf numFmtId="177" fontId="5" fillId="0" borderId="1" xfId="0" applyNumberFormat="1" applyFont="1" applyBorder="1" applyAlignment="1">
      <alignment horizontal="center"/>
    </xf>
    <xf numFmtId="15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vertical="center"/>
    </xf>
    <xf numFmtId="166" fontId="3" fillId="3" borderId="1" xfId="1" applyNumberFormat="1" applyFont="1" applyFill="1" applyBorder="1" applyAlignment="1">
      <alignment vertical="center"/>
    </xf>
    <xf numFmtId="172" fontId="3" fillId="9" borderId="3" xfId="1" applyNumberFormat="1" applyFont="1" applyFill="1" applyBorder="1" applyAlignment="1">
      <alignment horizontal="center"/>
    </xf>
    <xf numFmtId="0" fontId="5" fillId="8" borderId="4" xfId="0" applyFont="1" applyFill="1" applyBorder="1"/>
    <xf numFmtId="0" fontId="5" fillId="9" borderId="1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sheetDataSet>
      <sheetData sheetId="0"/>
      <sheetData sheetId="1">
        <row r="6">
          <cell r="D6" t="str">
            <v>USDON#0000</v>
          </cell>
        </row>
        <row r="8">
          <cell r="D8" t="str">
            <v>USD1M#0000</v>
          </cell>
        </row>
        <row r="10">
          <cell r="D10" t="str">
            <v>USD3M#0000</v>
          </cell>
        </row>
        <row r="11">
          <cell r="D11" t="str">
            <v>USD6M#0000</v>
          </cell>
        </row>
        <row r="12">
          <cell r="D12" t="str">
            <v>USD1Y#0000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6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51" customWidth="1"/>
    <col min="3" max="3" width="20.28515625" style="51" bestFit="1" customWidth="1"/>
    <col min="4" max="4" width="30.7109375" style="51" customWidth="1"/>
    <col min="5" max="7" width="2.7109375" style="51" customWidth="1"/>
    <col min="8" max="8" width="20.28515625" style="51" bestFit="1" customWidth="1"/>
    <col min="9" max="9" width="30.7109375" style="51" customWidth="1"/>
    <col min="10" max="10" width="2.7109375" style="51" customWidth="1"/>
    <col min="11" max="13" width="9.140625" style="51"/>
    <col min="14" max="14" width="9.7109375" style="51" bestFit="1" customWidth="1"/>
    <col min="15" max="16384" width="9.140625" style="51"/>
  </cols>
  <sheetData>
    <row r="2" spans="1:10" x14ac:dyDescent="0.2">
      <c r="B2" s="91"/>
      <c r="C2" s="92"/>
      <c r="D2" s="92"/>
      <c r="E2" s="93"/>
      <c r="G2" s="91"/>
      <c r="H2" s="92"/>
      <c r="I2" s="92"/>
      <c r="J2" s="93"/>
    </row>
    <row r="3" spans="1:10" ht="11.25" customHeight="1" x14ac:dyDescent="0.2">
      <c r="B3" s="96"/>
      <c r="C3" s="14" t="s">
        <v>22</v>
      </c>
      <c r="D3" s="88" t="s">
        <v>36</v>
      </c>
      <c r="E3" s="94"/>
      <c r="G3" s="96"/>
      <c r="H3" s="14" t="s">
        <v>31</v>
      </c>
      <c r="I3" s="15">
        <f>_xll.qlSettingsEvaluationDate(Trigger)</f>
        <v>42257</v>
      </c>
      <c r="J3" s="94"/>
    </row>
    <row r="4" spans="1:10" ht="11.25" customHeight="1" x14ac:dyDescent="0.2">
      <c r="B4" s="96"/>
      <c r="C4" s="16" t="s">
        <v>19</v>
      </c>
      <c r="D4" s="18" t="b">
        <v>1</v>
      </c>
      <c r="E4" s="94"/>
      <c r="G4" s="96"/>
      <c r="H4" s="16" t="s">
        <v>32</v>
      </c>
      <c r="I4" s="17">
        <f>_xll.qlCalendarAdvance(Calendar,Evaluationdate,"2D","F",,Trigger)</f>
        <v>42261</v>
      </c>
      <c r="J4" s="94"/>
    </row>
    <row r="5" spans="1:10" ht="11.25" customHeight="1" x14ac:dyDescent="0.2">
      <c r="A5" s="53"/>
      <c r="B5" s="97"/>
      <c r="C5" s="22" t="s">
        <v>18</v>
      </c>
      <c r="D5" s="23"/>
      <c r="E5" s="94"/>
      <c r="G5" s="96"/>
      <c r="H5" s="16" t="s">
        <v>37</v>
      </c>
      <c r="I5" s="17" t="s">
        <v>38</v>
      </c>
      <c r="J5" s="94"/>
    </row>
    <row r="6" spans="1:10" ht="11.25" customHeight="1" x14ac:dyDescent="0.2">
      <c r="A6" s="53"/>
      <c r="B6" s="97"/>
      <c r="C6" s="16" t="s">
        <v>20</v>
      </c>
      <c r="D6" s="18" t="b">
        <v>1</v>
      </c>
      <c r="E6" s="94"/>
      <c r="G6" s="96"/>
      <c r="H6" s="16" t="s">
        <v>39</v>
      </c>
      <c r="I6" s="17" t="s">
        <v>45</v>
      </c>
      <c r="J6" s="94"/>
    </row>
    <row r="7" spans="1:10" ht="11.25" customHeight="1" x14ac:dyDescent="0.2">
      <c r="A7" s="53"/>
      <c r="B7" s="97"/>
      <c r="C7" s="16" t="s">
        <v>21</v>
      </c>
      <c r="D7" s="19" t="str">
        <f>Currency&amp;"ON"</f>
        <v>USDON</v>
      </c>
      <c r="E7" s="94"/>
      <c r="G7" s="96"/>
      <c r="H7" s="16" t="s">
        <v>40</v>
      </c>
      <c r="I7" s="17" t="s">
        <v>41</v>
      </c>
      <c r="J7" s="94"/>
    </row>
    <row r="8" spans="1:10" ht="11.25" customHeight="1" x14ac:dyDescent="0.2">
      <c r="A8" s="53"/>
      <c r="B8" s="97"/>
      <c r="C8" s="16" t="s">
        <v>43</v>
      </c>
      <c r="D8" s="19" t="s">
        <v>44</v>
      </c>
      <c r="E8" s="94"/>
      <c r="G8" s="96"/>
      <c r="H8" s="16" t="s">
        <v>42</v>
      </c>
      <c r="I8" s="90" t="str">
        <f>I5&amp;"("&amp;I6&amp;","&amp;I7&amp;")"</f>
        <v>JoinHolidays(UnitedKingdom::Exchange,UnitedStates::Settlement)</v>
      </c>
      <c r="J8" s="94" t="s">
        <v>47</v>
      </c>
    </row>
    <row r="9" spans="1:10" ht="11.25" customHeight="1" x14ac:dyDescent="0.2">
      <c r="B9" s="98"/>
      <c r="C9" s="20" t="s">
        <v>101</v>
      </c>
      <c r="D9" s="21" t="s">
        <v>102</v>
      </c>
      <c r="E9" s="94"/>
      <c r="G9" s="96"/>
      <c r="H9" s="20" t="s">
        <v>46</v>
      </c>
      <c r="I9" s="89" t="b">
        <f>IF(_xll.qlCalendarIsHoliday(LocalCalendar,_xll.qlCalendarAdvance(LiborCalendar,Evaluationdate,"2D",,,Trigger),Trigger),TRUE,FALSE)</f>
        <v>0</v>
      </c>
      <c r="J9" s="94"/>
    </row>
    <row r="10" spans="1:10" ht="11.25" customHeight="1" x14ac:dyDescent="0.2">
      <c r="B10" s="98"/>
      <c r="C10" s="20" t="s">
        <v>109</v>
      </c>
      <c r="D10" s="173" t="s">
        <v>110</v>
      </c>
      <c r="E10" s="94"/>
      <c r="G10" s="96"/>
      <c r="H10" s="22" t="s">
        <v>14</v>
      </c>
      <c r="I10" s="104" t="str">
        <f>IF(HolidayCheck,JoinCalendar,LiborCalendar)</f>
        <v>UnitedKingdom::Exchange</v>
      </c>
      <c r="J10" s="94"/>
    </row>
    <row r="11" spans="1:10" ht="11.25" customHeight="1" x14ac:dyDescent="0.2">
      <c r="B11" s="99"/>
      <c r="C11" s="100"/>
      <c r="D11" s="101"/>
      <c r="E11" s="95"/>
      <c r="G11" s="102"/>
      <c r="H11" s="100"/>
      <c r="I11" s="103"/>
      <c r="J11" s="95"/>
    </row>
    <row r="12" spans="1:10" ht="11.25" customHeight="1" x14ac:dyDescent="0.2"/>
    <row r="13" spans="1:10" x14ac:dyDescent="0.2">
      <c r="B13" s="40"/>
      <c r="C13" s="41"/>
      <c r="D13" s="41"/>
      <c r="E13" s="42"/>
      <c r="G13" s="40"/>
      <c r="H13" s="41"/>
      <c r="I13" s="41"/>
      <c r="J13" s="42"/>
    </row>
    <row r="14" spans="1:10" x14ac:dyDescent="0.2">
      <c r="B14" s="25"/>
      <c r="C14" s="24" t="s">
        <v>10</v>
      </c>
      <c r="D14" s="44" t="str">
        <f>_xll.qlPiecewiseYieldCurve($D$16,$D$17,Calendar,_xll.ohPack(USDON!S3:S56),,,,D18,D19,D20,Permanent,,ObjectOverwrite)</f>
        <v>_USDON#0007</v>
      </c>
      <c r="E14" s="45"/>
      <c r="G14" s="25"/>
      <c r="H14" s="24" t="s">
        <v>10</v>
      </c>
      <c r="I14" s="44" t="str">
        <f>_xll.qlPiecewiseYieldCurve(I16,I17,Calendar,_xll.ohPack(USD3M!W3:W88),,,,I18,I19,I20,Permanent,,ObjectOverwrite)</f>
        <v>_USD3M#0014</v>
      </c>
      <c r="J14" s="45"/>
    </row>
    <row r="15" spans="1:10" x14ac:dyDescent="0.2">
      <c r="B15" s="25"/>
      <c r="C15" s="26" t="s">
        <v>11</v>
      </c>
      <c r="D15" s="46" t="str">
        <f>_xll.ohRangeRetrieveError(YieldCurve_ON)</f>
        <v/>
      </c>
      <c r="E15" s="45"/>
      <c r="G15" s="25"/>
      <c r="H15" s="26" t="s">
        <v>11</v>
      </c>
      <c r="I15" s="46" t="str">
        <f>_xll.ohRangeRetrieveError(YieldCurve_3M)</f>
        <v/>
      </c>
      <c r="J15" s="45"/>
    </row>
    <row r="16" spans="1:10" x14ac:dyDescent="0.2">
      <c r="B16" s="25"/>
      <c r="C16" s="24" t="s">
        <v>12</v>
      </c>
      <c r="D16" s="27" t="str">
        <f>"_"&amp;Currency&amp;"ON"</f>
        <v>_USDON</v>
      </c>
      <c r="E16" s="45"/>
      <c r="G16" s="25"/>
      <c r="H16" s="24" t="s">
        <v>12</v>
      </c>
      <c r="I16" s="27" t="str">
        <f>"_"&amp;Currency&amp;"3M"</f>
        <v>_USD3M</v>
      </c>
      <c r="J16" s="45"/>
    </row>
    <row r="17" spans="1:10" x14ac:dyDescent="0.2">
      <c r="B17" s="25"/>
      <c r="C17" s="28" t="s">
        <v>13</v>
      </c>
      <c r="D17" s="29">
        <v>0</v>
      </c>
      <c r="E17" s="45"/>
      <c r="G17" s="25"/>
      <c r="H17" s="28" t="s">
        <v>13</v>
      </c>
      <c r="I17" s="29">
        <v>2</v>
      </c>
      <c r="J17" s="45"/>
    </row>
    <row r="18" spans="1:10" x14ac:dyDescent="0.2">
      <c r="B18" s="25"/>
      <c r="C18" s="28" t="s">
        <v>15</v>
      </c>
      <c r="D18" s="30"/>
      <c r="E18" s="45"/>
      <c r="G18" s="25"/>
      <c r="H18" s="28" t="s">
        <v>15</v>
      </c>
      <c r="I18" s="30"/>
      <c r="J18" s="45"/>
    </row>
    <row r="19" spans="1:10" x14ac:dyDescent="0.2">
      <c r="B19" s="25"/>
      <c r="C19" s="28" t="s">
        <v>16</v>
      </c>
      <c r="D19" s="31" t="s">
        <v>33</v>
      </c>
      <c r="E19" s="45"/>
      <c r="G19" s="25"/>
      <c r="H19" s="28" t="s">
        <v>16</v>
      </c>
      <c r="I19" s="31" t="s">
        <v>33</v>
      </c>
      <c r="J19" s="45"/>
    </row>
    <row r="20" spans="1:10" x14ac:dyDescent="0.2">
      <c r="B20" s="25"/>
      <c r="C20" s="26" t="s">
        <v>17</v>
      </c>
      <c r="D20" s="32" t="s">
        <v>48</v>
      </c>
      <c r="E20" s="45"/>
      <c r="G20" s="25"/>
      <c r="H20" s="26" t="s">
        <v>17</v>
      </c>
      <c r="I20" s="32" t="s">
        <v>48</v>
      </c>
      <c r="J20" s="45"/>
    </row>
    <row r="21" spans="1:10" x14ac:dyDescent="0.2">
      <c r="B21" s="25"/>
      <c r="C21" s="33"/>
      <c r="D21" s="33"/>
      <c r="E21" s="45"/>
      <c r="G21" s="25"/>
      <c r="H21" s="33"/>
      <c r="I21" s="33"/>
      <c r="J21" s="45"/>
    </row>
    <row r="22" spans="1:10" x14ac:dyDescent="0.2">
      <c r="B22" s="25"/>
      <c r="C22" s="34">
        <f>_xll.qlTermStructureReferenceDate(YieldCurve_ON)</f>
        <v>42257</v>
      </c>
      <c r="D22" s="35">
        <f>_xll.qlYieldTSDiscount(YieldCurve_ON,C22,,Trigger)</f>
        <v>1</v>
      </c>
      <c r="E22" s="45"/>
      <c r="G22" s="25"/>
      <c r="H22" s="34">
        <f>_xll.qlTermStructureReferenceDate(YieldCurve_3M)</f>
        <v>42261</v>
      </c>
      <c r="I22" s="35">
        <f>_xll.qlYieldTSDiscount(YieldCurve_3M,H22,,Trigger)</f>
        <v>1</v>
      </c>
      <c r="J22" s="45"/>
    </row>
    <row r="23" spans="1:10" x14ac:dyDescent="0.2">
      <c r="B23" s="25"/>
      <c r="C23" s="36">
        <f>_xll.qlTermStructureMaxDate(YieldCurve_ON,Trigger)</f>
        <v>60531</v>
      </c>
      <c r="D23" s="37">
        <f>_xll.qlYieldTSDiscount(YieldCurve_ON,C23,,Trigger)</f>
        <v>0.28072649243108549</v>
      </c>
      <c r="E23" s="45"/>
      <c r="G23" s="25"/>
      <c r="H23" s="36">
        <f>_xll.qlTermStructureMaxDate(YieldCurve_3M,Trigger)</f>
        <v>60531</v>
      </c>
      <c r="I23" s="37">
        <f>_xll.qlYieldTSDiscount(YieldCurve_3M,H23,,Trigger)</f>
        <v>0.25524727514371165</v>
      </c>
      <c r="J23" s="45"/>
    </row>
    <row r="24" spans="1:10" x14ac:dyDescent="0.2">
      <c r="B24" s="25"/>
      <c r="C24" s="36" t="str">
        <f>[1]Libor!$D$6</f>
        <v>USDON#0000</v>
      </c>
      <c r="D24" s="37" t="b">
        <f>_xll.qlRelinkableHandleLinkTo(C24,D14,Trigger)</f>
        <v>1</v>
      </c>
      <c r="E24" s="45"/>
      <c r="G24" s="25"/>
      <c r="H24" s="36" t="str">
        <f>[1]Libor!$D$10</f>
        <v>USD3M#0000</v>
      </c>
      <c r="I24" s="37" t="b">
        <f>_xll.qlRelinkableHandleLinkTo(H24,I14,Trigger)</f>
        <v>1</v>
      </c>
      <c r="J24" s="45"/>
    </row>
    <row r="25" spans="1:10" x14ac:dyDescent="0.2">
      <c r="B25" s="25"/>
      <c r="C25" s="38" t="s">
        <v>162</v>
      </c>
      <c r="D25" s="39" t="b">
        <f>_xll.qlExtrapolatorEnableExtrapolation(YieldCurve_ON,,Trigger)</f>
        <v>1</v>
      </c>
      <c r="E25" s="45"/>
      <c r="G25" s="25"/>
      <c r="H25" s="38" t="s">
        <v>162</v>
      </c>
      <c r="I25" s="39" t="b">
        <f>_xll.qlExtrapolatorEnableExtrapolation(YieldCurve_3M,,Trigger)</f>
        <v>1</v>
      </c>
      <c r="J25" s="45"/>
    </row>
    <row r="26" spans="1:10" x14ac:dyDescent="0.2">
      <c r="B26" s="47"/>
      <c r="C26" s="48"/>
      <c r="D26" s="48"/>
      <c r="E26" s="49"/>
      <c r="G26" s="47"/>
      <c r="H26" s="48"/>
      <c r="I26" s="48"/>
      <c r="J26" s="49"/>
    </row>
    <row r="27" spans="1:10" x14ac:dyDescent="0.2">
      <c r="A27" s="53"/>
      <c r="B27" s="53"/>
      <c r="C27" s="53"/>
      <c r="D27" s="53"/>
      <c r="E27" s="53"/>
      <c r="G27" s="53"/>
      <c r="H27" s="53"/>
      <c r="I27" s="53"/>
      <c r="J27" s="53"/>
    </row>
    <row r="28" spans="1:10" x14ac:dyDescent="0.2">
      <c r="B28" s="40"/>
      <c r="C28" s="50"/>
      <c r="D28" s="50"/>
      <c r="E28" s="42"/>
      <c r="F28" s="52"/>
      <c r="G28" s="40"/>
      <c r="H28" s="41"/>
      <c r="I28" s="41"/>
      <c r="J28" s="42"/>
    </row>
    <row r="29" spans="1:10" x14ac:dyDescent="0.2">
      <c r="B29" s="43"/>
      <c r="C29" s="24" t="s">
        <v>10</v>
      </c>
      <c r="D29" s="44" t="str">
        <f>_xll.qlPiecewiseYieldCurve(D31,D32,Calendar,_xll.ohPack(USD6M!W3:W66),,,,D33,D34,D35,Permanent,,ObjectOverwrite)</f>
        <v>_USD6M#0014</v>
      </c>
      <c r="E29" s="45"/>
      <c r="F29" s="52"/>
      <c r="G29" s="25"/>
      <c r="H29" s="24" t="s">
        <v>10</v>
      </c>
      <c r="I29" s="44" t="e">
        <f ca="1">_xll.qlPiecewiseYieldCurve(I31,I32,Calendar,_xll.ohPack(USD1M!W3:W55),,,,I33,I34,I35,Permanent,,ObjectOverwrite)</f>
        <v>#NAME?</v>
      </c>
      <c r="J29" s="45"/>
    </row>
    <row r="30" spans="1:10" x14ac:dyDescent="0.2">
      <c r="B30" s="43"/>
      <c r="C30" s="26" t="s">
        <v>11</v>
      </c>
      <c r="D30" s="46" t="str">
        <f>_xll.ohRangeRetrieveError(YieldCurve_6M)</f>
        <v/>
      </c>
      <c r="E30" s="45"/>
      <c r="F30" s="52"/>
      <c r="G30" s="25"/>
      <c r="H30" s="26" t="s">
        <v>11</v>
      </c>
      <c r="I30" s="46" t="e">
        <f ca="1">_xll.ohRangeRetrieveError(YieldCurve_1M)</f>
        <v>#NAME?</v>
      </c>
      <c r="J30" s="45"/>
    </row>
    <row r="31" spans="1:10" x14ac:dyDescent="0.2">
      <c r="B31" s="25"/>
      <c r="C31" s="24" t="s">
        <v>12</v>
      </c>
      <c r="D31" s="27" t="str">
        <f>"_"&amp;Currency&amp;"6M"</f>
        <v>_USD6M</v>
      </c>
      <c r="E31" s="45"/>
      <c r="F31" s="52"/>
      <c r="G31" s="25"/>
      <c r="H31" s="24" t="s">
        <v>12</v>
      </c>
      <c r="I31" s="27" t="str">
        <f>"_"&amp;Currency&amp;"1M"</f>
        <v>_USD1M</v>
      </c>
      <c r="J31" s="45"/>
    </row>
    <row r="32" spans="1:10" x14ac:dyDescent="0.2">
      <c r="B32" s="25"/>
      <c r="C32" s="28" t="s">
        <v>13</v>
      </c>
      <c r="D32" s="29">
        <v>2</v>
      </c>
      <c r="E32" s="45"/>
      <c r="F32" s="52"/>
      <c r="G32" s="25"/>
      <c r="H32" s="28" t="s">
        <v>13</v>
      </c>
      <c r="I32" s="29">
        <v>2</v>
      </c>
      <c r="J32" s="45"/>
    </row>
    <row r="33" spans="2:10" x14ac:dyDescent="0.2">
      <c r="B33" s="25"/>
      <c r="C33" s="28" t="s">
        <v>15</v>
      </c>
      <c r="D33" s="30"/>
      <c r="E33" s="45"/>
      <c r="F33" s="52"/>
      <c r="G33" s="25"/>
      <c r="H33" s="28" t="s">
        <v>15</v>
      </c>
      <c r="I33" s="30"/>
      <c r="J33" s="45"/>
    </row>
    <row r="34" spans="2:10" x14ac:dyDescent="0.2">
      <c r="B34" s="25"/>
      <c r="C34" s="28" t="s">
        <v>16</v>
      </c>
      <c r="D34" s="31" t="s">
        <v>33</v>
      </c>
      <c r="E34" s="45"/>
      <c r="F34" s="52"/>
      <c r="G34" s="25"/>
      <c r="H34" s="28" t="s">
        <v>16</v>
      </c>
      <c r="I34" s="31" t="s">
        <v>33</v>
      </c>
      <c r="J34" s="45"/>
    </row>
    <row r="35" spans="2:10" x14ac:dyDescent="0.2">
      <c r="B35" s="25"/>
      <c r="C35" s="26" t="s">
        <v>17</v>
      </c>
      <c r="D35" s="32" t="s">
        <v>48</v>
      </c>
      <c r="E35" s="45"/>
      <c r="F35" s="52"/>
      <c r="G35" s="25"/>
      <c r="H35" s="26" t="s">
        <v>17</v>
      </c>
      <c r="I35" s="32" t="s">
        <v>48</v>
      </c>
      <c r="J35" s="45"/>
    </row>
    <row r="36" spans="2:10" x14ac:dyDescent="0.2">
      <c r="B36" s="25"/>
      <c r="C36" s="33"/>
      <c r="D36" s="33"/>
      <c r="E36" s="45"/>
      <c r="F36" s="52"/>
      <c r="G36" s="25"/>
      <c r="H36" s="33"/>
      <c r="I36" s="33"/>
      <c r="J36" s="45"/>
    </row>
    <row r="37" spans="2:10" x14ac:dyDescent="0.2">
      <c r="B37" s="25"/>
      <c r="C37" s="34">
        <f>_xll.qlTermStructureReferenceDate(YieldCurve_6M)</f>
        <v>42261</v>
      </c>
      <c r="D37" s="35">
        <f>_xll.qlYieldTSDiscount(YieldCurve_6M,C37,,Trigger)</f>
        <v>1</v>
      </c>
      <c r="E37" s="45"/>
      <c r="F37" s="52"/>
      <c r="G37" s="25"/>
      <c r="H37" s="34" t="e">
        <f ca="1">_xll.qlTermStructureReferenceDate(YieldCurve_1M)</f>
        <v>#NAME?</v>
      </c>
      <c r="I37" s="35" t="e">
        <f ca="1">_xll.qlYieldTSDiscount(YieldCurve_1M,H37,,Trigger)</f>
        <v>#NAME?</v>
      </c>
      <c r="J37" s="45"/>
    </row>
    <row r="38" spans="2:10" x14ac:dyDescent="0.2">
      <c r="B38" s="25"/>
      <c r="C38" s="36">
        <f>_xll.qlTermStructureMaxDate(YieldCurve_6M,Trigger)</f>
        <v>64185</v>
      </c>
      <c r="D38" s="37">
        <f>_xll.qlYieldTSDiscount(YieldCurve_6M,C38,,Trigger)</f>
        <v>0.18684568115397487</v>
      </c>
      <c r="E38" s="45"/>
      <c r="F38" s="52"/>
      <c r="G38" s="25"/>
      <c r="H38" s="36" t="e">
        <f ca="1">_xll.qlTermStructureMaxDate(YieldCurve_1M,Trigger)</f>
        <v>#NAME?</v>
      </c>
      <c r="I38" s="37" t="e">
        <f ca="1">_xll.qlYieldTSDiscount(YieldCurve_1M,H38,,Trigger)</f>
        <v>#NAME?</v>
      </c>
      <c r="J38" s="45"/>
    </row>
    <row r="39" spans="2:10" x14ac:dyDescent="0.2">
      <c r="B39" s="25"/>
      <c r="C39" s="36" t="str">
        <f>[1]Libor!$D$11</f>
        <v>USD6M#0000</v>
      </c>
      <c r="D39" s="37" t="b">
        <f>_xll.qlRelinkableHandleLinkTo(C39,D29,Trigger)</f>
        <v>1</v>
      </c>
      <c r="E39" s="45"/>
      <c r="F39" s="52"/>
      <c r="G39" s="25"/>
      <c r="H39" s="36" t="str">
        <f>[1]Libor!$D$8</f>
        <v>USD1M#0000</v>
      </c>
      <c r="I39" s="37" t="e">
        <f ca="1">_xll.qlRelinkableHandleLinkTo(H39,I29,Trigger)</f>
        <v>#NAME?</v>
      </c>
      <c r="J39" s="45"/>
    </row>
    <row r="40" spans="2:10" x14ac:dyDescent="0.2">
      <c r="B40" s="25"/>
      <c r="C40" s="38" t="s">
        <v>162</v>
      </c>
      <c r="D40" s="39" t="b">
        <v>0</v>
      </c>
      <c r="E40" s="45"/>
      <c r="F40" s="52"/>
      <c r="G40" s="25"/>
      <c r="H40" s="38" t="s">
        <v>162</v>
      </c>
      <c r="I40" s="39" t="e">
        <f ca="1">_xll.qlExtrapolatorEnableExtrapolation(YieldCurve_1M,,Trigger)</f>
        <v>#NAME?</v>
      </c>
      <c r="J40" s="45"/>
    </row>
    <row r="41" spans="2:10" x14ac:dyDescent="0.2">
      <c r="B41" s="47"/>
      <c r="C41" s="48"/>
      <c r="D41" s="48"/>
      <c r="E41" s="49"/>
      <c r="F41" s="52"/>
      <c r="G41" s="47"/>
      <c r="H41" s="48"/>
      <c r="I41" s="48"/>
      <c r="J41" s="49"/>
    </row>
    <row r="42" spans="2:10" x14ac:dyDescent="0.2">
      <c r="F42" s="52"/>
    </row>
    <row r="43" spans="2:10" x14ac:dyDescent="0.2">
      <c r="B43" s="40"/>
      <c r="C43" s="41"/>
      <c r="D43" s="41"/>
      <c r="E43" s="42"/>
      <c r="F43" s="52"/>
    </row>
    <row r="44" spans="2:10" x14ac:dyDescent="0.2">
      <c r="B44" s="25"/>
      <c r="C44" s="24" t="s">
        <v>10</v>
      </c>
      <c r="D44" s="44" t="str">
        <f>_xll.qlPiecewiseYieldCurve(D46,D47,Calendar,_xll.ohPack(USD1Y!W3:W78),,,,D48,D49,D50,Permanent,,ObjectOverwrite)</f>
        <v>_USD1Y#0015</v>
      </c>
      <c r="E44" s="45"/>
      <c r="F44" s="52"/>
    </row>
    <row r="45" spans="2:10" x14ac:dyDescent="0.2">
      <c r="B45" s="25"/>
      <c r="C45" s="26" t="s">
        <v>11</v>
      </c>
      <c r="D45" s="46" t="str">
        <f>_xll.ohRangeRetrieveError(YieldCurve_1Y)</f>
        <v/>
      </c>
      <c r="E45" s="45"/>
    </row>
    <row r="46" spans="2:10" x14ac:dyDescent="0.2">
      <c r="B46" s="25"/>
      <c r="C46" s="24" t="s">
        <v>12</v>
      </c>
      <c r="D46" s="27" t="str">
        <f>"_"&amp;Currency&amp;"1Y"</f>
        <v>_USD1Y</v>
      </c>
      <c r="E46" s="45"/>
    </row>
    <row r="47" spans="2:10" x14ac:dyDescent="0.2">
      <c r="B47" s="25"/>
      <c r="C47" s="28" t="s">
        <v>13</v>
      </c>
      <c r="D47" s="29">
        <v>2</v>
      </c>
      <c r="E47" s="45"/>
    </row>
    <row r="48" spans="2:10" x14ac:dyDescent="0.2">
      <c r="B48" s="25"/>
      <c r="C48" s="28" t="s">
        <v>15</v>
      </c>
      <c r="D48" s="30"/>
      <c r="E48" s="45"/>
    </row>
    <row r="49" spans="2:5" x14ac:dyDescent="0.2">
      <c r="B49" s="25"/>
      <c r="C49" s="28" t="s">
        <v>16</v>
      </c>
      <c r="D49" s="31" t="s">
        <v>33</v>
      </c>
      <c r="E49" s="45"/>
    </row>
    <row r="50" spans="2:5" x14ac:dyDescent="0.2">
      <c r="B50" s="25"/>
      <c r="C50" s="26" t="s">
        <v>17</v>
      </c>
      <c r="D50" s="32" t="s">
        <v>48</v>
      </c>
      <c r="E50" s="45"/>
    </row>
    <row r="51" spans="2:5" x14ac:dyDescent="0.2">
      <c r="B51" s="25"/>
      <c r="C51" s="33"/>
      <c r="D51" s="33"/>
      <c r="E51" s="45"/>
    </row>
    <row r="52" spans="2:5" x14ac:dyDescent="0.2">
      <c r="B52" s="25"/>
      <c r="C52" s="34">
        <f>_xll.qlTermStructureReferenceDate(YieldCurve_1Y)</f>
        <v>42261</v>
      </c>
      <c r="D52" s="35">
        <f>_xll.qlYieldTSDiscount(YieldCurve_1Y,C52,,Trigger)</f>
        <v>1</v>
      </c>
      <c r="E52" s="45"/>
    </row>
    <row r="53" spans="2:5" x14ac:dyDescent="0.2">
      <c r="B53" s="25"/>
      <c r="C53" s="36">
        <f>_xll.qlTermStructureMaxDate(YieldCurve_1Y,Trigger)</f>
        <v>64185</v>
      </c>
      <c r="D53" s="37">
        <f>_xll.qlYieldTSDiscount(YieldCurve_1Y,C53,,Trigger)</f>
        <v>0.17316982382492216</v>
      </c>
      <c r="E53" s="45"/>
    </row>
    <row r="54" spans="2:5" x14ac:dyDescent="0.2">
      <c r="B54" s="25"/>
      <c r="C54" s="36" t="str">
        <f>[1]Libor!$D$12</f>
        <v>USD1Y#0000</v>
      </c>
      <c r="D54" s="37" t="b">
        <f>_xll.qlRelinkableHandleLinkTo(C54,D44,Trigger)</f>
        <v>1</v>
      </c>
      <c r="E54" s="45"/>
    </row>
    <row r="55" spans="2:5" x14ac:dyDescent="0.2">
      <c r="B55" s="25"/>
      <c r="C55" s="38" t="s">
        <v>162</v>
      </c>
      <c r="D55" s="39" t="b">
        <v>0</v>
      </c>
      <c r="E55" s="45"/>
    </row>
    <row r="56" spans="2:5" x14ac:dyDescent="0.2">
      <c r="B56" s="47"/>
      <c r="C56" s="48"/>
      <c r="D56" s="48"/>
      <c r="E56" s="49"/>
    </row>
  </sheetData>
  <dataValidations count="6">
    <dataValidation type="list" allowBlank="1" showInputMessage="1" showErrorMessage="1" sqref="D34 D19 I19 I34 D49">
      <formula1>"Discount,ZeroYield,ForwardRate"</formula1>
    </dataValidation>
    <dataValidation type="list" allowBlank="1" showInputMessage="1" showErrorMessage="1" sqref="D35 D20 I20 I35 D5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"JoinBusinessDays,JoinHolidays"</formula1>
    </dataValidation>
    <dataValidation type="list" allowBlank="1" showInputMessage="1" showErrorMessage="1" sqref="I6:I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A80"/>
  <sheetViews>
    <sheetView showGridLines="0" topLeftCell="G1" zoomScaleNormal="100" workbookViewId="0">
      <selection activeCell="Y1" sqref="Y1"/>
    </sheetView>
  </sheetViews>
  <sheetFormatPr defaultRowHeight="11.25" outlineLevelCol="1" x14ac:dyDescent="0.2"/>
  <cols>
    <col min="1" max="1" width="5" style="51" hidden="1" customWidth="1" outlineLevel="1"/>
    <col min="2" max="2" width="6" style="56" hidden="1" customWidth="1" outlineLevel="1"/>
    <col min="3" max="3" width="10" style="55" hidden="1" customWidth="1" outlineLevel="1"/>
    <col min="4" max="4" width="12" style="57" hidden="1" customWidth="1" outlineLevel="1"/>
    <col min="5" max="5" width="16.140625" style="51" hidden="1" customWidth="1" outlineLevel="1"/>
    <col min="6" max="6" width="15.140625" style="51" hidden="1" customWidth="1" outlineLevel="1"/>
    <col min="7" max="7" width="2.7109375" style="51" customWidth="1" collapsed="1"/>
    <col min="8" max="8" width="5" style="51" hidden="1" customWidth="1" outlineLevel="1"/>
    <col min="9" max="9" width="15.140625" style="115" hidden="1" customWidth="1" outlineLevel="1"/>
    <col min="10" max="10" width="16.140625" style="115" hidden="1" customWidth="1" outlineLevel="1"/>
    <col min="11" max="11" width="8.5703125" style="115" hidden="1" customWidth="1" outlineLevel="1"/>
    <col min="12" max="12" width="7.85546875" style="115" hidden="1" customWidth="1" outlineLevel="1"/>
    <col min="13" max="13" width="9" style="115" hidden="1" customWidth="1" outlineLevel="1"/>
    <col min="14" max="14" width="5.85546875" style="115" hidden="1" customWidth="1" outlineLevel="1"/>
    <col min="15" max="16" width="10.7109375" style="115" hidden="1" customWidth="1" outlineLevel="1"/>
    <col min="17" max="17" width="2.7109375" style="53" hidden="1" customWidth="1" outlineLevel="1"/>
    <col min="18" max="18" width="6" style="51" customWidth="1" collapsed="1"/>
    <col min="19" max="19" width="10.140625" style="51" hidden="1" customWidth="1" outlineLevel="1"/>
    <col min="20" max="20" width="24.7109375" style="51" customWidth="1" collapsed="1"/>
    <col min="21" max="22" width="9.7109375" style="51" customWidth="1"/>
    <col min="23" max="24" width="17.28515625" style="51" bestFit="1" customWidth="1"/>
    <col min="25" max="25" width="12" style="51" bestFit="1" customWidth="1"/>
    <col min="26" max="26" width="9.140625" style="51" customWidth="1"/>
    <col min="27" max="27" width="9.140625" style="51"/>
    <col min="28" max="28" width="9.140625" style="51" customWidth="1"/>
    <col min="29" max="16384" width="9.140625" style="51"/>
  </cols>
  <sheetData>
    <row r="1" spans="1:27" ht="18" customHeight="1" x14ac:dyDescent="0.2">
      <c r="D1" s="55" t="s">
        <v>105</v>
      </c>
      <c r="H1" s="73" t="s">
        <v>25</v>
      </c>
      <c r="I1" s="118"/>
      <c r="J1" s="118"/>
      <c r="K1" s="118"/>
      <c r="L1" s="118"/>
      <c r="M1" s="118"/>
      <c r="N1" s="118"/>
      <c r="O1" s="118"/>
      <c r="P1" s="108"/>
      <c r="Q1" s="105"/>
      <c r="R1" s="81" t="str">
        <f>Currency&amp;Tenor</f>
        <v>USDFedFunds</v>
      </c>
      <c r="S1" s="72"/>
      <c r="T1" s="72"/>
      <c r="U1" s="75"/>
      <c r="V1" s="75"/>
      <c r="W1" s="72"/>
      <c r="X1" s="72"/>
      <c r="Y1" s="79" t="s">
        <v>33</v>
      </c>
    </row>
    <row r="2" spans="1:27" ht="21.75" customHeight="1" x14ac:dyDescent="0.2">
      <c r="A2" s="71" t="s">
        <v>9</v>
      </c>
      <c r="B2" s="71" t="s">
        <v>30</v>
      </c>
      <c r="C2" s="71" t="s">
        <v>108</v>
      </c>
      <c r="D2" s="71" t="s">
        <v>4</v>
      </c>
      <c r="E2" s="71" t="s">
        <v>1</v>
      </c>
      <c r="F2" s="71" t="s">
        <v>25</v>
      </c>
      <c r="H2" s="80" t="s">
        <v>9</v>
      </c>
      <c r="I2" s="80" t="s">
        <v>25</v>
      </c>
      <c r="J2" s="80" t="s">
        <v>112</v>
      </c>
      <c r="K2" s="80" t="s">
        <v>115</v>
      </c>
      <c r="L2" s="80" t="s">
        <v>113</v>
      </c>
      <c r="M2" s="80" t="s">
        <v>114</v>
      </c>
      <c r="N2" s="80" t="s">
        <v>116</v>
      </c>
      <c r="O2" s="80" t="s">
        <v>23</v>
      </c>
      <c r="P2" s="80" t="s">
        <v>109</v>
      </c>
      <c r="Q2" s="105"/>
      <c r="R2" s="80" t="s">
        <v>9</v>
      </c>
      <c r="S2" s="80" t="s">
        <v>25</v>
      </c>
      <c r="T2" s="80" t="s">
        <v>112</v>
      </c>
      <c r="U2" s="82" t="s">
        <v>24</v>
      </c>
      <c r="V2" s="82" t="s">
        <v>117</v>
      </c>
      <c r="W2" s="80" t="s">
        <v>23</v>
      </c>
      <c r="X2" s="80" t="s">
        <v>109</v>
      </c>
      <c r="Y2" s="83">
        <f t="array" ref="Y2:Y56">_xll.qlPiecewiseYieldCurveData(YieldCurve_ON,Trigger)</f>
        <v>1</v>
      </c>
    </row>
    <row r="3" spans="1:27" ht="11.25" customHeight="1" x14ac:dyDescent="0.2">
      <c r="A3" s="58" t="s">
        <v>27</v>
      </c>
      <c r="B3" s="59" t="s">
        <v>49</v>
      </c>
      <c r="C3" s="61" t="s">
        <v>6</v>
      </c>
      <c r="D3" s="60" t="str">
        <f>Currency&amp;Tenor</f>
        <v>USDFedFunds</v>
      </c>
      <c r="E3" s="62" t="str">
        <f>Currency&amp;$B3&amp;"D"&amp;QuoteSuffix</f>
        <v>USDOND_Quote</v>
      </c>
      <c r="F3" s="63" t="str">
        <f>_xll.qlDepositRateHelper(,E3,D3,Permanent,Trigger,ObjectOverwrite)</f>
        <v>obj_00275#0005</v>
      </c>
      <c r="G3" s="54"/>
      <c r="H3" s="11" t="str">
        <f>A3</f>
        <v>Dp</v>
      </c>
      <c r="I3" s="106" t="str">
        <f>IF(ISBLANK(F3),"--",F3)</f>
        <v>obj_00275#0005</v>
      </c>
      <c r="J3" s="109" t="str">
        <f>IFERROR(_xll.qlRateHelperQuoteName(I3,Trigger),"--")</f>
        <v>USDOND_Quote</v>
      </c>
      <c r="K3" s="110">
        <f>IFERROR(_xll.qlRateHelperQuoteValue($I3,Trigger),"--")</f>
        <v>2.7999999999999995E-3</v>
      </c>
      <c r="L3" s="109" t="b">
        <v>1</v>
      </c>
      <c r="M3" s="106">
        <v>70</v>
      </c>
      <c r="N3" s="106">
        <v>1</v>
      </c>
      <c r="O3" s="111">
        <f>IFERROR(_xll.qlRateHelperEarliestDate(I3,Trigger),"--")</f>
        <v>42257</v>
      </c>
      <c r="P3" s="111">
        <f>IFERROR(_xll.qlRateHelperPillarDate(I3,Trigger),"--")</f>
        <v>42258</v>
      </c>
      <c r="R3" s="4" t="str">
        <f>IFERROR(INDEX($H$3:$H$59,MATCH(T3,$J$3:$J$59,0),1),"")</f>
        <v>Dp</v>
      </c>
      <c r="S3" s="4" t="str">
        <f t="array" ref="S3:S56">_xll.qlRateHelperSelection(_xll.ohFilter(RateHelpers,IncludeFlag),_xll.ohFilter(Priority,IncludeFlag),,,,,_xll.ohFilter(MinDistance,IncludeFlag),Trigger)</f>
        <v>obj_00275</v>
      </c>
      <c r="T3" s="4" t="str">
        <f>IFERROR(_xll.qlRateHelperQuoteName(S3,Trigger),"")</f>
        <v>USDOND_Quote</v>
      </c>
      <c r="U3" s="76">
        <f>IFERROR(_xll.qlRateHelperRate(S3,Trigger),"")</f>
        <v>2.7999999999999995E-3</v>
      </c>
      <c r="V3" s="116" t="str">
        <f>IF(ISERROR(_xll.qlSwapRateHelperSpread($S3)),IF(ISERROR(_xll.qlFuturesRateHelperConvexityAdjustment($S3)),"",_xll.qlFuturesRateHelperConvexityAdjustment($S3)),_xll.qlSwapRateHelperSpread($S3))</f>
        <v/>
      </c>
      <c r="W3" s="5">
        <f>IFERROR(_xll.qlRateHelperEarliestDate(S3,Trigger),"")</f>
        <v>42257</v>
      </c>
      <c r="X3" s="5">
        <f>IFERROR(_xll.qlRateHelperPillarDate(S3,Trigger),"")</f>
        <v>42258</v>
      </c>
      <c r="Y3" s="84">
        <v>0.99999222228271556</v>
      </c>
    </row>
    <row r="4" spans="1:27" ht="11.25" customHeight="1" x14ac:dyDescent="0.2">
      <c r="A4" s="58" t="s">
        <v>27</v>
      </c>
      <c r="B4" s="59" t="s">
        <v>103</v>
      </c>
      <c r="C4" s="61" t="s">
        <v>106</v>
      </c>
      <c r="D4" s="60" t="str">
        <f>Currency&amp;Tenor</f>
        <v>USDFedFunds</v>
      </c>
      <c r="E4" s="62" t="str">
        <f>Currency&amp;$B4&amp;"D"&amp;QuoteSuffix</f>
        <v>USDTND_Quote</v>
      </c>
      <c r="F4" s="63"/>
      <c r="G4" s="53"/>
      <c r="H4" s="11" t="str">
        <f>A4</f>
        <v>Dp</v>
      </c>
      <c r="I4" s="106" t="str">
        <f t="shared" ref="I4:I5" si="0">IF(ISBLANK(F4),"--",F4)</f>
        <v>--</v>
      </c>
      <c r="J4" s="109" t="str">
        <f>IFERROR(_xll.qlRateHelperQuoteName(I4,Trigger),"--")</f>
        <v>--</v>
      </c>
      <c r="K4" s="110" t="str">
        <f>IFERROR(_xll.qlRateHelperQuoteValue($I4,Trigger),"--")</f>
        <v>--</v>
      </c>
      <c r="L4" s="109" t="b">
        <v>0</v>
      </c>
      <c r="M4" s="106">
        <v>70</v>
      </c>
      <c r="N4" s="106">
        <v>1</v>
      </c>
      <c r="O4" s="111" t="str">
        <f>IFERROR(_xll.qlRateHelperEarliestDate(I4,Trigger),"--")</f>
        <v>--</v>
      </c>
      <c r="P4" s="111" t="str">
        <f>IFERROR(_xll.qlRateHelperPillarDate(I4,Trigger),"--")</f>
        <v>--</v>
      </c>
      <c r="R4" s="4" t="str">
        <f t="shared" ref="R4:R59" si="1">IFERROR(INDEX($H$3:$H$59,MATCH(T4,$J$3:$J$59,0),1),"")</f>
        <v>OIS</v>
      </c>
      <c r="S4" s="4" t="str">
        <v>obj_002f8</v>
      </c>
      <c r="T4" s="4" t="str">
        <f>IFERROR(_xll.qlRateHelperQuoteName(S4,Trigger),"")</f>
        <v>USDOISSW_Quote</v>
      </c>
      <c r="U4" s="76">
        <f>IFERROR(_xll.qlRateHelperRate(S4,Trigger),"")</f>
        <v>1.6899999999999999E-3</v>
      </c>
      <c r="V4" s="116" t="str">
        <f>IF(ISERROR(_xll.qlSwapRateHelperSpread($S4)),IF(ISERROR(_xll.qlFuturesRateHelperConvexityAdjustment($S4)),"",_xll.qlFuturesRateHelperConvexityAdjustment($S4)),_xll.qlSwapRateHelperSpread($S4))</f>
        <v/>
      </c>
      <c r="W4" s="5">
        <f>IFERROR(_xll.qlRateHelperEarliestDate(S4,Trigger),"")</f>
        <v>42261</v>
      </c>
      <c r="X4" s="5">
        <f>IFERROR(_xll.qlRateHelperPillarDate(S4,Trigger),"")</f>
        <v>42268</v>
      </c>
      <c r="Y4" s="84">
        <v>0.99994006511408051</v>
      </c>
    </row>
    <row r="5" spans="1:27" ht="11.25" customHeight="1" x14ac:dyDescent="0.2">
      <c r="A5" s="1" t="s">
        <v>27</v>
      </c>
      <c r="B5" s="9" t="s">
        <v>104</v>
      </c>
      <c r="C5" s="10" t="s">
        <v>107</v>
      </c>
      <c r="D5" s="7" t="str">
        <f>Currency&amp;Tenor</f>
        <v>USDFedFunds</v>
      </c>
      <c r="E5" s="2" t="str">
        <f>Currency&amp;$B5&amp;"D"&amp;QuoteSuffix</f>
        <v>USDSND_Quote</v>
      </c>
      <c r="F5" s="3"/>
      <c r="G5" s="53"/>
      <c r="H5" s="12" t="str">
        <f>A5</f>
        <v>Dp</v>
      </c>
      <c r="I5" s="107" t="str">
        <f t="shared" si="0"/>
        <v>--</v>
      </c>
      <c r="J5" s="112" t="str">
        <f>IFERROR(_xll.qlRateHelperQuoteName(I5,Trigger),"--")</f>
        <v>--</v>
      </c>
      <c r="K5" s="113" t="str">
        <f>IFERROR(_xll.qlRateHelperQuoteValue($I5,Trigger),"--")</f>
        <v>--</v>
      </c>
      <c r="L5" s="112" t="b">
        <v>0</v>
      </c>
      <c r="M5" s="107">
        <v>70</v>
      </c>
      <c r="N5" s="107">
        <v>1</v>
      </c>
      <c r="O5" s="114" t="str">
        <f>IFERROR(_xll.qlRateHelperEarliestDate(I5,Trigger),"--")</f>
        <v>--</v>
      </c>
      <c r="P5" s="114" t="str">
        <f>IFERROR(_xll.qlRateHelperPillarDate(I5,Trigger),"--")</f>
        <v>--</v>
      </c>
      <c r="R5" s="4" t="str">
        <f t="shared" si="1"/>
        <v>OIS</v>
      </c>
      <c r="S5" s="4" t="str">
        <v>obj_002eb</v>
      </c>
      <c r="T5" s="4" t="str">
        <f>IFERROR(_xll.qlRateHelperQuoteName(S5,Trigger),"")</f>
        <v>USDOIS2W_Quote</v>
      </c>
      <c r="U5" s="76">
        <f>IFERROR(_xll.qlRateHelperRate(S5,Trigger),"")</f>
        <v>1.8E-3</v>
      </c>
      <c r="V5" s="116" t="str">
        <f>IF(ISERROR(_xll.qlSwapRateHelperSpread($S5)),IF(ISERROR(_xll.qlFuturesRateHelperConvexityAdjustment($S5)),"",_xll.qlFuturesRateHelperConvexityAdjustment($S5)),_xll.qlSwapRateHelperSpread($S5))</f>
        <v/>
      </c>
      <c r="W5" s="5">
        <f>IFERROR(_xll.qlRateHelperEarliestDate(S5,Trigger),"")</f>
        <v>42261</v>
      </c>
      <c r="X5" s="5">
        <f>IFERROR(_xll.qlRateHelperPillarDate(S5,Trigger),"")</f>
        <v>42275</v>
      </c>
      <c r="Y5" s="84">
        <v>0.99990293105064065</v>
      </c>
      <c r="Z5" s="87"/>
      <c r="AA5" s="87"/>
    </row>
    <row r="6" spans="1:27" ht="11.25" customHeight="1" x14ac:dyDescent="0.2">
      <c r="G6" s="53"/>
      <c r="H6" s="11" t="str">
        <f t="shared" ref="H6:H37" si="2">A8</f>
        <v>OIS</v>
      </c>
      <c r="I6" s="106" t="str">
        <f>IF(ISBLANK(F8),"--",F8)</f>
        <v>obj_002f8#0005</v>
      </c>
      <c r="J6" s="109" t="str">
        <f>IFERROR(_xll.qlRateHelperQuoteName(I6,Trigger),"--")</f>
        <v>USDOISSW_Quote</v>
      </c>
      <c r="K6" s="110">
        <f>IFERROR(_xll.qlRateHelperQuoteValue($I6,Trigger),"--")</f>
        <v>1.6899999999999999E-3</v>
      </c>
      <c r="L6" s="109" t="b">
        <v>1</v>
      </c>
      <c r="M6" s="106">
        <v>50</v>
      </c>
      <c r="N6" s="106">
        <v>1</v>
      </c>
      <c r="O6" s="111">
        <f>IFERROR(_xll.qlRateHelperEarliestDate(I6,Trigger),"--")</f>
        <v>42261</v>
      </c>
      <c r="P6" s="111">
        <f>IFERROR(_xll.qlRateHelperPillarDate(I6,Trigger),"--")</f>
        <v>42268</v>
      </c>
      <c r="R6" s="4" t="str">
        <f t="shared" si="1"/>
        <v>OIS</v>
      </c>
      <c r="S6" s="4" t="str">
        <v>obj_002ee</v>
      </c>
      <c r="T6" s="4" t="str">
        <f>IFERROR(_xll.qlRateHelperQuoteName(S6,Trigger),"")</f>
        <v>USDOIS3W_Quote</v>
      </c>
      <c r="U6" s="76">
        <f>IFERROR(_xll.qlRateHelperRate(S6,Trigger),"")</f>
        <v>1.83E-3</v>
      </c>
      <c r="V6" s="116" t="str">
        <f>IF(ISERROR(_xll.qlSwapRateHelperSpread($S6)),IF(ISERROR(_xll.qlFuturesRateHelperConvexityAdjustment($S6)),"",_xll.qlFuturesRateHelperConvexityAdjustment($S6)),_xll.qlSwapRateHelperSpread($S6))</f>
        <v/>
      </c>
      <c r="W6" s="5">
        <f>IFERROR(_xll.qlRateHelperEarliestDate(S6,Trigger),"")</f>
        <v>42261</v>
      </c>
      <c r="X6" s="5">
        <f>IFERROR(_xll.qlRateHelperPillarDate(S6,Trigger),"")</f>
        <v>42282</v>
      </c>
      <c r="Y6" s="84">
        <v>0.99986618853985443</v>
      </c>
    </row>
    <row r="7" spans="1:27" ht="11.25" customHeight="1" x14ac:dyDescent="0.2">
      <c r="A7" s="71" t="s">
        <v>9</v>
      </c>
      <c r="B7" s="71" t="s">
        <v>30</v>
      </c>
      <c r="C7" s="71" t="s">
        <v>111</v>
      </c>
      <c r="D7" s="71" t="s">
        <v>4</v>
      </c>
      <c r="E7" s="71" t="s">
        <v>1</v>
      </c>
      <c r="F7" s="71" t="s">
        <v>25</v>
      </c>
      <c r="G7" s="53"/>
      <c r="H7" s="11" t="str">
        <f t="shared" si="2"/>
        <v>OIS</v>
      </c>
      <c r="I7" s="106" t="str">
        <f t="shared" ref="I7:I55" si="3">IF(ISBLANK(F9),"--",F9)</f>
        <v>obj_002eb#0004</v>
      </c>
      <c r="J7" s="109" t="str">
        <f>IFERROR(_xll.qlRateHelperQuoteName(I7,Trigger),"--")</f>
        <v>USDOIS2W_Quote</v>
      </c>
      <c r="K7" s="110">
        <f>IFERROR(_xll.qlRateHelperQuoteValue($I7,Trigger),"--")</f>
        <v>1.8E-3</v>
      </c>
      <c r="L7" s="109" t="b">
        <v>1</v>
      </c>
      <c r="M7" s="106">
        <v>50</v>
      </c>
      <c r="N7" s="106">
        <v>1</v>
      </c>
      <c r="O7" s="111">
        <f>IFERROR(_xll.qlRateHelperEarliestDate(I7,Trigger),"--")</f>
        <v>42261</v>
      </c>
      <c r="P7" s="111">
        <f>IFERROR(_xll.qlRateHelperPillarDate(I7,Trigger),"--")</f>
        <v>42275</v>
      </c>
      <c r="R7" s="4" t="str">
        <f t="shared" si="1"/>
        <v>OIS</v>
      </c>
      <c r="S7" s="4" t="str">
        <v>obj_002ec</v>
      </c>
      <c r="T7" s="4" t="str">
        <f>IFERROR(_xll.qlRateHelperQuoteName(S7,Trigger),"")</f>
        <v>USDOIS1M_Quote</v>
      </c>
      <c r="U7" s="76">
        <f>IFERROR(_xll.qlRateHelperRate(S7,Trigger),"")</f>
        <v>1.8500000000000001E-3</v>
      </c>
      <c r="V7" s="116" t="str">
        <f>IF(ISERROR(_xll.qlSwapRateHelperSpread($S7)),IF(ISERROR(_xll.qlFuturesRateHelperConvexityAdjustment($S7)),"",_xll.qlFuturesRateHelperConvexityAdjustment($S7)),_xll.qlSwapRateHelperSpread($S7))</f>
        <v/>
      </c>
      <c r="W7" s="5">
        <f>IFERROR(_xll.qlRateHelperEarliestDate(S7,Trigger),"")</f>
        <v>42261</v>
      </c>
      <c r="X7" s="5">
        <f>IFERROR(_xll.qlRateHelperPillarDate(S7,Trigger),"")</f>
        <v>42291</v>
      </c>
      <c r="Y7" s="84">
        <v>0.99981878552608416</v>
      </c>
    </row>
    <row r="8" spans="1:27" ht="11.25" customHeight="1" x14ac:dyDescent="0.2">
      <c r="A8" s="58" t="s">
        <v>100</v>
      </c>
      <c r="B8" s="59" t="s">
        <v>50</v>
      </c>
      <c r="C8" s="60">
        <f>IF(B8="O/N",0,IF(B8="T/N",1,2))</f>
        <v>2</v>
      </c>
      <c r="D8" s="67" t="str">
        <f t="shared" ref="D8:D39" si="4">Currency&amp;Tenor</f>
        <v>USDFedFunds</v>
      </c>
      <c r="E8" s="62" t="str">
        <f t="shared" ref="E8:E39" si="5">Currency&amp;$A8&amp;IF($B8="1W","SW",$B8)&amp;QuoteSuffix</f>
        <v>USDOISSW_Quote</v>
      </c>
      <c r="F8" s="63" t="str">
        <f>_xll.qlOISRateHelper(,C8,B8,E8,$D8,,Permanent,Trigger,ObjectOverwrite)</f>
        <v>obj_002f8#0005</v>
      </c>
      <c r="G8" s="53"/>
      <c r="H8" s="11" t="str">
        <f t="shared" si="2"/>
        <v>OIS</v>
      </c>
      <c r="I8" s="106" t="str">
        <f t="shared" si="3"/>
        <v>obj_002ee#0004</v>
      </c>
      <c r="J8" s="109" t="str">
        <f>IFERROR(_xll.qlRateHelperQuoteName(I8,Trigger),"--")</f>
        <v>USDOIS3W_Quote</v>
      </c>
      <c r="K8" s="110">
        <f>IFERROR(_xll.qlRateHelperQuoteValue($I8,Trigger),"--")</f>
        <v>1.83E-3</v>
      </c>
      <c r="L8" s="109" t="b">
        <v>1</v>
      </c>
      <c r="M8" s="106">
        <v>50</v>
      </c>
      <c r="N8" s="106">
        <v>1</v>
      </c>
      <c r="O8" s="111">
        <f>IFERROR(_xll.qlRateHelperEarliestDate(I8,Trigger),"--")</f>
        <v>42261</v>
      </c>
      <c r="P8" s="111">
        <f>IFERROR(_xll.qlRateHelperPillarDate(I8,Trigger),"--")</f>
        <v>42282</v>
      </c>
      <c r="R8" s="4" t="str">
        <f t="shared" si="1"/>
        <v>OIS</v>
      </c>
      <c r="S8" s="4" t="str">
        <v>obj_002f2</v>
      </c>
      <c r="T8" s="4" t="str">
        <f>IFERROR(_xll.qlRateHelperQuoteName(S8,Trigger),"")</f>
        <v>USDOIS2M_Quote</v>
      </c>
      <c r="U8" s="76">
        <f>IFERROR(_xll.qlRateHelperRate(S8,Trigger),"")</f>
        <v>2.0499999999999997E-3</v>
      </c>
      <c r="V8" s="116" t="str">
        <f>IF(ISERROR(_xll.qlSwapRateHelperSpread($S8)),IF(ISERROR(_xll.qlFuturesRateHelperConvexityAdjustment($S8)),"",_xll.qlFuturesRateHelperConvexityAdjustment($S8)),_xll.qlSwapRateHelperSpread($S8))</f>
        <v/>
      </c>
      <c r="W8" s="5">
        <f>IFERROR(_xll.qlRateHelperEarliestDate(S8,Trigger),"")</f>
        <v>42261</v>
      </c>
      <c r="X8" s="5">
        <f>IFERROR(_xll.qlRateHelperPillarDate(S8,Trigger),"")</f>
        <v>42324</v>
      </c>
      <c r="Y8" s="84">
        <v>0.99961431262104106</v>
      </c>
    </row>
    <row r="9" spans="1:27" ht="11.25" customHeight="1" x14ac:dyDescent="0.2">
      <c r="A9" s="64" t="s">
        <v>100</v>
      </c>
      <c r="B9" s="65" t="s">
        <v>51</v>
      </c>
      <c r="C9" s="66">
        <f t="shared" ref="C9:C22" si="6">IF(B9="O/N",0,IF(B9="T/N",1,2))</f>
        <v>2</v>
      </c>
      <c r="D9" s="67" t="str">
        <f t="shared" si="4"/>
        <v>USDFedFunds</v>
      </c>
      <c r="E9" s="69" t="str">
        <f t="shared" si="5"/>
        <v>USDOIS2W_Quote</v>
      </c>
      <c r="F9" s="70" t="str">
        <f>_xll.qlOISRateHelper(,C9,B9,E9,$D9,,Permanent,Trigger,ObjectOverwrite)</f>
        <v>obj_002eb#0004</v>
      </c>
      <c r="G9" s="53"/>
      <c r="H9" s="11" t="str">
        <f t="shared" si="2"/>
        <v>OIS</v>
      </c>
      <c r="I9" s="106" t="str">
        <f t="shared" si="3"/>
        <v>obj_002ec#0004</v>
      </c>
      <c r="J9" s="109" t="str">
        <f>IFERROR(_xll.qlRateHelperQuoteName(I9,Trigger),"--")</f>
        <v>USDOIS1M_Quote</v>
      </c>
      <c r="K9" s="110">
        <f>IFERROR(_xll.qlRateHelperQuoteValue($I9,Trigger),"--")</f>
        <v>1.8500000000000001E-3</v>
      </c>
      <c r="L9" s="109" t="b">
        <v>1</v>
      </c>
      <c r="M9" s="106">
        <v>50</v>
      </c>
      <c r="N9" s="106">
        <v>1</v>
      </c>
      <c r="O9" s="111">
        <f>IFERROR(_xll.qlRateHelperEarliestDate(I9,Trigger),"--")</f>
        <v>42261</v>
      </c>
      <c r="P9" s="111">
        <f>IFERROR(_xll.qlRateHelperPillarDate(I9,Trigger),"--")</f>
        <v>42291</v>
      </c>
      <c r="R9" s="4" t="str">
        <f t="shared" si="1"/>
        <v>OIS</v>
      </c>
      <c r="S9" s="4" t="str">
        <v>obj_002f0</v>
      </c>
      <c r="T9" s="4" t="str">
        <f>IFERROR(_xll.qlRateHelperQuoteName(S9,Trigger),"")</f>
        <v>USDOIS3M_Quote</v>
      </c>
      <c r="U9" s="76">
        <f>IFERROR(_xll.qlRateHelperRate(S9,Trigger),"")</f>
        <v>2.15E-3</v>
      </c>
      <c r="V9" s="116" t="str">
        <f>IF(ISERROR(_xll.qlSwapRateHelperSpread($S9)),IF(ISERROR(_xll.qlFuturesRateHelperConvexityAdjustment($S9)),"",_xll.qlFuturesRateHelperConvexityAdjustment($S9)),_xll.qlSwapRateHelperSpread($S9))</f>
        <v/>
      </c>
      <c r="W9" s="5">
        <f>IFERROR(_xll.qlRateHelperEarliestDate(S9,Trigger),"")</f>
        <v>42261</v>
      </c>
      <c r="X9" s="5">
        <f>IFERROR(_xll.qlRateHelperPillarDate(S9,Trigger),"")</f>
        <v>42352</v>
      </c>
      <c r="Y9" s="84">
        <v>0.99942976194198307</v>
      </c>
    </row>
    <row r="10" spans="1:27" ht="11.25" customHeight="1" x14ac:dyDescent="0.2">
      <c r="A10" s="64" t="s">
        <v>100</v>
      </c>
      <c r="B10" s="65" t="s">
        <v>52</v>
      </c>
      <c r="C10" s="66">
        <f t="shared" si="6"/>
        <v>2</v>
      </c>
      <c r="D10" s="67" t="str">
        <f t="shared" si="4"/>
        <v>USDFedFunds</v>
      </c>
      <c r="E10" s="69" t="str">
        <f t="shared" si="5"/>
        <v>USDOIS3W_Quote</v>
      </c>
      <c r="F10" s="70" t="str">
        <f>_xll.qlOISRateHelper(,C10,B10,E10,$D10,,Permanent,Trigger,ObjectOverwrite)</f>
        <v>obj_002ee#0004</v>
      </c>
      <c r="G10" s="53"/>
      <c r="H10" s="11" t="str">
        <f t="shared" si="2"/>
        <v>OIS</v>
      </c>
      <c r="I10" s="106" t="str">
        <f t="shared" si="3"/>
        <v>obj_002f2#0004</v>
      </c>
      <c r="J10" s="109" t="str">
        <f>IFERROR(_xll.qlRateHelperQuoteName(I10,Trigger),"--")</f>
        <v>USDOIS2M_Quote</v>
      </c>
      <c r="K10" s="110">
        <f>IFERROR(_xll.qlRateHelperQuoteValue($I10,Trigger),"--")</f>
        <v>2.0499999999999997E-3</v>
      </c>
      <c r="L10" s="109" t="b">
        <v>1</v>
      </c>
      <c r="M10" s="106">
        <v>50</v>
      </c>
      <c r="N10" s="106">
        <v>1</v>
      </c>
      <c r="O10" s="111">
        <f>IFERROR(_xll.qlRateHelperEarliestDate(I10,Trigger),"--")</f>
        <v>42261</v>
      </c>
      <c r="P10" s="111">
        <f>IFERROR(_xll.qlRateHelperPillarDate(I10,Trigger),"--")</f>
        <v>42324</v>
      </c>
      <c r="R10" s="4" t="str">
        <f t="shared" si="1"/>
        <v>OIS</v>
      </c>
      <c r="S10" s="4" t="str">
        <v>obj_002ea</v>
      </c>
      <c r="T10" s="4" t="str">
        <f>IFERROR(_xll.qlRateHelperQuoteName(S10,Trigger),"")</f>
        <v>USDOIS4M_Quote</v>
      </c>
      <c r="U10" s="76">
        <f>IFERROR(_xll.qlRateHelperRate(S10,Trigger),"")</f>
        <v>2.4299999999999999E-3</v>
      </c>
      <c r="V10" s="116" t="str">
        <f>IF(ISERROR(_xll.qlSwapRateHelperSpread($S10)),IF(ISERROR(_xll.qlFuturesRateHelperConvexityAdjustment($S10)),"",_xll.qlFuturesRateHelperConvexityAdjustment($S10)),_xll.qlSwapRateHelperSpread($S10))</f>
        <v/>
      </c>
      <c r="W10" s="5">
        <f>IFERROR(_xll.qlRateHelperEarliestDate(S10,Trigger),"")</f>
        <v>42261</v>
      </c>
      <c r="X10" s="5">
        <f>IFERROR(_xll.qlRateHelperPillarDate(S10,Trigger),"")</f>
        <v>42383</v>
      </c>
      <c r="Y10" s="84">
        <v>0.99915012412846094</v>
      </c>
    </row>
    <row r="11" spans="1:27" ht="11.25" customHeight="1" x14ac:dyDescent="0.2">
      <c r="A11" s="64" t="s">
        <v>100</v>
      </c>
      <c r="B11" s="65" t="s">
        <v>2</v>
      </c>
      <c r="C11" s="66">
        <f t="shared" si="6"/>
        <v>2</v>
      </c>
      <c r="D11" s="67" t="str">
        <f t="shared" si="4"/>
        <v>USDFedFunds</v>
      </c>
      <c r="E11" s="69" t="str">
        <f t="shared" si="5"/>
        <v>USDOIS1M_Quote</v>
      </c>
      <c r="F11" s="70" t="str">
        <f>_xll.qlOISRateHelper(,C11,B11,E11,$D11,,Permanent,Trigger,ObjectOverwrite)</f>
        <v>obj_002ec#0004</v>
      </c>
      <c r="G11" s="53"/>
      <c r="H11" s="11" t="str">
        <f t="shared" si="2"/>
        <v>OIS</v>
      </c>
      <c r="I11" s="106" t="str">
        <f t="shared" si="3"/>
        <v>obj_002f0#0004</v>
      </c>
      <c r="J11" s="109" t="str">
        <f>IFERROR(_xll.qlRateHelperQuoteName(I11,Trigger),"--")</f>
        <v>USDOIS3M_Quote</v>
      </c>
      <c r="K11" s="110">
        <f>IFERROR(_xll.qlRateHelperQuoteValue($I11,Trigger),"--")</f>
        <v>2.15E-3</v>
      </c>
      <c r="L11" s="109" t="b">
        <v>1</v>
      </c>
      <c r="M11" s="106">
        <v>50</v>
      </c>
      <c r="N11" s="106">
        <v>1</v>
      </c>
      <c r="O11" s="111">
        <f>IFERROR(_xll.qlRateHelperEarliestDate(I11,Trigger),"--")</f>
        <v>42261</v>
      </c>
      <c r="P11" s="111">
        <f>IFERROR(_xll.qlRateHelperPillarDate(I11,Trigger),"--")</f>
        <v>42352</v>
      </c>
      <c r="R11" s="4" t="str">
        <f t="shared" si="1"/>
        <v>OIS</v>
      </c>
      <c r="S11" s="4" t="str">
        <v>obj_002f5</v>
      </c>
      <c r="T11" s="4" t="str">
        <f>IFERROR(_xll.qlRateHelperQuoteName(S11,Trigger),"")</f>
        <v>USDOIS5M_Quote</v>
      </c>
      <c r="U11" s="76">
        <f>IFERROR(_xll.qlRateHelperRate(S11,Trigger),"")</f>
        <v>2.5999999999999999E-3</v>
      </c>
      <c r="V11" s="116" t="str">
        <f>IF(ISERROR(_xll.qlSwapRateHelperSpread($S11)),IF(ISERROR(_xll.qlFuturesRateHelperConvexityAdjustment($S11)),"",_xll.qlFuturesRateHelperConvexityAdjustment($S11)),_xll.qlSwapRateHelperSpread($S11))</f>
        <v/>
      </c>
      <c r="W11" s="5">
        <f>IFERROR(_xll.qlRateHelperEarliestDate(S11,Trigger),"")</f>
        <v>42261</v>
      </c>
      <c r="X11" s="5">
        <f>IFERROR(_xll.qlRateHelperPillarDate(S11,Trigger),"")</f>
        <v>42416</v>
      </c>
      <c r="Y11" s="84">
        <v>0.9988547618417436</v>
      </c>
    </row>
    <row r="12" spans="1:27" ht="11.25" customHeight="1" x14ac:dyDescent="0.2">
      <c r="A12" s="64" t="s">
        <v>100</v>
      </c>
      <c r="B12" s="65" t="s">
        <v>53</v>
      </c>
      <c r="C12" s="66">
        <f t="shared" si="6"/>
        <v>2</v>
      </c>
      <c r="D12" s="67" t="str">
        <f t="shared" si="4"/>
        <v>USDFedFunds</v>
      </c>
      <c r="E12" s="69" t="str">
        <f t="shared" si="5"/>
        <v>USDOIS2M_Quote</v>
      </c>
      <c r="F12" s="70" t="str">
        <f>_xll.qlOISRateHelper(,C12,B12,E12,$D12,,Permanent,Trigger,ObjectOverwrite)</f>
        <v>obj_002f2#0004</v>
      </c>
      <c r="G12" s="53"/>
      <c r="H12" s="11" t="str">
        <f t="shared" si="2"/>
        <v>OIS</v>
      </c>
      <c r="I12" s="106" t="str">
        <f t="shared" si="3"/>
        <v>obj_002ea#0004</v>
      </c>
      <c r="J12" s="109" t="str">
        <f>IFERROR(_xll.qlRateHelperQuoteName(I12,Trigger),"--")</f>
        <v>USDOIS4M_Quote</v>
      </c>
      <c r="K12" s="110">
        <f>IFERROR(_xll.qlRateHelperQuoteValue($I12,Trigger),"--")</f>
        <v>2.4299999999999999E-3</v>
      </c>
      <c r="L12" s="109" t="b">
        <v>1</v>
      </c>
      <c r="M12" s="106">
        <v>50</v>
      </c>
      <c r="N12" s="106">
        <v>1</v>
      </c>
      <c r="O12" s="111">
        <f>IFERROR(_xll.qlRateHelperEarliestDate(I12,Trigger),"--")</f>
        <v>42261</v>
      </c>
      <c r="P12" s="111">
        <f>IFERROR(_xll.qlRateHelperPillarDate(I12,Trigger),"--")</f>
        <v>42383</v>
      </c>
      <c r="R12" s="4" t="str">
        <f t="shared" si="1"/>
        <v>OIS</v>
      </c>
      <c r="S12" s="4" t="str">
        <v>obj_002ef</v>
      </c>
      <c r="T12" s="4" t="str">
        <f>IFERROR(_xll.qlRateHelperQuoteName(S12,Trigger),"")</f>
        <v>USDOIS6M_Quote</v>
      </c>
      <c r="U12" s="76">
        <f>IFERROR(_xll.qlRateHelperRate(S12,Trigger),"")</f>
        <v>2.7300000000000002E-3</v>
      </c>
      <c r="V12" s="116" t="str">
        <f>IF(ISERROR(_xll.qlSwapRateHelperSpread($S12)),IF(ISERROR(_xll.qlFuturesRateHelperConvexityAdjustment($S12)),"",_xll.qlFuturesRateHelperConvexityAdjustment($S12)),_xll.qlSwapRateHelperSpread($S12))</f>
        <v/>
      </c>
      <c r="W12" s="5">
        <f>IFERROR(_xll.qlRateHelperEarliestDate(S12,Trigger),"")</f>
        <v>42261</v>
      </c>
      <c r="X12" s="5">
        <f>IFERROR(_xll.qlRateHelperPillarDate(S12,Trigger),"")</f>
        <v>42443</v>
      </c>
      <c r="Y12" s="84">
        <v>0.99859469714114968</v>
      </c>
    </row>
    <row r="13" spans="1:27" ht="11.25" customHeight="1" x14ac:dyDescent="0.2">
      <c r="A13" s="64" t="s">
        <v>100</v>
      </c>
      <c r="B13" s="65" t="s">
        <v>0</v>
      </c>
      <c r="C13" s="66">
        <f t="shared" si="6"/>
        <v>2</v>
      </c>
      <c r="D13" s="67" t="str">
        <f t="shared" si="4"/>
        <v>USDFedFunds</v>
      </c>
      <c r="E13" s="69" t="str">
        <f t="shared" si="5"/>
        <v>USDOIS3M_Quote</v>
      </c>
      <c r="F13" s="70" t="str">
        <f>_xll.qlOISRateHelper(,C13,B13,E13,$D13,,Permanent,Trigger,ObjectOverwrite)</f>
        <v>obj_002f0#0004</v>
      </c>
      <c r="G13" s="53"/>
      <c r="H13" s="11" t="str">
        <f t="shared" si="2"/>
        <v>OIS</v>
      </c>
      <c r="I13" s="106" t="str">
        <f t="shared" si="3"/>
        <v>obj_002f5#0004</v>
      </c>
      <c r="J13" s="109" t="str">
        <f>IFERROR(_xll.qlRateHelperQuoteName(I13,Trigger),"--")</f>
        <v>USDOIS5M_Quote</v>
      </c>
      <c r="K13" s="110">
        <f>IFERROR(_xll.qlRateHelperQuoteValue($I13,Trigger),"--")</f>
        <v>2.5999999999999999E-3</v>
      </c>
      <c r="L13" s="109" t="b">
        <v>1</v>
      </c>
      <c r="M13" s="106">
        <v>50</v>
      </c>
      <c r="N13" s="106">
        <v>1</v>
      </c>
      <c r="O13" s="111">
        <f>IFERROR(_xll.qlRateHelperEarliestDate(I13,Trigger),"--")</f>
        <v>42261</v>
      </c>
      <c r="P13" s="111">
        <f>IFERROR(_xll.qlRateHelperPillarDate(I13,Trigger),"--")</f>
        <v>42416</v>
      </c>
      <c r="R13" s="4" t="str">
        <f t="shared" si="1"/>
        <v>OIS</v>
      </c>
      <c r="S13" s="4" t="str">
        <v>obj_002ed</v>
      </c>
      <c r="T13" s="4" t="str">
        <f>IFERROR(_xll.qlRateHelperQuoteName(S13,Trigger),"")</f>
        <v>USDOIS7M_Quote</v>
      </c>
      <c r="U13" s="76">
        <f>IFERROR(_xll.qlRateHelperRate(S13,Trigger),"")</f>
        <v>2.9000000000000002E-3</v>
      </c>
      <c r="V13" s="116" t="str">
        <f>IF(ISERROR(_xll.qlSwapRateHelperSpread($S13)),IF(ISERROR(_xll.qlFuturesRateHelperConvexityAdjustment($S13)),"",_xll.qlFuturesRateHelperConvexityAdjustment($S13)),_xll.qlSwapRateHelperSpread($S13))</f>
        <v/>
      </c>
      <c r="W13" s="5">
        <f>IFERROR(_xll.qlRateHelperEarliestDate(S13,Trigger),"")</f>
        <v>42261</v>
      </c>
      <c r="X13" s="5">
        <f>IFERROR(_xll.qlRateHelperPillarDate(S13,Trigger),"")</f>
        <v>42474</v>
      </c>
      <c r="Y13" s="84">
        <v>0.9982600763413586</v>
      </c>
    </row>
    <row r="14" spans="1:27" ht="11.25" customHeight="1" x14ac:dyDescent="0.2">
      <c r="A14" s="64" t="s">
        <v>100</v>
      </c>
      <c r="B14" s="65" t="s">
        <v>54</v>
      </c>
      <c r="C14" s="66">
        <f t="shared" si="6"/>
        <v>2</v>
      </c>
      <c r="D14" s="67" t="str">
        <f t="shared" si="4"/>
        <v>USDFedFunds</v>
      </c>
      <c r="E14" s="69" t="str">
        <f t="shared" si="5"/>
        <v>USDOIS4M_Quote</v>
      </c>
      <c r="F14" s="70" t="str">
        <f>_xll.qlOISRateHelper(,C14,B14,E14,$D14,,Permanent,Trigger,ObjectOverwrite)</f>
        <v>obj_002ea#0004</v>
      </c>
      <c r="G14" s="53"/>
      <c r="H14" s="11" t="str">
        <f t="shared" si="2"/>
        <v>OIS</v>
      </c>
      <c r="I14" s="106" t="str">
        <f t="shared" si="3"/>
        <v>obj_002ef#0004</v>
      </c>
      <c r="J14" s="109" t="str">
        <f>IFERROR(_xll.qlRateHelperQuoteName(I14,Trigger),"--")</f>
        <v>USDOIS6M_Quote</v>
      </c>
      <c r="K14" s="110">
        <f>IFERROR(_xll.qlRateHelperQuoteValue($I14,Trigger),"--")</f>
        <v>2.7300000000000002E-3</v>
      </c>
      <c r="L14" s="109" t="b">
        <v>1</v>
      </c>
      <c r="M14" s="106">
        <v>50</v>
      </c>
      <c r="N14" s="106">
        <v>1</v>
      </c>
      <c r="O14" s="111">
        <f>IFERROR(_xll.qlRateHelperEarliestDate(I14,Trigger),"--")</f>
        <v>42261</v>
      </c>
      <c r="P14" s="111">
        <f>IFERROR(_xll.qlRateHelperPillarDate(I14,Trigger),"--")</f>
        <v>42443</v>
      </c>
      <c r="R14" s="4" t="str">
        <f t="shared" si="1"/>
        <v>OIS</v>
      </c>
      <c r="S14" s="4" t="str">
        <v>obj_002f3</v>
      </c>
      <c r="T14" s="4" t="str">
        <f>IFERROR(_xll.qlRateHelperQuoteName(S14,Trigger),"")</f>
        <v>USDOIS8M_Quote</v>
      </c>
      <c r="U14" s="76">
        <f>IFERROR(_xll.qlRateHelperRate(S14,Trigger),"")</f>
        <v>3.1200000000000004E-3</v>
      </c>
      <c r="V14" s="116" t="str">
        <f>IF(ISERROR(_xll.qlSwapRateHelperSpread($S14)),IF(ISERROR(_xll.qlFuturesRateHelperConvexityAdjustment($S14)),"",_xll.qlFuturesRateHelperConvexityAdjustment($S14)),_xll.qlSwapRateHelperSpread($S14))</f>
        <v/>
      </c>
      <c r="W14" s="5">
        <f>IFERROR(_xll.qlRateHelperEarliestDate(S14,Trigger),"")</f>
        <v>42261</v>
      </c>
      <c r="X14" s="5">
        <f>IFERROR(_xll.qlRateHelperPillarDate(S14,Trigger),"")</f>
        <v>42506</v>
      </c>
      <c r="Y14" s="84">
        <v>0.99785414728295707</v>
      </c>
    </row>
    <row r="15" spans="1:27" ht="11.25" customHeight="1" x14ac:dyDescent="0.2">
      <c r="A15" s="64" t="s">
        <v>100</v>
      </c>
      <c r="B15" s="65" t="s">
        <v>55</v>
      </c>
      <c r="C15" s="66">
        <f t="shared" si="6"/>
        <v>2</v>
      </c>
      <c r="D15" s="67" t="str">
        <f t="shared" si="4"/>
        <v>USDFedFunds</v>
      </c>
      <c r="E15" s="69" t="str">
        <f t="shared" si="5"/>
        <v>USDOIS5M_Quote</v>
      </c>
      <c r="F15" s="70" t="str">
        <f>_xll.qlOISRateHelper(,C15,B15,E15,$D15,,Permanent,Trigger,ObjectOverwrite)</f>
        <v>obj_002f5#0004</v>
      </c>
      <c r="G15" s="53"/>
      <c r="H15" s="11" t="str">
        <f t="shared" si="2"/>
        <v>OIS</v>
      </c>
      <c r="I15" s="106" t="str">
        <f t="shared" si="3"/>
        <v>obj_002ed#0004</v>
      </c>
      <c r="J15" s="109" t="str">
        <f>IFERROR(_xll.qlRateHelperQuoteName(I15,Trigger),"--")</f>
        <v>USDOIS7M_Quote</v>
      </c>
      <c r="K15" s="110">
        <f>IFERROR(_xll.qlRateHelperQuoteValue($I15,Trigger),"--")</f>
        <v>2.9000000000000002E-3</v>
      </c>
      <c r="L15" s="109" t="b">
        <v>1</v>
      </c>
      <c r="M15" s="106">
        <v>50</v>
      </c>
      <c r="N15" s="106">
        <v>1</v>
      </c>
      <c r="O15" s="111">
        <f>IFERROR(_xll.qlRateHelperEarliestDate(I15,Trigger),"--")</f>
        <v>42261</v>
      </c>
      <c r="P15" s="111">
        <f>IFERROR(_xll.qlRateHelperPillarDate(I15,Trigger),"--")</f>
        <v>42474</v>
      </c>
      <c r="R15" s="4" t="str">
        <f t="shared" si="1"/>
        <v>OIS</v>
      </c>
      <c r="S15" s="4" t="str">
        <v>obj_002f4</v>
      </c>
      <c r="T15" s="4" t="str">
        <f>IFERROR(_xll.qlRateHelperQuoteName(S15,Trigger),"")</f>
        <v>USDOIS9M_Quote</v>
      </c>
      <c r="U15" s="76">
        <f>IFERROR(_xll.qlRateHelperRate(S15,Trigger),"")</f>
        <v>3.3299999999999996E-3</v>
      </c>
      <c r="V15" s="116" t="str">
        <f>IF(ISERROR(_xll.qlSwapRateHelperSpread($S15)),IF(ISERROR(_xll.qlFuturesRateHelperConvexityAdjustment($S15)),"",_xll.qlFuturesRateHelperConvexityAdjustment($S15)),_xll.qlSwapRateHelperSpread($S15))</f>
        <v/>
      </c>
      <c r="W15" s="5">
        <f>IFERROR(_xll.qlRateHelperEarliestDate(S15,Trigger),"")</f>
        <v>42261</v>
      </c>
      <c r="X15" s="5">
        <f>IFERROR(_xll.qlRateHelperPillarDate(S15,Trigger),"")</f>
        <v>42535</v>
      </c>
      <c r="Y15" s="84">
        <v>0.99744490015622178</v>
      </c>
    </row>
    <row r="16" spans="1:27" ht="11.25" customHeight="1" x14ac:dyDescent="0.2">
      <c r="A16" s="64" t="s">
        <v>100</v>
      </c>
      <c r="B16" s="65" t="s">
        <v>3</v>
      </c>
      <c r="C16" s="66">
        <f t="shared" si="6"/>
        <v>2</v>
      </c>
      <c r="D16" s="67" t="str">
        <f t="shared" si="4"/>
        <v>USDFedFunds</v>
      </c>
      <c r="E16" s="69" t="str">
        <f t="shared" si="5"/>
        <v>USDOIS6M_Quote</v>
      </c>
      <c r="F16" s="70" t="str">
        <f>_xll.qlOISRateHelper(,C16,B16,E16,$D16,,Permanent,Trigger,ObjectOverwrite)</f>
        <v>obj_002ef#0004</v>
      </c>
      <c r="G16" s="53"/>
      <c r="H16" s="11" t="str">
        <f t="shared" si="2"/>
        <v>OIS</v>
      </c>
      <c r="I16" s="106" t="str">
        <f t="shared" si="3"/>
        <v>obj_002f3#0004</v>
      </c>
      <c r="J16" s="109" t="str">
        <f>IFERROR(_xll.qlRateHelperQuoteName(I16,Trigger),"--")</f>
        <v>USDOIS8M_Quote</v>
      </c>
      <c r="K16" s="110">
        <f>IFERROR(_xll.qlRateHelperQuoteValue($I16,Trigger),"--")</f>
        <v>3.1200000000000004E-3</v>
      </c>
      <c r="L16" s="109" t="b">
        <v>1</v>
      </c>
      <c r="M16" s="106">
        <v>50</v>
      </c>
      <c r="N16" s="106">
        <v>1</v>
      </c>
      <c r="O16" s="111">
        <f>IFERROR(_xll.qlRateHelperEarliestDate(I16,Trigger),"--")</f>
        <v>42261</v>
      </c>
      <c r="P16" s="111">
        <f>IFERROR(_xll.qlRateHelperPillarDate(I16,Trigger),"--")</f>
        <v>42506</v>
      </c>
      <c r="R16" s="4" t="str">
        <f t="shared" si="1"/>
        <v>OIS</v>
      </c>
      <c r="S16" s="4" t="str">
        <v>obj_002f9</v>
      </c>
      <c r="T16" s="4" t="str">
        <f>IFERROR(_xll.qlRateHelperQuoteName(S16,Trigger),"")</f>
        <v>USDOIS10M_Quote</v>
      </c>
      <c r="U16" s="76">
        <f>IFERROR(_xll.qlRateHelperRate(S16,Trigger),"")</f>
        <v>3.4599999999999995E-3</v>
      </c>
      <c r="V16" s="116" t="str">
        <f>IF(ISERROR(_xll.qlSwapRateHelperSpread($S16)),IF(ISERROR(_xll.qlFuturesRateHelperConvexityAdjustment($S16)),"",_xll.qlFuturesRateHelperConvexityAdjustment($S16)),_xll.qlSwapRateHelperSpread($S16))</f>
        <v/>
      </c>
      <c r="W16" s="5">
        <f>IFERROR(_xll.qlRateHelperEarliestDate(S16,Trigger),"")</f>
        <v>42261</v>
      </c>
      <c r="X16" s="5">
        <f>IFERROR(_xll.qlRateHelperPillarDate(S16,Trigger),"")</f>
        <v>42565</v>
      </c>
      <c r="Y16" s="84">
        <v>0.99705973727219555</v>
      </c>
    </row>
    <row r="17" spans="1:25" ht="11.25" customHeight="1" x14ac:dyDescent="0.2">
      <c r="A17" s="64" t="s">
        <v>100</v>
      </c>
      <c r="B17" s="65" t="s">
        <v>56</v>
      </c>
      <c r="C17" s="66">
        <f t="shared" si="6"/>
        <v>2</v>
      </c>
      <c r="D17" s="67" t="str">
        <f t="shared" si="4"/>
        <v>USDFedFunds</v>
      </c>
      <c r="E17" s="69" t="str">
        <f t="shared" si="5"/>
        <v>USDOIS7M_Quote</v>
      </c>
      <c r="F17" s="70" t="str">
        <f>_xll.qlOISRateHelper(,C17,B17,E17,$D17,,Permanent,Trigger,ObjectOverwrite)</f>
        <v>obj_002ed#0004</v>
      </c>
      <c r="G17" s="53"/>
      <c r="H17" s="11" t="str">
        <f t="shared" si="2"/>
        <v>OIS</v>
      </c>
      <c r="I17" s="106" t="str">
        <f t="shared" si="3"/>
        <v>obj_002f4#0004</v>
      </c>
      <c r="J17" s="109" t="str">
        <f>IFERROR(_xll.qlRateHelperQuoteName(I17,Trigger),"--")</f>
        <v>USDOIS9M_Quote</v>
      </c>
      <c r="K17" s="110">
        <f>IFERROR(_xll.qlRateHelperQuoteValue($I17,Trigger),"--")</f>
        <v>3.3299999999999996E-3</v>
      </c>
      <c r="L17" s="109" t="b">
        <v>1</v>
      </c>
      <c r="M17" s="106">
        <v>50</v>
      </c>
      <c r="N17" s="106">
        <v>1</v>
      </c>
      <c r="O17" s="111">
        <f>IFERROR(_xll.qlRateHelperEarliestDate(I17,Trigger),"--")</f>
        <v>42261</v>
      </c>
      <c r="P17" s="111">
        <f>IFERROR(_xll.qlRateHelperPillarDate(I17,Trigger),"--")</f>
        <v>42535</v>
      </c>
      <c r="R17" s="4" t="str">
        <f t="shared" si="1"/>
        <v>OIS</v>
      </c>
      <c r="S17" s="4" t="str">
        <v>obj_002f6</v>
      </c>
      <c r="T17" s="4" t="str">
        <f>IFERROR(_xll.qlRateHelperQuoteName(S17,Trigger),"")</f>
        <v>USDOIS11M_Quote</v>
      </c>
      <c r="U17" s="76">
        <f>IFERROR(_xll.qlRateHelperRate(S17,Trigger),"")</f>
        <v>3.7099999999999998E-3</v>
      </c>
      <c r="V17" s="116" t="str">
        <f>IF(ISERROR(_xll.qlSwapRateHelperSpread($S17)),IF(ISERROR(_xll.qlFuturesRateHelperConvexityAdjustment($S17)),"",_xll.qlFuturesRateHelperConvexityAdjustment($S17)),_xll.qlSwapRateHelperSpread($S17))</f>
        <v/>
      </c>
      <c r="W17" s="5">
        <f>IFERROR(_xll.qlRateHelperEarliestDate(S17,Trigger),"")</f>
        <v>42261</v>
      </c>
      <c r="X17" s="5">
        <f>IFERROR(_xll.qlRateHelperPillarDate(S17,Trigger),"")</f>
        <v>42597</v>
      </c>
      <c r="Y17" s="84">
        <v>0.99652229970590656</v>
      </c>
    </row>
    <row r="18" spans="1:25" ht="11.25" customHeight="1" x14ac:dyDescent="0.2">
      <c r="A18" s="64" t="s">
        <v>100</v>
      </c>
      <c r="B18" s="65" t="s">
        <v>57</v>
      </c>
      <c r="C18" s="66">
        <f t="shared" si="6"/>
        <v>2</v>
      </c>
      <c r="D18" s="67" t="str">
        <f t="shared" si="4"/>
        <v>USDFedFunds</v>
      </c>
      <c r="E18" s="69" t="str">
        <f t="shared" si="5"/>
        <v>USDOIS8M_Quote</v>
      </c>
      <c r="F18" s="70" t="str">
        <f>_xll.qlOISRateHelper(,C18,B18,E18,$D18,,Permanent,Trigger,ObjectOverwrite)</f>
        <v>obj_002f3#0004</v>
      </c>
      <c r="G18" s="53"/>
      <c r="H18" s="11" t="str">
        <f t="shared" si="2"/>
        <v>OIS</v>
      </c>
      <c r="I18" s="106" t="str">
        <f t="shared" si="3"/>
        <v>obj_002f9#0004</v>
      </c>
      <c r="J18" s="109" t="str">
        <f>IFERROR(_xll.qlRateHelperQuoteName(I18,Trigger),"--")</f>
        <v>USDOIS10M_Quote</v>
      </c>
      <c r="K18" s="110">
        <f>IFERROR(_xll.qlRateHelperQuoteValue($I18,Trigger),"--")</f>
        <v>3.4599999999999995E-3</v>
      </c>
      <c r="L18" s="109" t="b">
        <v>1</v>
      </c>
      <c r="M18" s="106">
        <v>50</v>
      </c>
      <c r="N18" s="106">
        <v>1</v>
      </c>
      <c r="O18" s="111">
        <f>IFERROR(_xll.qlRateHelperEarliestDate(I18,Trigger),"--")</f>
        <v>42261</v>
      </c>
      <c r="P18" s="111">
        <f>IFERROR(_xll.qlRateHelperPillarDate(I18,Trigger),"--")</f>
        <v>42565</v>
      </c>
      <c r="R18" s="4" t="str">
        <f t="shared" si="1"/>
        <v>OIS</v>
      </c>
      <c r="S18" s="4" t="str">
        <v>obj_002f7</v>
      </c>
      <c r="T18" s="4" t="str">
        <f>IFERROR(_xll.qlRateHelperQuoteName(S18,Trigger),"")</f>
        <v>USDOIS1Y_Quote</v>
      </c>
      <c r="U18" s="76">
        <f>IFERROR(_xll.qlRateHelperRate(S18,Trigger),"")</f>
        <v>3.9500000000000004E-3</v>
      </c>
      <c r="V18" s="116" t="str">
        <f>IF(ISERROR(_xll.qlSwapRateHelperSpread($S18)),IF(ISERROR(_xll.qlFuturesRateHelperConvexityAdjustment($S18)),"",_xll.qlFuturesRateHelperConvexityAdjustment($S18)),_xll.qlSwapRateHelperSpread($S18))</f>
        <v/>
      </c>
      <c r="W18" s="5">
        <f>IFERROR(_xll.qlRateHelperEarliestDate(S18,Trigger),"")</f>
        <v>42261</v>
      </c>
      <c r="X18" s="5">
        <f>IFERROR(_xll.qlRateHelperPillarDate(S18,Trigger),"")</f>
        <v>42627</v>
      </c>
      <c r="Y18" s="84">
        <v>0.99597326163250222</v>
      </c>
    </row>
    <row r="19" spans="1:25" ht="11.25" customHeight="1" x14ac:dyDescent="0.2">
      <c r="A19" s="64" t="s">
        <v>100</v>
      </c>
      <c r="B19" s="65" t="s">
        <v>58</v>
      </c>
      <c r="C19" s="66">
        <f t="shared" si="6"/>
        <v>2</v>
      </c>
      <c r="D19" s="67" t="str">
        <f t="shared" si="4"/>
        <v>USDFedFunds</v>
      </c>
      <c r="E19" s="69" t="str">
        <f t="shared" si="5"/>
        <v>USDOIS9M_Quote</v>
      </c>
      <c r="F19" s="70" t="str">
        <f>_xll.qlOISRateHelper(,C19,B19,E19,$D19,,Permanent,Trigger,ObjectOverwrite)</f>
        <v>obj_002f4#0004</v>
      </c>
      <c r="G19" s="53"/>
      <c r="H19" s="11" t="str">
        <f t="shared" si="2"/>
        <v>OIS</v>
      </c>
      <c r="I19" s="106" t="str">
        <f t="shared" si="3"/>
        <v>obj_002f6#0004</v>
      </c>
      <c r="J19" s="109" t="str">
        <f>IFERROR(_xll.qlRateHelperQuoteName(I19,Trigger),"--")</f>
        <v>USDOIS11M_Quote</v>
      </c>
      <c r="K19" s="110">
        <f>IFERROR(_xll.qlRateHelperQuoteValue($I19,Trigger),"--")</f>
        <v>3.7099999999999998E-3</v>
      </c>
      <c r="L19" s="109" t="b">
        <v>1</v>
      </c>
      <c r="M19" s="106">
        <v>50</v>
      </c>
      <c r="N19" s="106">
        <v>1</v>
      </c>
      <c r="O19" s="111">
        <f>IFERROR(_xll.qlRateHelperEarliestDate(I19,Trigger),"--")</f>
        <v>42261</v>
      </c>
      <c r="P19" s="111">
        <f>IFERROR(_xll.qlRateHelperPillarDate(I19,Trigger),"--")</f>
        <v>42597</v>
      </c>
      <c r="R19" s="4" t="str">
        <f t="shared" si="1"/>
        <v>OIS</v>
      </c>
      <c r="S19" s="4" t="str">
        <v>obj_002e6</v>
      </c>
      <c r="T19" s="4" t="str">
        <f>IFERROR(_xll.qlRateHelperQuoteName(S19,Trigger),"")</f>
        <v>USDOIS15M_Quote</v>
      </c>
      <c r="U19" s="76">
        <f>IFERROR(_xll.qlRateHelperRate(S19,Trigger),"")</f>
        <v>4.5999999999999999E-3</v>
      </c>
      <c r="V19" s="116" t="str">
        <f>IF(ISERROR(_xll.qlSwapRateHelperSpread($S19)),IF(ISERROR(_xll.qlFuturesRateHelperConvexityAdjustment($S19)),"",_xll.qlFuturesRateHelperConvexityAdjustment($S19)),_xll.qlSwapRateHelperSpread($S19))</f>
        <v/>
      </c>
      <c r="W19" s="5">
        <f>IFERROR(_xll.qlRateHelperEarliestDate(S19,Trigger),"")</f>
        <v>42261</v>
      </c>
      <c r="X19" s="5">
        <f>IFERROR(_xll.qlRateHelperPillarDate(S19,Trigger),"")</f>
        <v>42718</v>
      </c>
      <c r="Y19" s="84">
        <v>0.99416144783398752</v>
      </c>
    </row>
    <row r="20" spans="1:25" ht="11.25" customHeight="1" x14ac:dyDescent="0.2">
      <c r="A20" s="64" t="s">
        <v>100</v>
      </c>
      <c r="B20" s="65" t="s">
        <v>59</v>
      </c>
      <c r="C20" s="66">
        <f t="shared" si="6"/>
        <v>2</v>
      </c>
      <c r="D20" s="67" t="str">
        <f t="shared" si="4"/>
        <v>USDFedFunds</v>
      </c>
      <c r="E20" s="69" t="str">
        <f t="shared" si="5"/>
        <v>USDOIS10M_Quote</v>
      </c>
      <c r="F20" s="70" t="str">
        <f>_xll.qlOISRateHelper(,C20,B20,E20,$D20,,Permanent,Trigger,ObjectOverwrite)</f>
        <v>obj_002f9#0004</v>
      </c>
      <c r="G20" s="53"/>
      <c r="H20" s="11" t="str">
        <f t="shared" si="2"/>
        <v>OIS</v>
      </c>
      <c r="I20" s="106" t="str">
        <f t="shared" si="3"/>
        <v>obj_002f7#0004</v>
      </c>
      <c r="J20" s="109" t="str">
        <f>IFERROR(_xll.qlRateHelperQuoteName(I20,Trigger),"--")</f>
        <v>USDOIS1Y_Quote</v>
      </c>
      <c r="K20" s="110">
        <f>IFERROR(_xll.qlRateHelperQuoteValue($I20,Trigger),"--")</f>
        <v>3.9500000000000004E-3</v>
      </c>
      <c r="L20" s="109" t="b">
        <v>1</v>
      </c>
      <c r="M20" s="106">
        <v>50</v>
      </c>
      <c r="N20" s="106">
        <v>1</v>
      </c>
      <c r="O20" s="111">
        <f>IFERROR(_xll.qlRateHelperEarliestDate(I20,Trigger),"--")</f>
        <v>42261</v>
      </c>
      <c r="P20" s="111">
        <f>IFERROR(_xll.qlRateHelperPillarDate(I20,Trigger),"--")</f>
        <v>42627</v>
      </c>
      <c r="R20" s="4" t="str">
        <f t="shared" si="1"/>
        <v>OIS</v>
      </c>
      <c r="S20" s="4" t="str">
        <v>obj_002da</v>
      </c>
      <c r="T20" s="4" t="str">
        <f>IFERROR(_xll.qlRateHelperQuoteName(S20,Trigger),"")</f>
        <v>USDOIS18M_Quote</v>
      </c>
      <c r="U20" s="76">
        <f>IFERROR(_xll.qlRateHelperRate(S20,Trigger),"")</f>
        <v>5.3200000000000001E-3</v>
      </c>
      <c r="V20" s="116" t="str">
        <f>IF(ISERROR(_xll.qlSwapRateHelperSpread($S20)),IF(ISERROR(_xll.qlFuturesRateHelperConvexityAdjustment($S20)),"",_xll.qlFuturesRateHelperConvexityAdjustment($S20)),_xll.qlSwapRateHelperSpread($S20))</f>
        <v/>
      </c>
      <c r="W20" s="5">
        <f>IFERROR(_xll.qlRateHelperEarliestDate(S20,Trigger),"")</f>
        <v>42261</v>
      </c>
      <c r="X20" s="5">
        <f>IFERROR(_xll.qlRateHelperPillarDate(S20,Trigger),"")</f>
        <v>42808</v>
      </c>
      <c r="Y20" s="84">
        <v>0.991936751716892</v>
      </c>
    </row>
    <row r="21" spans="1:25" ht="11.25" customHeight="1" x14ac:dyDescent="0.2">
      <c r="A21" s="64" t="s">
        <v>100</v>
      </c>
      <c r="B21" s="65" t="s">
        <v>60</v>
      </c>
      <c r="C21" s="66">
        <f t="shared" si="6"/>
        <v>2</v>
      </c>
      <c r="D21" s="67" t="str">
        <f t="shared" si="4"/>
        <v>USDFedFunds</v>
      </c>
      <c r="E21" s="69" t="str">
        <f t="shared" si="5"/>
        <v>USDOIS11M_Quote</v>
      </c>
      <c r="F21" s="70" t="str">
        <f>_xll.qlOISRateHelper(,C21,B21,E21,$D21,,Permanent,Trigger,ObjectOverwrite)</f>
        <v>obj_002f6#0004</v>
      </c>
      <c r="G21" s="53"/>
      <c r="H21" s="11" t="str">
        <f t="shared" si="2"/>
        <v>OIS</v>
      </c>
      <c r="I21" s="106" t="str">
        <f t="shared" si="3"/>
        <v>--</v>
      </c>
      <c r="J21" s="109" t="str">
        <f>IFERROR(_xll.qlRateHelperQuoteName(I21,Trigger),"--")</f>
        <v>--</v>
      </c>
      <c r="K21" s="110" t="str">
        <f>IFERROR(_xll.qlRateHelperQuoteValue($I21,Trigger),"--")</f>
        <v>--</v>
      </c>
      <c r="L21" s="109" t="b">
        <v>0</v>
      </c>
      <c r="M21" s="106">
        <v>50</v>
      </c>
      <c r="N21" s="106">
        <v>1</v>
      </c>
      <c r="O21" s="111" t="str">
        <f>IFERROR(_xll.qlRateHelperEarliestDate(I21,Trigger),"--")</f>
        <v>--</v>
      </c>
      <c r="P21" s="111" t="str">
        <f>IFERROR(_xll.qlRateHelperPillarDate(I21,Trigger),"--")</f>
        <v>--</v>
      </c>
      <c r="R21" s="4" t="str">
        <f t="shared" si="1"/>
        <v>OIS</v>
      </c>
      <c r="S21" s="4" t="str">
        <v>obj_002e5</v>
      </c>
      <c r="T21" s="4" t="str">
        <f>IFERROR(_xll.qlRateHelperQuoteName(S21,Trigger),"")</f>
        <v>USDOIS21M_Quote</v>
      </c>
      <c r="U21" s="76">
        <f>IFERROR(_xll.qlRateHelperRate(S21,Trigger),"")</f>
        <v>6.0799999999999995E-3</v>
      </c>
      <c r="V21" s="116" t="str">
        <f>IF(ISERROR(_xll.qlSwapRateHelperSpread($S21)),IF(ISERROR(_xll.qlFuturesRateHelperConvexityAdjustment($S21)),"",_xll.qlFuturesRateHelperConvexityAdjustment($S21)),_xll.qlSwapRateHelperSpread($S21))</f>
        <v/>
      </c>
      <c r="W21" s="5">
        <f>IFERROR(_xll.qlRateHelperEarliestDate(S21,Trigger),"")</f>
        <v>42261</v>
      </c>
      <c r="X21" s="5">
        <f>IFERROR(_xll.qlRateHelperPillarDate(S21,Trigger),"")</f>
        <v>42900</v>
      </c>
      <c r="Y21" s="84">
        <v>0.98925896066259833</v>
      </c>
    </row>
    <row r="22" spans="1:25" ht="11.25" customHeight="1" x14ac:dyDescent="0.2">
      <c r="A22" s="64" t="s">
        <v>100</v>
      </c>
      <c r="B22" s="65" t="s">
        <v>29</v>
      </c>
      <c r="C22" s="66">
        <f t="shared" si="6"/>
        <v>2</v>
      </c>
      <c r="D22" s="67" t="str">
        <f t="shared" si="4"/>
        <v>USDFedFunds</v>
      </c>
      <c r="E22" s="69" t="str">
        <f t="shared" si="5"/>
        <v>USDOIS1Y_Quote</v>
      </c>
      <c r="F22" s="70" t="str">
        <f>_xll.qlOISRateHelper(,C22,B22,E22,$D22,,Permanent,Trigger,ObjectOverwrite)</f>
        <v>obj_002f7#0004</v>
      </c>
      <c r="H22" s="11" t="str">
        <f t="shared" si="2"/>
        <v>OIS</v>
      </c>
      <c r="I22" s="106" t="str">
        <f t="shared" si="3"/>
        <v>--</v>
      </c>
      <c r="J22" s="109" t="str">
        <f>IFERROR(_xll.qlRateHelperQuoteName(I22,Trigger),"--")</f>
        <v>--</v>
      </c>
      <c r="K22" s="110" t="str">
        <f>IFERROR(_xll.qlRateHelperQuoteValue($I22,Trigger),"--")</f>
        <v>--</v>
      </c>
      <c r="L22" s="109" t="b">
        <v>0</v>
      </c>
      <c r="M22" s="106">
        <v>50</v>
      </c>
      <c r="N22" s="106">
        <v>1</v>
      </c>
      <c r="O22" s="111" t="str">
        <f>IFERROR(_xll.qlRateHelperEarliestDate(I22,Trigger),"--")</f>
        <v>--</v>
      </c>
      <c r="P22" s="111" t="str">
        <f>IFERROR(_xll.qlRateHelperPillarDate(I22,Trigger),"--")</f>
        <v>--</v>
      </c>
      <c r="R22" s="4" t="str">
        <f t="shared" si="1"/>
        <v>OIS</v>
      </c>
      <c r="S22" s="4" t="str">
        <v>obj_002d7</v>
      </c>
      <c r="T22" s="4" t="str">
        <f>IFERROR(_xll.qlRateHelperQuoteName(S22,Trigger),"")</f>
        <v>USDOIS2Y_Quote</v>
      </c>
      <c r="U22" s="76">
        <f>IFERROR(_xll.qlRateHelperRate(S22,Trigger),"")</f>
        <v>6.6100000000000004E-3</v>
      </c>
      <c r="V22" s="116" t="str">
        <f>IF(ISERROR(_xll.qlSwapRateHelperSpread($S22)),IF(ISERROR(_xll.qlFuturesRateHelperConvexityAdjustment($S22)),"",_xll.qlFuturesRateHelperConvexityAdjustment($S22)),_xll.qlSwapRateHelperSpread($S22))</f>
        <v/>
      </c>
      <c r="W22" s="5">
        <f>IFERROR(_xll.qlRateHelperEarliestDate(S22,Trigger),"")</f>
        <v>42261</v>
      </c>
      <c r="X22" s="5">
        <f>IFERROR(_xll.qlRateHelperPillarDate(S22,Trigger),"")</f>
        <v>42992</v>
      </c>
      <c r="Y22" s="84">
        <v>0.98666736511308839</v>
      </c>
    </row>
    <row r="23" spans="1:25" ht="11.25" customHeight="1" x14ac:dyDescent="0.2">
      <c r="A23" s="64" t="s">
        <v>100</v>
      </c>
      <c r="B23" s="65" t="s">
        <v>61</v>
      </c>
      <c r="C23" s="66">
        <f t="shared" ref="C23:C61" si="7">IF(B23="O/N",0,IF(B23="T/N",1,2))</f>
        <v>2</v>
      </c>
      <c r="D23" s="67" t="str">
        <f t="shared" si="4"/>
        <v>USDFedFunds</v>
      </c>
      <c r="E23" s="69" t="str">
        <f t="shared" si="5"/>
        <v>USDOIS13M_Quote</v>
      </c>
      <c r="F23" s="70"/>
      <c r="H23" s="11" t="str">
        <f t="shared" si="2"/>
        <v>OIS</v>
      </c>
      <c r="I23" s="106" t="str">
        <f t="shared" si="3"/>
        <v>obj_002e6#0004</v>
      </c>
      <c r="J23" s="109" t="str">
        <f>IFERROR(_xll.qlRateHelperQuoteName(I23,Trigger),"--")</f>
        <v>USDOIS15M_Quote</v>
      </c>
      <c r="K23" s="110">
        <f>IFERROR(_xll.qlRateHelperQuoteValue($I23,Trigger),"--")</f>
        <v>4.5999999999999999E-3</v>
      </c>
      <c r="L23" s="109" t="b">
        <v>1</v>
      </c>
      <c r="M23" s="106">
        <v>50</v>
      </c>
      <c r="N23" s="106">
        <v>1</v>
      </c>
      <c r="O23" s="111">
        <f>IFERROR(_xll.qlRateHelperEarliestDate(I23,Trigger),"--")</f>
        <v>42261</v>
      </c>
      <c r="P23" s="111">
        <f>IFERROR(_xll.qlRateHelperPillarDate(I23,Trigger),"--")</f>
        <v>42718</v>
      </c>
      <c r="R23" s="4" t="str">
        <f t="shared" si="1"/>
        <v>OIS</v>
      </c>
      <c r="S23" s="4" t="str">
        <v>obj_002e8</v>
      </c>
      <c r="T23" s="4" t="str">
        <f>IFERROR(_xll.qlRateHelperQuoteName(S23,Trigger),"")</f>
        <v>USDOIS3Y_Quote</v>
      </c>
      <c r="U23" s="76">
        <f>IFERROR(_xll.qlRateHelperRate(S23,Trigger),"")</f>
        <v>9.4000000000000004E-3</v>
      </c>
      <c r="V23" s="116" t="str">
        <f>IF(ISERROR(_xll.qlSwapRateHelperSpread($S23)),IF(ISERROR(_xll.qlFuturesRateHelperConvexityAdjustment($S23)),"",_xll.qlFuturesRateHelperConvexityAdjustment($S23)),_xll.qlSwapRateHelperSpread($S23))</f>
        <v/>
      </c>
      <c r="W23" s="5">
        <f>IFERROR(_xll.qlRateHelperEarliestDate(S23,Trigger),"")</f>
        <v>42261</v>
      </c>
      <c r="X23" s="5">
        <f>IFERROR(_xll.qlRateHelperPillarDate(S23,Trigger),"")</f>
        <v>43357</v>
      </c>
      <c r="Y23" s="84">
        <v>0.97178955728247418</v>
      </c>
    </row>
    <row r="24" spans="1:25" ht="11.25" customHeight="1" x14ac:dyDescent="0.2">
      <c r="A24" s="64" t="s">
        <v>100</v>
      </c>
      <c r="B24" s="65" t="s">
        <v>62</v>
      </c>
      <c r="C24" s="66">
        <f t="shared" si="7"/>
        <v>2</v>
      </c>
      <c r="D24" s="67" t="str">
        <f t="shared" si="4"/>
        <v>USDFedFunds</v>
      </c>
      <c r="E24" s="69" t="str">
        <f t="shared" si="5"/>
        <v>USDOIS14M_Quote</v>
      </c>
      <c r="F24" s="70"/>
      <c r="H24" s="11" t="str">
        <f t="shared" si="2"/>
        <v>OIS</v>
      </c>
      <c r="I24" s="106" t="str">
        <f t="shared" si="3"/>
        <v>--</v>
      </c>
      <c r="J24" s="109" t="str">
        <f>IFERROR(_xll.qlRateHelperQuoteName(I24,Trigger),"--")</f>
        <v>--</v>
      </c>
      <c r="K24" s="110" t="str">
        <f>IFERROR(_xll.qlRateHelperQuoteValue($I24,Trigger),"--")</f>
        <v>--</v>
      </c>
      <c r="L24" s="109" t="b">
        <v>0</v>
      </c>
      <c r="M24" s="106">
        <v>50</v>
      </c>
      <c r="N24" s="106">
        <v>1</v>
      </c>
      <c r="O24" s="111" t="str">
        <f>IFERROR(_xll.qlRateHelperEarliestDate(I24,Trigger),"--")</f>
        <v>--</v>
      </c>
      <c r="P24" s="111" t="str">
        <f>IFERROR(_xll.qlRateHelperPillarDate(I24,Trigger),"--")</f>
        <v>--</v>
      </c>
      <c r="R24" s="4" t="str">
        <f t="shared" si="1"/>
        <v>OIS</v>
      </c>
      <c r="S24" s="4" t="str">
        <v>obj_002e3</v>
      </c>
      <c r="T24" s="4" t="str">
        <f>IFERROR(_xll.qlRateHelperQuoteName(S24,Trigger),"")</f>
        <v>USDOIS4Y_Quote</v>
      </c>
      <c r="U24" s="76">
        <f>IFERROR(_xll.qlRateHelperRate(S24,Trigger),"")</f>
        <v>1.1650000000000001E-2</v>
      </c>
      <c r="V24" s="116" t="str">
        <f>IF(ISERROR(_xll.qlSwapRateHelperSpread($S24)),IF(ISERROR(_xll.qlFuturesRateHelperConvexityAdjustment($S24)),"",_xll.qlFuturesRateHelperConvexityAdjustment($S24)),_xll.qlSwapRateHelperSpread($S24))</f>
        <v/>
      </c>
      <c r="W24" s="5">
        <f>IFERROR(_xll.qlRateHelperEarliestDate(S24,Trigger),"")</f>
        <v>42261</v>
      </c>
      <c r="X24" s="5">
        <f>IFERROR(_xll.qlRateHelperPillarDate(S24,Trigger),"")</f>
        <v>43724</v>
      </c>
      <c r="Y24" s="84">
        <v>0.9537166957630796</v>
      </c>
    </row>
    <row r="25" spans="1:25" ht="11.25" customHeight="1" x14ac:dyDescent="0.2">
      <c r="A25" s="64" t="s">
        <v>100</v>
      </c>
      <c r="B25" s="65" t="s">
        <v>63</v>
      </c>
      <c r="C25" s="66">
        <f t="shared" si="7"/>
        <v>2</v>
      </c>
      <c r="D25" s="67" t="str">
        <f t="shared" si="4"/>
        <v>USDFedFunds</v>
      </c>
      <c r="E25" s="69" t="str">
        <f t="shared" si="5"/>
        <v>USDOIS15M_Quote</v>
      </c>
      <c r="F25" s="70" t="str">
        <f>_xll.qlOISRateHelper(,C25,B25,E25,$D25,,Permanent,Trigger,ObjectOverwrite)</f>
        <v>obj_002e6#0004</v>
      </c>
      <c r="H25" s="11" t="str">
        <f t="shared" si="2"/>
        <v>OIS</v>
      </c>
      <c r="I25" s="106" t="str">
        <f t="shared" si="3"/>
        <v>--</v>
      </c>
      <c r="J25" s="109" t="str">
        <f>IFERROR(_xll.qlRateHelperQuoteName(I25,Trigger),"--")</f>
        <v>--</v>
      </c>
      <c r="K25" s="110" t="str">
        <f>IFERROR(_xll.qlRateHelperQuoteValue($I25,Trigger),"--")</f>
        <v>--</v>
      </c>
      <c r="L25" s="109" t="b">
        <v>0</v>
      </c>
      <c r="M25" s="106">
        <v>50</v>
      </c>
      <c r="N25" s="106">
        <v>1</v>
      </c>
      <c r="O25" s="111" t="str">
        <f>IFERROR(_xll.qlRateHelperEarliestDate(I25,Trigger),"--")</f>
        <v>--</v>
      </c>
      <c r="P25" s="111" t="str">
        <f>IFERROR(_xll.qlRateHelperPillarDate(I25,Trigger),"--")</f>
        <v>--</v>
      </c>
      <c r="R25" s="4" t="str">
        <f t="shared" si="1"/>
        <v>OIS</v>
      </c>
      <c r="S25" s="4" t="str">
        <v>obj_002df</v>
      </c>
      <c r="T25" s="4" t="str">
        <f>IFERROR(_xll.qlRateHelperQuoteName(S25,Trigger),"")</f>
        <v>USDOIS5Y_Quote</v>
      </c>
      <c r="U25" s="76">
        <f>IFERROR(_xll.qlRateHelperRate(S25,Trigger),"")</f>
        <v>1.363E-2</v>
      </c>
      <c r="V25" s="116" t="str">
        <f>IF(ISERROR(_xll.qlSwapRateHelperSpread($S25)),IF(ISERROR(_xll.qlFuturesRateHelperConvexityAdjustment($S25)),"",_xll.qlFuturesRateHelperConvexityAdjustment($S25)),_xll.qlSwapRateHelperSpread($S25))</f>
        <v/>
      </c>
      <c r="W25" s="5">
        <f>IFERROR(_xll.qlRateHelperEarliestDate(S25,Trigger),"")</f>
        <v>42261</v>
      </c>
      <c r="X25" s="5">
        <f>IFERROR(_xll.qlRateHelperPillarDate(S25,Trigger),"")</f>
        <v>44088</v>
      </c>
      <c r="Y25" s="84">
        <v>0.93299707481206018</v>
      </c>
    </row>
    <row r="26" spans="1:25" ht="11.25" customHeight="1" x14ac:dyDescent="0.2">
      <c r="A26" s="64" t="s">
        <v>100</v>
      </c>
      <c r="B26" s="65" t="s">
        <v>64</v>
      </c>
      <c r="C26" s="66">
        <f t="shared" si="7"/>
        <v>2</v>
      </c>
      <c r="D26" s="67" t="str">
        <f t="shared" si="4"/>
        <v>USDFedFunds</v>
      </c>
      <c r="E26" s="69" t="str">
        <f t="shared" si="5"/>
        <v>USDOIS16M_Quote</v>
      </c>
      <c r="F26" s="70"/>
      <c r="H26" s="11" t="str">
        <f t="shared" si="2"/>
        <v>OIS</v>
      </c>
      <c r="I26" s="106" t="str">
        <f t="shared" si="3"/>
        <v>obj_002da#0004</v>
      </c>
      <c r="J26" s="109" t="str">
        <f>IFERROR(_xll.qlRateHelperQuoteName(I26,Trigger),"--")</f>
        <v>USDOIS18M_Quote</v>
      </c>
      <c r="K26" s="110">
        <f>IFERROR(_xll.qlRateHelperQuoteValue($I26,Trigger),"--")</f>
        <v>5.3200000000000001E-3</v>
      </c>
      <c r="L26" s="109" t="b">
        <v>1</v>
      </c>
      <c r="M26" s="106">
        <v>50</v>
      </c>
      <c r="N26" s="106">
        <v>1</v>
      </c>
      <c r="O26" s="111">
        <f>IFERROR(_xll.qlRateHelperEarliestDate(I26,Trigger),"--")</f>
        <v>42261</v>
      </c>
      <c r="P26" s="111">
        <f>IFERROR(_xll.qlRateHelperPillarDate(I26,Trigger),"--")</f>
        <v>42808</v>
      </c>
      <c r="R26" s="4" t="str">
        <f t="shared" si="1"/>
        <v>OIS</v>
      </c>
      <c r="S26" s="4" t="str">
        <v>obj_002e4</v>
      </c>
      <c r="T26" s="4" t="str">
        <f>IFERROR(_xll.qlRateHelperQuoteName(S26,Trigger),"")</f>
        <v>USDOIS6Y_Quote</v>
      </c>
      <c r="U26" s="76">
        <f>IFERROR(_xll.qlRateHelperRate(S26,Trigger),"")</f>
        <v>1.524E-2</v>
      </c>
      <c r="V26" s="116" t="str">
        <f>IF(ISERROR(_xll.qlSwapRateHelperSpread($S26)),IF(ISERROR(_xll.qlFuturesRateHelperConvexityAdjustment($S26)),"",_xll.qlFuturesRateHelperConvexityAdjustment($S26)),_xll.qlSwapRateHelperSpread($S26))</f>
        <v/>
      </c>
      <c r="W26" s="5">
        <f>IFERROR(_xll.qlRateHelperEarliestDate(S26,Trigger),"")</f>
        <v>42261</v>
      </c>
      <c r="X26" s="5">
        <f>IFERROR(_xll.qlRateHelperPillarDate(S26,Trigger),"")</f>
        <v>44453</v>
      </c>
      <c r="Y26" s="84">
        <v>0.91100915774212776</v>
      </c>
    </row>
    <row r="27" spans="1:25" ht="11.25" customHeight="1" x14ac:dyDescent="0.2">
      <c r="A27" s="64" t="s">
        <v>100</v>
      </c>
      <c r="B27" s="65" t="s">
        <v>65</v>
      </c>
      <c r="C27" s="66">
        <f t="shared" si="7"/>
        <v>2</v>
      </c>
      <c r="D27" s="67" t="str">
        <f t="shared" si="4"/>
        <v>USDFedFunds</v>
      </c>
      <c r="E27" s="69" t="str">
        <f t="shared" si="5"/>
        <v>USDOIS17M_Quote</v>
      </c>
      <c r="F27" s="70"/>
      <c r="H27" s="11" t="str">
        <f t="shared" si="2"/>
        <v>OIS</v>
      </c>
      <c r="I27" s="106" t="str">
        <f t="shared" si="3"/>
        <v>--</v>
      </c>
      <c r="J27" s="109" t="str">
        <f>IFERROR(_xll.qlRateHelperQuoteName(I27,Trigger),"--")</f>
        <v>--</v>
      </c>
      <c r="K27" s="110" t="str">
        <f>IFERROR(_xll.qlRateHelperQuoteValue($I27,Trigger),"--")</f>
        <v>--</v>
      </c>
      <c r="L27" s="109" t="b">
        <v>0</v>
      </c>
      <c r="M27" s="106">
        <v>50</v>
      </c>
      <c r="N27" s="106">
        <v>1</v>
      </c>
      <c r="O27" s="111" t="str">
        <f>IFERROR(_xll.qlRateHelperEarliestDate(I27,Trigger),"--")</f>
        <v>--</v>
      </c>
      <c r="P27" s="111" t="str">
        <f>IFERROR(_xll.qlRateHelperPillarDate(I27,Trigger),"--")</f>
        <v>--</v>
      </c>
      <c r="R27" s="4" t="str">
        <f t="shared" si="1"/>
        <v>OIS</v>
      </c>
      <c r="S27" s="4" t="str">
        <v>obj_002e1</v>
      </c>
      <c r="T27" s="4" t="str">
        <f>IFERROR(_xll.qlRateHelperQuoteName(S27,Trigger),"")</f>
        <v>USDOIS7Y_Quote</v>
      </c>
      <c r="U27" s="76">
        <f>IFERROR(_xll.qlRateHelperRate(S27,Trigger),"")</f>
        <v>1.685E-2</v>
      </c>
      <c r="V27" s="116" t="str">
        <f>IF(ISERROR(_xll.qlSwapRateHelperSpread($S27)),IF(ISERROR(_xll.qlFuturesRateHelperConvexityAdjustment($S27)),"",_xll.qlFuturesRateHelperConvexityAdjustment($S27)),_xll.qlSwapRateHelperSpread($S27))</f>
        <v/>
      </c>
      <c r="W27" s="5">
        <f>IFERROR(_xll.qlRateHelperEarliestDate(S27,Trigger),"")</f>
        <v>42261</v>
      </c>
      <c r="X27" s="5">
        <f>IFERROR(_xll.qlRateHelperPillarDate(S27,Trigger),"")</f>
        <v>44818</v>
      </c>
      <c r="Y27" s="84">
        <v>0.88646633902692473</v>
      </c>
    </row>
    <row r="28" spans="1:25" ht="11.25" customHeight="1" x14ac:dyDescent="0.2">
      <c r="A28" s="64" t="s">
        <v>100</v>
      </c>
      <c r="B28" s="65" t="s">
        <v>66</v>
      </c>
      <c r="C28" s="66">
        <f t="shared" si="7"/>
        <v>2</v>
      </c>
      <c r="D28" s="67" t="str">
        <f t="shared" si="4"/>
        <v>USDFedFunds</v>
      </c>
      <c r="E28" s="69" t="str">
        <f t="shared" si="5"/>
        <v>USDOIS18M_Quote</v>
      </c>
      <c r="F28" s="70" t="str">
        <f>_xll.qlOISRateHelper(,C28,B28,E28,$D28,,Permanent,Trigger,ObjectOverwrite)</f>
        <v>obj_002da#0004</v>
      </c>
      <c r="H28" s="11" t="str">
        <f t="shared" si="2"/>
        <v>OIS</v>
      </c>
      <c r="I28" s="106" t="str">
        <f t="shared" si="3"/>
        <v>--</v>
      </c>
      <c r="J28" s="109" t="str">
        <f>IFERROR(_xll.qlRateHelperQuoteName(I28,Trigger),"--")</f>
        <v>--</v>
      </c>
      <c r="K28" s="110" t="str">
        <f>IFERROR(_xll.qlRateHelperQuoteValue($I28,Trigger),"--")</f>
        <v>--</v>
      </c>
      <c r="L28" s="109" t="b">
        <v>0</v>
      </c>
      <c r="M28" s="106">
        <v>50</v>
      </c>
      <c r="N28" s="106">
        <v>1</v>
      </c>
      <c r="O28" s="111" t="str">
        <f>IFERROR(_xll.qlRateHelperEarliestDate(I28,Trigger),"--")</f>
        <v>--</v>
      </c>
      <c r="P28" s="111" t="str">
        <f>IFERROR(_xll.qlRateHelperPillarDate(I28,Trigger),"--")</f>
        <v>--</v>
      </c>
      <c r="R28" s="4" t="str">
        <f t="shared" si="1"/>
        <v>OIS</v>
      </c>
      <c r="S28" s="4" t="str">
        <v>obj_002d6</v>
      </c>
      <c r="T28" s="4" t="str">
        <f>IFERROR(_xll.qlRateHelperQuoteName(S28,Trigger),"")</f>
        <v>USDOIS8Y_Quote</v>
      </c>
      <c r="U28" s="76">
        <f>IFERROR(_xll.qlRateHelperRate(S28,Trigger),"")</f>
        <v>1.8069999999999999E-2</v>
      </c>
      <c r="V28" s="116" t="str">
        <f>IF(ISERROR(_xll.qlSwapRateHelperSpread($S28)),IF(ISERROR(_xll.qlFuturesRateHelperConvexityAdjustment($S28)),"",_xll.qlFuturesRateHelperConvexityAdjustment($S28)),_xll.qlSwapRateHelperSpread($S28))</f>
        <v/>
      </c>
      <c r="W28" s="5">
        <f>IFERROR(_xll.qlRateHelperEarliestDate(S28,Trigger),"")</f>
        <v>42261</v>
      </c>
      <c r="X28" s="5">
        <f>IFERROR(_xll.qlRateHelperPillarDate(S28,Trigger),"")</f>
        <v>45183</v>
      </c>
      <c r="Y28" s="84">
        <v>0.86244718712031487</v>
      </c>
    </row>
    <row r="29" spans="1:25" ht="11.25" customHeight="1" x14ac:dyDescent="0.2">
      <c r="A29" s="64" t="s">
        <v>100</v>
      </c>
      <c r="B29" s="65" t="s">
        <v>67</v>
      </c>
      <c r="C29" s="66">
        <f t="shared" si="7"/>
        <v>2</v>
      </c>
      <c r="D29" s="67" t="str">
        <f t="shared" si="4"/>
        <v>USDFedFunds</v>
      </c>
      <c r="E29" s="69" t="str">
        <f t="shared" si="5"/>
        <v>USDOIS19M_Quote</v>
      </c>
      <c r="F29" s="70"/>
      <c r="H29" s="11" t="str">
        <f t="shared" si="2"/>
        <v>OIS</v>
      </c>
      <c r="I29" s="106" t="str">
        <f t="shared" si="3"/>
        <v>obj_002e5#0004</v>
      </c>
      <c r="J29" s="109" t="str">
        <f>IFERROR(_xll.qlRateHelperQuoteName(I29,Trigger),"--")</f>
        <v>USDOIS21M_Quote</v>
      </c>
      <c r="K29" s="110">
        <f>IFERROR(_xll.qlRateHelperQuoteValue($I29,Trigger),"--")</f>
        <v>6.0799999999999995E-3</v>
      </c>
      <c r="L29" s="109" t="b">
        <v>1</v>
      </c>
      <c r="M29" s="106">
        <v>50</v>
      </c>
      <c r="N29" s="106">
        <v>1</v>
      </c>
      <c r="O29" s="111">
        <f>IFERROR(_xll.qlRateHelperEarliestDate(I29,Trigger),"--")</f>
        <v>42261</v>
      </c>
      <c r="P29" s="111">
        <f>IFERROR(_xll.qlRateHelperPillarDate(I29,Trigger),"--")</f>
        <v>42900</v>
      </c>
      <c r="R29" s="4" t="str">
        <f t="shared" si="1"/>
        <v>OIS</v>
      </c>
      <c r="S29" s="4" t="str">
        <v>obj_002e2</v>
      </c>
      <c r="T29" s="4" t="str">
        <f>IFERROR(_xll.qlRateHelperQuoteName(S29,Trigger),"")</f>
        <v>USDOIS9Y_Quote</v>
      </c>
      <c r="U29" s="76">
        <f>IFERROR(_xll.qlRateHelperRate(S29,Trigger),"")</f>
        <v>1.907E-2</v>
      </c>
      <c r="V29" s="116" t="str">
        <f>IF(ISERROR(_xll.qlSwapRateHelperSpread($S29)),IF(ISERROR(_xll.qlFuturesRateHelperConvexityAdjustment($S29)),"",_xll.qlFuturesRateHelperConvexityAdjustment($S29)),_xll.qlSwapRateHelperSpread($S29))</f>
        <v/>
      </c>
      <c r="W29" s="5">
        <f>IFERROR(_xll.qlRateHelperEarliestDate(S29,Trigger),"")</f>
        <v>42261</v>
      </c>
      <c r="X29" s="5">
        <f>IFERROR(_xll.qlRateHelperPillarDate(S29,Trigger),"")</f>
        <v>45551</v>
      </c>
      <c r="Y29" s="84">
        <v>0.83849110634508606</v>
      </c>
    </row>
    <row r="30" spans="1:25" ht="11.25" customHeight="1" x14ac:dyDescent="0.2">
      <c r="A30" s="64" t="s">
        <v>100</v>
      </c>
      <c r="B30" s="65" t="s">
        <v>68</v>
      </c>
      <c r="C30" s="66">
        <f t="shared" si="7"/>
        <v>2</v>
      </c>
      <c r="D30" s="67" t="str">
        <f t="shared" si="4"/>
        <v>USDFedFunds</v>
      </c>
      <c r="E30" s="69" t="str">
        <f t="shared" si="5"/>
        <v>USDOIS20M_Quote</v>
      </c>
      <c r="F30" s="70"/>
      <c r="H30" s="11" t="str">
        <f t="shared" si="2"/>
        <v>OIS</v>
      </c>
      <c r="I30" s="106" t="str">
        <f t="shared" si="3"/>
        <v>--</v>
      </c>
      <c r="J30" s="109" t="str">
        <f>IFERROR(_xll.qlRateHelperQuoteName(I30,Trigger),"--")</f>
        <v>--</v>
      </c>
      <c r="K30" s="110" t="str">
        <f>IFERROR(_xll.qlRateHelperQuoteValue($I30,Trigger),"--")</f>
        <v>--</v>
      </c>
      <c r="L30" s="109" t="b">
        <v>0</v>
      </c>
      <c r="M30" s="106">
        <v>50</v>
      </c>
      <c r="N30" s="106">
        <v>1</v>
      </c>
      <c r="O30" s="111" t="str">
        <f>IFERROR(_xll.qlRateHelperEarliestDate(I30,Trigger),"--")</f>
        <v>--</v>
      </c>
      <c r="P30" s="111" t="str">
        <f>IFERROR(_xll.qlRateHelperPillarDate(I30,Trigger),"--")</f>
        <v>--</v>
      </c>
      <c r="R30" s="4" t="str">
        <f t="shared" si="1"/>
        <v>OIS</v>
      </c>
      <c r="S30" s="4" t="str">
        <v>obj_002dc</v>
      </c>
      <c r="T30" s="4" t="str">
        <f>IFERROR(_xll.qlRateHelperQuoteName(S30,Trigger),"")</f>
        <v>USDOIS10Y_Quote</v>
      </c>
      <c r="U30" s="76">
        <f>IFERROR(_xll.qlRateHelperRate(S30,Trigger),"")</f>
        <v>1.9900000000000001E-2</v>
      </c>
      <c r="V30" s="116" t="str">
        <f>IF(ISERROR(_xll.qlSwapRateHelperSpread($S30)),IF(ISERROR(_xll.qlFuturesRateHelperConvexityAdjustment($S30)),"",_xll.qlFuturesRateHelperConvexityAdjustment($S30)),_xll.qlSwapRateHelperSpread($S30))</f>
        <v/>
      </c>
      <c r="W30" s="5">
        <f>IFERROR(_xll.qlRateHelperEarliestDate(S30,Trigger),"")</f>
        <v>42261</v>
      </c>
      <c r="X30" s="5">
        <f>IFERROR(_xll.qlRateHelperPillarDate(S30,Trigger),"")</f>
        <v>45915</v>
      </c>
      <c r="Y30" s="84">
        <v>0.81506282473714053</v>
      </c>
    </row>
    <row r="31" spans="1:25" ht="11.25" customHeight="1" x14ac:dyDescent="0.2">
      <c r="A31" s="64" t="s">
        <v>100</v>
      </c>
      <c r="B31" s="65" t="s">
        <v>69</v>
      </c>
      <c r="C31" s="66">
        <f t="shared" si="7"/>
        <v>2</v>
      </c>
      <c r="D31" s="67" t="str">
        <f t="shared" si="4"/>
        <v>USDFedFunds</v>
      </c>
      <c r="E31" s="69" t="str">
        <f t="shared" si="5"/>
        <v>USDOIS21M_Quote</v>
      </c>
      <c r="F31" s="70" t="str">
        <f>_xll.qlOISRateHelper(,C31,B31,E31,$D31,,Permanent,Trigger,ObjectOverwrite)</f>
        <v>obj_002e5#0004</v>
      </c>
      <c r="H31" s="11" t="str">
        <f t="shared" si="2"/>
        <v>OIS</v>
      </c>
      <c r="I31" s="106" t="str">
        <f t="shared" si="3"/>
        <v>--</v>
      </c>
      <c r="J31" s="109" t="str">
        <f>IFERROR(_xll.qlRateHelperQuoteName(I31,Trigger),"--")</f>
        <v>--</v>
      </c>
      <c r="K31" s="110" t="str">
        <f>IFERROR(_xll.qlRateHelperQuoteValue($I31,Trigger),"--")</f>
        <v>--</v>
      </c>
      <c r="L31" s="109" t="b">
        <v>0</v>
      </c>
      <c r="M31" s="106">
        <v>50</v>
      </c>
      <c r="N31" s="106">
        <v>1</v>
      </c>
      <c r="O31" s="111" t="str">
        <f>IFERROR(_xll.qlRateHelperEarliestDate(I31,Trigger),"--")</f>
        <v>--</v>
      </c>
      <c r="P31" s="111" t="str">
        <f>IFERROR(_xll.qlRateHelperPillarDate(I31,Trigger),"--")</f>
        <v>--</v>
      </c>
      <c r="R31" s="4" t="str">
        <f t="shared" si="1"/>
        <v>OIS</v>
      </c>
      <c r="S31" s="4" t="str">
        <v>obj_002d9</v>
      </c>
      <c r="T31" s="4" t="str">
        <f>IFERROR(_xll.qlRateHelperQuoteName(S31,Trigger),"")</f>
        <v>USDOIS12Y_Quote</v>
      </c>
      <c r="U31" s="76">
        <f>IFERROR(_xll.qlRateHelperRate(S31,Trigger),"")</f>
        <v>2.1170000000000001E-2</v>
      </c>
      <c r="V31" s="116" t="str">
        <f>IF(ISERROR(_xll.qlSwapRateHelperSpread($S31)),IF(ISERROR(_xll.qlFuturesRateHelperConvexityAdjustment($S31)),"",_xll.qlFuturesRateHelperConvexityAdjustment($S31)),_xll.qlSwapRateHelperSpread($S31))</f>
        <v/>
      </c>
      <c r="W31" s="5">
        <f>IFERROR(_xll.qlRateHelperEarliestDate(S31,Trigger),"")</f>
        <v>42261</v>
      </c>
      <c r="X31" s="5">
        <f>IFERROR(_xll.qlRateHelperPillarDate(S31,Trigger),"")</f>
        <v>46644</v>
      </c>
      <c r="Y31" s="84">
        <v>0.76978286105693905</v>
      </c>
    </row>
    <row r="32" spans="1:25" ht="11.25" customHeight="1" x14ac:dyDescent="0.2">
      <c r="A32" s="64" t="s">
        <v>100</v>
      </c>
      <c r="B32" s="65" t="s">
        <v>70</v>
      </c>
      <c r="C32" s="66">
        <f t="shared" si="7"/>
        <v>2</v>
      </c>
      <c r="D32" s="67" t="str">
        <f t="shared" si="4"/>
        <v>USDFedFunds</v>
      </c>
      <c r="E32" s="69" t="str">
        <f t="shared" si="5"/>
        <v>USDOIS22M_Quote</v>
      </c>
      <c r="F32" s="70"/>
      <c r="H32" s="11" t="str">
        <f t="shared" si="2"/>
        <v>OIS</v>
      </c>
      <c r="I32" s="106" t="str">
        <f t="shared" si="3"/>
        <v>obj_002d7#0004</v>
      </c>
      <c r="J32" s="109" t="str">
        <f>IFERROR(_xll.qlRateHelperQuoteName(I32,Trigger),"--")</f>
        <v>USDOIS2Y_Quote</v>
      </c>
      <c r="K32" s="110">
        <f>IFERROR(_xll.qlRateHelperQuoteValue($I32,Trigger),"--")</f>
        <v>6.6100000000000004E-3</v>
      </c>
      <c r="L32" s="109" t="b">
        <v>1</v>
      </c>
      <c r="M32" s="106">
        <v>50</v>
      </c>
      <c r="N32" s="106">
        <v>1</v>
      </c>
      <c r="O32" s="111">
        <f>IFERROR(_xll.qlRateHelperEarliestDate(I32,Trigger),"--")</f>
        <v>42261</v>
      </c>
      <c r="P32" s="111">
        <f>IFERROR(_xll.qlRateHelperPillarDate(I32,Trigger),"--")</f>
        <v>42992</v>
      </c>
      <c r="R32" s="4" t="str">
        <f t="shared" si="1"/>
        <v>OIS</v>
      </c>
      <c r="S32" s="4" t="str">
        <v>obj_002dd</v>
      </c>
      <c r="T32" s="4" t="str">
        <f>IFERROR(_xll.qlRateHelperQuoteName(S32,Trigger),"")</f>
        <v>USDOIS15Y_Quote</v>
      </c>
      <c r="U32" s="76">
        <f>IFERROR(_xll.qlRateHelperRate(S32,Trigger),"")</f>
        <v>2.2450000000000001E-2</v>
      </c>
      <c r="V32" s="116" t="str">
        <f>IF(ISERROR(_xll.qlSwapRateHelperSpread($S32)),IF(ISERROR(_xll.qlFuturesRateHelperConvexityAdjustment($S32)),"",_xll.qlFuturesRateHelperConvexityAdjustment($S32)),_xll.qlSwapRateHelperSpread($S32))</f>
        <v/>
      </c>
      <c r="W32" s="5">
        <f>IFERROR(_xll.qlRateHelperEarliestDate(S32,Trigger),"")</f>
        <v>42261</v>
      </c>
      <c r="X32" s="5">
        <f>IFERROR(_xll.qlRateHelperPillarDate(S32,Trigger),"")</f>
        <v>47742</v>
      </c>
      <c r="Y32" s="84">
        <v>0.70609290387004464</v>
      </c>
    </row>
    <row r="33" spans="1:25" ht="11.25" customHeight="1" x14ac:dyDescent="0.2">
      <c r="A33" s="64" t="s">
        <v>100</v>
      </c>
      <c r="B33" s="65" t="s">
        <v>71</v>
      </c>
      <c r="C33" s="66">
        <f t="shared" si="7"/>
        <v>2</v>
      </c>
      <c r="D33" s="67" t="str">
        <f t="shared" si="4"/>
        <v>USDFedFunds</v>
      </c>
      <c r="E33" s="69" t="str">
        <f t="shared" si="5"/>
        <v>USDOIS23M_Quote</v>
      </c>
      <c r="F33" s="70"/>
      <c r="H33" s="11" t="str">
        <f t="shared" si="2"/>
        <v>OIS</v>
      </c>
      <c r="I33" s="106" t="str">
        <f t="shared" si="3"/>
        <v>--</v>
      </c>
      <c r="J33" s="109" t="str">
        <f>IFERROR(_xll.qlRateHelperQuoteName(I33,Trigger),"--")</f>
        <v>--</v>
      </c>
      <c r="K33" s="110" t="str">
        <f>IFERROR(_xll.qlRateHelperQuoteValue($I33,Trigger),"--")</f>
        <v>--</v>
      </c>
      <c r="L33" s="109" t="b">
        <v>0</v>
      </c>
      <c r="M33" s="106">
        <v>50</v>
      </c>
      <c r="N33" s="106">
        <v>1</v>
      </c>
      <c r="O33" s="111" t="str">
        <f>IFERROR(_xll.qlRateHelperEarliestDate(I33,Trigger),"--")</f>
        <v>--</v>
      </c>
      <c r="P33" s="111" t="str">
        <f>IFERROR(_xll.qlRateHelperPillarDate(I33,Trigger),"--")</f>
        <v>--</v>
      </c>
      <c r="R33" s="4" t="str">
        <f t="shared" si="1"/>
        <v>OIS</v>
      </c>
      <c r="S33" s="4" t="str">
        <v>obj_002db</v>
      </c>
      <c r="T33" s="4" t="str">
        <f>IFERROR(_xll.qlRateHelperQuoteName(S33,Trigger),"")</f>
        <v>USDOIS20Y_Quote</v>
      </c>
      <c r="U33" s="76">
        <f>IFERROR(_xll.qlRateHelperRate(S33,Trigger),"")</f>
        <v>2.3599999999999999E-2</v>
      </c>
      <c r="V33" s="116" t="str">
        <f>IF(ISERROR(_xll.qlSwapRateHelperSpread($S33)),IF(ISERROR(_xll.qlFuturesRateHelperConvexityAdjustment($S33)),"",_xll.qlFuturesRateHelperConvexityAdjustment($S33)),_xll.qlSwapRateHelperSpread($S33))</f>
        <v/>
      </c>
      <c r="W33" s="5">
        <f>IFERROR(_xll.qlRateHelperEarliestDate(S33,Trigger),"")</f>
        <v>42261</v>
      </c>
      <c r="X33" s="5">
        <f>IFERROR(_xll.qlRateHelperPillarDate(S33,Trigger),"")</f>
        <v>49566</v>
      </c>
      <c r="Y33" s="84">
        <v>0.61340531731306969</v>
      </c>
    </row>
    <row r="34" spans="1:25" ht="11.25" customHeight="1" x14ac:dyDescent="0.2">
      <c r="A34" s="64" t="s">
        <v>100</v>
      </c>
      <c r="B34" s="65" t="s">
        <v>72</v>
      </c>
      <c r="C34" s="66">
        <f t="shared" si="7"/>
        <v>2</v>
      </c>
      <c r="D34" s="67" t="str">
        <f t="shared" si="4"/>
        <v>USDFedFunds</v>
      </c>
      <c r="E34" s="69" t="str">
        <f t="shared" si="5"/>
        <v>USDOIS2Y_Quote</v>
      </c>
      <c r="F34" s="70" t="str">
        <f>_xll.qlOISRateHelper(,C34,B34,E34,$D34,,Permanent,Trigger,ObjectOverwrite)</f>
        <v>obj_002d7#0004</v>
      </c>
      <c r="H34" s="11" t="str">
        <f t="shared" si="2"/>
        <v>OIS</v>
      </c>
      <c r="I34" s="106" t="str">
        <f t="shared" si="3"/>
        <v>--</v>
      </c>
      <c r="J34" s="109" t="str">
        <f>IFERROR(_xll.qlRateHelperQuoteName(I34,Trigger),"--")</f>
        <v>--</v>
      </c>
      <c r="K34" s="110" t="str">
        <f>IFERROR(_xll.qlRateHelperQuoteValue($I34,Trigger),"--")</f>
        <v>--</v>
      </c>
      <c r="L34" s="109" t="b">
        <v>0</v>
      </c>
      <c r="M34" s="106">
        <v>50</v>
      </c>
      <c r="N34" s="106">
        <v>1</v>
      </c>
      <c r="O34" s="111" t="str">
        <f>IFERROR(_xll.qlRateHelperEarliestDate(I34,Trigger),"--")</f>
        <v>--</v>
      </c>
      <c r="P34" s="111" t="str">
        <f>IFERROR(_xll.qlRateHelperPillarDate(I34,Trigger),"--")</f>
        <v>--</v>
      </c>
      <c r="R34" s="4" t="str">
        <f t="shared" si="1"/>
        <v>OIS</v>
      </c>
      <c r="S34" s="4" t="str">
        <v>obj_002d8</v>
      </c>
      <c r="T34" s="4" t="str">
        <f>IFERROR(_xll.qlRateHelperQuoteName(S34,Trigger),"")</f>
        <v>USDOIS25Y_Quote</v>
      </c>
      <c r="U34" s="76">
        <f>IFERROR(_xll.qlRateHelperRate(S34,Trigger),"")</f>
        <v>2.4199999999999999E-2</v>
      </c>
      <c r="V34" s="116" t="str">
        <f>IF(ISERROR(_xll.qlSwapRateHelperSpread($S34)),IF(ISERROR(_xll.qlFuturesRateHelperConvexityAdjustment($S34)),"",_xll.qlFuturesRateHelperConvexityAdjustment($S34)),_xll.qlSwapRateHelperSpread($S34))</f>
        <v/>
      </c>
      <c r="W34" s="5">
        <f>IFERROR(_xll.qlRateHelperEarliestDate(S34,Trigger),"")</f>
        <v>42261</v>
      </c>
      <c r="X34" s="5">
        <f>IFERROR(_xll.qlRateHelperPillarDate(S34,Trigger),"")</f>
        <v>51393</v>
      </c>
      <c r="Y34" s="84">
        <v>0.53420113956196358</v>
      </c>
    </row>
    <row r="35" spans="1:25" ht="11.25" customHeight="1" x14ac:dyDescent="0.2">
      <c r="A35" s="64" t="s">
        <v>100</v>
      </c>
      <c r="B35" s="65" t="s">
        <v>73</v>
      </c>
      <c r="C35" s="66">
        <f t="shared" si="7"/>
        <v>2</v>
      </c>
      <c r="D35" s="67" t="str">
        <f t="shared" si="4"/>
        <v>USDFedFunds</v>
      </c>
      <c r="E35" s="69" t="str">
        <f t="shared" si="5"/>
        <v>USDOIS27M_Quote</v>
      </c>
      <c r="F35" s="70"/>
      <c r="H35" s="11" t="str">
        <f t="shared" si="2"/>
        <v>OIS</v>
      </c>
      <c r="I35" s="106" t="str">
        <f t="shared" si="3"/>
        <v>--</v>
      </c>
      <c r="J35" s="109" t="str">
        <f>IFERROR(_xll.qlRateHelperQuoteName(I35,Trigger),"--")</f>
        <v>--</v>
      </c>
      <c r="K35" s="110" t="str">
        <f>IFERROR(_xll.qlRateHelperQuoteValue($I35,Trigger),"--")</f>
        <v>--</v>
      </c>
      <c r="L35" s="109" t="b">
        <v>0</v>
      </c>
      <c r="M35" s="106">
        <v>50</v>
      </c>
      <c r="N35" s="106">
        <v>1</v>
      </c>
      <c r="O35" s="111" t="str">
        <f>IFERROR(_xll.qlRateHelperEarliestDate(I35,Trigger),"--")</f>
        <v>--</v>
      </c>
      <c r="P35" s="111" t="str">
        <f>IFERROR(_xll.qlRateHelperPillarDate(I35,Trigger),"--")</f>
        <v>--</v>
      </c>
      <c r="R35" s="4" t="str">
        <f t="shared" si="1"/>
        <v>OIS</v>
      </c>
      <c r="S35" s="4" t="str">
        <v>obj_002e7</v>
      </c>
      <c r="T35" s="4" t="str">
        <f>IFERROR(_xll.qlRateHelperQuoteName(S35,Trigger),"")</f>
        <v>USDOIS30Y_Quote</v>
      </c>
      <c r="U35" s="76">
        <f>IFERROR(_xll.qlRateHelperRate(S35,Trigger),"")</f>
        <v>2.4500000000000001E-2</v>
      </c>
      <c r="V35" s="116" t="str">
        <f>IF(ISERROR(_xll.qlSwapRateHelperSpread($S35)),IF(ISERROR(_xll.qlFuturesRateHelperConvexityAdjustment($S35)),"",_xll.qlFuturesRateHelperConvexityAdjustment($S35)),_xll.qlSwapRateHelperSpread($S35))</f>
        <v/>
      </c>
      <c r="W35" s="5">
        <f>IFERROR(_xll.qlRateHelperEarliestDate(S35,Trigger),"")</f>
        <v>42261</v>
      </c>
      <c r="X35" s="5">
        <f>IFERROR(_xll.qlRateHelperPillarDate(S35,Trigger),"")</f>
        <v>53219</v>
      </c>
      <c r="Y35" s="84">
        <v>0.46716053891326204</v>
      </c>
    </row>
    <row r="36" spans="1:25" ht="11.25" customHeight="1" x14ac:dyDescent="0.2">
      <c r="A36" s="64" t="s">
        <v>100</v>
      </c>
      <c r="B36" s="65" t="s">
        <v>74</v>
      </c>
      <c r="C36" s="66">
        <f t="shared" si="7"/>
        <v>2</v>
      </c>
      <c r="D36" s="67" t="str">
        <f t="shared" si="4"/>
        <v>USDFedFunds</v>
      </c>
      <c r="E36" s="69" t="str">
        <f t="shared" si="5"/>
        <v>USDOIS30M_Quote</v>
      </c>
      <c r="F36" s="70"/>
      <c r="H36" s="11" t="str">
        <f t="shared" si="2"/>
        <v>OIS</v>
      </c>
      <c r="I36" s="106" t="str">
        <f t="shared" si="3"/>
        <v>obj_002e8#0004</v>
      </c>
      <c r="J36" s="109" t="str">
        <f>IFERROR(_xll.qlRateHelperQuoteName(I36,Trigger),"--")</f>
        <v>USDOIS3Y_Quote</v>
      </c>
      <c r="K36" s="110">
        <f>IFERROR(_xll.qlRateHelperQuoteValue($I36,Trigger),"--")</f>
        <v>9.4000000000000004E-3</v>
      </c>
      <c r="L36" s="109" t="b">
        <v>1</v>
      </c>
      <c r="M36" s="106">
        <v>50</v>
      </c>
      <c r="N36" s="106">
        <v>1</v>
      </c>
      <c r="O36" s="111">
        <f>IFERROR(_xll.qlRateHelperEarliestDate(I36,Trigger),"--")</f>
        <v>42261</v>
      </c>
      <c r="P36" s="111">
        <f>IFERROR(_xll.qlRateHelperPillarDate(I36,Trigger),"--")</f>
        <v>43357</v>
      </c>
      <c r="R36" s="4" t="str">
        <f t="shared" si="1"/>
        <v>OIS</v>
      </c>
      <c r="S36" s="4" t="str">
        <v>obj_002e0</v>
      </c>
      <c r="T36" s="4" t="str">
        <f>IFERROR(_xll.qlRateHelperQuoteName(S36,Trigger),"")</f>
        <v>USDOIS40Y_Quote</v>
      </c>
      <c r="U36" s="76">
        <f>IFERROR(_xll.qlRateHelperRate(S36,Trigger),"")</f>
        <v>2.4610000000000003E-2</v>
      </c>
      <c r="V36" s="116" t="str">
        <f>IF(ISERROR(_xll.qlSwapRateHelperSpread($S36)),IF(ISERROR(_xll.qlFuturesRateHelperConvexityAdjustment($S36)),"",_xll.qlFuturesRateHelperConvexityAdjustment($S36)),_xll.qlSwapRateHelperSpread($S36))</f>
        <v/>
      </c>
      <c r="W36" s="5">
        <f>IFERROR(_xll.qlRateHelperEarliestDate(S36,Trigger),"")</f>
        <v>42261</v>
      </c>
      <c r="X36" s="5">
        <f>IFERROR(_xll.qlRateHelperPillarDate(S36,Trigger),"")</f>
        <v>56871</v>
      </c>
      <c r="Y36" s="84">
        <v>0.36305845380734081</v>
      </c>
    </row>
    <row r="37" spans="1:25" ht="11.25" customHeight="1" x14ac:dyDescent="0.2">
      <c r="A37" s="64" t="s">
        <v>100</v>
      </c>
      <c r="B37" s="65" t="s">
        <v>75</v>
      </c>
      <c r="C37" s="66">
        <f t="shared" si="7"/>
        <v>2</v>
      </c>
      <c r="D37" s="67" t="str">
        <f t="shared" si="4"/>
        <v>USDFedFunds</v>
      </c>
      <c r="E37" s="69" t="str">
        <f t="shared" si="5"/>
        <v>USDOIS33M_Quote</v>
      </c>
      <c r="F37" s="70"/>
      <c r="H37" s="11" t="str">
        <f t="shared" si="2"/>
        <v>OIS</v>
      </c>
      <c r="I37" s="106" t="str">
        <f t="shared" si="3"/>
        <v>--</v>
      </c>
      <c r="J37" s="109" t="str">
        <f>IFERROR(_xll.qlRateHelperQuoteName(I37,Trigger),"--")</f>
        <v>--</v>
      </c>
      <c r="K37" s="110" t="str">
        <f>IFERROR(_xll.qlRateHelperQuoteValue($I37,Trigger),"--")</f>
        <v>--</v>
      </c>
      <c r="L37" s="109" t="b">
        <v>0</v>
      </c>
      <c r="M37" s="106">
        <v>50</v>
      </c>
      <c r="N37" s="106">
        <v>1</v>
      </c>
      <c r="O37" s="111" t="str">
        <f>IFERROR(_xll.qlRateHelperEarliestDate(I37,Trigger),"--")</f>
        <v>--</v>
      </c>
      <c r="P37" s="111" t="str">
        <f>IFERROR(_xll.qlRateHelperPillarDate(I37,Trigger),"--")</f>
        <v>--</v>
      </c>
      <c r="R37" s="4" t="str">
        <f t="shared" si="1"/>
        <v>OIS</v>
      </c>
      <c r="S37" s="4" t="str">
        <v>obj_002de</v>
      </c>
      <c r="T37" s="4" t="str">
        <f>IFERROR(_xll.qlRateHelperQuoteName(S37,Trigger),"")</f>
        <v>USDOIS50Y_Quote</v>
      </c>
      <c r="U37" s="76">
        <f>IFERROR(_xll.qlRateHelperRate(S37,Trigger),"")</f>
        <v>2.4719999999999999E-2</v>
      </c>
      <c r="V37" s="116" t="str">
        <f>IF(ISERROR(_xll.qlSwapRateHelperSpread($S37)),IF(ISERROR(_xll.qlFuturesRateHelperConvexityAdjustment($S37)),"",_xll.qlFuturesRateHelperConvexityAdjustment($S37)),_xll.qlSwapRateHelperSpread($S37))</f>
        <v/>
      </c>
      <c r="W37" s="5">
        <f>IFERROR(_xll.qlRateHelperEarliestDate(S37,Trigger),"")</f>
        <v>42261</v>
      </c>
      <c r="X37" s="5">
        <f>IFERROR(_xll.qlRateHelperPillarDate(S37,Trigger),"")</f>
        <v>60524</v>
      </c>
      <c r="Y37" s="84">
        <v>0.28086600069052131</v>
      </c>
    </row>
    <row r="38" spans="1:25" ht="11.25" customHeight="1" x14ac:dyDescent="0.2">
      <c r="A38" s="64" t="s">
        <v>100</v>
      </c>
      <c r="B38" s="65" t="s">
        <v>76</v>
      </c>
      <c r="C38" s="66">
        <f t="shared" si="7"/>
        <v>2</v>
      </c>
      <c r="D38" s="67" t="str">
        <f t="shared" si="4"/>
        <v>USDFedFunds</v>
      </c>
      <c r="E38" s="69" t="str">
        <f t="shared" si="5"/>
        <v>USDOIS3Y_Quote</v>
      </c>
      <c r="F38" s="70" t="str">
        <f>_xll.qlOISRateHelper(,C38,B38,E38,$D38,,Permanent,Trigger,ObjectOverwrite)</f>
        <v>obj_002e8#0004</v>
      </c>
      <c r="H38" s="11" t="str">
        <f t="shared" ref="H38:H55" si="8">A40</f>
        <v>OIS</v>
      </c>
      <c r="I38" s="106" t="str">
        <f t="shared" si="3"/>
        <v>--</v>
      </c>
      <c r="J38" s="109" t="str">
        <f>IFERROR(_xll.qlRateHelperQuoteName(I38,Trigger),"--")</f>
        <v>--</v>
      </c>
      <c r="K38" s="110" t="str">
        <f>IFERROR(_xll.qlRateHelperQuoteValue($I38,Trigger),"--")</f>
        <v>--</v>
      </c>
      <c r="L38" s="109" t="b">
        <v>0</v>
      </c>
      <c r="M38" s="106">
        <v>50</v>
      </c>
      <c r="N38" s="106">
        <v>1</v>
      </c>
      <c r="O38" s="111" t="str">
        <f>IFERROR(_xll.qlRateHelperEarliestDate(I38,Trigger),"--")</f>
        <v>--</v>
      </c>
      <c r="P38" s="111" t="str">
        <f>IFERROR(_xll.qlRateHelperPillarDate(I38,Trigger),"--")</f>
        <v>--</v>
      </c>
      <c r="R38" s="4" t="str">
        <f t="shared" si="1"/>
        <v/>
      </c>
      <c r="S38" s="4" t="e">
        <v>#N/A</v>
      </c>
      <c r="T38" s="4" t="str">
        <f>IFERROR(_xll.qlRateHelperQuoteName(S38,Trigger),"")</f>
        <v/>
      </c>
      <c r="U38" s="76" t="str">
        <f>IFERROR(_xll.qlRateHelperRate(S38,Trigger),"")</f>
        <v/>
      </c>
      <c r="V38" s="116" t="str">
        <f>IF(ISERROR(_xll.qlSwapRateHelperSpread($S38)),IF(ISERROR(_xll.qlFuturesRateHelperConvexityAdjustment($S38)),"",_xll.qlFuturesRateHelperConvexityAdjustment($S38)),_xll.qlSwapRateHelperSpread($S38))</f>
        <v/>
      </c>
      <c r="W38" s="5" t="str">
        <f>IFERROR(_xll.qlRateHelperEarliestDate(S38,Trigger),"")</f>
        <v/>
      </c>
      <c r="X38" s="5" t="str">
        <f>IFERROR(_xll.qlRateHelperPillarDate(S38,Trigger),"")</f>
        <v/>
      </c>
      <c r="Y38" s="84" t="e">
        <v>#N/A</v>
      </c>
    </row>
    <row r="39" spans="1:25" ht="11.25" customHeight="1" x14ac:dyDescent="0.2">
      <c r="A39" s="64" t="s">
        <v>100</v>
      </c>
      <c r="B39" s="65" t="s">
        <v>77</v>
      </c>
      <c r="C39" s="66">
        <f t="shared" si="7"/>
        <v>2</v>
      </c>
      <c r="D39" s="67" t="str">
        <f t="shared" si="4"/>
        <v>USDFedFunds</v>
      </c>
      <c r="E39" s="69" t="str">
        <f t="shared" si="5"/>
        <v>USDOIS39M_Quote</v>
      </c>
      <c r="F39" s="70"/>
      <c r="H39" s="11" t="str">
        <f t="shared" si="8"/>
        <v>OIS</v>
      </c>
      <c r="I39" s="106" t="str">
        <f t="shared" si="3"/>
        <v>--</v>
      </c>
      <c r="J39" s="109" t="str">
        <f>IFERROR(_xll.qlRateHelperQuoteName(I39,Trigger),"--")</f>
        <v>--</v>
      </c>
      <c r="K39" s="110" t="str">
        <f>IFERROR(_xll.qlRateHelperQuoteValue($I39,Trigger),"--")</f>
        <v>--</v>
      </c>
      <c r="L39" s="109" t="b">
        <v>0</v>
      </c>
      <c r="M39" s="106">
        <v>50</v>
      </c>
      <c r="N39" s="106">
        <v>1</v>
      </c>
      <c r="O39" s="111" t="str">
        <f>IFERROR(_xll.qlRateHelperEarliestDate(I39,Trigger),"--")</f>
        <v>--</v>
      </c>
      <c r="P39" s="111" t="str">
        <f>IFERROR(_xll.qlRateHelperPillarDate(I39,Trigger),"--")</f>
        <v>--</v>
      </c>
      <c r="R39" s="4" t="str">
        <f t="shared" si="1"/>
        <v/>
      </c>
      <c r="S39" s="4" t="e">
        <v>#N/A</v>
      </c>
      <c r="T39" s="4" t="str">
        <f>IFERROR(_xll.qlRateHelperQuoteName(S39,Trigger),"")</f>
        <v/>
      </c>
      <c r="U39" s="76" t="str">
        <f>IFERROR(_xll.qlRateHelperRate(S39,Trigger),"")</f>
        <v/>
      </c>
      <c r="V39" s="116" t="str">
        <f>IF(ISERROR(_xll.qlSwapRateHelperSpread($S39)),IF(ISERROR(_xll.qlFuturesRateHelperConvexityAdjustment($S39)),"",_xll.qlFuturesRateHelperConvexityAdjustment($S39)),_xll.qlSwapRateHelperSpread($S39))</f>
        <v/>
      </c>
      <c r="W39" s="5" t="str">
        <f>IFERROR(_xll.qlRateHelperEarliestDate(S39,Trigger),"")</f>
        <v/>
      </c>
      <c r="X39" s="5" t="str">
        <f>IFERROR(_xll.qlRateHelperPillarDate(S39,Trigger),"")</f>
        <v/>
      </c>
      <c r="Y39" s="84" t="e">
        <v>#N/A</v>
      </c>
    </row>
    <row r="40" spans="1:25" ht="11.25" customHeight="1" x14ac:dyDescent="0.2">
      <c r="A40" s="64" t="s">
        <v>100</v>
      </c>
      <c r="B40" s="65" t="s">
        <v>78</v>
      </c>
      <c r="C40" s="66">
        <f t="shared" si="7"/>
        <v>2</v>
      </c>
      <c r="D40" s="67" t="str">
        <f t="shared" ref="D40:D61" si="9">Currency&amp;Tenor</f>
        <v>USDFedFunds</v>
      </c>
      <c r="E40" s="69" t="str">
        <f t="shared" ref="E40:E61" si="10">Currency&amp;$A40&amp;IF($B40="1W","SW",$B40)&amp;QuoteSuffix</f>
        <v>USDOIS42M_Quote</v>
      </c>
      <c r="F40" s="70"/>
      <c r="H40" s="11" t="str">
        <f t="shared" si="8"/>
        <v>OIS</v>
      </c>
      <c r="I40" s="106" t="str">
        <f t="shared" si="3"/>
        <v>obj_002e3#0004</v>
      </c>
      <c r="J40" s="109" t="str">
        <f>IFERROR(_xll.qlRateHelperQuoteName(I40,Trigger),"--")</f>
        <v>USDOIS4Y_Quote</v>
      </c>
      <c r="K40" s="110">
        <f>IFERROR(_xll.qlRateHelperQuoteValue($I40,Trigger),"--")</f>
        <v>1.1650000000000001E-2</v>
      </c>
      <c r="L40" s="109" t="b">
        <v>1</v>
      </c>
      <c r="M40" s="106">
        <v>50</v>
      </c>
      <c r="N40" s="106">
        <v>1</v>
      </c>
      <c r="O40" s="111">
        <f>IFERROR(_xll.qlRateHelperEarliestDate(I40,Trigger),"--")</f>
        <v>42261</v>
      </c>
      <c r="P40" s="111">
        <f>IFERROR(_xll.qlRateHelperPillarDate(I40,Trigger),"--")</f>
        <v>43724</v>
      </c>
      <c r="R40" s="4" t="str">
        <f t="shared" si="1"/>
        <v/>
      </c>
      <c r="S40" s="4" t="e">
        <v>#N/A</v>
      </c>
      <c r="T40" s="4" t="str">
        <f>IFERROR(_xll.qlRateHelperQuoteName(S40,Trigger),"")</f>
        <v/>
      </c>
      <c r="U40" s="76" t="str">
        <f>IFERROR(_xll.qlRateHelperRate(S40,Trigger),"")</f>
        <v/>
      </c>
      <c r="V40" s="116" t="str">
        <f>IF(ISERROR(_xll.qlSwapRateHelperSpread($S40)),IF(ISERROR(_xll.qlFuturesRateHelperConvexityAdjustment($S40)),"",_xll.qlFuturesRateHelperConvexityAdjustment($S40)),_xll.qlSwapRateHelperSpread($S40))</f>
        <v/>
      </c>
      <c r="W40" s="5" t="str">
        <f>IFERROR(_xll.qlRateHelperEarliestDate(S40,Trigger),"")</f>
        <v/>
      </c>
      <c r="X40" s="5" t="str">
        <f>IFERROR(_xll.qlRateHelperPillarDate(S40,Trigger),"")</f>
        <v/>
      </c>
      <c r="Y40" s="84" t="e">
        <v>#N/A</v>
      </c>
    </row>
    <row r="41" spans="1:25" ht="11.25" customHeight="1" x14ac:dyDescent="0.2">
      <c r="A41" s="64" t="s">
        <v>100</v>
      </c>
      <c r="B41" s="65" t="s">
        <v>79</v>
      </c>
      <c r="C41" s="66">
        <f t="shared" si="7"/>
        <v>2</v>
      </c>
      <c r="D41" s="67" t="str">
        <f t="shared" si="9"/>
        <v>USDFedFunds</v>
      </c>
      <c r="E41" s="69" t="str">
        <f t="shared" si="10"/>
        <v>USDOIS45M_Quote</v>
      </c>
      <c r="F41" s="70"/>
      <c r="H41" s="11" t="str">
        <f t="shared" si="8"/>
        <v>OIS</v>
      </c>
      <c r="I41" s="106" t="str">
        <f t="shared" si="3"/>
        <v>--</v>
      </c>
      <c r="J41" s="109" t="str">
        <f>IFERROR(_xll.qlRateHelperQuoteName(I41,Trigger),"--")</f>
        <v>--</v>
      </c>
      <c r="K41" s="110" t="str">
        <f>IFERROR(_xll.qlRateHelperQuoteValue($I41,Trigger),"--")</f>
        <v>--</v>
      </c>
      <c r="L41" s="109" t="b">
        <v>0</v>
      </c>
      <c r="M41" s="106">
        <v>50</v>
      </c>
      <c r="N41" s="106">
        <v>1</v>
      </c>
      <c r="O41" s="111" t="str">
        <f>IFERROR(_xll.qlRateHelperEarliestDate(I41,Trigger),"--")</f>
        <v>--</v>
      </c>
      <c r="P41" s="111" t="str">
        <f>IFERROR(_xll.qlRateHelperPillarDate(I41,Trigger),"--")</f>
        <v>--</v>
      </c>
      <c r="R41" s="4" t="str">
        <f t="shared" si="1"/>
        <v/>
      </c>
      <c r="S41" s="4" t="e">
        <v>#N/A</v>
      </c>
      <c r="T41" s="4" t="str">
        <f>IFERROR(_xll.qlRateHelperQuoteName(S41,Trigger),"")</f>
        <v/>
      </c>
      <c r="U41" s="76" t="str">
        <f>IFERROR(_xll.qlRateHelperRate(S41,Trigger),"")</f>
        <v/>
      </c>
      <c r="V41" s="116" t="str">
        <f>IF(ISERROR(_xll.qlSwapRateHelperSpread($S41)),IF(ISERROR(_xll.qlFuturesRateHelperConvexityAdjustment($S41)),"",_xll.qlFuturesRateHelperConvexityAdjustment($S41)),_xll.qlSwapRateHelperSpread($S41))</f>
        <v/>
      </c>
      <c r="W41" s="5" t="str">
        <f>IFERROR(_xll.qlRateHelperEarliestDate(S41,Trigger),"")</f>
        <v/>
      </c>
      <c r="X41" s="5" t="str">
        <f>IFERROR(_xll.qlRateHelperPillarDate(S41,Trigger),"")</f>
        <v/>
      </c>
      <c r="Y41" s="84" t="e">
        <v>#N/A</v>
      </c>
    </row>
    <row r="42" spans="1:25" ht="11.25" customHeight="1" x14ac:dyDescent="0.2">
      <c r="A42" s="64" t="s">
        <v>100</v>
      </c>
      <c r="B42" s="65" t="s">
        <v>80</v>
      </c>
      <c r="C42" s="66">
        <f t="shared" si="7"/>
        <v>2</v>
      </c>
      <c r="D42" s="67" t="str">
        <f t="shared" si="9"/>
        <v>USDFedFunds</v>
      </c>
      <c r="E42" s="69" t="str">
        <f t="shared" si="10"/>
        <v>USDOIS4Y_Quote</v>
      </c>
      <c r="F42" s="70" t="str">
        <f>_xll.qlOISRateHelper(,C42,B42,E42,$D42,,Permanent,Trigger,ObjectOverwrite)</f>
        <v>obj_002e3#0004</v>
      </c>
      <c r="H42" s="11" t="str">
        <f t="shared" si="8"/>
        <v>OIS</v>
      </c>
      <c r="I42" s="106" t="str">
        <f t="shared" si="3"/>
        <v>--</v>
      </c>
      <c r="J42" s="109" t="str">
        <f>IFERROR(_xll.qlRateHelperQuoteName(I42,Trigger),"--")</f>
        <v>--</v>
      </c>
      <c r="K42" s="110" t="str">
        <f>IFERROR(_xll.qlRateHelperQuoteValue($I42,Trigger),"--")</f>
        <v>--</v>
      </c>
      <c r="L42" s="109" t="b">
        <v>0</v>
      </c>
      <c r="M42" s="106">
        <v>50</v>
      </c>
      <c r="N42" s="106">
        <v>1</v>
      </c>
      <c r="O42" s="111" t="str">
        <f>IFERROR(_xll.qlRateHelperEarliestDate(I42,Trigger),"--")</f>
        <v>--</v>
      </c>
      <c r="P42" s="111" t="str">
        <f>IFERROR(_xll.qlRateHelperPillarDate(I42,Trigger),"--")</f>
        <v>--</v>
      </c>
      <c r="R42" s="4" t="str">
        <f t="shared" si="1"/>
        <v/>
      </c>
      <c r="S42" s="4" t="e">
        <v>#N/A</v>
      </c>
      <c r="T42" s="4" t="str">
        <f>IFERROR(_xll.qlRateHelperQuoteName(S42,Trigger),"")</f>
        <v/>
      </c>
      <c r="U42" s="76" t="str">
        <f>IFERROR(_xll.qlRateHelperRate(S42,Trigger),"")</f>
        <v/>
      </c>
      <c r="V42" s="116" t="str">
        <f>IF(ISERROR(_xll.qlSwapRateHelperSpread($S42)),IF(ISERROR(_xll.qlFuturesRateHelperConvexityAdjustment($S42)),"",_xll.qlFuturesRateHelperConvexityAdjustment($S42)),_xll.qlSwapRateHelperSpread($S42))</f>
        <v/>
      </c>
      <c r="W42" s="5" t="str">
        <f>IFERROR(_xll.qlRateHelperEarliestDate(S42,Trigger),"")</f>
        <v/>
      </c>
      <c r="X42" s="5" t="str">
        <f>IFERROR(_xll.qlRateHelperPillarDate(S42,Trigger),"")</f>
        <v/>
      </c>
      <c r="Y42" s="84" t="e">
        <v>#N/A</v>
      </c>
    </row>
    <row r="43" spans="1:25" ht="11.25" customHeight="1" x14ac:dyDescent="0.2">
      <c r="A43" s="64" t="s">
        <v>100</v>
      </c>
      <c r="B43" s="65" t="s">
        <v>81</v>
      </c>
      <c r="C43" s="66">
        <f t="shared" si="7"/>
        <v>2</v>
      </c>
      <c r="D43" s="67" t="str">
        <f t="shared" si="9"/>
        <v>USDFedFunds</v>
      </c>
      <c r="E43" s="69" t="str">
        <f t="shared" si="10"/>
        <v>USDOIS51M_Quote</v>
      </c>
      <c r="F43" s="70"/>
      <c r="H43" s="11" t="str">
        <f t="shared" si="8"/>
        <v>OIS</v>
      </c>
      <c r="I43" s="106" t="str">
        <f t="shared" si="3"/>
        <v>--</v>
      </c>
      <c r="J43" s="109" t="str">
        <f>IFERROR(_xll.qlRateHelperQuoteName(I43,Trigger),"--")</f>
        <v>--</v>
      </c>
      <c r="K43" s="110" t="str">
        <f>IFERROR(_xll.qlRateHelperQuoteValue($I43,Trigger),"--")</f>
        <v>--</v>
      </c>
      <c r="L43" s="109" t="b">
        <v>0</v>
      </c>
      <c r="M43" s="106">
        <v>50</v>
      </c>
      <c r="N43" s="106">
        <v>1</v>
      </c>
      <c r="O43" s="111" t="str">
        <f>IFERROR(_xll.qlRateHelperEarliestDate(I43,Trigger),"--")</f>
        <v>--</v>
      </c>
      <c r="P43" s="111" t="str">
        <f>IFERROR(_xll.qlRateHelperPillarDate(I43,Trigger),"--")</f>
        <v>--</v>
      </c>
      <c r="R43" s="4" t="str">
        <f t="shared" si="1"/>
        <v/>
      </c>
      <c r="S43" s="4" t="e">
        <v>#N/A</v>
      </c>
      <c r="T43" s="4" t="str">
        <f>IFERROR(_xll.qlRateHelperQuoteName(S43,Trigger),"")</f>
        <v/>
      </c>
      <c r="U43" s="76" t="str">
        <f>IFERROR(_xll.qlRateHelperRate(S43,Trigger),"")</f>
        <v/>
      </c>
      <c r="V43" s="116" t="str">
        <f>IF(ISERROR(_xll.qlSwapRateHelperSpread($S43)),IF(ISERROR(_xll.qlFuturesRateHelperConvexityAdjustment($S43)),"",_xll.qlFuturesRateHelperConvexityAdjustment($S43)),_xll.qlSwapRateHelperSpread($S43))</f>
        <v/>
      </c>
      <c r="W43" s="5" t="str">
        <f>IFERROR(_xll.qlRateHelperEarliestDate(S43,Trigger),"")</f>
        <v/>
      </c>
      <c r="X43" s="5" t="str">
        <f>IFERROR(_xll.qlRateHelperPillarDate(S43,Trigger),"")</f>
        <v/>
      </c>
      <c r="Y43" s="84" t="e">
        <v>#N/A</v>
      </c>
    </row>
    <row r="44" spans="1:25" ht="11.25" customHeight="1" x14ac:dyDescent="0.2">
      <c r="A44" s="64" t="s">
        <v>100</v>
      </c>
      <c r="B44" s="65" t="s">
        <v>82</v>
      </c>
      <c r="C44" s="66">
        <f t="shared" si="7"/>
        <v>2</v>
      </c>
      <c r="D44" s="67" t="str">
        <f t="shared" si="9"/>
        <v>USDFedFunds</v>
      </c>
      <c r="E44" s="69" t="str">
        <f t="shared" si="10"/>
        <v>USDOIS54M_Quote</v>
      </c>
      <c r="F44" s="70"/>
      <c r="H44" s="11" t="str">
        <f t="shared" si="8"/>
        <v>OIS</v>
      </c>
      <c r="I44" s="106" t="str">
        <f t="shared" si="3"/>
        <v>obj_002df#0004</v>
      </c>
      <c r="J44" s="109" t="str">
        <f>IFERROR(_xll.qlRateHelperQuoteName(I44,Trigger),"--")</f>
        <v>USDOIS5Y_Quote</v>
      </c>
      <c r="K44" s="110">
        <f>IFERROR(_xll.qlRateHelperQuoteValue($I44,Trigger),"--")</f>
        <v>1.363E-2</v>
      </c>
      <c r="L44" s="109" t="b">
        <v>1</v>
      </c>
      <c r="M44" s="106">
        <v>50</v>
      </c>
      <c r="N44" s="106">
        <v>1</v>
      </c>
      <c r="O44" s="111">
        <f>IFERROR(_xll.qlRateHelperEarliestDate(I44,Trigger),"--")</f>
        <v>42261</v>
      </c>
      <c r="P44" s="111">
        <f>IFERROR(_xll.qlRateHelperPillarDate(I44,Trigger),"--")</f>
        <v>44088</v>
      </c>
      <c r="R44" s="4" t="str">
        <f t="shared" si="1"/>
        <v/>
      </c>
      <c r="S44" s="4" t="e">
        <v>#N/A</v>
      </c>
      <c r="T44" s="4" t="str">
        <f>IFERROR(_xll.qlRateHelperQuoteName(S44,Trigger),"")</f>
        <v/>
      </c>
      <c r="U44" s="76" t="str">
        <f>IFERROR(_xll.qlRateHelperRate(S44,Trigger),"")</f>
        <v/>
      </c>
      <c r="V44" s="116" t="str">
        <f>IF(ISERROR(_xll.qlSwapRateHelperSpread($S44)),IF(ISERROR(_xll.qlFuturesRateHelperConvexityAdjustment($S44)),"",_xll.qlFuturesRateHelperConvexityAdjustment($S44)),_xll.qlSwapRateHelperSpread($S44))</f>
        <v/>
      </c>
      <c r="W44" s="5" t="str">
        <f>IFERROR(_xll.qlRateHelperEarliestDate(S44,Trigger),"")</f>
        <v/>
      </c>
      <c r="X44" s="5" t="str">
        <f>IFERROR(_xll.qlRateHelperPillarDate(S44,Trigger),"")</f>
        <v/>
      </c>
      <c r="Y44" s="84" t="e">
        <v>#N/A</v>
      </c>
    </row>
    <row r="45" spans="1:25" ht="11.25" customHeight="1" x14ac:dyDescent="0.2">
      <c r="A45" s="64" t="s">
        <v>100</v>
      </c>
      <c r="B45" s="65" t="s">
        <v>83</v>
      </c>
      <c r="C45" s="66">
        <f t="shared" si="7"/>
        <v>2</v>
      </c>
      <c r="D45" s="67" t="str">
        <f t="shared" si="9"/>
        <v>USDFedFunds</v>
      </c>
      <c r="E45" s="69" t="str">
        <f t="shared" si="10"/>
        <v>USDOIS57M_Quote</v>
      </c>
      <c r="F45" s="70"/>
      <c r="H45" s="11" t="str">
        <f t="shared" si="8"/>
        <v>OIS</v>
      </c>
      <c r="I45" s="106" t="str">
        <f t="shared" si="3"/>
        <v>obj_002e4#0004</v>
      </c>
      <c r="J45" s="109" t="str">
        <f>IFERROR(_xll.qlRateHelperQuoteName(I45,Trigger),"--")</f>
        <v>USDOIS6Y_Quote</v>
      </c>
      <c r="K45" s="110">
        <f>IFERROR(_xll.qlRateHelperQuoteValue($I45,Trigger),"--")</f>
        <v>1.524E-2</v>
      </c>
      <c r="L45" s="109" t="b">
        <v>1</v>
      </c>
      <c r="M45" s="106">
        <v>50</v>
      </c>
      <c r="N45" s="106">
        <v>1</v>
      </c>
      <c r="O45" s="111">
        <f>IFERROR(_xll.qlRateHelperEarliestDate(I45,Trigger),"--")</f>
        <v>42261</v>
      </c>
      <c r="P45" s="111">
        <f>IFERROR(_xll.qlRateHelperPillarDate(I45,Trigger),"--")</f>
        <v>44453</v>
      </c>
      <c r="R45" s="4" t="str">
        <f t="shared" si="1"/>
        <v/>
      </c>
      <c r="S45" s="4" t="e">
        <v>#N/A</v>
      </c>
      <c r="T45" s="4" t="str">
        <f>IFERROR(_xll.qlRateHelperQuoteName(S45,Trigger),"")</f>
        <v/>
      </c>
      <c r="U45" s="76" t="str">
        <f>IFERROR(_xll.qlRateHelperRate(S45,Trigger),"")</f>
        <v/>
      </c>
      <c r="V45" s="116" t="str">
        <f>IF(ISERROR(_xll.qlSwapRateHelperSpread($S45)),IF(ISERROR(_xll.qlFuturesRateHelperConvexityAdjustment($S45)),"",_xll.qlFuturesRateHelperConvexityAdjustment($S45)),_xll.qlSwapRateHelperSpread($S45))</f>
        <v/>
      </c>
      <c r="W45" s="5" t="str">
        <f>IFERROR(_xll.qlRateHelperEarliestDate(S45,Trigger),"")</f>
        <v/>
      </c>
      <c r="X45" s="5" t="str">
        <f>IFERROR(_xll.qlRateHelperPillarDate(S45,Trigger),"")</f>
        <v/>
      </c>
      <c r="Y45" s="84" t="e">
        <v>#N/A</v>
      </c>
    </row>
    <row r="46" spans="1:25" ht="11.25" customHeight="1" x14ac:dyDescent="0.2">
      <c r="A46" s="64" t="s">
        <v>100</v>
      </c>
      <c r="B46" s="65" t="s">
        <v>84</v>
      </c>
      <c r="C46" s="66">
        <f t="shared" si="7"/>
        <v>2</v>
      </c>
      <c r="D46" s="67" t="str">
        <f t="shared" si="9"/>
        <v>USDFedFunds</v>
      </c>
      <c r="E46" s="69" t="str">
        <f t="shared" si="10"/>
        <v>USDOIS5Y_Quote</v>
      </c>
      <c r="F46" s="70" t="str">
        <f>_xll.qlOISRateHelper(,C46,B46,E46,$D46,,Permanent,Trigger,ObjectOverwrite)</f>
        <v>obj_002df#0004</v>
      </c>
      <c r="H46" s="11" t="str">
        <f t="shared" si="8"/>
        <v>OIS</v>
      </c>
      <c r="I46" s="106" t="str">
        <f t="shared" si="3"/>
        <v>obj_002e1#0004</v>
      </c>
      <c r="J46" s="109" t="str">
        <f>IFERROR(_xll.qlRateHelperQuoteName(I46,Trigger),"--")</f>
        <v>USDOIS7Y_Quote</v>
      </c>
      <c r="K46" s="110">
        <f>IFERROR(_xll.qlRateHelperQuoteValue($I46,Trigger),"--")</f>
        <v>1.685E-2</v>
      </c>
      <c r="L46" s="109" t="b">
        <v>1</v>
      </c>
      <c r="M46" s="106">
        <v>50</v>
      </c>
      <c r="N46" s="106">
        <v>1</v>
      </c>
      <c r="O46" s="111">
        <f>IFERROR(_xll.qlRateHelperEarliestDate(I46,Trigger),"--")</f>
        <v>42261</v>
      </c>
      <c r="P46" s="111">
        <f>IFERROR(_xll.qlRateHelperPillarDate(I46,Trigger),"--")</f>
        <v>44818</v>
      </c>
      <c r="R46" s="4" t="str">
        <f t="shared" si="1"/>
        <v/>
      </c>
      <c r="S46" s="4" t="e">
        <v>#N/A</v>
      </c>
      <c r="T46" s="4" t="str">
        <f>IFERROR(_xll.qlRateHelperQuoteName(S46,Trigger),"")</f>
        <v/>
      </c>
      <c r="U46" s="76" t="str">
        <f>IFERROR(_xll.qlRateHelperRate(S46,Trigger),"")</f>
        <v/>
      </c>
      <c r="V46" s="116" t="str">
        <f>IF(ISERROR(_xll.qlSwapRateHelperSpread($S46)),IF(ISERROR(_xll.qlFuturesRateHelperConvexityAdjustment($S46)),"",_xll.qlFuturesRateHelperConvexityAdjustment($S46)),_xll.qlSwapRateHelperSpread($S46))</f>
        <v/>
      </c>
      <c r="W46" s="5" t="str">
        <f>IFERROR(_xll.qlRateHelperEarliestDate(S46,Trigger),"")</f>
        <v/>
      </c>
      <c r="X46" s="5" t="str">
        <f>IFERROR(_xll.qlRateHelperPillarDate(S46,Trigger),"")</f>
        <v/>
      </c>
      <c r="Y46" s="84" t="e">
        <v>#N/A</v>
      </c>
    </row>
    <row r="47" spans="1:25" ht="11.25" customHeight="1" x14ac:dyDescent="0.2">
      <c r="A47" s="64" t="s">
        <v>100</v>
      </c>
      <c r="B47" s="65" t="s">
        <v>85</v>
      </c>
      <c r="C47" s="66">
        <f t="shared" si="7"/>
        <v>2</v>
      </c>
      <c r="D47" s="67" t="str">
        <f t="shared" si="9"/>
        <v>USDFedFunds</v>
      </c>
      <c r="E47" s="69" t="str">
        <f t="shared" si="10"/>
        <v>USDOIS6Y_Quote</v>
      </c>
      <c r="F47" s="70" t="str">
        <f>_xll.qlOISRateHelper(,C47,B47,E47,$D47,,Permanent,Trigger,ObjectOverwrite)</f>
        <v>obj_002e4#0004</v>
      </c>
      <c r="H47" s="11" t="str">
        <f t="shared" si="8"/>
        <v>OIS</v>
      </c>
      <c r="I47" s="106" t="str">
        <f t="shared" si="3"/>
        <v>obj_002d6#0004</v>
      </c>
      <c r="J47" s="109" t="str">
        <f>IFERROR(_xll.qlRateHelperQuoteName(I47,Trigger),"--")</f>
        <v>USDOIS8Y_Quote</v>
      </c>
      <c r="K47" s="110">
        <f>IFERROR(_xll.qlRateHelperQuoteValue($I47,Trigger),"--")</f>
        <v>1.8069999999999999E-2</v>
      </c>
      <c r="L47" s="109" t="b">
        <v>1</v>
      </c>
      <c r="M47" s="106">
        <v>50</v>
      </c>
      <c r="N47" s="106">
        <v>1</v>
      </c>
      <c r="O47" s="111">
        <f>IFERROR(_xll.qlRateHelperEarliestDate(I47,Trigger),"--")</f>
        <v>42261</v>
      </c>
      <c r="P47" s="111">
        <f>IFERROR(_xll.qlRateHelperPillarDate(I47,Trigger),"--")</f>
        <v>45183</v>
      </c>
      <c r="R47" s="4" t="str">
        <f t="shared" si="1"/>
        <v/>
      </c>
      <c r="S47" s="4" t="e">
        <v>#N/A</v>
      </c>
      <c r="T47" s="4" t="str">
        <f>IFERROR(_xll.qlRateHelperQuoteName(S47,Trigger),"")</f>
        <v/>
      </c>
      <c r="U47" s="76" t="str">
        <f>IFERROR(_xll.qlRateHelperRate(S47,Trigger),"")</f>
        <v/>
      </c>
      <c r="V47" s="116" t="str">
        <f>IF(ISERROR(_xll.qlSwapRateHelperSpread($S47)),IF(ISERROR(_xll.qlFuturesRateHelperConvexityAdjustment($S47)),"",_xll.qlFuturesRateHelperConvexityAdjustment($S47)),_xll.qlSwapRateHelperSpread($S47))</f>
        <v/>
      </c>
      <c r="W47" s="5" t="str">
        <f>IFERROR(_xll.qlRateHelperEarliestDate(S47,Trigger),"")</f>
        <v/>
      </c>
      <c r="X47" s="5" t="str">
        <f>IFERROR(_xll.qlRateHelperPillarDate(S47,Trigger),"")</f>
        <v/>
      </c>
      <c r="Y47" s="84" t="e">
        <v>#N/A</v>
      </c>
    </row>
    <row r="48" spans="1:25" ht="11.25" customHeight="1" x14ac:dyDescent="0.2">
      <c r="A48" s="64" t="s">
        <v>100</v>
      </c>
      <c r="B48" s="65" t="s">
        <v>86</v>
      </c>
      <c r="C48" s="66">
        <f t="shared" si="7"/>
        <v>2</v>
      </c>
      <c r="D48" s="67" t="str">
        <f t="shared" si="9"/>
        <v>USDFedFunds</v>
      </c>
      <c r="E48" s="69" t="str">
        <f t="shared" si="10"/>
        <v>USDOIS7Y_Quote</v>
      </c>
      <c r="F48" s="70" t="str">
        <f>_xll.qlOISRateHelper(,C48,B48,E48,$D48,,Permanent,Trigger,ObjectOverwrite)</f>
        <v>obj_002e1#0004</v>
      </c>
      <c r="H48" s="11" t="str">
        <f t="shared" si="8"/>
        <v>OIS</v>
      </c>
      <c r="I48" s="106" t="str">
        <f t="shared" si="3"/>
        <v>obj_002e2#0004</v>
      </c>
      <c r="J48" s="109" t="str">
        <f>IFERROR(_xll.qlRateHelperQuoteName(I48,Trigger),"--")</f>
        <v>USDOIS9Y_Quote</v>
      </c>
      <c r="K48" s="110">
        <f>IFERROR(_xll.qlRateHelperQuoteValue($I48,Trigger),"--")</f>
        <v>1.907E-2</v>
      </c>
      <c r="L48" s="109" t="b">
        <v>1</v>
      </c>
      <c r="M48" s="106">
        <v>50</v>
      </c>
      <c r="N48" s="106">
        <v>1</v>
      </c>
      <c r="O48" s="111">
        <f>IFERROR(_xll.qlRateHelperEarliestDate(I48,Trigger),"--")</f>
        <v>42261</v>
      </c>
      <c r="P48" s="111">
        <f>IFERROR(_xll.qlRateHelperPillarDate(I48,Trigger),"--")</f>
        <v>45551</v>
      </c>
      <c r="R48" s="4" t="str">
        <f t="shared" si="1"/>
        <v/>
      </c>
      <c r="S48" s="4" t="e">
        <v>#N/A</v>
      </c>
      <c r="T48" s="4" t="str">
        <f>IFERROR(_xll.qlRateHelperQuoteName(S48,Trigger),"")</f>
        <v/>
      </c>
      <c r="U48" s="76" t="str">
        <f>IFERROR(_xll.qlRateHelperRate(S48,Trigger),"")</f>
        <v/>
      </c>
      <c r="V48" s="116" t="str">
        <f>IF(ISERROR(_xll.qlSwapRateHelperSpread($S48)),IF(ISERROR(_xll.qlFuturesRateHelperConvexityAdjustment($S48)),"",_xll.qlFuturesRateHelperConvexityAdjustment($S48)),_xll.qlSwapRateHelperSpread($S48))</f>
        <v/>
      </c>
      <c r="W48" s="5" t="str">
        <f>IFERROR(_xll.qlRateHelperEarliestDate(S48,Trigger),"")</f>
        <v/>
      </c>
      <c r="X48" s="5" t="str">
        <f>IFERROR(_xll.qlRateHelperPillarDate(S48,Trigger),"")</f>
        <v/>
      </c>
      <c r="Y48" s="84" t="e">
        <v>#N/A</v>
      </c>
    </row>
    <row r="49" spans="1:25" ht="11.25" customHeight="1" x14ac:dyDescent="0.2">
      <c r="A49" s="64" t="s">
        <v>100</v>
      </c>
      <c r="B49" s="65" t="s">
        <v>87</v>
      </c>
      <c r="C49" s="66">
        <f t="shared" si="7"/>
        <v>2</v>
      </c>
      <c r="D49" s="67" t="str">
        <f t="shared" si="9"/>
        <v>USDFedFunds</v>
      </c>
      <c r="E49" s="69" t="str">
        <f t="shared" si="10"/>
        <v>USDOIS8Y_Quote</v>
      </c>
      <c r="F49" s="70" t="str">
        <f>_xll.qlOISRateHelper(,C49,B49,E49,$D49,,Permanent,Trigger,ObjectOverwrite)</f>
        <v>obj_002d6#0004</v>
      </c>
      <c r="H49" s="11" t="str">
        <f t="shared" si="8"/>
        <v>OIS</v>
      </c>
      <c r="I49" s="106" t="str">
        <f t="shared" si="3"/>
        <v>obj_002dc#0004</v>
      </c>
      <c r="J49" s="109" t="str">
        <f>IFERROR(_xll.qlRateHelperQuoteName(I49,Trigger),"--")</f>
        <v>USDOIS10Y_Quote</v>
      </c>
      <c r="K49" s="110">
        <f>IFERROR(_xll.qlRateHelperQuoteValue($I49,Trigger),"--")</f>
        <v>1.9900000000000001E-2</v>
      </c>
      <c r="L49" s="109" t="b">
        <v>1</v>
      </c>
      <c r="M49" s="106">
        <v>50</v>
      </c>
      <c r="N49" s="106">
        <v>1</v>
      </c>
      <c r="O49" s="111">
        <f>IFERROR(_xll.qlRateHelperEarliestDate(I49,Trigger),"--")</f>
        <v>42261</v>
      </c>
      <c r="P49" s="111">
        <f>IFERROR(_xll.qlRateHelperPillarDate(I49,Trigger),"--")</f>
        <v>45915</v>
      </c>
      <c r="R49" s="4" t="str">
        <f t="shared" si="1"/>
        <v/>
      </c>
      <c r="S49" s="4" t="e">
        <v>#N/A</v>
      </c>
      <c r="T49" s="4" t="str">
        <f>IFERROR(_xll.qlRateHelperQuoteName(S49,Trigger),"")</f>
        <v/>
      </c>
      <c r="U49" s="76" t="str">
        <f>IFERROR(_xll.qlRateHelperRate(S49,Trigger),"")</f>
        <v/>
      </c>
      <c r="V49" s="116" t="str">
        <f>IF(ISERROR(_xll.qlSwapRateHelperSpread($S49)),IF(ISERROR(_xll.qlFuturesRateHelperConvexityAdjustment($S49)),"",_xll.qlFuturesRateHelperConvexityAdjustment($S49)),_xll.qlSwapRateHelperSpread($S49))</f>
        <v/>
      </c>
      <c r="W49" s="5" t="str">
        <f>IFERROR(_xll.qlRateHelperEarliestDate(S49,Trigger),"")</f>
        <v/>
      </c>
      <c r="X49" s="5" t="str">
        <f>IFERROR(_xll.qlRateHelperPillarDate(S49,Trigger),"")</f>
        <v/>
      </c>
      <c r="Y49" s="84" t="e">
        <v>#N/A</v>
      </c>
    </row>
    <row r="50" spans="1:25" ht="11.25" customHeight="1" x14ac:dyDescent="0.2">
      <c r="A50" s="64" t="s">
        <v>100</v>
      </c>
      <c r="B50" s="65" t="s">
        <v>88</v>
      </c>
      <c r="C50" s="66">
        <f t="shared" si="7"/>
        <v>2</v>
      </c>
      <c r="D50" s="67" t="str">
        <f t="shared" si="9"/>
        <v>USDFedFunds</v>
      </c>
      <c r="E50" s="69" t="str">
        <f t="shared" si="10"/>
        <v>USDOIS9Y_Quote</v>
      </c>
      <c r="F50" s="70" t="str">
        <f>_xll.qlOISRateHelper(,C50,B50,E50,$D50,,Permanent,Trigger,ObjectOverwrite)</f>
        <v>obj_002e2#0004</v>
      </c>
      <c r="H50" s="11" t="str">
        <f t="shared" si="8"/>
        <v>OIS</v>
      </c>
      <c r="I50" s="106" t="str">
        <f t="shared" si="3"/>
        <v>obj_002d9#0004</v>
      </c>
      <c r="J50" s="109" t="str">
        <f>IFERROR(_xll.qlRateHelperQuoteName(I50,Trigger),"--")</f>
        <v>USDOIS12Y_Quote</v>
      </c>
      <c r="K50" s="110">
        <f>IFERROR(_xll.qlRateHelperQuoteValue($I50,Trigger),"--")</f>
        <v>2.1170000000000001E-2</v>
      </c>
      <c r="L50" s="109" t="b">
        <v>1</v>
      </c>
      <c r="M50" s="106">
        <v>50</v>
      </c>
      <c r="N50" s="106">
        <v>1</v>
      </c>
      <c r="O50" s="111">
        <f>IFERROR(_xll.qlRateHelperEarliestDate(I50,Trigger),"--")</f>
        <v>42261</v>
      </c>
      <c r="P50" s="111">
        <f>IFERROR(_xll.qlRateHelperPillarDate(I50,Trigger),"--")</f>
        <v>46644</v>
      </c>
      <c r="R50" s="4" t="str">
        <f t="shared" si="1"/>
        <v/>
      </c>
      <c r="S50" s="4" t="e">
        <v>#N/A</v>
      </c>
      <c r="T50" s="4" t="str">
        <f>IFERROR(_xll.qlRateHelperQuoteName(S50,Trigger),"")</f>
        <v/>
      </c>
      <c r="U50" s="76" t="str">
        <f>IFERROR(_xll.qlRateHelperRate(S50,Trigger),"")</f>
        <v/>
      </c>
      <c r="V50" s="116" t="str">
        <f>IF(ISERROR(_xll.qlSwapRateHelperSpread($S50)),IF(ISERROR(_xll.qlFuturesRateHelperConvexityAdjustment($S50)),"",_xll.qlFuturesRateHelperConvexityAdjustment($S50)),_xll.qlSwapRateHelperSpread($S50))</f>
        <v/>
      </c>
      <c r="W50" s="5" t="str">
        <f>IFERROR(_xll.qlRateHelperEarliestDate(S50,Trigger),"")</f>
        <v/>
      </c>
      <c r="X50" s="5" t="str">
        <f>IFERROR(_xll.qlRateHelperPillarDate(S50,Trigger),"")</f>
        <v/>
      </c>
      <c r="Y50" s="84" t="e">
        <v>#N/A</v>
      </c>
    </row>
    <row r="51" spans="1:25" ht="11.25" customHeight="1" x14ac:dyDescent="0.2">
      <c r="A51" s="64" t="s">
        <v>100</v>
      </c>
      <c r="B51" s="65" t="s">
        <v>89</v>
      </c>
      <c r="C51" s="66">
        <f t="shared" si="7"/>
        <v>2</v>
      </c>
      <c r="D51" s="67" t="str">
        <f t="shared" si="9"/>
        <v>USDFedFunds</v>
      </c>
      <c r="E51" s="69" t="str">
        <f t="shared" si="10"/>
        <v>USDOIS10Y_Quote</v>
      </c>
      <c r="F51" s="70" t="str">
        <f>_xll.qlOISRateHelper(,C51,B51,E51,$D51,,Permanent,Trigger,ObjectOverwrite)</f>
        <v>obj_002dc#0004</v>
      </c>
      <c r="H51" s="11" t="str">
        <f t="shared" si="8"/>
        <v>OIS</v>
      </c>
      <c r="I51" s="106" t="str">
        <f t="shared" si="3"/>
        <v>obj_002dd#0004</v>
      </c>
      <c r="J51" s="109" t="str">
        <f>IFERROR(_xll.qlRateHelperQuoteName(I51,Trigger),"--")</f>
        <v>USDOIS15Y_Quote</v>
      </c>
      <c r="K51" s="110">
        <f>IFERROR(_xll.qlRateHelperQuoteValue($I51,Trigger),"--")</f>
        <v>2.2450000000000001E-2</v>
      </c>
      <c r="L51" s="109" t="b">
        <v>1</v>
      </c>
      <c r="M51" s="106">
        <v>50</v>
      </c>
      <c r="N51" s="106">
        <v>1</v>
      </c>
      <c r="O51" s="111">
        <f>IFERROR(_xll.qlRateHelperEarliestDate(I51,Trigger),"--")</f>
        <v>42261</v>
      </c>
      <c r="P51" s="111">
        <f>IFERROR(_xll.qlRateHelperPillarDate(I51,Trigger),"--")</f>
        <v>47742</v>
      </c>
      <c r="R51" s="4" t="str">
        <f t="shared" si="1"/>
        <v/>
      </c>
      <c r="S51" s="4" t="e">
        <v>#N/A</v>
      </c>
      <c r="T51" s="4" t="str">
        <f>IFERROR(_xll.qlRateHelperQuoteName(S51,Trigger),"")</f>
        <v/>
      </c>
      <c r="U51" s="76" t="str">
        <f>IFERROR(_xll.qlRateHelperRate(S51,Trigger),"")</f>
        <v/>
      </c>
      <c r="V51" s="116" t="str">
        <f>IF(ISERROR(_xll.qlSwapRateHelperSpread($S51)),IF(ISERROR(_xll.qlFuturesRateHelperConvexityAdjustment($S51)),"",_xll.qlFuturesRateHelperConvexityAdjustment($S51)),_xll.qlSwapRateHelperSpread($S51))</f>
        <v/>
      </c>
      <c r="W51" s="5" t="str">
        <f>IFERROR(_xll.qlRateHelperEarliestDate(S51,Trigger),"")</f>
        <v/>
      </c>
      <c r="X51" s="5" t="str">
        <f>IFERROR(_xll.qlRateHelperPillarDate(S51,Trigger),"")</f>
        <v/>
      </c>
      <c r="Y51" s="5" t="e">
        <v>#N/A</v>
      </c>
    </row>
    <row r="52" spans="1:25" ht="11.25" customHeight="1" x14ac:dyDescent="0.2">
      <c r="A52" s="64" t="s">
        <v>100</v>
      </c>
      <c r="B52" s="65" t="s">
        <v>90</v>
      </c>
      <c r="C52" s="66">
        <f t="shared" si="7"/>
        <v>2</v>
      </c>
      <c r="D52" s="67" t="str">
        <f t="shared" si="9"/>
        <v>USDFedFunds</v>
      </c>
      <c r="E52" s="69" t="str">
        <f t="shared" si="10"/>
        <v>USDOIS12Y_Quote</v>
      </c>
      <c r="F52" s="70" t="str">
        <f>_xll.qlOISRateHelper(,C52,B52,E52,$D52,,Permanent,Trigger,ObjectOverwrite)</f>
        <v>obj_002d9#0004</v>
      </c>
      <c r="H52" s="11" t="str">
        <f t="shared" si="8"/>
        <v>OIS</v>
      </c>
      <c r="I52" s="106" t="str">
        <f t="shared" si="3"/>
        <v>obj_002db#0004</v>
      </c>
      <c r="J52" s="109" t="str">
        <f>IFERROR(_xll.qlRateHelperQuoteName(I52,Trigger),"--")</f>
        <v>USDOIS20Y_Quote</v>
      </c>
      <c r="K52" s="110">
        <f>IFERROR(_xll.qlRateHelperQuoteValue($I52,Trigger),"--")</f>
        <v>2.3599999999999999E-2</v>
      </c>
      <c r="L52" s="109" t="b">
        <v>1</v>
      </c>
      <c r="M52" s="106">
        <v>50</v>
      </c>
      <c r="N52" s="106">
        <v>1</v>
      </c>
      <c r="O52" s="111">
        <f>IFERROR(_xll.qlRateHelperEarliestDate(I52,Trigger),"--")</f>
        <v>42261</v>
      </c>
      <c r="P52" s="111">
        <f>IFERROR(_xll.qlRateHelperPillarDate(I52,Trigger),"--")</f>
        <v>49566</v>
      </c>
      <c r="R52" s="4" t="str">
        <f t="shared" si="1"/>
        <v/>
      </c>
      <c r="S52" s="4" t="e">
        <v>#N/A</v>
      </c>
      <c r="T52" s="4" t="str">
        <f>IFERROR(_xll.qlRateHelperQuoteName(S52,Trigger),"")</f>
        <v/>
      </c>
      <c r="U52" s="76" t="str">
        <f>IFERROR(_xll.qlRateHelperRate(S52,Trigger),"")</f>
        <v/>
      </c>
      <c r="V52" s="116" t="str">
        <f>IF(ISERROR(_xll.qlSwapRateHelperSpread($S52)),IF(ISERROR(_xll.qlFuturesRateHelperConvexityAdjustment($S52)),"",_xll.qlFuturesRateHelperConvexityAdjustment($S52)),_xll.qlSwapRateHelperSpread($S52))</f>
        <v/>
      </c>
      <c r="W52" s="5" t="str">
        <f>IFERROR(_xll.qlRateHelperEarliestDate(S52,Trigger),"")</f>
        <v/>
      </c>
      <c r="X52" s="5" t="str">
        <f>IFERROR(_xll.qlRateHelperPillarDate(S52,Trigger),"")</f>
        <v/>
      </c>
      <c r="Y52" s="5" t="e">
        <v>#N/A</v>
      </c>
    </row>
    <row r="53" spans="1:25" ht="11.25" customHeight="1" x14ac:dyDescent="0.2">
      <c r="A53" s="64" t="s">
        <v>100</v>
      </c>
      <c r="B53" s="65" t="s">
        <v>91</v>
      </c>
      <c r="C53" s="66">
        <f t="shared" si="7"/>
        <v>2</v>
      </c>
      <c r="D53" s="67" t="str">
        <f t="shared" si="9"/>
        <v>USDFedFunds</v>
      </c>
      <c r="E53" s="69" t="str">
        <f t="shared" si="10"/>
        <v>USDOIS15Y_Quote</v>
      </c>
      <c r="F53" s="70" t="str">
        <f>_xll.qlOISRateHelper(,C53,B53,E53,$D53,,Permanent,Trigger,ObjectOverwrite)</f>
        <v>obj_002dd#0004</v>
      </c>
      <c r="H53" s="11" t="str">
        <f t="shared" si="8"/>
        <v>OIS</v>
      </c>
      <c r="I53" s="106" t="str">
        <f t="shared" si="3"/>
        <v>obj_002d8#0004</v>
      </c>
      <c r="J53" s="109" t="str">
        <f>IFERROR(_xll.qlRateHelperQuoteName(I53,Trigger),"--")</f>
        <v>USDOIS25Y_Quote</v>
      </c>
      <c r="K53" s="110">
        <f>IFERROR(_xll.qlRateHelperQuoteValue($I53,Trigger),"--")</f>
        <v>2.4199999999999999E-2</v>
      </c>
      <c r="L53" s="109" t="b">
        <v>1</v>
      </c>
      <c r="M53" s="106">
        <v>50</v>
      </c>
      <c r="N53" s="106">
        <v>1</v>
      </c>
      <c r="O53" s="111">
        <f>IFERROR(_xll.qlRateHelperEarliestDate(I53,Trigger),"--")</f>
        <v>42261</v>
      </c>
      <c r="P53" s="111">
        <f>IFERROR(_xll.qlRateHelperPillarDate(I53,Trigger),"--")</f>
        <v>51393</v>
      </c>
      <c r="R53" s="4" t="str">
        <f t="shared" si="1"/>
        <v/>
      </c>
      <c r="S53" s="4" t="e">
        <v>#N/A</v>
      </c>
      <c r="T53" s="4" t="str">
        <f>IFERROR(_xll.qlRateHelperQuoteName(S53,Trigger),"")</f>
        <v/>
      </c>
      <c r="U53" s="76" t="str">
        <f>IFERROR(_xll.qlRateHelperRate(S53,Trigger),"")</f>
        <v/>
      </c>
      <c r="V53" s="116" t="str">
        <f>IF(ISERROR(_xll.qlSwapRateHelperSpread($S53)),IF(ISERROR(_xll.qlFuturesRateHelperConvexityAdjustment($S53)),"",_xll.qlFuturesRateHelperConvexityAdjustment($S53)),_xll.qlSwapRateHelperSpread($S53))</f>
        <v/>
      </c>
      <c r="W53" s="5" t="str">
        <f>IFERROR(_xll.qlRateHelperEarliestDate(S53,Trigger),"")</f>
        <v/>
      </c>
      <c r="X53" s="5" t="str">
        <f>IFERROR(_xll.qlRateHelperPillarDate(S53,Trigger),"")</f>
        <v/>
      </c>
      <c r="Y53" s="5" t="e">
        <v>#N/A</v>
      </c>
    </row>
    <row r="54" spans="1:25" ht="11.25" customHeight="1" x14ac:dyDescent="0.2">
      <c r="A54" s="64" t="s">
        <v>100</v>
      </c>
      <c r="B54" s="65" t="s">
        <v>92</v>
      </c>
      <c r="C54" s="66">
        <f t="shared" si="7"/>
        <v>2</v>
      </c>
      <c r="D54" s="67" t="str">
        <f t="shared" si="9"/>
        <v>USDFedFunds</v>
      </c>
      <c r="E54" s="69" t="str">
        <f t="shared" si="10"/>
        <v>USDOIS20Y_Quote</v>
      </c>
      <c r="F54" s="70" t="str">
        <f>_xll.qlOISRateHelper(,C54,B54,E54,$D54,,Permanent,Trigger,ObjectOverwrite)</f>
        <v>obj_002db#0004</v>
      </c>
      <c r="H54" s="11" t="str">
        <f t="shared" si="8"/>
        <v>OIS</v>
      </c>
      <c r="I54" s="106" t="str">
        <f t="shared" si="3"/>
        <v>--</v>
      </c>
      <c r="J54" s="109" t="str">
        <f>IFERROR(_xll.qlRateHelperQuoteName(I54,Trigger),"--")</f>
        <v>--</v>
      </c>
      <c r="K54" s="110" t="str">
        <f>IFERROR(_xll.qlRateHelperQuoteValue($I54,Trigger),"--")</f>
        <v>--</v>
      </c>
      <c r="L54" s="109" t="b">
        <v>0</v>
      </c>
      <c r="M54" s="106">
        <v>50</v>
      </c>
      <c r="N54" s="106">
        <v>1</v>
      </c>
      <c r="O54" s="111" t="str">
        <f>IFERROR(_xll.qlRateHelperEarliestDate(I54,Trigger),"--")</f>
        <v>--</v>
      </c>
      <c r="P54" s="111" t="str">
        <f>IFERROR(_xll.qlRateHelperPillarDate(I54,Trigger),"--")</f>
        <v>--</v>
      </c>
      <c r="R54" s="4" t="str">
        <f t="shared" si="1"/>
        <v/>
      </c>
      <c r="S54" s="4" t="e">
        <v>#N/A</v>
      </c>
      <c r="T54" s="4" t="str">
        <f>IFERROR(_xll.qlRateHelperQuoteName(S54,Trigger),"")</f>
        <v/>
      </c>
      <c r="U54" s="76" t="str">
        <f>IFERROR(_xll.qlRateHelperRate(S54,Trigger),"")</f>
        <v/>
      </c>
      <c r="V54" s="116" t="str">
        <f>IF(ISERROR(_xll.qlSwapRateHelperSpread($S54)),IF(ISERROR(_xll.qlFuturesRateHelperConvexityAdjustment($S54)),"",_xll.qlFuturesRateHelperConvexityAdjustment($S54)),_xll.qlSwapRateHelperSpread($S54))</f>
        <v/>
      </c>
      <c r="W54" s="5" t="str">
        <f>IFERROR(_xll.qlRateHelperEarliestDate(S54,Trigger),"")</f>
        <v/>
      </c>
      <c r="X54" s="5" t="str">
        <f>IFERROR(_xll.qlRateHelperPillarDate(S54,Trigger),"")</f>
        <v/>
      </c>
      <c r="Y54" s="5" t="e">
        <v>#N/A</v>
      </c>
    </row>
    <row r="55" spans="1:25" ht="11.25" customHeight="1" x14ac:dyDescent="0.2">
      <c r="A55" s="64" t="s">
        <v>100</v>
      </c>
      <c r="B55" s="65" t="s">
        <v>93</v>
      </c>
      <c r="C55" s="66">
        <f t="shared" si="7"/>
        <v>2</v>
      </c>
      <c r="D55" s="67" t="str">
        <f t="shared" si="9"/>
        <v>USDFedFunds</v>
      </c>
      <c r="E55" s="69" t="str">
        <f t="shared" si="10"/>
        <v>USDOIS25Y_Quote</v>
      </c>
      <c r="F55" s="70" t="str">
        <f>_xll.qlOISRateHelper(,C55,B55,E55,$D55,,Permanent,Trigger,ObjectOverwrite)</f>
        <v>obj_002d8#0004</v>
      </c>
      <c r="H55" s="11" t="str">
        <f t="shared" si="8"/>
        <v>OIS</v>
      </c>
      <c r="I55" s="106" t="str">
        <f t="shared" si="3"/>
        <v>obj_002e7#0004</v>
      </c>
      <c r="J55" s="109" t="str">
        <f>IFERROR(_xll.qlRateHelperQuoteName(I55,Trigger),"--")</f>
        <v>USDOIS30Y_Quote</v>
      </c>
      <c r="K55" s="110">
        <f>IFERROR(_xll.qlRateHelperQuoteValue($I55,Trigger),"--")</f>
        <v>2.4500000000000001E-2</v>
      </c>
      <c r="L55" s="109" t="b">
        <v>1</v>
      </c>
      <c r="M55" s="106">
        <v>50</v>
      </c>
      <c r="N55" s="106">
        <v>1</v>
      </c>
      <c r="O55" s="111">
        <f>IFERROR(_xll.qlRateHelperEarliestDate(I55,Trigger),"--")</f>
        <v>42261</v>
      </c>
      <c r="P55" s="111">
        <f>IFERROR(_xll.qlRateHelperPillarDate(I55,Trigger),"--")</f>
        <v>53219</v>
      </c>
      <c r="R55" s="4" t="str">
        <f t="shared" si="1"/>
        <v/>
      </c>
      <c r="S55" s="4" t="e">
        <v>#N/A</v>
      </c>
      <c r="T55" s="4" t="str">
        <f>IFERROR(_xll.qlRateHelperQuoteName(S55,Trigger),"")</f>
        <v/>
      </c>
      <c r="U55" s="76" t="str">
        <f>IFERROR(_xll.qlRateHelperRate(S55,Trigger),"")</f>
        <v/>
      </c>
      <c r="V55" s="116" t="str">
        <f>IF(ISERROR(_xll.qlSwapRateHelperSpread($S55)),IF(ISERROR(_xll.qlFuturesRateHelperConvexityAdjustment($S55)),"",_xll.qlFuturesRateHelperConvexityAdjustment($S55)),_xll.qlSwapRateHelperSpread($S55))</f>
        <v/>
      </c>
      <c r="W55" s="5" t="str">
        <f>IFERROR(_xll.qlRateHelperEarliestDate(S55,Trigger),"")</f>
        <v/>
      </c>
      <c r="X55" s="5" t="str">
        <f>IFERROR(_xll.qlRateHelperPillarDate(S55,Trigger),"")</f>
        <v/>
      </c>
      <c r="Y55" s="5" t="e">
        <v>#N/A</v>
      </c>
    </row>
    <row r="56" spans="1:25" ht="11.25" customHeight="1" x14ac:dyDescent="0.2">
      <c r="A56" s="64" t="s">
        <v>100</v>
      </c>
      <c r="B56" s="65" t="s">
        <v>94</v>
      </c>
      <c r="C56" s="66">
        <f t="shared" si="7"/>
        <v>2</v>
      </c>
      <c r="D56" s="67" t="str">
        <f t="shared" si="9"/>
        <v>USDFedFunds</v>
      </c>
      <c r="E56" s="69" t="str">
        <f t="shared" si="10"/>
        <v>USDOIS27Y_Quote</v>
      </c>
      <c r="F56" s="70"/>
      <c r="H56" s="11" t="str">
        <f t="shared" ref="H56:H59" si="11">A58</f>
        <v>OIS</v>
      </c>
      <c r="I56" s="106" t="str">
        <f t="shared" ref="I56:I59" si="12">IF(ISBLANK(F58),"--",F58)</f>
        <v>--</v>
      </c>
      <c r="J56" s="109" t="str">
        <f>IFERROR(_xll.qlRateHelperQuoteName(I56,Trigger),"--")</f>
        <v>--</v>
      </c>
      <c r="K56" s="110" t="str">
        <f>IFERROR(_xll.qlRateHelperQuoteValue($I56,Trigger),"--")</f>
        <v>--</v>
      </c>
      <c r="L56" s="109" t="b">
        <v>0</v>
      </c>
      <c r="M56" s="106">
        <v>50</v>
      </c>
      <c r="N56" s="106">
        <v>1</v>
      </c>
      <c r="O56" s="111" t="str">
        <f>IFERROR(_xll.qlRateHelperEarliestDate(I56,Trigger),"--")</f>
        <v>--</v>
      </c>
      <c r="P56" s="111" t="str">
        <f>IFERROR(_xll.qlRateHelperPillarDate(I56,Trigger),"--")</f>
        <v>--</v>
      </c>
      <c r="R56" s="4" t="str">
        <f t="shared" si="1"/>
        <v/>
      </c>
      <c r="S56" s="6" t="e">
        <v>#N/A</v>
      </c>
      <c r="T56" s="4" t="str">
        <f>IFERROR(_xll.qlRateHelperQuoteName(S56,Trigger),"")</f>
        <v/>
      </c>
      <c r="U56" s="76" t="str">
        <f>IFERROR(_xll.qlRateHelperRate(S56,Trigger),"")</f>
        <v/>
      </c>
      <c r="V56" s="116" t="str">
        <f>IF(ISERROR(_xll.qlSwapRateHelperSpread($S56)),IF(ISERROR(_xll.qlFuturesRateHelperConvexityAdjustment($S56)),"",_xll.qlFuturesRateHelperConvexityAdjustment($S56)),_xll.qlSwapRateHelperSpread($S56))</f>
        <v/>
      </c>
      <c r="W56" s="5" t="str">
        <f>IFERROR(_xll.qlRateHelperEarliestDate(S56,Trigger),"")</f>
        <v/>
      </c>
      <c r="X56" s="5" t="str">
        <f>IFERROR(_xll.qlRateHelperPillarDate(S56,Trigger),"")</f>
        <v/>
      </c>
      <c r="Y56" s="5" t="e">
        <v>#N/A</v>
      </c>
    </row>
    <row r="57" spans="1:25" ht="11.25" customHeight="1" x14ac:dyDescent="0.2">
      <c r="A57" s="64" t="s">
        <v>100</v>
      </c>
      <c r="B57" s="65" t="s">
        <v>95</v>
      </c>
      <c r="C57" s="66">
        <f t="shared" si="7"/>
        <v>2</v>
      </c>
      <c r="D57" s="67" t="str">
        <f t="shared" si="9"/>
        <v>USDFedFunds</v>
      </c>
      <c r="E57" s="69" t="str">
        <f t="shared" si="10"/>
        <v>USDOIS30Y_Quote</v>
      </c>
      <c r="F57" s="70" t="str">
        <f>_xll.qlOISRateHelper(,C57,B57,E57,$D57,,Permanent,Trigger,ObjectOverwrite)</f>
        <v>obj_002e7#0004</v>
      </c>
      <c r="H57" s="11" t="str">
        <f t="shared" si="11"/>
        <v>OIS</v>
      </c>
      <c r="I57" s="106" t="str">
        <f t="shared" si="12"/>
        <v>obj_002e0#0004</v>
      </c>
      <c r="J57" s="109" t="str">
        <f>IFERROR(_xll.qlRateHelperQuoteName(I57,Trigger),"--")</f>
        <v>USDOIS40Y_Quote</v>
      </c>
      <c r="K57" s="110">
        <f>IFERROR(_xll.qlRateHelperQuoteValue($I57,Trigger),"--")</f>
        <v>2.4610000000000003E-2</v>
      </c>
      <c r="L57" s="109" t="b">
        <v>1</v>
      </c>
      <c r="M57" s="106">
        <v>50</v>
      </c>
      <c r="N57" s="106">
        <v>1</v>
      </c>
      <c r="O57" s="111">
        <f>IFERROR(_xll.qlRateHelperEarliestDate(I57,Trigger),"--")</f>
        <v>42261</v>
      </c>
      <c r="P57" s="111">
        <f>IFERROR(_xll.qlRateHelperPillarDate(I57,Trigger),"--")</f>
        <v>56871</v>
      </c>
      <c r="R57" s="4" t="str">
        <f t="shared" si="1"/>
        <v/>
      </c>
      <c r="S57" s="53"/>
      <c r="T57" s="4" t="str">
        <f>IFERROR(_xll.qlRateHelperQuoteName(S57,Trigger),"")</f>
        <v/>
      </c>
      <c r="U57" s="76" t="str">
        <f>IFERROR(_xll.qlRateHelperRate(S57,Trigger),"")</f>
        <v/>
      </c>
      <c r="V57" s="116" t="str">
        <f>IF(ISERROR(_xll.qlSwapRateHelperSpread($S57)),IF(ISERROR(_xll.qlFuturesRateHelperConvexityAdjustment($S57)),"",_xll.qlFuturesRateHelperConvexityAdjustment($S57)),_xll.qlSwapRateHelperSpread($S57))</f>
        <v/>
      </c>
      <c r="W57" s="5" t="str">
        <f>IFERROR(_xll.qlRateHelperEarliestDate(S57,Trigger),"")</f>
        <v/>
      </c>
      <c r="X57" s="5" t="str">
        <f>IFERROR(_xll.qlRateHelperPillarDate(S57,Trigger),"")</f>
        <v/>
      </c>
      <c r="Y57" s="5"/>
    </row>
    <row r="58" spans="1:25" ht="11.25" customHeight="1" x14ac:dyDescent="0.2">
      <c r="A58" s="64" t="s">
        <v>100</v>
      </c>
      <c r="B58" s="65" t="s">
        <v>96</v>
      </c>
      <c r="C58" s="66">
        <f t="shared" si="7"/>
        <v>2</v>
      </c>
      <c r="D58" s="67" t="str">
        <f t="shared" si="9"/>
        <v>USDFedFunds</v>
      </c>
      <c r="E58" s="69" t="str">
        <f t="shared" si="10"/>
        <v>USDOIS35Y_Quote</v>
      </c>
      <c r="F58" s="70"/>
      <c r="H58" s="11" t="str">
        <f t="shared" si="11"/>
        <v>OIS</v>
      </c>
      <c r="I58" s="106" t="str">
        <f t="shared" si="12"/>
        <v>--</v>
      </c>
      <c r="J58" s="109" t="str">
        <f>IFERROR(_xll.qlRateHelperQuoteName(I58,Trigger),"--")</f>
        <v>--</v>
      </c>
      <c r="K58" s="110" t="str">
        <f>IFERROR(_xll.qlRateHelperQuoteValue($I58,Trigger),"--")</f>
        <v>--</v>
      </c>
      <c r="L58" s="109" t="b">
        <v>0</v>
      </c>
      <c r="M58" s="106">
        <v>50</v>
      </c>
      <c r="N58" s="106">
        <v>1</v>
      </c>
      <c r="O58" s="111" t="str">
        <f>IFERROR(_xll.qlRateHelperEarliestDate(I58,Trigger),"--")</f>
        <v>--</v>
      </c>
      <c r="P58" s="111" t="str">
        <f>IFERROR(_xll.qlRateHelperPillarDate(I58,Trigger),"--")</f>
        <v>--</v>
      </c>
      <c r="R58" s="4" t="str">
        <f t="shared" si="1"/>
        <v/>
      </c>
      <c r="S58" s="53"/>
      <c r="T58" s="4" t="str">
        <f>IFERROR(_xll.qlRateHelperQuoteName(S58,Trigger),"")</f>
        <v/>
      </c>
      <c r="U58" s="76" t="str">
        <f>IFERROR(_xll.qlRateHelperRate(S58,Trigger),"")</f>
        <v/>
      </c>
      <c r="V58" s="116" t="str">
        <f>IF(ISERROR(_xll.qlSwapRateHelperSpread($S58)),IF(ISERROR(_xll.qlFuturesRateHelperConvexityAdjustment($S58)),"",_xll.qlFuturesRateHelperConvexityAdjustment($S58)),_xll.qlSwapRateHelperSpread($S58))</f>
        <v/>
      </c>
      <c r="W58" s="5" t="str">
        <f>IFERROR(_xll.qlRateHelperEarliestDate(S58,Trigger),"")</f>
        <v/>
      </c>
      <c r="X58" s="5" t="str">
        <f>IFERROR(_xll.qlRateHelperPillarDate(S58,Trigger),"")</f>
        <v/>
      </c>
      <c r="Y58" s="5"/>
    </row>
    <row r="59" spans="1:25" ht="11.25" customHeight="1" x14ac:dyDescent="0.2">
      <c r="A59" s="64" t="s">
        <v>100</v>
      </c>
      <c r="B59" s="65" t="s">
        <v>97</v>
      </c>
      <c r="C59" s="66">
        <f t="shared" si="7"/>
        <v>2</v>
      </c>
      <c r="D59" s="67" t="str">
        <f t="shared" si="9"/>
        <v>USDFedFunds</v>
      </c>
      <c r="E59" s="69" t="str">
        <f t="shared" si="10"/>
        <v>USDOIS40Y_Quote</v>
      </c>
      <c r="F59" s="70" t="str">
        <f>_xll.qlOISRateHelper(,C59,B59,E59,$D59,,Permanent,Trigger,ObjectOverwrite)</f>
        <v>obj_002e0#0004</v>
      </c>
      <c r="H59" s="12" t="str">
        <f t="shared" si="11"/>
        <v>OIS</v>
      </c>
      <c r="I59" s="107" t="str">
        <f t="shared" si="12"/>
        <v>obj_002de#0004</v>
      </c>
      <c r="J59" s="112" t="str">
        <f>IFERROR(_xll.qlRateHelperQuoteName(I59,Trigger),"--")</f>
        <v>USDOIS50Y_Quote</v>
      </c>
      <c r="K59" s="113">
        <f>IFERROR(_xll.qlRateHelperQuoteValue($I59,Trigger),"--")</f>
        <v>2.4719999999999999E-2</v>
      </c>
      <c r="L59" s="112" t="b">
        <v>1</v>
      </c>
      <c r="M59" s="107">
        <v>50</v>
      </c>
      <c r="N59" s="107">
        <v>1</v>
      </c>
      <c r="O59" s="114">
        <f>IFERROR(_xll.qlRateHelperEarliestDate(I59,Trigger),"--")</f>
        <v>42261</v>
      </c>
      <c r="P59" s="114">
        <f>IFERROR(_xll.qlRateHelperPillarDate(I59,Trigger),"--")</f>
        <v>60524</v>
      </c>
      <c r="R59" s="6" t="str">
        <f t="shared" si="1"/>
        <v/>
      </c>
      <c r="S59" s="174"/>
      <c r="T59" s="6" t="str">
        <f>IFERROR(_xll.qlRateHelperQuoteName(S59,Trigger),"")</f>
        <v/>
      </c>
      <c r="U59" s="86" t="str">
        <f>IFERROR(_xll.qlRateHelperRate(S59,Trigger),"")</f>
        <v/>
      </c>
      <c r="V59" s="117" t="str">
        <f>IF(ISERROR(_xll.qlSwapRateHelperSpread($S59)),IF(ISERROR(_xll.qlFuturesRateHelperConvexityAdjustment($S59)),"",_xll.qlFuturesRateHelperConvexityAdjustment($S59)),_xll.qlSwapRateHelperSpread($S59))</f>
        <v/>
      </c>
      <c r="W59" s="13" t="str">
        <f>IFERROR(_xll.qlRateHelperEarliestDate(S59,Trigger),"")</f>
        <v/>
      </c>
      <c r="X59" s="13" t="str">
        <f>IFERROR(_xll.qlRateHelperPillarDate(S59,Trigger),"")</f>
        <v/>
      </c>
      <c r="Y59" s="13"/>
    </row>
    <row r="60" spans="1:25" ht="11.25" customHeight="1" x14ac:dyDescent="0.2">
      <c r="A60" s="64" t="s">
        <v>100</v>
      </c>
      <c r="B60" s="65" t="s">
        <v>98</v>
      </c>
      <c r="C60" s="66">
        <f t="shared" si="7"/>
        <v>2</v>
      </c>
      <c r="D60" s="67" t="str">
        <f t="shared" si="9"/>
        <v>USDFedFunds</v>
      </c>
      <c r="E60" s="69" t="str">
        <f t="shared" si="10"/>
        <v>USDOIS45Y_Quote</v>
      </c>
      <c r="F60" s="70"/>
    </row>
    <row r="61" spans="1:25" ht="11.25" customHeight="1" x14ac:dyDescent="0.2">
      <c r="A61" s="1" t="s">
        <v>100</v>
      </c>
      <c r="B61" s="9" t="s">
        <v>99</v>
      </c>
      <c r="C61" s="7">
        <f t="shared" si="7"/>
        <v>2</v>
      </c>
      <c r="D61" s="8" t="str">
        <f t="shared" si="9"/>
        <v>USDFedFunds</v>
      </c>
      <c r="E61" s="2" t="str">
        <f t="shared" si="10"/>
        <v>USDOIS50Y_Quote</v>
      </c>
      <c r="F61" s="3" t="str">
        <f>_xll.qlOISRateHelper(,C61,B61,E61,$D61,,Permanent,Trigger,ObjectOverwrite)</f>
        <v>obj_002de#0004</v>
      </c>
    </row>
    <row r="62" spans="1:25" ht="11.25" customHeight="1" x14ac:dyDescent="0.2"/>
    <row r="63" spans="1:25" ht="11.25" customHeight="1" x14ac:dyDescent="0.2"/>
    <row r="64" spans="1:2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6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5" style="51" hidden="1" customWidth="1" outlineLevel="1"/>
    <col min="2" max="2" width="9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1.42578125" style="57" hidden="1" customWidth="1" outlineLevel="1"/>
    <col min="9" max="9" width="24.42578125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5" style="51" hidden="1" customWidth="1" outlineLevel="1"/>
    <col min="13" max="13" width="15.140625" style="115" hidden="1" customWidth="1" outlineLevel="1"/>
    <col min="14" max="14" width="21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0</v>
      </c>
      <c r="H1" s="55" t="str">
        <f>"_SYNTH"&amp;Tenor</f>
        <v>_SYNTH3M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USD3M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88">_xll.qlPiecewiseYieldCurveData(YieldCurve_3M,Trigger)</f>
        <v>1</v>
      </c>
      <c r="AE2" s="191" t="s">
        <v>118</v>
      </c>
      <c r="AF2" s="192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PROPER(Currency)&amp;"FedFunds"</f>
        <v>UsdFedFunds</v>
      </c>
      <c r="H3" s="133" t="str">
        <f t="shared" ref="H3:H9" si="0">Currency&amp;$B3&amp;"D"&amp;$H$1&amp;QuoteSuffix</f>
        <v>USDSND_SYNTH3M_Quote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88">_xll.qlRateHelperSelection(_xll.ohFilter(RateHelpers,IncludeFlag),_xll.ohFilter(Priority,IncludeFlag),$AF$3,$AF$4,$AF$5,$AF$6,_xll.ohFilter(MinDistance,IncludeFlag),Trigger)</f>
        <v>obj_00271</v>
      </c>
      <c r="X3" s="4" t="str">
        <f>IFERROR(_xll.qlRateHelperQuoteName(W3,Trigger),"")</f>
        <v>USD1MD_SYNTH3M_Quote</v>
      </c>
      <c r="Y3" s="76">
        <f>IFERROR(_xll.qlRateHelperRate(W3,Trigger),"")</f>
        <v>2.8010000000000001E-3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42261</v>
      </c>
      <c r="AB3" s="5">
        <f>IFERROR(_xll.qlRateHelperPillarDate(W3,Trigger),"")</f>
        <v>42291</v>
      </c>
      <c r="AC3" s="84">
        <v>0.99976663780395936</v>
      </c>
      <c r="AE3" s="119" t="s">
        <v>119</v>
      </c>
      <c r="AF3" s="120">
        <v>8</v>
      </c>
    </row>
    <row r="4" spans="1:32" ht="11.25" customHeight="1" x14ac:dyDescent="0.2">
      <c r="A4" s="64" t="s">
        <v>27</v>
      </c>
      <c r="B4" s="65" t="s">
        <v>124</v>
      </c>
      <c r="C4" s="68" t="s">
        <v>50</v>
      </c>
      <c r="D4" s="137"/>
      <c r="E4" s="137"/>
      <c r="F4" s="137"/>
      <c r="G4" s="66" t="str">
        <f>PROPER(Currency)&amp;FamilyName&amp;B4</f>
        <v>UsdLiborSW</v>
      </c>
      <c r="H4" s="134" t="str">
        <f t="shared" si="0"/>
        <v>USDSWD_SYNTH3M_Quote</v>
      </c>
      <c r="I4" s="137"/>
      <c r="J4" s="70"/>
      <c r="K4" s="53"/>
      <c r="L4" s="11" t="str">
        <f t="shared" ref="L4:L9" si="1">A4</f>
        <v>Dp</v>
      </c>
      <c r="M4" s="106" t="str">
        <f t="shared" ref="M4:M9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7" si="3">IFERROR(INDEX($L$3:$L$88,MATCH(X4,$N$3:$N$88,0),1),"")</f>
        <v>Dp</v>
      </c>
      <c r="W4" s="4" t="str">
        <v>obj_00247</v>
      </c>
      <c r="X4" s="4" t="str">
        <f>IFERROR(_xll.qlRateHelperQuoteName(W4,Trigger),"")</f>
        <v>USD2MD_SYNTH3M_Quote</v>
      </c>
      <c r="Y4" s="76">
        <f>IFERROR(_xll.qlRateHelperRate(W4,Trigger),"")</f>
        <v>3.1419999999999998E-3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42261</v>
      </c>
      <c r="AB4" s="5">
        <f>IFERROR(_xll.qlRateHelperPillarDate(W4,Trigger),"")</f>
        <v>42324</v>
      </c>
      <c r="AC4" s="84">
        <v>0.99945045216887507</v>
      </c>
      <c r="AE4" s="119" t="s">
        <v>120</v>
      </c>
      <c r="AF4" s="120">
        <v>1</v>
      </c>
    </row>
    <row r="5" spans="1:32" ht="11.25" customHeight="1" x14ac:dyDescent="0.2">
      <c r="A5" s="177" t="s">
        <v>27</v>
      </c>
      <c r="B5" s="178" t="s">
        <v>51</v>
      </c>
      <c r="C5" s="179" t="str">
        <f>B5</f>
        <v>2W</v>
      </c>
      <c r="D5" s="180"/>
      <c r="E5" s="180"/>
      <c r="F5" s="180"/>
      <c r="G5" s="181" t="str">
        <f>_xll.qlLibor(,Currency,C5,,Permanent,Trigger,ObjectOverwrite)</f>
        <v>obj_00246#0003</v>
      </c>
      <c r="H5" s="182" t="str">
        <f t="shared" si="0"/>
        <v>USD2WD_SYNTH3M_Quote</v>
      </c>
      <c r="I5" s="180"/>
      <c r="J5" s="183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FUT</v>
      </c>
      <c r="W5" s="4" t="str">
        <v>obj_002fa</v>
      </c>
      <c r="X5" s="4" t="str">
        <f>IFERROR(_xll.qlRateHelperQuoteName(W5,Trigger),"")</f>
        <v>USDFUT3MU5_Quote</v>
      </c>
      <c r="Y5" s="76">
        <f>IFERROR(_xll.qlRateHelperRate(W5,Trigger),"")</f>
        <v>3.3871598777853117E-3</v>
      </c>
      <c r="Z5" s="116">
        <f>IF(ISERROR(_xll.qlSwapRateHelperSpread($W5)),IF(ISERROR(_xll.qlFuturesRateHelperConvexityAdjustment($W5)),"",_xll.qlFuturesRateHelperConvexityAdjustment($W5)),_xll.qlSwapRateHelperSpread($W5))</f>
        <v>3.4012221478687369E-7</v>
      </c>
      <c r="AA5" s="5">
        <f>IFERROR(_xll.qlRateHelperEarliestDate(W5,Trigger),"")</f>
        <v>42263</v>
      </c>
      <c r="AB5" s="5">
        <f>IFERROR(_xll.qlRateHelperPillarDate(W5,Trigger),"")</f>
        <v>42354</v>
      </c>
      <c r="AC5" s="84">
        <v>0.99912979699243254</v>
      </c>
      <c r="AD5" s="87"/>
      <c r="AE5" s="119" t="s">
        <v>121</v>
      </c>
      <c r="AF5" s="120">
        <v>2</v>
      </c>
    </row>
    <row r="6" spans="1:32" ht="11.25" customHeight="1" x14ac:dyDescent="0.2">
      <c r="A6" s="184" t="s">
        <v>27</v>
      </c>
      <c r="B6" s="185" t="s">
        <v>52</v>
      </c>
      <c r="C6" s="186" t="str">
        <f t="shared" ref="C6:C9" si="4">B6</f>
        <v>3W</v>
      </c>
      <c r="D6" s="187"/>
      <c r="E6" s="187"/>
      <c r="F6" s="187"/>
      <c r="G6" s="188" t="str">
        <f>_xll.qlLibor(,Currency,C6,,Permanent,Trigger,ObjectOverwrite)</f>
        <v>obj_00248#0003</v>
      </c>
      <c r="H6" s="189" t="str">
        <f t="shared" si="0"/>
        <v>USD3WD_SYNTH3M_Quote</v>
      </c>
      <c r="I6" s="187"/>
      <c r="J6" s="19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FUT</v>
      </c>
      <c r="W6" s="4" t="str">
        <v>obj_002fd</v>
      </c>
      <c r="X6" s="4" t="str">
        <f>IFERROR(_xll.qlRateHelperQuoteName(W6,Trigger),"")</f>
        <v>USDFUT3MV5_Quote</v>
      </c>
      <c r="Y6" s="76">
        <f>IFERROR(_xll.qlRateHelperRate(W6,Trigger),"")</f>
        <v>3.9722246976486375E-3</v>
      </c>
      <c r="Z6" s="116">
        <f>IF(ISERROR(_xll.qlSwapRateHelperSpread($W6)),IF(ISERROR(_xll.qlFuturesRateHelperConvexityAdjustment($W6)),"",_xll.qlFuturesRateHelperConvexityAdjustment($W6)),_xll.qlSwapRateHelperSpread($W6))</f>
        <v>2.7753023514245792E-6</v>
      </c>
      <c r="AA6" s="5">
        <f>IFERROR(_xll.qlRateHelperEarliestDate(W6,Trigger),"")</f>
        <v>42298</v>
      </c>
      <c r="AB6" s="5">
        <f>IFERROR(_xll.qlRateHelperPillarDate(W6,Trigger),"")</f>
        <v>42390</v>
      </c>
      <c r="AC6" s="84">
        <v>0.99869082453021663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PROPER(Currency)&amp;FamilyName&amp;B7</f>
        <v>UsdLibor1M</v>
      </c>
      <c r="H7" s="134" t="str">
        <f t="shared" si="0"/>
        <v>USD1MD_SYNTH3M_Quote</v>
      </c>
      <c r="I7" s="137"/>
      <c r="J7" s="70" t="str">
        <f>_xll.qlDepositRateHelper(,H7,G7,Permanent,Trigger,ObjectOverwrite)</f>
        <v>obj_00271#0005</v>
      </c>
      <c r="K7" s="53"/>
      <c r="L7" s="11" t="str">
        <f t="shared" si="1"/>
        <v>Dp</v>
      </c>
      <c r="M7" s="106" t="str">
        <f t="shared" si="2"/>
        <v>obj_00271#0005</v>
      </c>
      <c r="N7" s="160" t="str">
        <f>IFERROR(_xll.qlRateHelperQuoteName(M7,Trigger),"--")</f>
        <v>USD1MD_SYNTH3M_Quote</v>
      </c>
      <c r="O7" s="110">
        <f>IFERROR(_xll.qlRateHelperQuoteValue($M7,Trigger),"--")</f>
        <v>2.8010000000000001E-3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42261</v>
      </c>
      <c r="T7" s="111">
        <f>IFERROR(_xll.qlRateHelperPillarDate(M7,Trigger),"--")</f>
        <v>42291</v>
      </c>
      <c r="V7" s="4" t="str">
        <f t="shared" si="3"/>
        <v>FUT</v>
      </c>
      <c r="W7" s="4" t="str">
        <v>obj_002fb</v>
      </c>
      <c r="X7" s="4" t="str">
        <f>IFERROR(_xll.qlRateHelperQuoteName(W7,Trigger),"")</f>
        <v>USDFUT3MZ5_Quote</v>
      </c>
      <c r="Y7" s="76">
        <f>IFERROR(_xll.qlRateHelperRate(W7,Trigger),"")</f>
        <v>4.7168889175743791E-3</v>
      </c>
      <c r="Z7" s="116">
        <f>IF(ISERROR(_xll.qlSwapRateHelperSpread($W7)),IF(ISERROR(_xll.qlFuturesRateHelperConvexityAdjustment($W7)),"",_xll.qlFuturesRateHelperConvexityAdjustment($W7)),_xll.qlSwapRateHelperSpread($W7))</f>
        <v>8.1110824255998105E-6</v>
      </c>
      <c r="AA7" s="5">
        <f>IFERROR(_xll.qlRateHelperEarliestDate(W7,Trigger),"")</f>
        <v>42354</v>
      </c>
      <c r="AB7" s="5">
        <f>IFERROR(_xll.qlRateHelperPillarDate(W7,Trigger),"")</f>
        <v>42445</v>
      </c>
      <c r="AC7" s="84">
        <v>0.99793992856787295</v>
      </c>
    </row>
    <row r="8" spans="1:32" ht="11.25" customHeight="1" x14ac:dyDescent="0.2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PROPER(Currency)&amp;FamilyName&amp;B8</f>
        <v>UsdLibor2M</v>
      </c>
      <c r="H8" s="134" t="str">
        <f t="shared" si="0"/>
        <v>USD2MD_SYNTH3M_Quote</v>
      </c>
      <c r="I8" s="137"/>
      <c r="J8" s="70" t="str">
        <f>_xll.qlDepositRateHelper(,H8,G8,Permanent,Trigger,ObjectOverwrite)</f>
        <v>obj_00247#0005</v>
      </c>
      <c r="K8" s="53"/>
      <c r="L8" s="11" t="str">
        <f t="shared" si="1"/>
        <v>Dp</v>
      </c>
      <c r="M8" s="106" t="str">
        <f t="shared" si="2"/>
        <v>obj_00247#0005</v>
      </c>
      <c r="N8" s="160" t="str">
        <f>IFERROR(_xll.qlRateHelperQuoteName(M8,Trigger),"--")</f>
        <v>USD2MD_SYNTH3M_Quote</v>
      </c>
      <c r="O8" s="110">
        <f>IFERROR(_xll.qlRateHelperQuoteValue($M8,Trigger),"--")</f>
        <v>3.1419999999999998E-3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42261</v>
      </c>
      <c r="T8" s="111">
        <f>IFERROR(_xll.qlRateHelperPillarDate(M8,Trigger),"--")</f>
        <v>42324</v>
      </c>
      <c r="V8" s="4" t="str">
        <f t="shared" si="3"/>
        <v>FUT</v>
      </c>
      <c r="W8" s="4" t="str">
        <v>obj_00300</v>
      </c>
      <c r="X8" s="4" t="str">
        <f>IFERROR(_xll.qlRateHelperQuoteName(W8,Trigger),"")</f>
        <v>USDFUT3MH6_Quote</v>
      </c>
      <c r="Y8" s="76">
        <f>IFERROR(_xll.qlRateHelperRate(W8,Trigger),"")</f>
        <v>6.1041784820638628E-3</v>
      </c>
      <c r="Z8" s="116">
        <f>IF(ISERROR(_xll.qlSwapRateHelperSpread($W8)),IF(ISERROR(_xll.qlFuturesRateHelperConvexityAdjustment($W8)),"",_xll.qlFuturesRateHelperConvexityAdjustment($W8)),_xll.qlSwapRateHelperSpread($W8))</f>
        <v>2.0821517936073451E-5</v>
      </c>
      <c r="AA8" s="5">
        <f>IFERROR(_xll.qlRateHelperEarliestDate(W8,Trigger),"")</f>
        <v>42445</v>
      </c>
      <c r="AB8" s="5">
        <f>IFERROR(_xll.qlRateHelperPillarDate(W8,Trigger),"")</f>
        <v>42537</v>
      </c>
      <c r="AC8" s="84">
        <v>0.99638561013644678</v>
      </c>
    </row>
    <row r="9" spans="1:32" ht="11.25" customHeight="1" x14ac:dyDescent="0.2">
      <c r="A9" s="1" t="s">
        <v>27</v>
      </c>
      <c r="B9" s="9" t="s">
        <v>0</v>
      </c>
      <c r="C9" s="10" t="str">
        <f t="shared" si="4"/>
        <v>3M</v>
      </c>
      <c r="D9" s="138"/>
      <c r="E9" s="138"/>
      <c r="F9" s="138"/>
      <c r="G9" s="7" t="str">
        <f>PROPER(Currency)&amp;FamilyName&amp;B9</f>
        <v>UsdLibor3M</v>
      </c>
      <c r="H9" s="135" t="str">
        <f t="shared" si="0"/>
        <v>USD3MD_SYNTH3M_Quote</v>
      </c>
      <c r="I9" s="138"/>
      <c r="J9" s="3" t="str">
        <f>_xll.qlDepositRateHelper(,H9,G9,Permanent,Trigger,ObjectOverwrite)</f>
        <v>obj_0026f#0005</v>
      </c>
      <c r="K9" s="53"/>
      <c r="L9" s="12" t="str">
        <f t="shared" si="1"/>
        <v>Dp</v>
      </c>
      <c r="M9" s="107" t="str">
        <f t="shared" si="2"/>
        <v>obj_0026f#0005</v>
      </c>
      <c r="N9" s="161" t="str">
        <f>IFERROR(_xll.qlRateHelperQuoteName(M9,Trigger),"--")</f>
        <v>USD3MD_SYNTH3M_Quote</v>
      </c>
      <c r="O9" s="113">
        <f>IFERROR(_xll.qlRateHelperQuoteValue($M9,Trigger),"--")</f>
        <v>3.3300000000000001E-3</v>
      </c>
      <c r="P9" s="112" t="b">
        <v>1</v>
      </c>
      <c r="Q9" s="107">
        <v>10</v>
      </c>
      <c r="R9" s="107">
        <v>1</v>
      </c>
      <c r="S9" s="114">
        <f>IFERROR(_xll.qlRateHelperEarliestDate(M9,Trigger),"--")</f>
        <v>42261</v>
      </c>
      <c r="T9" s="114">
        <f>IFERROR(_xll.qlRateHelperPillarDate(M9,Trigger),"--")</f>
        <v>42352</v>
      </c>
      <c r="V9" s="4" t="str">
        <f t="shared" si="3"/>
        <v>FUT</v>
      </c>
      <c r="W9" s="4" t="str">
        <v>obj_00301</v>
      </c>
      <c r="X9" s="4" t="str">
        <f>IFERROR(_xll.qlRateHelperQuoteName(W9,Trigger),"")</f>
        <v>USDFUT3MM6_Quote</v>
      </c>
      <c r="Y9" s="76">
        <f>IFERROR(_xll.qlRateHelperRate(W9,Trigger),"")</f>
        <v>7.6868006956413801E-3</v>
      </c>
      <c r="Z9" s="116">
        <f>IF(ISERROR(_xll.qlSwapRateHelperSpread($W9)),IF(ISERROR(_xll.qlFuturesRateHelperConvexityAdjustment($W9)),"",_xll.qlFuturesRateHelperConvexityAdjustment($W9)),_xll.qlSwapRateHelperSpread($W9))</f>
        <v>3.8199304358712845E-5</v>
      </c>
      <c r="AA9" s="5">
        <f>IFERROR(_xll.qlRateHelperEarliestDate(W9,Trigger),"")</f>
        <v>42536</v>
      </c>
      <c r="AB9" s="5">
        <f>IFERROR(_xll.qlRateHelperPillarDate(W9,Trigger),"")</f>
        <v>42628</v>
      </c>
      <c r="AC9" s="84">
        <v>0.99445118128751209</v>
      </c>
    </row>
    <row r="10" spans="1:32" ht="11.25" customHeight="1" x14ac:dyDescent="0.2">
      <c r="B10" s="51"/>
      <c r="C10" s="51"/>
      <c r="D10" s="51"/>
      <c r="E10" s="51"/>
      <c r="F10" s="51"/>
      <c r="G10" s="51"/>
      <c r="H10" s="51"/>
      <c r="K10" s="53"/>
      <c r="L10" s="74" t="str">
        <f>A12</f>
        <v>FRA</v>
      </c>
      <c r="M10" s="145" t="str">
        <f>IF(ISBLANK(J12),"--",J12)</f>
        <v>qlFraRateHelper(,H12,B12&amp;"M",G12,PillarDate,,Permanent,Trigger,ObjectOverwrite)</v>
      </c>
      <c r="N10" s="159" t="str">
        <f>IFERROR(_xll.qlRateHelperQuoteName(M10,Trigger),"--")</f>
        <v>--</v>
      </c>
      <c r="O10" s="147" t="str">
        <f>IFERROR(_xll.qlRateHelperQuoteValue($M10,Trigger),"--")</f>
        <v>--</v>
      </c>
      <c r="P10" s="146" t="b">
        <v>0</v>
      </c>
      <c r="Q10" s="145">
        <v>20</v>
      </c>
      <c r="R10" s="145">
        <v>1</v>
      </c>
      <c r="S10" s="148" t="str">
        <f>IFERROR(_xll.qlRateHelperEarliestDate(M10,Trigger),"--")</f>
        <v>--</v>
      </c>
      <c r="T10" s="148" t="str">
        <f>IFERROR(_xll.qlRateHelperPillarDate(M10,Trigger),"--")</f>
        <v>--</v>
      </c>
      <c r="V10" s="4" t="str">
        <f t="shared" si="3"/>
        <v>FUT</v>
      </c>
      <c r="W10" s="4" t="str">
        <v>obj_00303</v>
      </c>
      <c r="X10" s="4" t="str">
        <f>IFERROR(_xll.qlRateHelperQuoteName(W10,Trigger),"")</f>
        <v>USDFUT3MU6_Quote</v>
      </c>
      <c r="Y10" s="76">
        <f>IFERROR(_xll.qlRateHelperRate(W10,Trigger),"")</f>
        <v>9.4131383949050199E-3</v>
      </c>
      <c r="Z10" s="116">
        <f>IF(ISERROR(_xll.qlSwapRateHelperSpread($W10)),IF(ISERROR(_xll.qlFuturesRateHelperConvexityAdjustment($W10)),"",_xll.qlFuturesRateHelperConvexityAdjustment($W10)),_xll.qlSwapRateHelperSpread($W10))</f>
        <v>6.1861605094879499E-5</v>
      </c>
      <c r="AA10" s="5">
        <f>IFERROR(_xll.qlRateHelperEarliestDate(W10,Trigger),"")</f>
        <v>42634</v>
      </c>
      <c r="AB10" s="5">
        <f>IFERROR(_xll.qlRateHelperPillarDate(W10,Trigger),"")</f>
        <v>42725</v>
      </c>
      <c r="AC10" s="84">
        <v>0.99194989180665882</v>
      </c>
    </row>
    <row r="11" spans="1:32" ht="11.25" customHeight="1" x14ac:dyDescent="0.2">
      <c r="A11" s="71" t="s">
        <v>9</v>
      </c>
      <c r="B11" s="71" t="s">
        <v>126</v>
      </c>
      <c r="C11" s="71" t="s">
        <v>127</v>
      </c>
      <c r="D11" s="71"/>
      <c r="E11" s="71"/>
      <c r="F11" s="71"/>
      <c r="G11" s="71" t="s">
        <v>4</v>
      </c>
      <c r="H11" s="71" t="s">
        <v>1</v>
      </c>
      <c r="I11" s="71"/>
      <c r="J11" s="71" t="s">
        <v>25</v>
      </c>
      <c r="K11" s="53"/>
      <c r="L11" s="11" t="str">
        <f t="shared" ref="L11:L21" si="5">A13</f>
        <v>FRA</v>
      </c>
      <c r="M11" s="106" t="str">
        <f t="shared" ref="M11:M21" si="6">IF(ISBLANK(J13),"--",J13)</f>
        <v>--</v>
      </c>
      <c r="N11" s="160" t="str">
        <f>IFERROR(_xll.qlRateHelperQuoteName(M11,Trigger),"--")</f>
        <v>--</v>
      </c>
      <c r="O11" s="110" t="str">
        <f>IFERROR(_xll.qlRateHelperQuoteValue($M11,Trigger),"--")</f>
        <v>--</v>
      </c>
      <c r="P11" s="109" t="b">
        <v>0</v>
      </c>
      <c r="Q11" s="106">
        <v>20</v>
      </c>
      <c r="R11" s="106">
        <v>1</v>
      </c>
      <c r="S11" s="111" t="str">
        <f>IFERROR(_xll.qlRateHelperEarliestDate(M11,Trigger),"--")</f>
        <v>--</v>
      </c>
      <c r="T11" s="111" t="str">
        <f>IFERROR(_xll.qlRateHelperPillarDate(M11,Trigger),"--")</f>
        <v>--</v>
      </c>
      <c r="V11" s="4" t="str">
        <f t="shared" si="3"/>
        <v>FUT</v>
      </c>
      <c r="W11" s="4" t="str">
        <v>obj_00302</v>
      </c>
      <c r="X11" s="4" t="str">
        <f>IFERROR(_xll.qlRateHelperQuoteName(W11,Trigger),"")</f>
        <v>USDFUT3MZ6_Quote</v>
      </c>
      <c r="Y11" s="76">
        <f>IFERROR(_xll.qlRateHelperRate(W11,Trigger),"")</f>
        <v>1.1236588718269037E-2</v>
      </c>
      <c r="Z11" s="116">
        <f>IF(ISERROR(_xll.qlSwapRateHelperSpread($W11)),IF(ISERROR(_xll.qlFuturesRateHelperConvexityAdjustment($W11)),"",_xll.qlFuturesRateHelperConvexityAdjustment($W11)),_xll.qlSwapRateHelperSpread($W11))</f>
        <v>8.8411281730881874E-5</v>
      </c>
      <c r="AA11" s="5">
        <f>IFERROR(_xll.qlRateHelperEarliestDate(W11,Trigger),"")</f>
        <v>42725</v>
      </c>
      <c r="AB11" s="5">
        <f>IFERROR(_xll.qlRateHelperPillarDate(W11,Trigger),"")</f>
        <v>42815</v>
      </c>
      <c r="AC11" s="84">
        <v>0.98917116442001896</v>
      </c>
    </row>
    <row r="12" spans="1:32" ht="11.25" customHeight="1" x14ac:dyDescent="0.2">
      <c r="A12" s="58" t="s">
        <v>128</v>
      </c>
      <c r="B12" s="127">
        <v>1</v>
      </c>
      <c r="C12" s="61" t="str">
        <f t="shared" ref="C12:C23" si="7">"x"&amp;B12+SUBSTITUTE(Tenor,"M","")&amp;"F"</f>
        <v>x4F</v>
      </c>
      <c r="D12" s="137"/>
      <c r="E12" s="137"/>
      <c r="F12" s="137"/>
      <c r="G12" s="60" t="str">
        <f t="shared" ref="G12:G23" si="8">PROPER(Currency)&amp;FamilyName&amp;Tenor</f>
        <v>UsdLibor3M</v>
      </c>
      <c r="H12" s="130" t="str">
        <f t="shared" ref="H12:H23" si="9">Currency&amp;B12&amp;C12&amp;QuoteSuffix</f>
        <v>USD1x4F_Quote</v>
      </c>
      <c r="I12" s="137"/>
      <c r="J12" s="63" t="s">
        <v>153</v>
      </c>
      <c r="K12" s="53" t="s">
        <v>47</v>
      </c>
      <c r="L12" s="11" t="str">
        <f t="shared" si="5"/>
        <v>FRA</v>
      </c>
      <c r="M12" s="106" t="str">
        <f t="shared" si="6"/>
        <v>--</v>
      </c>
      <c r="N12" s="160" t="str">
        <f>IFERROR(_xll.qlRateHelperQuoteName(M12,Trigger),"--")</f>
        <v>--</v>
      </c>
      <c r="O12" s="110" t="str">
        <f>IFERROR(_xll.qlRateHelperQuoteValue($M12,Trigger),"--")</f>
        <v>--</v>
      </c>
      <c r="P12" s="109" t="b">
        <v>0</v>
      </c>
      <c r="Q12" s="106">
        <v>20</v>
      </c>
      <c r="R12" s="106">
        <v>1</v>
      </c>
      <c r="S12" s="111" t="str">
        <f>IFERROR(_xll.qlRateHelperEarliestDate(M12,Trigger),"--")</f>
        <v>--</v>
      </c>
      <c r="T12" s="111" t="str">
        <f>IFERROR(_xll.qlRateHelperPillarDate(M12,Trigger),"--")</f>
        <v>--</v>
      </c>
      <c r="V12" s="4" t="str">
        <f t="shared" si="3"/>
        <v>FUT</v>
      </c>
      <c r="W12" s="4" t="str">
        <v>obj_00305</v>
      </c>
      <c r="X12" s="4" t="str">
        <f>IFERROR(_xll.qlRateHelperQuoteName(W12,Trigger),"")</f>
        <v>USDFUT3MH7_Quote</v>
      </c>
      <c r="Y12" s="76">
        <f>IFERROR(_xll.qlRateHelperRate(W12,Trigger),"")</f>
        <v>1.2707325994281963E-2</v>
      </c>
      <c r="Z12" s="116">
        <f>IF(ISERROR(_xll.qlSwapRateHelperSpread($W12)),IF(ISERROR(_xll.qlFuturesRateHelperConvexityAdjustment($W12)),"",_xll.qlFuturesRateHelperConvexityAdjustment($W12)),_xll.qlSwapRateHelperSpread($W12))</f>
        <v>1.1767400571801256E-4</v>
      </c>
      <c r="AA12" s="5">
        <f>IFERROR(_xll.qlRateHelperEarliestDate(W12,Trigger),"")</f>
        <v>42809</v>
      </c>
      <c r="AB12" s="5">
        <f>IFERROR(_xll.qlRateHelperPillarDate(W12,Trigger),"")</f>
        <v>42901</v>
      </c>
      <c r="AC12" s="84">
        <v>0.98616640642506304</v>
      </c>
    </row>
    <row r="13" spans="1:32" ht="11.25" customHeight="1" x14ac:dyDescent="0.2">
      <c r="A13" s="64" t="s">
        <v>128</v>
      </c>
      <c r="B13" s="128">
        <v>2</v>
      </c>
      <c r="C13" s="68" t="str">
        <f t="shared" si="7"/>
        <v>x5F</v>
      </c>
      <c r="D13" s="137"/>
      <c r="E13" s="137"/>
      <c r="F13" s="137"/>
      <c r="G13" s="66" t="str">
        <f t="shared" si="8"/>
        <v>UsdLibor3M</v>
      </c>
      <c r="H13" s="131" t="str">
        <f t="shared" si="9"/>
        <v>USD2x5F_Quote</v>
      </c>
      <c r="I13" s="137"/>
      <c r="J13" s="70"/>
      <c r="K13" s="53"/>
      <c r="L13" s="11" t="str">
        <f t="shared" si="5"/>
        <v>FRA</v>
      </c>
      <c r="M13" s="106" t="str">
        <f t="shared" si="6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20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FUT</v>
      </c>
      <c r="W13" s="4" t="str">
        <v>obj_00306</v>
      </c>
      <c r="X13" s="4" t="str">
        <f>IFERROR(_xll.qlRateHelperQuoteName(W13,Trigger),"")</f>
        <v>USDFUT3MM7_Quote</v>
      </c>
      <c r="Y13" s="76">
        <f>IFERROR(_xll.qlRateHelperRate(W13,Trigger),"")</f>
        <v>1.4169172965107594E-2</v>
      </c>
      <c r="Z13" s="116">
        <f>IF(ISERROR(_xll.qlSwapRateHelperSpread($W13)),IF(ISERROR(_xll.qlFuturesRateHelperConvexityAdjustment($W13)),"",_xll.qlFuturesRateHelperConvexityAdjustment($W13)),_xll.qlSwapRateHelperSpread($W13))</f>
        <v>1.5582703489243813E-4</v>
      </c>
      <c r="AA13" s="5">
        <f>IFERROR(_xll.qlRateHelperEarliestDate(W13,Trigger),"")</f>
        <v>42907</v>
      </c>
      <c r="AB13" s="5">
        <f>IFERROR(_xll.qlRateHelperPillarDate(W13,Trigger),"")</f>
        <v>42999</v>
      </c>
      <c r="AC13" s="84">
        <v>0.98238806915395271</v>
      </c>
    </row>
    <row r="14" spans="1:32" ht="11.25" customHeight="1" x14ac:dyDescent="0.2">
      <c r="A14" s="64" t="s">
        <v>128</v>
      </c>
      <c r="B14" s="128">
        <v>3</v>
      </c>
      <c r="C14" s="68" t="str">
        <f t="shared" si="7"/>
        <v>x6F</v>
      </c>
      <c r="D14" s="137"/>
      <c r="E14" s="137"/>
      <c r="F14" s="137"/>
      <c r="G14" s="66" t="str">
        <f t="shared" si="8"/>
        <v>UsdLibor3M</v>
      </c>
      <c r="H14" s="131" t="str">
        <f t="shared" si="9"/>
        <v>USD3x6F_Quote</v>
      </c>
      <c r="I14" s="137"/>
      <c r="J14" s="70"/>
      <c r="K14" s="53"/>
      <c r="L14" s="11" t="str">
        <f t="shared" si="5"/>
        <v>FRA</v>
      </c>
      <c r="M14" s="106" t="str">
        <f t="shared" si="6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20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Sw</v>
      </c>
      <c r="W14" s="4" t="str">
        <v>obj_002a9</v>
      </c>
      <c r="X14" s="4" t="str">
        <f>IFERROR(_xll.qlRateHelperQuoteName(W14,Trigger),"")</f>
        <v>USDAM3L3Y_Quote</v>
      </c>
      <c r="Y14" s="76">
        <f>IFERROR(_xll.qlRateHelperRate(W14,Trigger),"")</f>
        <v>1.1379999999999999E-2</v>
      </c>
      <c r="Z14" s="116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42261</v>
      </c>
      <c r="AB14" s="5">
        <f>IFERROR(_xll.qlRateHelperPillarDate(W14,Trigger),"")</f>
        <v>43357</v>
      </c>
      <c r="AC14" s="84">
        <v>0.9660123899125459</v>
      </c>
    </row>
    <row r="15" spans="1:32" ht="11.25" customHeight="1" x14ac:dyDescent="0.2">
      <c r="A15" s="64" t="s">
        <v>128</v>
      </c>
      <c r="B15" s="128">
        <v>4</v>
      </c>
      <c r="C15" s="68" t="str">
        <f t="shared" si="7"/>
        <v>x7F</v>
      </c>
      <c r="D15" s="137"/>
      <c r="E15" s="137"/>
      <c r="F15" s="137"/>
      <c r="G15" s="66" t="str">
        <f t="shared" si="8"/>
        <v>UsdLibor3M</v>
      </c>
      <c r="H15" s="131" t="str">
        <f t="shared" si="9"/>
        <v>USD4x7F_Quote</v>
      </c>
      <c r="I15" s="137"/>
      <c r="J15" s="70"/>
      <c r="K15" s="53"/>
      <c r="L15" s="11" t="str">
        <f t="shared" si="5"/>
        <v>FRA</v>
      </c>
      <c r="M15" s="106" t="str">
        <f t="shared" si="6"/>
        <v>--</v>
      </c>
      <c r="N15" s="160" t="str">
        <f>IFERROR(_xll.qlRateHelperQuoteName(M15,Trigger),"--")</f>
        <v>--</v>
      </c>
      <c r="O15" s="110" t="str">
        <f>IFERROR(_xll.qlRateHelperQuoteValue($M15,Trigger),"--")</f>
        <v>--</v>
      </c>
      <c r="P15" s="109" t="b">
        <v>0</v>
      </c>
      <c r="Q15" s="106">
        <v>20</v>
      </c>
      <c r="R15" s="106">
        <v>1</v>
      </c>
      <c r="S15" s="111" t="str">
        <f>IFERROR(_xll.qlRateHelperEarliestDate(M15,Trigger),"--")</f>
        <v>--</v>
      </c>
      <c r="T15" s="111" t="str">
        <f>IFERROR(_xll.qlRateHelperPillarDate(M15,Trigger),"--")</f>
        <v>--</v>
      </c>
      <c r="V15" s="4" t="str">
        <f t="shared" si="3"/>
        <v>Sw</v>
      </c>
      <c r="W15" s="4" t="str">
        <v>obj_00294</v>
      </c>
      <c r="X15" s="4" t="str">
        <f>IFERROR(_xll.qlRateHelperQuoteName(W15,Trigger),"")</f>
        <v>USDAM3L4Y_Quote</v>
      </c>
      <c r="Y15" s="76">
        <f>IFERROR(_xll.qlRateHelperRate(W15,Trigger),"")</f>
        <v>1.38E-2</v>
      </c>
      <c r="Z15" s="116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42261</v>
      </c>
      <c r="AB15" s="5">
        <f>IFERROR(_xll.qlRateHelperPillarDate(W15,Trigger),"")</f>
        <v>43724</v>
      </c>
      <c r="AC15" s="84">
        <v>0.94549630371511317</v>
      </c>
    </row>
    <row r="16" spans="1:32" ht="11.25" customHeight="1" x14ac:dyDescent="0.2">
      <c r="A16" s="64" t="s">
        <v>128</v>
      </c>
      <c r="B16" s="128">
        <v>5</v>
      </c>
      <c r="C16" s="68" t="str">
        <f t="shared" si="7"/>
        <v>x8F</v>
      </c>
      <c r="D16" s="137"/>
      <c r="E16" s="137"/>
      <c r="F16" s="137"/>
      <c r="G16" s="66" t="str">
        <f t="shared" si="8"/>
        <v>UsdLibor3M</v>
      </c>
      <c r="H16" s="131" t="str">
        <f t="shared" si="9"/>
        <v>USD5x8F_Quote</v>
      </c>
      <c r="I16" s="137"/>
      <c r="J16" s="70"/>
      <c r="K16" s="53"/>
      <c r="L16" s="11" t="str">
        <f t="shared" si="5"/>
        <v>FRA</v>
      </c>
      <c r="M16" s="106" t="str">
        <f t="shared" si="6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20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Sw</v>
      </c>
      <c r="W16" s="4" t="str">
        <v>obj_0028b</v>
      </c>
      <c r="X16" s="4" t="str">
        <f>IFERROR(_xll.qlRateHelperQuoteName(W16,Trigger),"")</f>
        <v>USDAM3L5Y_Quote</v>
      </c>
      <c r="Y16" s="76">
        <f>IFERROR(_xll.qlRateHelperRate(W16,Trigger),"")</f>
        <v>1.585E-2</v>
      </c>
      <c r="Z16" s="116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42261</v>
      </c>
      <c r="AB16" s="5">
        <f>IFERROR(_xll.qlRateHelperPillarDate(W16,Trigger),"")</f>
        <v>44088</v>
      </c>
      <c r="AC16" s="84">
        <v>0.92263903443476369</v>
      </c>
    </row>
    <row r="17" spans="1:29" ht="11.25" customHeight="1" x14ac:dyDescent="0.2">
      <c r="A17" s="64" t="s">
        <v>128</v>
      </c>
      <c r="B17" s="128">
        <v>6</v>
      </c>
      <c r="C17" s="68" t="str">
        <f t="shared" si="7"/>
        <v>x9F</v>
      </c>
      <c r="D17" s="137"/>
      <c r="E17" s="137"/>
      <c r="F17" s="137"/>
      <c r="G17" s="66" t="str">
        <f t="shared" si="8"/>
        <v>UsdLibor3M</v>
      </c>
      <c r="H17" s="131" t="str">
        <f t="shared" si="9"/>
        <v>USD6x9F_Quote</v>
      </c>
      <c r="I17" s="137"/>
      <c r="J17" s="70"/>
      <c r="K17" s="53"/>
      <c r="L17" s="11" t="str">
        <f t="shared" si="5"/>
        <v>FRA</v>
      </c>
      <c r="M17" s="106" t="str">
        <f t="shared" si="6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20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Sw</v>
      </c>
      <c r="W17" s="4" t="str">
        <v>obj_0028d</v>
      </c>
      <c r="X17" s="4" t="str">
        <f>IFERROR(_xll.qlRateHelperQuoteName(W17,Trigger),"")</f>
        <v>USDAM3L6Y_Quote</v>
      </c>
      <c r="Y17" s="76">
        <f>IFERROR(_xll.qlRateHelperRate(W17,Trigger),"")</f>
        <v>1.763E-2</v>
      </c>
      <c r="Z17" s="116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42261</v>
      </c>
      <c r="AB17" s="5">
        <f>IFERROR(_xll.qlRateHelperPillarDate(W17,Trigger),"")</f>
        <v>44453</v>
      </c>
      <c r="AC17" s="84">
        <v>0.89793857323488036</v>
      </c>
    </row>
    <row r="18" spans="1:29" ht="11.25" customHeight="1" x14ac:dyDescent="0.2">
      <c r="A18" s="64" t="s">
        <v>128</v>
      </c>
      <c r="B18" s="128">
        <v>7</v>
      </c>
      <c r="C18" s="68" t="str">
        <f t="shared" si="7"/>
        <v>x10F</v>
      </c>
      <c r="D18" s="137"/>
      <c r="E18" s="137"/>
      <c r="F18" s="137"/>
      <c r="G18" s="66" t="str">
        <f t="shared" si="8"/>
        <v>UsdLibor3M</v>
      </c>
      <c r="H18" s="131" t="str">
        <f t="shared" si="9"/>
        <v>USD7x10F_Quote</v>
      </c>
      <c r="I18" s="137"/>
      <c r="J18" s="70"/>
      <c r="K18" s="53"/>
      <c r="L18" s="11" t="str">
        <f t="shared" si="5"/>
        <v>FRA</v>
      </c>
      <c r="M18" s="106" t="str">
        <f t="shared" si="6"/>
        <v>--</v>
      </c>
      <c r="N18" s="160" t="str">
        <f>IFERROR(_xll.qlRateHelperQuoteName(M18,Trigger),"--")</f>
        <v>--</v>
      </c>
      <c r="O18" s="110" t="str">
        <f>IFERROR(_xll.qlRateHelperQuoteValue($M18,Trigger),"--")</f>
        <v>--</v>
      </c>
      <c r="P18" s="109" t="b">
        <v>0</v>
      </c>
      <c r="Q18" s="106">
        <v>20</v>
      </c>
      <c r="R18" s="106">
        <v>1</v>
      </c>
      <c r="S18" s="111" t="str">
        <f>IFERROR(_xll.qlRateHelperEarliestDate(M18,Trigger),"--")</f>
        <v>--</v>
      </c>
      <c r="T18" s="111" t="str">
        <f>IFERROR(_xll.qlRateHelperPillarDate(M18,Trigger),"--")</f>
        <v>--</v>
      </c>
      <c r="V18" s="4" t="str">
        <f t="shared" si="3"/>
        <v>Sw</v>
      </c>
      <c r="W18" s="4" t="str">
        <v>obj_002c3</v>
      </c>
      <c r="X18" s="4" t="str">
        <f>IFERROR(_xll.qlRateHelperQuoteName(W18,Trigger),"")</f>
        <v>USDAM3L7Y_Quote</v>
      </c>
      <c r="Y18" s="76">
        <f>IFERROR(_xll.qlRateHelperRate(W18,Trigger),"")</f>
        <v>1.9119999999999998E-2</v>
      </c>
      <c r="Z18" s="116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42261</v>
      </c>
      <c r="AB18" s="5">
        <f>IFERROR(_xll.qlRateHelperPillarDate(W18,Trigger),"")</f>
        <v>44818</v>
      </c>
      <c r="AC18" s="84">
        <v>0.87245255080466932</v>
      </c>
    </row>
    <row r="19" spans="1:29" ht="11.25" customHeight="1" x14ac:dyDescent="0.2">
      <c r="A19" s="64" t="s">
        <v>128</v>
      </c>
      <c r="B19" s="128">
        <v>8</v>
      </c>
      <c r="C19" s="68" t="str">
        <f t="shared" si="7"/>
        <v>x11F</v>
      </c>
      <c r="D19" s="137"/>
      <c r="E19" s="137"/>
      <c r="F19" s="137"/>
      <c r="G19" s="66" t="str">
        <f t="shared" si="8"/>
        <v>UsdLibor3M</v>
      </c>
      <c r="H19" s="131" t="str">
        <f t="shared" si="9"/>
        <v>USD8x11F_Quote</v>
      </c>
      <c r="I19" s="137"/>
      <c r="J19" s="70"/>
      <c r="K19" s="53"/>
      <c r="L19" s="11" t="str">
        <f t="shared" si="5"/>
        <v>FRA</v>
      </c>
      <c r="M19" s="106" t="str">
        <f t="shared" si="6"/>
        <v>--</v>
      </c>
      <c r="N19" s="160" t="str">
        <f>IFERROR(_xll.qlRateHelperQuoteName(M19,Trigger),"--")</f>
        <v>--</v>
      </c>
      <c r="O19" s="110" t="str">
        <f>IFERROR(_xll.qlRateHelperQuoteValue($M19,Trigger),"--")</f>
        <v>--</v>
      </c>
      <c r="P19" s="109" t="b">
        <v>0</v>
      </c>
      <c r="Q19" s="106">
        <v>20</v>
      </c>
      <c r="R19" s="106">
        <v>1</v>
      </c>
      <c r="S19" s="111" t="str">
        <f>IFERROR(_xll.qlRateHelperEarliestDate(M19,Trigger),"--")</f>
        <v>--</v>
      </c>
      <c r="T19" s="111" t="str">
        <f>IFERROR(_xll.qlRateHelperPillarDate(M19,Trigger),"--")</f>
        <v>--</v>
      </c>
      <c r="V19" s="4" t="str">
        <f t="shared" si="3"/>
        <v>Sw</v>
      </c>
      <c r="W19" s="4" t="str">
        <v>obj_00288</v>
      </c>
      <c r="X19" s="4" t="str">
        <f>IFERROR(_xll.qlRateHelperQuoteName(W19,Trigger),"")</f>
        <v>USDAM3L8Y_Quote</v>
      </c>
      <c r="Y19" s="76">
        <f>IFERROR(_xll.qlRateHelperRate(W19,Trigger),"")</f>
        <v>2.035E-2</v>
      </c>
      <c r="Z19" s="116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42261</v>
      </c>
      <c r="AB19" s="5">
        <f>IFERROR(_xll.qlRateHelperPillarDate(W19,Trigger),"")</f>
        <v>45183</v>
      </c>
      <c r="AC19" s="84">
        <v>0.84682055822386559</v>
      </c>
    </row>
    <row r="20" spans="1:29" ht="11.25" customHeight="1" x14ac:dyDescent="0.2">
      <c r="A20" s="64" t="s">
        <v>128</v>
      </c>
      <c r="B20" s="128">
        <v>9</v>
      </c>
      <c r="C20" s="68" t="str">
        <f t="shared" si="7"/>
        <v>x12F</v>
      </c>
      <c r="D20" s="137"/>
      <c r="E20" s="137"/>
      <c r="F20" s="137"/>
      <c r="G20" s="66" t="str">
        <f t="shared" si="8"/>
        <v>UsdLibor3M</v>
      </c>
      <c r="H20" s="131" t="str">
        <f t="shared" si="9"/>
        <v>USD9x12F_Quote</v>
      </c>
      <c r="I20" s="137"/>
      <c r="J20" s="70"/>
      <c r="K20" s="53"/>
      <c r="L20" s="11" t="str">
        <f t="shared" si="5"/>
        <v>FRA</v>
      </c>
      <c r="M20" s="106" t="str">
        <f t="shared" si="6"/>
        <v>--</v>
      </c>
      <c r="N20" s="160" t="str">
        <f>IFERROR(_xll.qlRateHelperQuoteName(M20,Trigger),"--")</f>
        <v>--</v>
      </c>
      <c r="O20" s="110" t="str">
        <f>IFERROR(_xll.qlRateHelperQuoteValue($M20,Trigger),"--")</f>
        <v>--</v>
      </c>
      <c r="P20" s="109" t="b">
        <v>0</v>
      </c>
      <c r="Q20" s="106">
        <v>20</v>
      </c>
      <c r="R20" s="106">
        <v>1</v>
      </c>
      <c r="S20" s="111" t="str">
        <f>IFERROR(_xll.qlRateHelperEarliestDate(M20,Trigger),"--")</f>
        <v>--</v>
      </c>
      <c r="T20" s="111" t="str">
        <f>IFERROR(_xll.qlRateHelperPillarDate(M20,Trigger),"--")</f>
        <v>--</v>
      </c>
      <c r="V20" s="4" t="str">
        <f t="shared" si="3"/>
        <v>Sw</v>
      </c>
      <c r="W20" s="4" t="str">
        <v>obj_002be</v>
      </c>
      <c r="X20" s="4" t="str">
        <f>IFERROR(_xll.qlRateHelperQuoteName(W20,Trigger),"")</f>
        <v>USDAM3L9Y_Quote</v>
      </c>
      <c r="Y20" s="76">
        <f>IFERROR(_xll.qlRateHelperRate(W20,Trigger),"")</f>
        <v>2.1349999999999997E-2</v>
      </c>
      <c r="Z20" s="116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42261</v>
      </c>
      <c r="AB20" s="5">
        <f>IFERROR(_xll.qlRateHelperPillarDate(W20,Trigger),"")</f>
        <v>45551</v>
      </c>
      <c r="AC20" s="84">
        <v>0.8214166498409895</v>
      </c>
    </row>
    <row r="21" spans="1:29" ht="11.25" customHeight="1" x14ac:dyDescent="0.2">
      <c r="A21" s="64" t="s">
        <v>128</v>
      </c>
      <c r="B21" s="128">
        <v>10</v>
      </c>
      <c r="C21" s="68" t="str">
        <f t="shared" si="7"/>
        <v>x13F</v>
      </c>
      <c r="D21" s="137"/>
      <c r="E21" s="137"/>
      <c r="F21" s="137"/>
      <c r="G21" s="66" t="str">
        <f t="shared" si="8"/>
        <v>UsdLibor3M</v>
      </c>
      <c r="H21" s="131" t="str">
        <f t="shared" si="9"/>
        <v>USD10x13F_Quote</v>
      </c>
      <c r="I21" s="137"/>
      <c r="J21" s="70"/>
      <c r="K21" s="53"/>
      <c r="L21" s="12" t="str">
        <f t="shared" si="5"/>
        <v>FRA</v>
      </c>
      <c r="M21" s="107" t="str">
        <f t="shared" si="6"/>
        <v>--</v>
      </c>
      <c r="N21" s="161" t="str">
        <f>IFERROR(_xll.qlRateHelperQuoteName(M21,Trigger),"--")</f>
        <v>--</v>
      </c>
      <c r="O21" s="113" t="str">
        <f>IFERROR(_xll.qlRateHelperQuoteValue($M21,Trigger),"--")</f>
        <v>--</v>
      </c>
      <c r="P21" s="112" t="b">
        <v>0</v>
      </c>
      <c r="Q21" s="107">
        <v>20</v>
      </c>
      <c r="R21" s="107">
        <v>1</v>
      </c>
      <c r="S21" s="114" t="str">
        <f>IFERROR(_xll.qlRateHelperEarliestDate(M21,Trigger),"--")</f>
        <v>--</v>
      </c>
      <c r="T21" s="114" t="str">
        <f>IFERROR(_xll.qlRateHelperPillarDate(M21,Trigger),"--")</f>
        <v>--</v>
      </c>
      <c r="V21" s="4" t="str">
        <f t="shared" si="3"/>
        <v>Sw</v>
      </c>
      <c r="W21" s="4" t="str">
        <v>obj_00292</v>
      </c>
      <c r="X21" s="4" t="str">
        <f>IFERROR(_xll.qlRateHelperQuoteName(W21,Trigger),"")</f>
        <v>USDAM3L10Y_Quote</v>
      </c>
      <c r="Y21" s="76">
        <f>IFERROR(_xll.qlRateHelperRate(W21,Trigger),"")</f>
        <v>2.2179999999999998E-2</v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42261</v>
      </c>
      <c r="AB21" s="5">
        <f>IFERROR(_xll.qlRateHelperPillarDate(W21,Trigger),"")</f>
        <v>45915</v>
      </c>
      <c r="AC21" s="84">
        <v>0.79665928670499109</v>
      </c>
    </row>
    <row r="22" spans="1:29" ht="11.25" customHeight="1" x14ac:dyDescent="0.2">
      <c r="A22" s="64" t="s">
        <v>128</v>
      </c>
      <c r="B22" s="128">
        <v>11</v>
      </c>
      <c r="C22" s="68" t="str">
        <f t="shared" si="7"/>
        <v>x14F</v>
      </c>
      <c r="D22" s="137"/>
      <c r="E22" s="137"/>
      <c r="F22" s="137"/>
      <c r="G22" s="66" t="str">
        <f t="shared" si="8"/>
        <v>UsdLibor3M</v>
      </c>
      <c r="H22" s="131" t="str">
        <f t="shared" si="9"/>
        <v>USD11x14F_Quote</v>
      </c>
      <c r="I22" s="137"/>
      <c r="J22" s="70"/>
      <c r="K22" s="53"/>
      <c r="L22" s="74" t="str">
        <f>A26</f>
        <v>FUT</v>
      </c>
      <c r="M22" s="145" t="str">
        <f>IF(ISBLANK(J26),"--",J26)</f>
        <v>obj_002fa#0009</v>
      </c>
      <c r="N22" s="159" t="str">
        <f>IFERROR(_xll.qlRateHelperQuoteName(M22,Trigger),"--")</f>
        <v>USDFUT3MU5_Quote</v>
      </c>
      <c r="O22" s="164">
        <f>IFERROR(_xll.qlRateHelperQuoteValue($M22,Trigger),"--")</f>
        <v>99.661249999999995</v>
      </c>
      <c r="P22" s="146" t="b">
        <v>1</v>
      </c>
      <c r="Q22" s="145">
        <v>60</v>
      </c>
      <c r="R22" s="145">
        <v>7</v>
      </c>
      <c r="S22" s="148">
        <f>IFERROR(_xll.qlRateHelperEarliestDate(M22,Trigger),"--")</f>
        <v>42263</v>
      </c>
      <c r="T22" s="148">
        <f>IFERROR(_xll.qlRateHelperPillarDate(M22,Trigger),"--")</f>
        <v>42354</v>
      </c>
      <c r="V22" s="4" t="str">
        <f t="shared" si="3"/>
        <v>Sw</v>
      </c>
      <c r="W22" s="4" t="str">
        <v>obj_002bf</v>
      </c>
      <c r="X22" s="4" t="str">
        <f>IFERROR(_xll.qlRateHelperQuoteName(W22,Trigger),"")</f>
        <v>USDAM3L12Y_Quote</v>
      </c>
      <c r="Y22" s="76">
        <f>IFERROR(_xll.qlRateHelperRate(W22,Trigger),"")</f>
        <v>2.349E-2</v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42261</v>
      </c>
      <c r="AB22" s="5">
        <f>IFERROR(_xll.qlRateHelperPillarDate(W22,Trigger),"")</f>
        <v>46644</v>
      </c>
      <c r="AC22" s="84">
        <v>0.74858838269758565</v>
      </c>
    </row>
    <row r="23" spans="1:29" ht="11.25" customHeight="1" x14ac:dyDescent="0.2">
      <c r="A23" s="1" t="s">
        <v>128</v>
      </c>
      <c r="B23" s="129">
        <v>12</v>
      </c>
      <c r="C23" s="10" t="str">
        <f t="shared" si="7"/>
        <v>x15F</v>
      </c>
      <c r="D23" s="138"/>
      <c r="E23" s="138"/>
      <c r="F23" s="138"/>
      <c r="G23" s="7" t="str">
        <f t="shared" si="8"/>
        <v>UsdLibor3M</v>
      </c>
      <c r="H23" s="132" t="str">
        <f t="shared" si="9"/>
        <v>USD12x15F_Quote</v>
      </c>
      <c r="I23" s="138"/>
      <c r="J23" s="3"/>
      <c r="K23" s="53"/>
      <c r="L23" s="11" t="str">
        <f t="shared" ref="L23:L43" si="10">A27</f>
        <v>FUT</v>
      </c>
      <c r="M23" s="106" t="str">
        <f t="shared" ref="M23:M43" si="11">IF(ISBLANK(J27),"--",J27)</f>
        <v>obj_002fd#0006</v>
      </c>
      <c r="N23" s="160" t="str">
        <f>IFERROR(_xll.qlRateHelperQuoteName(M23,Trigger),"--")</f>
        <v>USDFUT3MV5_Quote</v>
      </c>
      <c r="O23" s="165">
        <f>IFERROR(_xll.qlRateHelperQuoteValue($M23,Trigger),"--")</f>
        <v>99.602499999999992</v>
      </c>
      <c r="P23" s="109" t="b">
        <v>1</v>
      </c>
      <c r="Q23" s="106">
        <v>60</v>
      </c>
      <c r="R23" s="106">
        <v>1</v>
      </c>
      <c r="S23" s="111">
        <f>IFERROR(_xll.qlRateHelperEarliestDate(M23,Trigger),"--")</f>
        <v>42298</v>
      </c>
      <c r="T23" s="111">
        <f>IFERROR(_xll.qlRateHelperPillarDate(M23,Trigger),"--")</f>
        <v>42390</v>
      </c>
      <c r="V23" s="4" t="str">
        <f t="shared" si="3"/>
        <v>Sw</v>
      </c>
      <c r="W23" s="4" t="str">
        <v>obj_002a7</v>
      </c>
      <c r="X23" s="4" t="str">
        <f>IFERROR(_xll.qlRateHelperQuoteName(W23,Trigger),"")</f>
        <v>USDAM3L15Y_Quote</v>
      </c>
      <c r="Y23" s="76">
        <f>IFERROR(_xll.qlRateHelperRate(W23,Trigger),"")</f>
        <v>2.4760000000000001E-2</v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42261</v>
      </c>
      <c r="AB23" s="5">
        <f>IFERROR(_xll.qlRateHelperPillarDate(W23,Trigger),"")</f>
        <v>47742</v>
      </c>
      <c r="AC23" s="84">
        <v>0.68202160650270305</v>
      </c>
    </row>
    <row r="24" spans="1:29" ht="11.25" customHeight="1" x14ac:dyDescent="0.2">
      <c r="B24" s="51"/>
      <c r="C24" s="51"/>
      <c r="D24" s="51"/>
      <c r="E24" s="51"/>
      <c r="F24" s="51"/>
      <c r="G24" s="51"/>
      <c r="H24" s="51" t="s">
        <v>130</v>
      </c>
      <c r="K24" s="53"/>
      <c r="L24" s="11" t="str">
        <f t="shared" si="10"/>
        <v>FUT</v>
      </c>
      <c r="M24" s="106" t="str">
        <f t="shared" si="11"/>
        <v>obj_002fc#0006</v>
      </c>
      <c r="N24" s="160" t="str">
        <f>IFERROR(_xll.qlRateHelperQuoteName(M24,Trigger),"--")</f>
        <v>USDFUT3MX5_Quote</v>
      </c>
      <c r="O24" s="165">
        <f>IFERROR(_xll.qlRateHelperQuoteValue($M24,Trigger),"--")</f>
        <v>99.564999999999998</v>
      </c>
      <c r="P24" s="109" t="b">
        <v>1</v>
      </c>
      <c r="Q24" s="106">
        <v>60</v>
      </c>
      <c r="R24" s="106">
        <v>1</v>
      </c>
      <c r="S24" s="111">
        <f>IFERROR(_xll.qlRateHelperEarliestDate(M24,Trigger),"--")</f>
        <v>42326</v>
      </c>
      <c r="T24" s="111">
        <f>IFERROR(_xll.qlRateHelperPillarDate(M24,Trigger),"--")</f>
        <v>42418</v>
      </c>
      <c r="V24" s="4" t="str">
        <f t="shared" si="3"/>
        <v>Sw</v>
      </c>
      <c r="W24" s="4" t="str">
        <v>obj_0029b</v>
      </c>
      <c r="X24" s="4" t="str">
        <f>IFERROR(_xll.qlRateHelperQuoteName(W24,Trigger),"")</f>
        <v>USDAM3L20Y_Quote</v>
      </c>
      <c r="Y24" s="76">
        <f>IFERROR(_xll.qlRateHelperRate(W24,Trigger),"")</f>
        <v>2.5920000000000002E-2</v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42261</v>
      </c>
      <c r="AB24" s="5">
        <f>IFERROR(_xll.qlRateHelperPillarDate(W24,Trigger),"")</f>
        <v>49566</v>
      </c>
      <c r="AC24" s="84">
        <v>0.58557973574504607</v>
      </c>
    </row>
    <row r="25" spans="1:29" ht="11.25" customHeight="1" x14ac:dyDescent="0.2">
      <c r="A25" s="71" t="s">
        <v>9</v>
      </c>
      <c r="B25" s="71" t="s">
        <v>132</v>
      </c>
      <c r="C25" s="71" t="s">
        <v>34</v>
      </c>
      <c r="D25" s="71"/>
      <c r="E25" s="71"/>
      <c r="F25" s="71"/>
      <c r="G25" s="71" t="s">
        <v>4</v>
      </c>
      <c r="H25" s="71" t="s">
        <v>1</v>
      </c>
      <c r="I25" s="71" t="s">
        <v>131</v>
      </c>
      <c r="J25" s="71" t="s">
        <v>25</v>
      </c>
      <c r="K25" s="53"/>
      <c r="L25" s="11" t="str">
        <f t="shared" si="10"/>
        <v>FUT</v>
      </c>
      <c r="M25" s="106" t="str">
        <f t="shared" si="11"/>
        <v>obj_002fb#0006</v>
      </c>
      <c r="N25" s="160" t="str">
        <f>IFERROR(_xll.qlRateHelperQuoteName(M25,Trigger),"--")</f>
        <v>USDFUT3MZ5_Quote</v>
      </c>
      <c r="O25" s="165">
        <f>IFERROR(_xll.qlRateHelperQuoteValue($M25,Trigger),"--")</f>
        <v>99.527500000000003</v>
      </c>
      <c r="P25" s="109" t="b">
        <v>1</v>
      </c>
      <c r="Q25" s="106">
        <v>60</v>
      </c>
      <c r="R25" s="106">
        <v>21</v>
      </c>
      <c r="S25" s="111">
        <f>IFERROR(_xll.qlRateHelperEarliestDate(M25,Trigger),"--")</f>
        <v>42354</v>
      </c>
      <c r="T25" s="111">
        <f>IFERROR(_xll.qlRateHelperPillarDate(M25,Trigger),"--")</f>
        <v>42445</v>
      </c>
      <c r="V25" s="4" t="str">
        <f t="shared" si="3"/>
        <v>Sw</v>
      </c>
      <c r="W25" s="4" t="str">
        <v>obj_002cb</v>
      </c>
      <c r="X25" s="4" t="str">
        <f>IFERROR(_xll.qlRateHelperQuoteName(W25,Trigger),"")</f>
        <v>USDAM3L25Y_Quote</v>
      </c>
      <c r="Y25" s="76">
        <f>IFERROR(_xll.qlRateHelperRate(W25,Trigger),"")</f>
        <v>2.6469999999999997E-2</v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42261</v>
      </c>
      <c r="AB25" s="5">
        <f>IFERROR(_xll.qlRateHelperPillarDate(W25,Trigger),"")</f>
        <v>51393</v>
      </c>
      <c r="AC25" s="84">
        <v>0.50494800114205862</v>
      </c>
    </row>
    <row r="26" spans="1:29" ht="11.25" customHeight="1" x14ac:dyDescent="0.2">
      <c r="A26" s="58" t="s">
        <v>129</v>
      </c>
      <c r="B26" s="127" t="b">
        <v>0</v>
      </c>
      <c r="C26" s="61" t="str">
        <f>_xll.qlIMMNextCode(Evaluationdate-1,B26,Trigger)</f>
        <v>U5</v>
      </c>
      <c r="D26" s="143"/>
      <c r="E26" s="143"/>
      <c r="F26" s="143"/>
      <c r="G26" s="60" t="str">
        <f t="shared" ref="G26:G47" si="12">PROPER(Currency)&amp;FamilyName&amp;Tenor</f>
        <v>UsdLibor3M</v>
      </c>
      <c r="H26" s="130" t="str">
        <f t="shared" ref="H26:H47" si="13">Currency&amp;"FUT"&amp;Tenor&amp;$C26&amp;QuoteSuffix</f>
        <v>USDFUT3MU5_Quote</v>
      </c>
      <c r="I26" s="130" t="str">
        <f t="shared" ref="I26:I47" si="14">Currency&amp;"FUT"&amp;Tenor&amp;$C26&amp;"ConvAdj"&amp;QuoteSuffix</f>
        <v>USDFUT3MU5ConvAdj_Quote</v>
      </c>
      <c r="J26" s="63" t="str">
        <f>_xll.qlFuturesRateHelper(,H26,$H$24,C26,G26,I26,Permanent,Trigger,ObjectOverwrite)</f>
        <v>obj_002fa#0009</v>
      </c>
      <c r="K26" s="53"/>
      <c r="L26" s="11" t="str">
        <f t="shared" si="10"/>
        <v>FUT</v>
      </c>
      <c r="M26" s="106" t="str">
        <f t="shared" si="11"/>
        <v>obj_002fe#0006</v>
      </c>
      <c r="N26" s="160" t="str">
        <f>IFERROR(_xll.qlRateHelperQuoteName(M26,Trigger),"--")</f>
        <v>USDFUT3MF6_Quote</v>
      </c>
      <c r="O26" s="165">
        <f>IFERROR(_xll.qlRateHelperQuoteValue($M26,Trigger),"--")</f>
        <v>99.467500000000001</v>
      </c>
      <c r="P26" s="109" t="b">
        <v>1</v>
      </c>
      <c r="Q26" s="106">
        <v>60</v>
      </c>
      <c r="R26" s="106">
        <v>21</v>
      </c>
      <c r="S26" s="111">
        <f>IFERROR(_xll.qlRateHelperEarliestDate(M26,Trigger),"--")</f>
        <v>42389</v>
      </c>
      <c r="T26" s="111">
        <f>IFERROR(_xll.qlRateHelperPillarDate(M26,Trigger),"--")</f>
        <v>42480</v>
      </c>
      <c r="V26" s="4" t="str">
        <f t="shared" si="3"/>
        <v>Sw</v>
      </c>
      <c r="W26" s="4" t="str">
        <v>obj_00299</v>
      </c>
      <c r="X26" s="4" t="str">
        <f>IFERROR(_xll.qlRateHelperQuoteName(W26,Trigger),"")</f>
        <v>USDAM3L30Y_Quote</v>
      </c>
      <c r="Y26" s="76">
        <f>IFERROR(_xll.qlRateHelperRate(W26,Trigger),"")</f>
        <v>2.6800000000000001E-2</v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42261</v>
      </c>
      <c r="AB26" s="5">
        <f>IFERROR(_xll.qlRateHelperPillarDate(W26,Trigger),"")</f>
        <v>53219</v>
      </c>
      <c r="AC26" s="84">
        <v>0.43602265757807762</v>
      </c>
    </row>
    <row r="27" spans="1:29" ht="11.25" customHeight="1" x14ac:dyDescent="0.2">
      <c r="A27" s="64" t="s">
        <v>129</v>
      </c>
      <c r="B27" s="128" t="b">
        <v>0</v>
      </c>
      <c r="C27" s="68" t="str">
        <f>_xll.qlIMMNextCode(C26,B27,Trigger)</f>
        <v>V5</v>
      </c>
      <c r="D27" s="137"/>
      <c r="E27" s="137"/>
      <c r="F27" s="137"/>
      <c r="G27" s="66" t="str">
        <f t="shared" si="12"/>
        <v>UsdLibor3M</v>
      </c>
      <c r="H27" s="131" t="str">
        <f t="shared" si="13"/>
        <v>USDFUT3MV5_Quote</v>
      </c>
      <c r="I27" s="131" t="str">
        <f t="shared" si="14"/>
        <v>USDFUT3MV5ConvAdj_Quote</v>
      </c>
      <c r="J27" s="70" t="str">
        <f>_xll.qlFuturesRateHelper(,H27,$H$24,C27,G27,I27,Permanent,Trigger,ObjectOverwrite)</f>
        <v>obj_002fd#0006</v>
      </c>
      <c r="K27" s="53"/>
      <c r="L27" s="11" t="str">
        <f t="shared" si="10"/>
        <v>FUT</v>
      </c>
      <c r="M27" s="106" t="str">
        <f t="shared" si="11"/>
        <v>obj_00300#0006</v>
      </c>
      <c r="N27" s="160" t="str">
        <f>IFERROR(_xll.qlRateHelperQuoteName(M27,Trigger),"--")</f>
        <v>USDFUT3MH6_Quote</v>
      </c>
      <c r="O27" s="165">
        <f>IFERROR(_xll.qlRateHelperQuoteValue($M27,Trigger),"--")</f>
        <v>99.387500000000003</v>
      </c>
      <c r="P27" s="109" t="b">
        <v>1</v>
      </c>
      <c r="Q27" s="106">
        <v>60</v>
      </c>
      <c r="R27" s="106">
        <v>21</v>
      </c>
      <c r="S27" s="111">
        <f>IFERROR(_xll.qlRateHelperEarliestDate(M27,Trigger),"--")</f>
        <v>42445</v>
      </c>
      <c r="T27" s="111">
        <f>IFERROR(_xll.qlRateHelperPillarDate(M27,Trigger),"--")</f>
        <v>42537</v>
      </c>
      <c r="V27" s="4" t="str">
        <f t="shared" si="3"/>
        <v>Sw</v>
      </c>
      <c r="W27" s="4" t="str">
        <v>obj_002b4</v>
      </c>
      <c r="X27" s="4" t="str">
        <f>IFERROR(_xll.qlRateHelperQuoteName(W27,Trigger),"")</f>
        <v>USDAM3L40Y_Quote</v>
      </c>
      <c r="Y27" s="76">
        <f>IFERROR(_xll.qlRateHelperRate(W27,Trigger),"")</f>
        <v>2.6960000000000001E-2</v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42261</v>
      </c>
      <c r="AB27" s="5">
        <f>IFERROR(_xll.qlRateHelperPillarDate(W27,Trigger),"")</f>
        <v>56871</v>
      </c>
      <c r="AC27" s="84">
        <v>0.33023472609630689</v>
      </c>
    </row>
    <row r="28" spans="1:29" ht="11.25" customHeight="1" x14ac:dyDescent="0.2">
      <c r="A28" s="64" t="s">
        <v>129</v>
      </c>
      <c r="B28" s="128" t="b">
        <v>0</v>
      </c>
      <c r="C28" s="68" t="str">
        <f>_xll.qlIMMNextCode(C27,B28,Trigger)</f>
        <v>X5</v>
      </c>
      <c r="D28" s="137"/>
      <c r="E28" s="137"/>
      <c r="F28" s="137"/>
      <c r="G28" s="66" t="str">
        <f t="shared" si="12"/>
        <v>UsdLibor3M</v>
      </c>
      <c r="H28" s="131" t="str">
        <f t="shared" si="13"/>
        <v>USDFUT3MX5_Quote</v>
      </c>
      <c r="I28" s="131" t="str">
        <f t="shared" si="14"/>
        <v>USDFUT3MX5ConvAdj_Quote</v>
      </c>
      <c r="J28" s="70" t="str">
        <f>_xll.qlFuturesRateHelper(,H28,$H$24,C28,G28,I28,Permanent,Trigger,ObjectOverwrite)</f>
        <v>obj_002fc#0006</v>
      </c>
      <c r="K28" s="53"/>
      <c r="L28" s="11" t="str">
        <f t="shared" si="10"/>
        <v>FUT</v>
      </c>
      <c r="M28" s="106" t="str">
        <f t="shared" si="11"/>
        <v>obj_00301#0006</v>
      </c>
      <c r="N28" s="160" t="str">
        <f>IFERROR(_xll.qlRateHelperQuoteName(M28,Trigger),"--")</f>
        <v>USDFUT3MM6_Quote</v>
      </c>
      <c r="O28" s="165">
        <f>IFERROR(_xll.qlRateHelperQuoteValue($M28,Trigger),"--")</f>
        <v>99.227499999999992</v>
      </c>
      <c r="P28" s="109" t="b">
        <v>1</v>
      </c>
      <c r="Q28" s="106">
        <v>60</v>
      </c>
      <c r="R28" s="106">
        <v>21</v>
      </c>
      <c r="S28" s="111">
        <f>IFERROR(_xll.qlRateHelperEarliestDate(M28,Trigger),"--")</f>
        <v>42536</v>
      </c>
      <c r="T28" s="111">
        <f>IFERROR(_xll.qlRateHelperPillarDate(M28,Trigger),"--")</f>
        <v>42628</v>
      </c>
      <c r="V28" s="4" t="str">
        <f t="shared" si="3"/>
        <v>Sw</v>
      </c>
      <c r="W28" s="4" t="str">
        <v>obj_002b3</v>
      </c>
      <c r="X28" s="4" t="str">
        <f>IFERROR(_xll.qlRateHelperQuoteName(W28,Trigger),"")</f>
        <v>USDAM3L50Y_Quote</v>
      </c>
      <c r="Y28" s="76">
        <f>IFERROR(_xll.qlRateHelperRate(W28,Trigger),"")</f>
        <v>2.682E-2</v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42261</v>
      </c>
      <c r="AB28" s="5">
        <f>IFERROR(_xll.qlRateHelperPillarDate(W28,Trigger),"")</f>
        <v>60524</v>
      </c>
      <c r="AC28" s="84">
        <v>0.25537097751969517</v>
      </c>
    </row>
    <row r="29" spans="1:29" ht="11.25" customHeight="1" x14ac:dyDescent="0.2">
      <c r="A29" s="64" t="s">
        <v>129</v>
      </c>
      <c r="B29" s="128" t="b">
        <v>0</v>
      </c>
      <c r="C29" s="68" t="str">
        <f>_xll.qlIMMNextCode(C28,B29,Trigger)</f>
        <v>Z5</v>
      </c>
      <c r="D29" s="137"/>
      <c r="E29" s="137"/>
      <c r="F29" s="137"/>
      <c r="G29" s="66" t="str">
        <f t="shared" si="12"/>
        <v>UsdLibor3M</v>
      </c>
      <c r="H29" s="131" t="str">
        <f t="shared" si="13"/>
        <v>USDFUT3MZ5_Quote</v>
      </c>
      <c r="I29" s="131" t="str">
        <f t="shared" si="14"/>
        <v>USDFUT3MZ5ConvAdj_Quote</v>
      </c>
      <c r="J29" s="70" t="str">
        <f>_xll.qlFuturesRateHelper(,H29,$H$24,C29,G29,I29,Permanent,Trigger,ObjectOverwrite)</f>
        <v>obj_002fb#0006</v>
      </c>
      <c r="K29" s="53"/>
      <c r="L29" s="11" t="str">
        <f t="shared" si="10"/>
        <v>FUT</v>
      </c>
      <c r="M29" s="106" t="str">
        <f t="shared" si="11"/>
        <v>obj_00303#0006</v>
      </c>
      <c r="N29" s="160" t="str">
        <f>IFERROR(_xll.qlRateHelperQuoteName(M29,Trigger),"--")</f>
        <v>USDFUT3MU6_Quote</v>
      </c>
      <c r="O29" s="165">
        <f>IFERROR(_xll.qlRateHelperQuoteValue($M29,Trigger),"--")</f>
        <v>99.052500000000009</v>
      </c>
      <c r="P29" s="109" t="b">
        <v>1</v>
      </c>
      <c r="Q29" s="106">
        <v>60</v>
      </c>
      <c r="R29" s="106">
        <v>21</v>
      </c>
      <c r="S29" s="111">
        <f>IFERROR(_xll.qlRateHelperEarliestDate(M29,Trigger),"--")</f>
        <v>42634</v>
      </c>
      <c r="T29" s="111">
        <f>IFERROR(_xll.qlRateHelperPillarDate(M29,Trigger),"--")</f>
        <v>42725</v>
      </c>
      <c r="V29" s="4" t="str">
        <f t="shared" si="3"/>
        <v/>
      </c>
      <c r="W29" s="4" t="e">
        <v>#N/A</v>
      </c>
      <c r="X29" s="4" t="str">
        <f>IFERROR(_xll.qlRateHelperQuoteName(W29,Trigger),"")</f>
        <v/>
      </c>
      <c r="Y29" s="76" t="str">
        <f>IFERROR(_xll.qlRateHelperRate(W29,Trigger),"")</f>
        <v/>
      </c>
      <c r="Z29" s="116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4" t="e">
        <v>#N/A</v>
      </c>
    </row>
    <row r="30" spans="1:29" ht="11.25" customHeight="1" x14ac:dyDescent="0.2">
      <c r="A30" s="1" t="s">
        <v>129</v>
      </c>
      <c r="B30" s="129" t="b">
        <v>0</v>
      </c>
      <c r="C30" s="10" t="str">
        <f>_xll.qlIMMNextCode(C29,B30,Trigger)</f>
        <v>F6</v>
      </c>
      <c r="D30" s="138"/>
      <c r="E30" s="138"/>
      <c r="F30" s="138"/>
      <c r="G30" s="7" t="str">
        <f t="shared" si="12"/>
        <v>UsdLibor3M</v>
      </c>
      <c r="H30" s="132" t="str">
        <f t="shared" si="13"/>
        <v>USDFUT3MF6_Quote</v>
      </c>
      <c r="I30" s="132" t="str">
        <f t="shared" si="14"/>
        <v>USDFUT3MF6ConvAdj_Quote</v>
      </c>
      <c r="J30" s="3" t="str">
        <f>_xll.qlFuturesRateHelper(,H30,$H$24,C30,G30,I30,Permanent,Trigger,ObjectOverwrite)</f>
        <v>obj_002fe#0006</v>
      </c>
      <c r="K30" s="53"/>
      <c r="L30" s="11" t="str">
        <f t="shared" si="10"/>
        <v>FUT</v>
      </c>
      <c r="M30" s="106" t="str">
        <f t="shared" si="11"/>
        <v>obj_00302#0006</v>
      </c>
      <c r="N30" s="160" t="str">
        <f>IFERROR(_xll.qlRateHelperQuoteName(M30,Trigger),"--")</f>
        <v>USDFUT3MZ6_Quote</v>
      </c>
      <c r="O30" s="165">
        <f>IFERROR(_xll.qlRateHelperQuoteValue($M30,Trigger),"--")</f>
        <v>98.867500000000007</v>
      </c>
      <c r="P30" s="109" t="b">
        <v>1</v>
      </c>
      <c r="Q30" s="106">
        <v>60</v>
      </c>
      <c r="R30" s="106">
        <v>21</v>
      </c>
      <c r="S30" s="111">
        <f>IFERROR(_xll.qlRateHelperEarliestDate(M30,Trigger),"--")</f>
        <v>42725</v>
      </c>
      <c r="T30" s="111">
        <f>IFERROR(_xll.qlRateHelperPillarDate(M30,Trigger),"--")</f>
        <v>42815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6" t="str">
        <f>IFERROR(_xll.qlRateHelperRate(W30,Trigger),"")</f>
        <v/>
      </c>
      <c r="Z30" s="116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4" t="e">
        <v>#N/A</v>
      </c>
    </row>
    <row r="31" spans="1:29" ht="11.25" customHeight="1" x14ac:dyDescent="0.2">
      <c r="A31" s="64" t="s">
        <v>129</v>
      </c>
      <c r="B31" s="128" t="b">
        <v>1</v>
      </c>
      <c r="C31" s="68" t="str">
        <f>_xll.qlIMMNextCode(C30,B31,Trigger)</f>
        <v>H6</v>
      </c>
      <c r="D31" s="137"/>
      <c r="E31" s="137"/>
      <c r="F31" s="137"/>
      <c r="G31" s="66" t="str">
        <f t="shared" si="12"/>
        <v>UsdLibor3M</v>
      </c>
      <c r="H31" s="131" t="str">
        <f t="shared" si="13"/>
        <v>USDFUT3MH6_Quote</v>
      </c>
      <c r="I31" s="131" t="str">
        <f t="shared" si="14"/>
        <v>USDFUT3MH6ConvAdj_Quote</v>
      </c>
      <c r="J31" s="70" t="str">
        <f>_xll.qlFuturesRateHelper(,H31,$H$24,C31,G31,I31,Permanent,Trigger,ObjectOverwrite)</f>
        <v>obj_00300#0006</v>
      </c>
      <c r="K31" s="53"/>
      <c r="L31" s="11" t="str">
        <f t="shared" si="10"/>
        <v>FUT</v>
      </c>
      <c r="M31" s="106" t="str">
        <f t="shared" si="11"/>
        <v>obj_00305#0006</v>
      </c>
      <c r="N31" s="160" t="str">
        <f>IFERROR(_xll.qlRateHelperQuoteName(M31,Trigger),"--")</f>
        <v>USDFUT3MH7_Quote</v>
      </c>
      <c r="O31" s="165">
        <f>IFERROR(_xll.qlRateHelperQuoteValue($M31,Trigger),"--")</f>
        <v>98.717500000000001</v>
      </c>
      <c r="P31" s="109" t="b">
        <v>1</v>
      </c>
      <c r="Q31" s="106">
        <v>60</v>
      </c>
      <c r="R31" s="106">
        <v>21</v>
      </c>
      <c r="S31" s="111">
        <f>IFERROR(_xll.qlRateHelperEarliestDate(M31,Trigger),"--")</f>
        <v>42809</v>
      </c>
      <c r="T31" s="111">
        <f>IFERROR(_xll.qlRateHelperPillarDate(M31,Trigger),"--")</f>
        <v>42901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6" t="str">
        <f>IFERROR(_xll.qlRateHelperRate(W31,Trigger),"")</f>
        <v/>
      </c>
      <c r="Z31" s="116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4" t="e">
        <v>#N/A</v>
      </c>
    </row>
    <row r="32" spans="1:29" ht="11.25" customHeight="1" x14ac:dyDescent="0.2">
      <c r="A32" s="64" t="s">
        <v>129</v>
      </c>
      <c r="B32" s="128" t="b">
        <v>1</v>
      </c>
      <c r="C32" s="68" t="str">
        <f>_xll.qlIMMNextCode(C31,B32,Trigger)</f>
        <v>M6</v>
      </c>
      <c r="D32" s="137"/>
      <c r="E32" s="137"/>
      <c r="F32" s="137"/>
      <c r="G32" s="66" t="str">
        <f t="shared" si="12"/>
        <v>UsdLibor3M</v>
      </c>
      <c r="H32" s="131" t="str">
        <f t="shared" si="13"/>
        <v>USDFUT3MM6_Quote</v>
      </c>
      <c r="I32" s="131" t="str">
        <f t="shared" si="14"/>
        <v>USDFUT3MM6ConvAdj_Quote</v>
      </c>
      <c r="J32" s="70" t="str">
        <f>_xll.qlFuturesRateHelper(,H32,$H$24,C32,G32,I32,Permanent,Trigger,ObjectOverwrite)</f>
        <v>obj_00301#0006</v>
      </c>
      <c r="K32" s="53"/>
      <c r="L32" s="11" t="str">
        <f t="shared" si="10"/>
        <v>FUT</v>
      </c>
      <c r="M32" s="106" t="str">
        <f t="shared" si="11"/>
        <v>obj_00306#0006</v>
      </c>
      <c r="N32" s="160" t="str">
        <f>IFERROR(_xll.qlRateHelperQuoteName(M32,Trigger),"--")</f>
        <v>USDFUT3MM7_Quote</v>
      </c>
      <c r="O32" s="165">
        <f>IFERROR(_xll.qlRateHelperQuoteValue($M32,Trigger),"--")</f>
        <v>98.567499999999995</v>
      </c>
      <c r="P32" s="109" t="b">
        <v>1</v>
      </c>
      <c r="Q32" s="106">
        <v>60</v>
      </c>
      <c r="R32" s="106">
        <v>21</v>
      </c>
      <c r="S32" s="111">
        <f>IFERROR(_xll.qlRateHelperEarliestDate(M32,Trigger),"--")</f>
        <v>42907</v>
      </c>
      <c r="T32" s="111">
        <f>IFERROR(_xll.qlRateHelperPillarDate(M32,Trigger),"--")</f>
        <v>42999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6" t="str">
        <f>IFERROR(_xll.qlRateHelperRate(W32,Trigger),"")</f>
        <v/>
      </c>
      <c r="Z32" s="116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4" t="e">
        <v>#N/A</v>
      </c>
    </row>
    <row r="33" spans="1:29" ht="11.25" customHeight="1" x14ac:dyDescent="0.2">
      <c r="A33" s="64" t="s">
        <v>129</v>
      </c>
      <c r="B33" s="128" t="b">
        <v>1</v>
      </c>
      <c r="C33" s="68" t="str">
        <f>_xll.qlIMMNextCode(C32,B33,Trigger)</f>
        <v>U6</v>
      </c>
      <c r="D33" s="137"/>
      <c r="E33" s="137"/>
      <c r="F33" s="137"/>
      <c r="G33" s="66" t="str">
        <f t="shared" si="12"/>
        <v>UsdLibor3M</v>
      </c>
      <c r="H33" s="131" t="str">
        <f t="shared" si="13"/>
        <v>USDFUT3MU6_Quote</v>
      </c>
      <c r="I33" s="131" t="str">
        <f t="shared" si="14"/>
        <v>USDFUT3MU6ConvAdj_Quote</v>
      </c>
      <c r="J33" s="70" t="str">
        <f>_xll.qlFuturesRateHelper(,H33,$H$24,C33,G33,I33,Permanent,Trigger,ObjectOverwrite)</f>
        <v>obj_00303#0006</v>
      </c>
      <c r="K33" s="53"/>
      <c r="L33" s="11" t="str">
        <f t="shared" si="10"/>
        <v>FUT</v>
      </c>
      <c r="M33" s="106" t="str">
        <f t="shared" si="11"/>
        <v>obj_00307#0006</v>
      </c>
      <c r="N33" s="160" t="str">
        <f>IFERROR(_xll.qlRateHelperQuoteName(M33,Trigger),"--")</f>
        <v>USDFUT3MU7_Quote</v>
      </c>
      <c r="O33" s="165">
        <f>IFERROR(_xll.qlRateHelperQuoteValue($M33,Trigger),"--")</f>
        <v>98.427500000000009</v>
      </c>
      <c r="P33" s="109" t="b">
        <v>1</v>
      </c>
      <c r="Q33" s="106">
        <v>60</v>
      </c>
      <c r="R33" s="106">
        <v>21</v>
      </c>
      <c r="S33" s="111">
        <f>IFERROR(_xll.qlRateHelperEarliestDate(M33,Trigger),"--")</f>
        <v>42998</v>
      </c>
      <c r="T33" s="111">
        <f>IFERROR(_xll.qlRateHelperPillarDate(M33,Trigger),"--")</f>
        <v>43089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6" t="str">
        <f>IFERROR(_xll.qlRateHelperRate(W33,Trigger),"")</f>
        <v/>
      </c>
      <c r="Z33" s="116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4" t="e">
        <v>#N/A</v>
      </c>
    </row>
    <row r="34" spans="1:29" ht="11.25" customHeight="1" x14ac:dyDescent="0.2">
      <c r="A34" s="64" t="s">
        <v>129</v>
      </c>
      <c r="B34" s="128" t="b">
        <v>1</v>
      </c>
      <c r="C34" s="68" t="str">
        <f>_xll.qlIMMNextCode(C33,B34,Trigger)</f>
        <v>Z6</v>
      </c>
      <c r="D34" s="137"/>
      <c r="E34" s="137"/>
      <c r="F34" s="137"/>
      <c r="G34" s="66" t="str">
        <f t="shared" si="12"/>
        <v>UsdLibor3M</v>
      </c>
      <c r="H34" s="131" t="str">
        <f t="shared" si="13"/>
        <v>USDFUT3MZ6_Quote</v>
      </c>
      <c r="I34" s="131" t="str">
        <f t="shared" si="14"/>
        <v>USDFUT3MZ6ConvAdj_Quote</v>
      </c>
      <c r="J34" s="70" t="str">
        <f>_xll.qlFuturesRateHelper(,H34,$H$24,C34,G34,I34,Permanent,Trigger,ObjectOverwrite)</f>
        <v>obj_00302#0006</v>
      </c>
      <c r="K34" s="53"/>
      <c r="L34" s="11" t="str">
        <f t="shared" si="10"/>
        <v>FUT</v>
      </c>
      <c r="M34" s="106" t="str">
        <f t="shared" si="11"/>
        <v>obj_00308#0006</v>
      </c>
      <c r="N34" s="160" t="str">
        <f>IFERROR(_xll.qlRateHelperQuoteName(M34,Trigger),"--")</f>
        <v>USDFUT3MZ7_Quote</v>
      </c>
      <c r="O34" s="165">
        <f>IFERROR(_xll.qlRateHelperQuoteValue($M34,Trigger),"--")</f>
        <v>98.292500000000004</v>
      </c>
      <c r="P34" s="109" t="b">
        <v>1</v>
      </c>
      <c r="Q34" s="106">
        <v>60</v>
      </c>
      <c r="R34" s="106">
        <v>21</v>
      </c>
      <c r="S34" s="111">
        <f>IFERROR(_xll.qlRateHelperEarliestDate(M34,Trigger),"--")</f>
        <v>43089</v>
      </c>
      <c r="T34" s="111">
        <f>IFERROR(_xll.qlRateHelperPillarDate(M34,Trigger),"--")</f>
        <v>43179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6" t="str">
        <f>IFERROR(_xll.qlRateHelperRate(W34,Trigger),"")</f>
        <v/>
      </c>
      <c r="Z34" s="116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4" t="e">
        <v>#N/A</v>
      </c>
    </row>
    <row r="35" spans="1:29" ht="11.25" customHeight="1" x14ac:dyDescent="0.2">
      <c r="A35" s="64" t="s">
        <v>129</v>
      </c>
      <c r="B35" s="128" t="b">
        <v>1</v>
      </c>
      <c r="C35" s="68" t="str">
        <f>_xll.qlIMMNextCode(C34,B35,Trigger)</f>
        <v>H7</v>
      </c>
      <c r="D35" s="137"/>
      <c r="E35" s="137"/>
      <c r="F35" s="137"/>
      <c r="G35" s="66" t="str">
        <f t="shared" si="12"/>
        <v>UsdLibor3M</v>
      </c>
      <c r="H35" s="131" t="str">
        <f t="shared" si="13"/>
        <v>USDFUT3MH7_Quote</v>
      </c>
      <c r="I35" s="131" t="str">
        <f t="shared" si="14"/>
        <v>USDFUT3MH7ConvAdj_Quote</v>
      </c>
      <c r="J35" s="70" t="str">
        <f>_xll.qlFuturesRateHelper(,H35,$H$24,C35,G35,I35,Permanent,Trigger,ObjectOverwrite)</f>
        <v>obj_00305#0006</v>
      </c>
      <c r="K35" s="53"/>
      <c r="L35" s="11" t="str">
        <f t="shared" si="10"/>
        <v>FUT</v>
      </c>
      <c r="M35" s="106" t="str">
        <f t="shared" si="11"/>
        <v>obj_00309#0006</v>
      </c>
      <c r="N35" s="160" t="str">
        <f>IFERROR(_xll.qlRateHelperQuoteName(M35,Trigger),"--")</f>
        <v>USDFUT3MH8_Quote</v>
      </c>
      <c r="O35" s="165">
        <f>IFERROR(_xll.qlRateHelperQuoteValue($M35,Trigger),"--")</f>
        <v>98.177500000000009</v>
      </c>
      <c r="P35" s="109" t="b">
        <v>1</v>
      </c>
      <c r="Q35" s="106">
        <v>30</v>
      </c>
      <c r="R35" s="106">
        <v>21</v>
      </c>
      <c r="S35" s="111">
        <f>IFERROR(_xll.qlRateHelperEarliestDate(M35,Trigger),"--")</f>
        <v>43180</v>
      </c>
      <c r="T35" s="111">
        <f>IFERROR(_xll.qlRateHelperPillarDate(M35,Trigger),"--")</f>
        <v>43272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6" t="str">
        <f>IFERROR(_xll.qlRateHelperRate(W35,Trigger),"")</f>
        <v/>
      </c>
      <c r="Z35" s="116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4" t="e">
        <v>#N/A</v>
      </c>
    </row>
    <row r="36" spans="1:29" ht="11.25" customHeight="1" x14ac:dyDescent="0.2">
      <c r="A36" s="64" t="s">
        <v>129</v>
      </c>
      <c r="B36" s="128" t="b">
        <v>1</v>
      </c>
      <c r="C36" s="68" t="str">
        <f>_xll.qlIMMNextCode(C35,B36,Trigger)</f>
        <v>M7</v>
      </c>
      <c r="D36" s="137"/>
      <c r="E36" s="137"/>
      <c r="F36" s="137"/>
      <c r="G36" s="66" t="str">
        <f t="shared" si="12"/>
        <v>UsdLibor3M</v>
      </c>
      <c r="H36" s="131" t="str">
        <f t="shared" si="13"/>
        <v>USDFUT3MM7_Quote</v>
      </c>
      <c r="I36" s="131" t="str">
        <f t="shared" si="14"/>
        <v>USDFUT3MM7ConvAdj_Quote</v>
      </c>
      <c r="J36" s="70" t="str">
        <f>_xll.qlFuturesRateHelper(,H36,$H$24,C36,G36,I36,Permanent,Trigger,ObjectOverwrite)</f>
        <v>obj_00306#0006</v>
      </c>
      <c r="K36" s="53"/>
      <c r="L36" s="11" t="str">
        <f t="shared" si="10"/>
        <v>FUT</v>
      </c>
      <c r="M36" s="106" t="str">
        <f t="shared" si="11"/>
        <v>obj_0030a#0006</v>
      </c>
      <c r="N36" s="160" t="str">
        <f>IFERROR(_xll.qlRateHelperQuoteName(M36,Trigger),"--")</f>
        <v>USDFUT3MM8_Quote</v>
      </c>
      <c r="O36" s="165">
        <f>IFERROR(_xll.qlRateHelperQuoteValue($M36,Trigger),"--")</f>
        <v>98.0625</v>
      </c>
      <c r="P36" s="109" t="b">
        <v>1</v>
      </c>
      <c r="Q36" s="106">
        <v>30</v>
      </c>
      <c r="R36" s="106">
        <v>21</v>
      </c>
      <c r="S36" s="111">
        <f>IFERROR(_xll.qlRateHelperEarliestDate(M36,Trigger),"--")</f>
        <v>43271</v>
      </c>
      <c r="T36" s="111">
        <f>IFERROR(_xll.qlRateHelperPillarDate(M36,Trigger),"--")</f>
        <v>43363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6" t="str">
        <f>IFERROR(_xll.qlRateHelperRate(W36,Trigger),"")</f>
        <v/>
      </c>
      <c r="Z36" s="116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4" t="e">
        <v>#N/A</v>
      </c>
    </row>
    <row r="37" spans="1:29" ht="11.25" customHeight="1" x14ac:dyDescent="0.2">
      <c r="A37" s="64" t="s">
        <v>129</v>
      </c>
      <c r="B37" s="128" t="b">
        <v>1</v>
      </c>
      <c r="C37" s="68" t="str">
        <f>_xll.qlIMMNextCode(C36,B37,Trigger)</f>
        <v>U7</v>
      </c>
      <c r="D37" s="137"/>
      <c r="E37" s="137"/>
      <c r="F37" s="137"/>
      <c r="G37" s="66" t="str">
        <f t="shared" si="12"/>
        <v>UsdLibor3M</v>
      </c>
      <c r="H37" s="131" t="str">
        <f t="shared" si="13"/>
        <v>USDFUT3MU7_Quote</v>
      </c>
      <c r="I37" s="131" t="str">
        <f t="shared" si="14"/>
        <v>USDFUT3MU7ConvAdj_Quote</v>
      </c>
      <c r="J37" s="70" t="str">
        <f>_xll.qlFuturesRateHelper(,H37,$H$24,C37,G37,I37,Permanent,Trigger,ObjectOverwrite)</f>
        <v>obj_00307#0006</v>
      </c>
      <c r="K37" s="53"/>
      <c r="L37" s="11" t="str">
        <f t="shared" si="10"/>
        <v>FUT</v>
      </c>
      <c r="M37" s="106" t="str">
        <f t="shared" si="11"/>
        <v>obj_0030b#0006</v>
      </c>
      <c r="N37" s="160" t="str">
        <f>IFERROR(_xll.qlRateHelperQuoteName(M37,Trigger),"--")</f>
        <v>USDFUT3MU8_Quote</v>
      </c>
      <c r="O37" s="165">
        <f>IFERROR(_xll.qlRateHelperQuoteValue($M37,Trigger),"--")</f>
        <v>97.957499999999996</v>
      </c>
      <c r="P37" s="109" t="b">
        <v>1</v>
      </c>
      <c r="Q37" s="106">
        <v>30</v>
      </c>
      <c r="R37" s="106">
        <v>21</v>
      </c>
      <c r="S37" s="111">
        <f>IFERROR(_xll.qlRateHelperEarliestDate(M37,Trigger),"--")</f>
        <v>43362</v>
      </c>
      <c r="T37" s="111">
        <f>IFERROR(_xll.qlRateHelperPillarDate(M37,Trigger),"--")</f>
        <v>43453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6" t="str">
        <f>IFERROR(_xll.qlRateHelperRate(W37,Trigger),"")</f>
        <v/>
      </c>
      <c r="Z37" s="116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4" t="e">
        <v>#N/A</v>
      </c>
    </row>
    <row r="38" spans="1:29" ht="11.25" customHeight="1" x14ac:dyDescent="0.2">
      <c r="A38" s="64" t="s">
        <v>129</v>
      </c>
      <c r="B38" s="128" t="b">
        <v>1</v>
      </c>
      <c r="C38" s="68" t="str">
        <f>_xll.qlIMMNextCode(C37,B38,Trigger)</f>
        <v>Z7</v>
      </c>
      <c r="D38" s="137"/>
      <c r="E38" s="137"/>
      <c r="F38" s="137"/>
      <c r="G38" s="66" t="str">
        <f t="shared" si="12"/>
        <v>UsdLibor3M</v>
      </c>
      <c r="H38" s="131" t="str">
        <f t="shared" si="13"/>
        <v>USDFUT3MZ7_Quote</v>
      </c>
      <c r="I38" s="131" t="str">
        <f t="shared" si="14"/>
        <v>USDFUT3MZ7ConvAdj_Quote</v>
      </c>
      <c r="J38" s="70" t="str">
        <f>_xll.qlFuturesRateHelper(,H38,$H$24,C38,G38,I38,Permanent,Trigger,ObjectOverwrite)</f>
        <v>obj_00308#0006</v>
      </c>
      <c r="K38" s="53"/>
      <c r="L38" s="11" t="str">
        <f t="shared" si="10"/>
        <v>FUT</v>
      </c>
      <c r="M38" s="106" t="str">
        <f t="shared" si="11"/>
        <v>obj_0030c#0006</v>
      </c>
      <c r="N38" s="160" t="str">
        <f>IFERROR(_xll.qlRateHelperQuoteName(M38,Trigger),"--")</f>
        <v>USDFUT3MZ8_Quote</v>
      </c>
      <c r="O38" s="165">
        <f>IFERROR(_xll.qlRateHelperQuoteValue($M38,Trigger),"--")</f>
        <v>97.852499999999992</v>
      </c>
      <c r="P38" s="109" t="b">
        <v>1</v>
      </c>
      <c r="Q38" s="106">
        <v>30</v>
      </c>
      <c r="R38" s="106">
        <v>21</v>
      </c>
      <c r="S38" s="111">
        <f>IFERROR(_xll.qlRateHelperEarliestDate(M38,Trigger),"--")</f>
        <v>43453</v>
      </c>
      <c r="T38" s="111">
        <f>IFERROR(_xll.qlRateHelperPillarDate(M38,Trigger),"--")</f>
        <v>43543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6" t="str">
        <f>IFERROR(_xll.qlRateHelperRate(W38,Trigger),"")</f>
        <v/>
      </c>
      <c r="Z38" s="116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4" t="e">
        <v>#N/A</v>
      </c>
    </row>
    <row r="39" spans="1:29" ht="11.25" customHeight="1" x14ac:dyDescent="0.2">
      <c r="A39" s="64" t="s">
        <v>129</v>
      </c>
      <c r="B39" s="128" t="b">
        <v>1</v>
      </c>
      <c r="C39" s="68" t="str">
        <f>_xll.qlIMMNextCode(C38,B39,Trigger)</f>
        <v>H8</v>
      </c>
      <c r="D39" s="137"/>
      <c r="E39" s="137"/>
      <c r="F39" s="137"/>
      <c r="G39" s="66" t="str">
        <f t="shared" si="12"/>
        <v>UsdLibor3M</v>
      </c>
      <c r="H39" s="131" t="str">
        <f t="shared" si="13"/>
        <v>USDFUT3MH8_Quote</v>
      </c>
      <c r="I39" s="131" t="str">
        <f t="shared" si="14"/>
        <v>USDFUT3MH8ConvAdj_Quote</v>
      </c>
      <c r="J39" s="70" t="str">
        <f>_xll.qlFuturesRateHelper(,H39,$H$24,C39,G39,I39,Permanent,Trigger,ObjectOverwrite)</f>
        <v>obj_00309#0006</v>
      </c>
      <c r="K39" s="53"/>
      <c r="L39" s="11" t="str">
        <f t="shared" si="10"/>
        <v>FUT</v>
      </c>
      <c r="M39" s="106" t="str">
        <f t="shared" si="11"/>
        <v>obj_0030d#0006</v>
      </c>
      <c r="N39" s="160" t="str">
        <f>IFERROR(_xll.qlRateHelperQuoteName(M39,Trigger),"--")</f>
        <v>USDFUT3MH9_Quote</v>
      </c>
      <c r="O39" s="165">
        <f>IFERROR(_xll.qlRateHelperQuoteValue($M39,Trigger),"--")</f>
        <v>97.762500000000003</v>
      </c>
      <c r="P39" s="109" t="b">
        <v>1</v>
      </c>
      <c r="Q39" s="106">
        <v>30</v>
      </c>
      <c r="R39" s="106">
        <v>21</v>
      </c>
      <c r="S39" s="111">
        <f>IFERROR(_xll.qlRateHelperEarliestDate(M39,Trigger),"--")</f>
        <v>43544</v>
      </c>
      <c r="T39" s="111">
        <f>IFERROR(_xll.qlRateHelperPillarDate(M39,Trigger),"--")</f>
        <v>43636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129</v>
      </c>
      <c r="B40" s="128" t="b">
        <v>1</v>
      </c>
      <c r="C40" s="68" t="str">
        <f>_xll.qlIMMNextCode(C39,B40,Trigger)</f>
        <v>M8</v>
      </c>
      <c r="D40" s="137"/>
      <c r="E40" s="137"/>
      <c r="F40" s="137"/>
      <c r="G40" s="66" t="str">
        <f t="shared" si="12"/>
        <v>UsdLibor3M</v>
      </c>
      <c r="H40" s="131" t="str">
        <f t="shared" si="13"/>
        <v>USDFUT3MM8_Quote</v>
      </c>
      <c r="I40" s="131" t="str">
        <f t="shared" si="14"/>
        <v>USDFUT3MM8ConvAdj_Quote</v>
      </c>
      <c r="J40" s="70" t="str">
        <f>_xll.qlFuturesRateHelper(,H40,$H$24,C40,G40,I40,Permanent,Trigger,ObjectOverwrite)</f>
        <v>obj_0030a#0006</v>
      </c>
      <c r="K40" s="53"/>
      <c r="L40" s="11" t="str">
        <f t="shared" si="10"/>
        <v>FUT</v>
      </c>
      <c r="M40" s="106" t="str">
        <f t="shared" si="11"/>
        <v>obj_0030e#0006</v>
      </c>
      <c r="N40" s="160" t="str">
        <f>IFERROR(_xll.qlRateHelperQuoteName(M40,Trigger),"--")</f>
        <v>USDFUT3MM9_Quote</v>
      </c>
      <c r="O40" s="165">
        <f>IFERROR(_xll.qlRateHelperQuoteValue($M40,Trigger),"--")</f>
        <v>97.672499999999999</v>
      </c>
      <c r="P40" s="109" t="b">
        <v>1</v>
      </c>
      <c r="Q40" s="106">
        <v>30</v>
      </c>
      <c r="R40" s="106">
        <v>21</v>
      </c>
      <c r="S40" s="111">
        <f>IFERROR(_xll.qlRateHelperEarliestDate(M40,Trigger),"--")</f>
        <v>43635</v>
      </c>
      <c r="T40" s="111">
        <f>IFERROR(_xll.qlRateHelperPillarDate(M40,Trigger),"--")</f>
        <v>43727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129</v>
      </c>
      <c r="B41" s="128" t="b">
        <v>1</v>
      </c>
      <c r="C41" s="68" t="str">
        <f>_xll.qlIMMNextCode(C40,B41,Trigger)</f>
        <v>U8</v>
      </c>
      <c r="D41" s="137"/>
      <c r="E41" s="137"/>
      <c r="F41" s="137"/>
      <c r="G41" s="66" t="str">
        <f t="shared" si="12"/>
        <v>UsdLibor3M</v>
      </c>
      <c r="H41" s="131" t="str">
        <f t="shared" si="13"/>
        <v>USDFUT3MU8_Quote</v>
      </c>
      <c r="I41" s="131" t="str">
        <f t="shared" si="14"/>
        <v>USDFUT3MU8ConvAdj_Quote</v>
      </c>
      <c r="J41" s="70" t="str">
        <f>_xll.qlFuturesRateHelper(,H41,$H$24,C41,G41,I41,Permanent,Trigger,ObjectOverwrite)</f>
        <v>obj_0030b#0006</v>
      </c>
      <c r="L41" s="11" t="str">
        <f t="shared" si="10"/>
        <v>FUT</v>
      </c>
      <c r="M41" s="106" t="str">
        <f t="shared" si="11"/>
        <v>obj_0030f#0006</v>
      </c>
      <c r="N41" s="160" t="str">
        <f>IFERROR(_xll.qlRateHelperQuoteName(M41,Trigger),"--")</f>
        <v>USDFUT3MU9_Quote</v>
      </c>
      <c r="O41" s="165">
        <f>IFERROR(_xll.qlRateHelperQuoteValue($M41,Trigger),"--")</f>
        <v>97.582499999999996</v>
      </c>
      <c r="P41" s="109" t="b">
        <v>1</v>
      </c>
      <c r="Q41" s="106">
        <v>30</v>
      </c>
      <c r="R41" s="106">
        <v>21</v>
      </c>
      <c r="S41" s="111">
        <f>IFERROR(_xll.qlRateHelperEarliestDate(M41,Trigger),"--")</f>
        <v>43726</v>
      </c>
      <c r="T41" s="111">
        <f>IFERROR(_xll.qlRateHelperPillarDate(M41,Trigger),"--")</f>
        <v>43817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129</v>
      </c>
      <c r="B42" s="128" t="b">
        <v>1</v>
      </c>
      <c r="C42" s="68" t="str">
        <f>_xll.qlIMMNextCode(C41,B42,Trigger)</f>
        <v>Z8</v>
      </c>
      <c r="D42" s="137"/>
      <c r="E42" s="137"/>
      <c r="F42" s="137"/>
      <c r="G42" s="66" t="str">
        <f t="shared" si="12"/>
        <v>UsdLibor3M</v>
      </c>
      <c r="H42" s="131" t="str">
        <f t="shared" si="13"/>
        <v>USDFUT3MZ8_Quote</v>
      </c>
      <c r="I42" s="131" t="str">
        <f t="shared" si="14"/>
        <v>USDFUT3MZ8ConvAdj_Quote</v>
      </c>
      <c r="J42" s="70" t="str">
        <f>_xll.qlFuturesRateHelper(,H42,$H$24,C42,G42,I42,Permanent,Trigger,ObjectOverwrite)</f>
        <v>obj_0030c#0006</v>
      </c>
      <c r="L42" s="11" t="str">
        <f t="shared" si="10"/>
        <v>FUT</v>
      </c>
      <c r="M42" s="106" t="str">
        <f t="shared" si="11"/>
        <v>obj_00310#0006</v>
      </c>
      <c r="N42" s="160" t="str">
        <f>IFERROR(_xll.qlRateHelperQuoteName(M42,Trigger),"--")</f>
        <v>USDFUT3MZ9_Quote</v>
      </c>
      <c r="O42" s="165">
        <f>IFERROR(_xll.qlRateHelperQuoteValue($M42,Trigger),"--")</f>
        <v>97.495000000000005</v>
      </c>
      <c r="P42" s="109" t="b">
        <v>1</v>
      </c>
      <c r="Q42" s="106">
        <v>30</v>
      </c>
      <c r="R42" s="106">
        <v>21</v>
      </c>
      <c r="S42" s="111">
        <f>IFERROR(_xll.qlRateHelperEarliestDate(M42,Trigger),"--")</f>
        <v>43817</v>
      </c>
      <c r="T42" s="111">
        <f>IFERROR(_xll.qlRateHelperPillarDate(M42,Trigger),"--")</f>
        <v>43908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129</v>
      </c>
      <c r="B43" s="128" t="b">
        <v>1</v>
      </c>
      <c r="C43" s="68" t="str">
        <f>_xll.qlIMMNextCode(C42,B43,Trigger)</f>
        <v>H9</v>
      </c>
      <c r="D43" s="137"/>
      <c r="E43" s="137"/>
      <c r="F43" s="137"/>
      <c r="G43" s="66" t="str">
        <f t="shared" si="12"/>
        <v>UsdLibor3M</v>
      </c>
      <c r="H43" s="131" t="str">
        <f t="shared" si="13"/>
        <v>USDFUT3MH9_Quote</v>
      </c>
      <c r="I43" s="131" t="str">
        <f t="shared" si="14"/>
        <v>USDFUT3MH9ConvAdj_Quote</v>
      </c>
      <c r="J43" s="70" t="str">
        <f>_xll.qlFuturesRateHelper(,H43,$H$24,C43,G43,I43,Permanent,Trigger,ObjectOverwrite)</f>
        <v>obj_0030d#0006</v>
      </c>
      <c r="L43" s="12" t="str">
        <f t="shared" si="10"/>
        <v>FUT</v>
      </c>
      <c r="M43" s="107" t="str">
        <f t="shared" si="11"/>
        <v>obj_00311#0006</v>
      </c>
      <c r="N43" s="161" t="str">
        <f>IFERROR(_xll.qlRateHelperQuoteName(M43,Trigger),"--")</f>
        <v>USDFUT3MH0_Quote</v>
      </c>
      <c r="O43" s="166">
        <f>IFERROR(_xll.qlRateHelperQuoteValue($M43,Trigger),"--")</f>
        <v>97.412499999999994</v>
      </c>
      <c r="P43" s="112" t="b">
        <v>1</v>
      </c>
      <c r="Q43" s="107">
        <v>30</v>
      </c>
      <c r="R43" s="107">
        <v>21</v>
      </c>
      <c r="S43" s="114">
        <f>IFERROR(_xll.qlRateHelperEarliestDate(M43,Trigger),"--")</f>
        <v>43908</v>
      </c>
      <c r="T43" s="114">
        <f>IFERROR(_xll.qlRateHelperPillarDate(M43,Trigger),"--")</f>
        <v>44000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129</v>
      </c>
      <c r="B44" s="128" t="b">
        <v>1</v>
      </c>
      <c r="C44" s="68" t="str">
        <f>_xll.qlIMMNextCode(C43,B44,Trigger)</f>
        <v>M9</v>
      </c>
      <c r="D44" s="137"/>
      <c r="E44" s="137"/>
      <c r="F44" s="137"/>
      <c r="G44" s="66" t="str">
        <f t="shared" si="12"/>
        <v>UsdLibor3M</v>
      </c>
      <c r="H44" s="131" t="str">
        <f t="shared" si="13"/>
        <v>USDFUT3MM9_Quote</v>
      </c>
      <c r="I44" s="131" t="str">
        <f t="shared" si="14"/>
        <v>USDFUT3MM9ConvAdj_Quote</v>
      </c>
      <c r="J44" s="70" t="str">
        <f>_xll.qlFuturesRateHelper(,H44,$H$24,C44,G44,I44,Permanent,Trigger,ObjectOverwrite)</f>
        <v>obj_0030e#0006</v>
      </c>
      <c r="L44" s="149" t="str">
        <f>A50</f>
        <v>Sw</v>
      </c>
      <c r="M44" s="150" t="str">
        <f>IF(ISBLANK(J50),"--",J50)</f>
        <v>--</v>
      </c>
      <c r="N44" s="162" t="str">
        <f>IFERROR(_xll.qlRateHelperQuoteName(M44,Trigger),"--")</f>
        <v>--</v>
      </c>
      <c r="O44" s="152" t="str">
        <f>IFERROR(_xll.qlRateHelperQuoteValue($M44,Trigger),"--")</f>
        <v>--</v>
      </c>
      <c r="P44" s="151" t="b">
        <v>0</v>
      </c>
      <c r="Q44" s="150">
        <v>50</v>
      </c>
      <c r="R44" s="150">
        <v>1</v>
      </c>
      <c r="S44" s="153" t="str">
        <f>IFERROR(_xll.qlRateHelperEarliestDate(M44,Trigger),"--")</f>
        <v>--</v>
      </c>
      <c r="T44" s="153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129</v>
      </c>
      <c r="B45" s="128" t="b">
        <v>1</v>
      </c>
      <c r="C45" s="68" t="str">
        <f>_xll.qlIMMNextCode(C44,B45,Trigger)</f>
        <v>U9</v>
      </c>
      <c r="D45" s="137"/>
      <c r="E45" s="137"/>
      <c r="F45" s="137"/>
      <c r="G45" s="66" t="str">
        <f t="shared" si="12"/>
        <v>UsdLibor3M</v>
      </c>
      <c r="H45" s="131" t="str">
        <f t="shared" si="13"/>
        <v>USDFUT3MU9_Quote</v>
      </c>
      <c r="I45" s="131" t="str">
        <f t="shared" si="14"/>
        <v>USDFUT3MU9ConvAdj_Quote</v>
      </c>
      <c r="J45" s="70" t="str">
        <f>_xll.qlFuturesRateHelper(,H45,$H$24,C45,G45,I45,Permanent,Trigger,ObjectOverwrite)</f>
        <v>obj_0030f#0006</v>
      </c>
      <c r="L45" s="77" t="str">
        <f t="shared" ref="L45:L81" si="15">A51</f>
        <v>Sw</v>
      </c>
      <c r="M45" s="154" t="str">
        <f t="shared" ref="M45:M81" si="16">IF(ISBLANK(J51),"--",J51)</f>
        <v>--</v>
      </c>
      <c r="N45" s="163" t="str">
        <f>IFERROR(_xll.qlRateHelperQuoteName(M45,Trigger),"--")</f>
        <v>--</v>
      </c>
      <c r="O45" s="156" t="str">
        <f>IFERROR(_xll.qlRateHelperQuoteValue($M45,Trigger),"--")</f>
        <v>--</v>
      </c>
      <c r="P45" s="155" t="b">
        <v>0</v>
      </c>
      <c r="Q45" s="154">
        <v>50</v>
      </c>
      <c r="R45" s="154">
        <v>1</v>
      </c>
      <c r="S45" s="157" t="str">
        <f>IFERROR(_xll.qlRateHelperEarliestDate(M45,Trigger),"--")</f>
        <v>--</v>
      </c>
      <c r="T45" s="157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129</v>
      </c>
      <c r="B46" s="128" t="b">
        <v>1</v>
      </c>
      <c r="C46" s="68" t="str">
        <f>_xll.qlIMMNextCode(C45,B46,Trigger)</f>
        <v>Z9</v>
      </c>
      <c r="D46" s="137"/>
      <c r="E46" s="137"/>
      <c r="F46" s="137"/>
      <c r="G46" s="66" t="str">
        <f t="shared" si="12"/>
        <v>UsdLibor3M</v>
      </c>
      <c r="H46" s="131" t="str">
        <f t="shared" si="13"/>
        <v>USDFUT3MZ9_Quote</v>
      </c>
      <c r="I46" s="131" t="str">
        <f t="shared" si="14"/>
        <v>USDFUT3MZ9ConvAdj_Quote</v>
      </c>
      <c r="J46" s="70" t="str">
        <f>_xll.qlFuturesRateHelper(,H46,$H$24,C46,G46,I46,Permanent,Trigger,ObjectOverwrite)</f>
        <v>obj_00310#0006</v>
      </c>
      <c r="L46" s="77" t="str">
        <f t="shared" si="15"/>
        <v>Sw</v>
      </c>
      <c r="M46" s="154" t="str">
        <f t="shared" si="16"/>
        <v>--</v>
      </c>
      <c r="N46" s="163" t="str">
        <f>IFERROR(_xll.qlRateHelperQuoteName(M46,Trigger),"--")</f>
        <v>--</v>
      </c>
      <c r="O46" s="156" t="str">
        <f>IFERROR(_xll.qlRateHelperQuoteValue($M46,Trigger),"--")</f>
        <v>--</v>
      </c>
      <c r="P46" s="155" t="b">
        <v>0</v>
      </c>
      <c r="Q46" s="154">
        <v>50</v>
      </c>
      <c r="R46" s="154">
        <v>1</v>
      </c>
      <c r="S46" s="157" t="str">
        <f>IFERROR(_xll.qlRateHelperEarliestDate(M46,Trigger),"--")</f>
        <v>--</v>
      </c>
      <c r="T46" s="157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1" t="s">
        <v>129</v>
      </c>
      <c r="B47" s="129" t="b">
        <v>1</v>
      </c>
      <c r="C47" s="10" t="str">
        <f>_xll.qlIMMNextCode(C46,B47,Trigger)</f>
        <v>H0</v>
      </c>
      <c r="D47" s="138"/>
      <c r="E47" s="138"/>
      <c r="F47" s="138"/>
      <c r="G47" s="7" t="str">
        <f t="shared" si="12"/>
        <v>UsdLibor3M</v>
      </c>
      <c r="H47" s="132" t="str">
        <f t="shared" si="13"/>
        <v>USDFUT3MH0_Quote</v>
      </c>
      <c r="I47" s="132" t="str">
        <f t="shared" si="14"/>
        <v>USDFUT3MH0ConvAdj_Quote</v>
      </c>
      <c r="J47" s="3" t="str">
        <f>_xll.qlFuturesRateHelper(,H47,$H$24,C47,G47,I47,Permanent,Trigger,ObjectOverwrite)</f>
        <v>obj_00311#0006</v>
      </c>
      <c r="L47" s="77" t="str">
        <f t="shared" si="15"/>
        <v>Sw</v>
      </c>
      <c r="M47" s="154" t="str">
        <f t="shared" si="16"/>
        <v>--</v>
      </c>
      <c r="N47" s="163" t="str">
        <f>IFERROR(_xll.qlRateHelperQuoteName(M47,Trigger),"--")</f>
        <v>--</v>
      </c>
      <c r="O47" s="156" t="str">
        <f>IFERROR(_xll.qlRateHelperQuoteValue($M47,Trigger),"--")</f>
        <v>--</v>
      </c>
      <c r="P47" s="155" t="b">
        <v>0</v>
      </c>
      <c r="Q47" s="154">
        <v>50</v>
      </c>
      <c r="R47" s="154">
        <v>1</v>
      </c>
      <c r="S47" s="157" t="str">
        <f>IFERROR(_xll.qlRateHelperEarliestDate(M47,Trigger),"--")</f>
        <v>--</v>
      </c>
      <c r="T47" s="157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G48" s="55" t="s">
        <v>149</v>
      </c>
      <c r="H48" s="55" t="s">
        <v>150</v>
      </c>
      <c r="L48" s="77" t="str">
        <f t="shared" si="15"/>
        <v>Sw</v>
      </c>
      <c r="M48" s="154" t="str">
        <f t="shared" si="16"/>
        <v>--</v>
      </c>
      <c r="N48" s="163" t="str">
        <f>IFERROR(_xll.qlRateHelperQuoteName(M48,Trigger),"--")</f>
        <v>--</v>
      </c>
      <c r="O48" s="156" t="str">
        <f>IFERROR(_xll.qlRateHelperQuoteValue($M48,Trigger),"--")</f>
        <v>--</v>
      </c>
      <c r="P48" s="155" t="b">
        <v>0</v>
      </c>
      <c r="Q48" s="154">
        <v>50</v>
      </c>
      <c r="R48" s="154">
        <v>1</v>
      </c>
      <c r="S48" s="157" t="str">
        <f>IFERROR(_xll.qlRateHelperEarliestDate(M48,Trigger),"--")</f>
        <v>--</v>
      </c>
      <c r="T48" s="157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71" t="s">
        <v>9</v>
      </c>
      <c r="B49" s="71" t="s">
        <v>30</v>
      </c>
      <c r="C49" s="71" t="s">
        <v>151</v>
      </c>
      <c r="D49" s="71" t="s">
        <v>5</v>
      </c>
      <c r="E49" s="71" t="s">
        <v>35</v>
      </c>
      <c r="F49" s="71" t="s">
        <v>152</v>
      </c>
      <c r="G49" s="71" t="s">
        <v>4</v>
      </c>
      <c r="H49" s="71" t="s">
        <v>1</v>
      </c>
      <c r="I49" s="71" t="s">
        <v>148</v>
      </c>
      <c r="J49" s="71" t="s">
        <v>25</v>
      </c>
      <c r="L49" s="77" t="str">
        <f t="shared" si="15"/>
        <v>Sw</v>
      </c>
      <c r="M49" s="154" t="str">
        <f t="shared" si="16"/>
        <v>obj_002a9#0004</v>
      </c>
      <c r="N49" s="163" t="str">
        <f>IFERROR(_xll.qlRateHelperQuoteName(M49,Trigger),"--")</f>
        <v>USDAM3L3Y_Quote</v>
      </c>
      <c r="O49" s="156">
        <f>IFERROR(_xll.qlRateHelperQuoteValue($M49,Trigger),"--")</f>
        <v>1.1379999999999999E-2</v>
      </c>
      <c r="P49" s="155" t="b">
        <v>1</v>
      </c>
      <c r="Q49" s="154">
        <v>50</v>
      </c>
      <c r="R49" s="154">
        <v>1</v>
      </c>
      <c r="S49" s="157">
        <f>IFERROR(_xll.qlRateHelperEarliestDate(M49,Trigger),"--")</f>
        <v>42261</v>
      </c>
      <c r="T49" s="157">
        <f>IFERROR(_xll.qlRateHelperPillarDate(M49,Trigger),"--")</f>
        <v>43357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58" t="s">
        <v>26</v>
      </c>
      <c r="B50" s="59" t="s">
        <v>29</v>
      </c>
      <c r="C50" s="60" t="s">
        <v>6</v>
      </c>
      <c r="D50" s="66" t="s">
        <v>8</v>
      </c>
      <c r="E50" s="66" t="s">
        <v>7</v>
      </c>
      <c r="F50" s="66" t="s">
        <v>28</v>
      </c>
      <c r="G50" s="66" t="str">
        <f t="shared" ref="G50:G87" si="17">PROPER(Currency)&amp;FamilyName&amp;Tenor</f>
        <v>UsdLibor3M</v>
      </c>
      <c r="H50" s="64" t="str">
        <f t="shared" ref="H50:H87" si="18">Currency&amp;$G$48&amp;$H$48&amp;$B50&amp;"_Quote"</f>
        <v>USDAM3L1Y_Quote</v>
      </c>
      <c r="I50" s="140">
        <v>0</v>
      </c>
      <c r="J50" s="63"/>
      <c r="L50" s="77" t="str">
        <f t="shared" si="15"/>
        <v>Sw</v>
      </c>
      <c r="M50" s="154" t="str">
        <f t="shared" si="16"/>
        <v>obj_00294#0004</v>
      </c>
      <c r="N50" s="163" t="str">
        <f>IFERROR(_xll.qlRateHelperQuoteName(M50,Trigger),"--")</f>
        <v>USDAM3L4Y_Quote</v>
      </c>
      <c r="O50" s="156">
        <f>IFERROR(_xll.qlRateHelperQuoteValue($M50,Trigger),"--")</f>
        <v>1.38E-2</v>
      </c>
      <c r="P50" s="155" t="b">
        <v>1</v>
      </c>
      <c r="Q50" s="154">
        <v>50</v>
      </c>
      <c r="R50" s="154">
        <v>1</v>
      </c>
      <c r="S50" s="157">
        <f>IFERROR(_xll.qlRateHelperEarliestDate(M50,Trigger),"--")</f>
        <v>42261</v>
      </c>
      <c r="T50" s="157">
        <f>IFERROR(_xll.qlRateHelperPillarDate(M50,Trigger),"--")</f>
        <v>43724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26</v>
      </c>
      <c r="B51" s="65" t="s">
        <v>63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7"/>
        <v>UsdLibor3M</v>
      </c>
      <c r="H51" s="64" t="str">
        <f t="shared" si="18"/>
        <v>USDAM3L15M_Quote</v>
      </c>
      <c r="I51" s="141">
        <v>0</v>
      </c>
      <c r="J51" s="70"/>
      <c r="L51" s="77" t="str">
        <f t="shared" si="15"/>
        <v>Sw</v>
      </c>
      <c r="M51" s="154" t="str">
        <f t="shared" si="16"/>
        <v>obj_0028b#0004</v>
      </c>
      <c r="N51" s="163" t="str">
        <f>IFERROR(_xll.qlRateHelperQuoteName(M51,Trigger),"--")</f>
        <v>USDAM3L5Y_Quote</v>
      </c>
      <c r="O51" s="156">
        <f>IFERROR(_xll.qlRateHelperQuoteValue($M51,Trigger),"--")</f>
        <v>1.585E-2</v>
      </c>
      <c r="P51" s="155" t="b">
        <v>1</v>
      </c>
      <c r="Q51" s="154">
        <v>50</v>
      </c>
      <c r="R51" s="154">
        <v>1</v>
      </c>
      <c r="S51" s="157">
        <f>IFERROR(_xll.qlRateHelperEarliestDate(M51,Trigger),"--")</f>
        <v>42261</v>
      </c>
      <c r="T51" s="157">
        <f>IFERROR(_xll.qlRateHelperPillarDate(M51,Trigger),"--")</f>
        <v>44088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26</v>
      </c>
      <c r="B52" s="65" t="s">
        <v>66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7"/>
        <v>UsdLibor3M</v>
      </c>
      <c r="H52" s="64" t="str">
        <f t="shared" si="18"/>
        <v>USDAM3L18M_Quote</v>
      </c>
      <c r="I52" s="141">
        <v>0</v>
      </c>
      <c r="J52" s="70"/>
      <c r="L52" s="77" t="str">
        <f t="shared" si="15"/>
        <v>Sw</v>
      </c>
      <c r="M52" s="154" t="str">
        <f t="shared" si="16"/>
        <v>obj_0028d#0004</v>
      </c>
      <c r="N52" s="163" t="str">
        <f>IFERROR(_xll.qlRateHelperQuoteName(M52,Trigger),"--")</f>
        <v>USDAM3L6Y_Quote</v>
      </c>
      <c r="O52" s="156">
        <f>IFERROR(_xll.qlRateHelperQuoteValue($M52,Trigger),"--")</f>
        <v>1.763E-2</v>
      </c>
      <c r="P52" s="155" t="b">
        <v>1</v>
      </c>
      <c r="Q52" s="154">
        <v>50</v>
      </c>
      <c r="R52" s="154">
        <v>1</v>
      </c>
      <c r="S52" s="157">
        <f>IFERROR(_xll.qlRateHelperEarliestDate(M52,Trigger),"--")</f>
        <v>42261</v>
      </c>
      <c r="T52" s="157">
        <f>IFERROR(_xll.qlRateHelperPillarDate(M52,Trigger),"--")</f>
        <v>44453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26</v>
      </c>
      <c r="B53" s="65" t="s">
        <v>69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7"/>
        <v>UsdLibor3M</v>
      </c>
      <c r="H53" s="64" t="str">
        <f t="shared" si="18"/>
        <v>USDAM3L21M_Quote</v>
      </c>
      <c r="I53" s="141">
        <v>0</v>
      </c>
      <c r="J53" s="70"/>
      <c r="L53" s="77" t="str">
        <f t="shared" si="15"/>
        <v>Sw</v>
      </c>
      <c r="M53" s="154" t="str">
        <f t="shared" si="16"/>
        <v>obj_002c3#0004</v>
      </c>
      <c r="N53" s="163" t="str">
        <f>IFERROR(_xll.qlRateHelperQuoteName(M53,Trigger),"--")</f>
        <v>USDAM3L7Y_Quote</v>
      </c>
      <c r="O53" s="156">
        <f>IFERROR(_xll.qlRateHelperQuoteValue($M53,Trigger),"--")</f>
        <v>1.9119999999999998E-2</v>
      </c>
      <c r="P53" s="155" t="b">
        <v>1</v>
      </c>
      <c r="Q53" s="154">
        <v>50</v>
      </c>
      <c r="R53" s="154">
        <v>1</v>
      </c>
      <c r="S53" s="157">
        <f>IFERROR(_xll.qlRateHelperEarliestDate(M53,Trigger),"--")</f>
        <v>42261</v>
      </c>
      <c r="T53" s="157">
        <f>IFERROR(_xll.qlRateHelperPillarDate(M53,Trigger),"--")</f>
        <v>44818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26</v>
      </c>
      <c r="B54" s="65" t="s">
        <v>72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7"/>
        <v>UsdLibor3M</v>
      </c>
      <c r="H54" s="64" t="str">
        <f t="shared" si="18"/>
        <v>USDAM3L2Y_Quote</v>
      </c>
      <c r="I54" s="141">
        <v>0</v>
      </c>
      <c r="J54" s="70"/>
      <c r="L54" s="77" t="str">
        <f t="shared" si="15"/>
        <v>Sw</v>
      </c>
      <c r="M54" s="154" t="str">
        <f t="shared" si="16"/>
        <v>obj_00288#0004</v>
      </c>
      <c r="N54" s="163" t="str">
        <f>IFERROR(_xll.qlRateHelperQuoteName(M54,Trigger),"--")</f>
        <v>USDAM3L8Y_Quote</v>
      </c>
      <c r="O54" s="156">
        <f>IFERROR(_xll.qlRateHelperQuoteValue($M54,Trigger),"--")</f>
        <v>2.035E-2</v>
      </c>
      <c r="P54" s="155" t="b">
        <v>1</v>
      </c>
      <c r="Q54" s="154">
        <v>50</v>
      </c>
      <c r="R54" s="154">
        <v>1</v>
      </c>
      <c r="S54" s="157">
        <f>IFERROR(_xll.qlRateHelperEarliestDate(M54,Trigger),"--")</f>
        <v>42261</v>
      </c>
      <c r="T54" s="157">
        <f>IFERROR(_xll.qlRateHelperPillarDate(M54,Trigger),"--")</f>
        <v>45183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26</v>
      </c>
      <c r="B55" s="65" t="s">
        <v>76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7"/>
        <v>UsdLibor3M</v>
      </c>
      <c r="H55" s="64" t="str">
        <f t="shared" si="18"/>
        <v>USDAM3L3Y_Quote</v>
      </c>
      <c r="I55" s="141">
        <v>0</v>
      </c>
      <c r="J55" s="70" t="str">
        <f>_xll.qlSwapRateHelper2(,H55,,B55,JoinCalendar,USD3M!D55,USD3M!E55,USD3M!F55,USD3M!G55,USD3M!I55,USD3M!C55,Discounting,PillarDate,,Permanent,Trigger,ObjectOverwrite)</f>
        <v>obj_002a9#0004</v>
      </c>
      <c r="L55" s="77" t="str">
        <f t="shared" si="15"/>
        <v>Sw</v>
      </c>
      <c r="M55" s="154" t="str">
        <f t="shared" si="16"/>
        <v>obj_002be#0004</v>
      </c>
      <c r="N55" s="163" t="str">
        <f>IFERROR(_xll.qlRateHelperQuoteName(M55,Trigger),"--")</f>
        <v>USDAM3L9Y_Quote</v>
      </c>
      <c r="O55" s="156">
        <f>IFERROR(_xll.qlRateHelperQuoteValue($M55,Trigger),"--")</f>
        <v>2.1349999999999997E-2</v>
      </c>
      <c r="P55" s="155" t="b">
        <v>1</v>
      </c>
      <c r="Q55" s="154">
        <v>50</v>
      </c>
      <c r="R55" s="154">
        <v>1</v>
      </c>
      <c r="S55" s="157">
        <f>IFERROR(_xll.qlRateHelperEarliestDate(M55,Trigger),"--")</f>
        <v>42261</v>
      </c>
      <c r="T55" s="157">
        <f>IFERROR(_xll.qlRateHelperPillarDate(M55,Trigger),"--")</f>
        <v>45551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26</v>
      </c>
      <c r="B56" s="65" t="s">
        <v>80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7"/>
        <v>UsdLibor3M</v>
      </c>
      <c r="H56" s="64" t="str">
        <f t="shared" si="18"/>
        <v>USDAM3L4Y_Quote</v>
      </c>
      <c r="I56" s="141">
        <v>0</v>
      </c>
      <c r="J56" s="70" t="str">
        <f>_xll.qlSwapRateHelper2(,H56,,B56,JoinCalendar,USD3M!D56,USD3M!E56,USD3M!F56,USD3M!G56,USD3M!I56,USD3M!C56,Discounting,PillarDate,,Permanent,Trigger,ObjectOverwrite)</f>
        <v>obj_00294#0004</v>
      </c>
      <c r="L56" s="77" t="str">
        <f t="shared" si="15"/>
        <v>Sw</v>
      </c>
      <c r="M56" s="154" t="str">
        <f t="shared" si="16"/>
        <v>obj_00292#0004</v>
      </c>
      <c r="N56" s="163" t="str">
        <f>IFERROR(_xll.qlRateHelperQuoteName(M56,Trigger),"--")</f>
        <v>USDAM3L10Y_Quote</v>
      </c>
      <c r="O56" s="156">
        <f>IFERROR(_xll.qlRateHelperQuoteValue($M56,Trigger),"--")</f>
        <v>2.2179999999999998E-2</v>
      </c>
      <c r="P56" s="155" t="b">
        <v>1</v>
      </c>
      <c r="Q56" s="154">
        <v>50</v>
      </c>
      <c r="R56" s="154">
        <v>1</v>
      </c>
      <c r="S56" s="157">
        <f>IFERROR(_xll.qlRateHelperEarliestDate(M56,Trigger),"--")</f>
        <v>42261</v>
      </c>
      <c r="T56" s="157">
        <f>IFERROR(_xll.qlRateHelperPillarDate(M56,Trigger),"--")</f>
        <v>45915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26</v>
      </c>
      <c r="B57" s="65" t="s">
        <v>84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7"/>
        <v>UsdLibor3M</v>
      </c>
      <c r="H57" s="64" t="str">
        <f t="shared" si="18"/>
        <v>USDAM3L5Y_Quote</v>
      </c>
      <c r="I57" s="141">
        <v>0</v>
      </c>
      <c r="J57" s="70" t="str">
        <f>_xll.qlSwapRateHelper2(,H57,,B57,JoinCalendar,USD3M!D57,USD3M!E57,USD3M!F57,USD3M!G57,USD3M!I57,USD3M!C57,Discounting,PillarDate,,Permanent,Trigger,ObjectOverwrite)</f>
        <v>obj_0028b#0004</v>
      </c>
      <c r="L57" s="77" t="str">
        <f t="shared" si="15"/>
        <v>Sw</v>
      </c>
      <c r="M57" s="155" t="str">
        <f t="shared" si="16"/>
        <v>--</v>
      </c>
      <c r="N57" s="163" t="str">
        <f>IFERROR(_xll.qlRateHelperQuoteName(M57,Trigger),"--")</f>
        <v>--</v>
      </c>
      <c r="O57" s="156" t="str">
        <f>IFERROR(_xll.qlRateHelperQuoteValue($M57,Trigger),"--")</f>
        <v>--</v>
      </c>
      <c r="P57" s="155" t="b">
        <v>0</v>
      </c>
      <c r="Q57" s="155">
        <v>50</v>
      </c>
      <c r="R57" s="155">
        <v>1</v>
      </c>
      <c r="S57" s="157" t="str">
        <f>IFERROR(_xll.qlRateHelperEarliestDate(M57,Trigger),"--")</f>
        <v>--</v>
      </c>
      <c r="T57" s="157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26</v>
      </c>
      <c r="B58" s="65" t="s">
        <v>85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7"/>
        <v>UsdLibor3M</v>
      </c>
      <c r="H58" s="64" t="str">
        <f t="shared" si="18"/>
        <v>USDAM3L6Y_Quote</v>
      </c>
      <c r="I58" s="141">
        <v>0</v>
      </c>
      <c r="J58" s="70" t="str">
        <f>_xll.qlSwapRateHelper2(,H58,,B58,JoinCalendar,USD3M!D58,USD3M!E58,USD3M!F58,USD3M!G58,USD3M!I58,USD3M!C58,Discounting,PillarDate,,Permanent,Trigger,ObjectOverwrite)</f>
        <v>obj_0028d#0004</v>
      </c>
      <c r="L58" s="77" t="str">
        <f t="shared" si="15"/>
        <v>Sw</v>
      </c>
      <c r="M58" s="155" t="str">
        <f t="shared" si="16"/>
        <v>obj_002bf#0004</v>
      </c>
      <c r="N58" s="163" t="str">
        <f>IFERROR(_xll.qlRateHelperQuoteName(M58,Trigger),"--")</f>
        <v>USDAM3L12Y_Quote</v>
      </c>
      <c r="O58" s="156">
        <f>IFERROR(_xll.qlRateHelperQuoteValue($M58,Trigger),"--")</f>
        <v>2.349E-2</v>
      </c>
      <c r="P58" s="155" t="b">
        <v>1</v>
      </c>
      <c r="Q58" s="155">
        <v>50</v>
      </c>
      <c r="R58" s="155">
        <v>1</v>
      </c>
      <c r="S58" s="157">
        <f>IFERROR(_xll.qlRateHelperEarliestDate(M58,Trigger),"--")</f>
        <v>42261</v>
      </c>
      <c r="T58" s="157">
        <f>IFERROR(_xll.qlRateHelperPillarDate(M58,Trigger),"--")</f>
        <v>46644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26</v>
      </c>
      <c r="B59" s="65" t="s">
        <v>86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 t="shared" si="17"/>
        <v>UsdLibor3M</v>
      </c>
      <c r="H59" s="64" t="str">
        <f t="shared" si="18"/>
        <v>USDAM3L7Y_Quote</v>
      </c>
      <c r="I59" s="141">
        <v>0</v>
      </c>
      <c r="J59" s="70" t="str">
        <f>_xll.qlSwapRateHelper2(,H59,,B59,JoinCalendar,USD3M!D59,USD3M!E59,USD3M!F59,USD3M!G59,USD3M!I59,USD3M!C59,Discounting,PillarDate,,Permanent,Trigger,ObjectOverwrite)</f>
        <v>obj_002c3#0004</v>
      </c>
      <c r="L59" s="77" t="str">
        <f t="shared" si="15"/>
        <v>Sw</v>
      </c>
      <c r="M59" s="155" t="str">
        <f t="shared" si="16"/>
        <v>--</v>
      </c>
      <c r="N59" s="163" t="str">
        <f>IFERROR(_xll.qlRateHelperQuoteName(M59,Trigger),"--")</f>
        <v>--</v>
      </c>
      <c r="O59" s="156" t="str">
        <f>IFERROR(_xll.qlRateHelperQuoteValue($M59,Trigger),"--")</f>
        <v>--</v>
      </c>
      <c r="P59" s="155" t="b">
        <v>0</v>
      </c>
      <c r="Q59" s="155">
        <v>50</v>
      </c>
      <c r="R59" s="155">
        <v>1</v>
      </c>
      <c r="S59" s="157" t="str">
        <f>IFERROR(_xll.qlRateHelperEarliestDate(M59,Trigger),"--")</f>
        <v>--</v>
      </c>
      <c r="T59" s="157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26</v>
      </c>
      <c r="B60" s="65" t="s">
        <v>87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 t="shared" si="17"/>
        <v>UsdLibor3M</v>
      </c>
      <c r="H60" s="64" t="str">
        <f t="shared" si="18"/>
        <v>USDAM3L8Y_Quote</v>
      </c>
      <c r="I60" s="141">
        <v>0</v>
      </c>
      <c r="J60" s="70" t="str">
        <f>_xll.qlSwapRateHelper2(,H60,,B60,JoinCalendar,USD3M!D60,USD3M!E60,USD3M!F60,USD3M!G60,USD3M!I60,USD3M!C60,Discounting,PillarDate,,Permanent,Trigger,ObjectOverwrite)</f>
        <v>obj_00288#0004</v>
      </c>
      <c r="L60" s="77" t="str">
        <f t="shared" si="15"/>
        <v>Sw</v>
      </c>
      <c r="M60" s="155" t="str">
        <f t="shared" si="16"/>
        <v>--</v>
      </c>
      <c r="N60" s="163" t="str">
        <f>IFERROR(_xll.qlRateHelperQuoteName(M60,Trigger),"--")</f>
        <v>--</v>
      </c>
      <c r="O60" s="156" t="str">
        <f>IFERROR(_xll.qlRateHelperQuoteValue($M60,Trigger),"--")</f>
        <v>--</v>
      </c>
      <c r="P60" s="155" t="b">
        <v>0</v>
      </c>
      <c r="Q60" s="155">
        <v>50</v>
      </c>
      <c r="R60" s="155">
        <v>1</v>
      </c>
      <c r="S60" s="157" t="str">
        <f>IFERROR(_xll.qlRateHelperEarliestDate(M60,Trigger),"--")</f>
        <v>--</v>
      </c>
      <c r="T60" s="157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26</v>
      </c>
      <c r="B61" s="65" t="s">
        <v>88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 t="shared" si="17"/>
        <v>UsdLibor3M</v>
      </c>
      <c r="H61" s="64" t="str">
        <f t="shared" si="18"/>
        <v>USDAM3L9Y_Quote</v>
      </c>
      <c r="I61" s="141">
        <v>0</v>
      </c>
      <c r="J61" s="70" t="str">
        <f>_xll.qlSwapRateHelper2(,H61,,B61,JoinCalendar,USD3M!D61,USD3M!E61,USD3M!F61,USD3M!G61,USD3M!I61,USD3M!C61,Discounting,PillarDate,,Permanent,Trigger,ObjectOverwrite)</f>
        <v>obj_002be#0004</v>
      </c>
      <c r="L61" s="77" t="str">
        <f t="shared" si="15"/>
        <v>Sw</v>
      </c>
      <c r="M61" s="155" t="str">
        <f t="shared" si="16"/>
        <v>obj_002a7#0004</v>
      </c>
      <c r="N61" s="163" t="str">
        <f>IFERROR(_xll.qlRateHelperQuoteName(M61,Trigger),"--")</f>
        <v>USDAM3L15Y_Quote</v>
      </c>
      <c r="O61" s="156">
        <f>IFERROR(_xll.qlRateHelperQuoteValue($M61,Trigger),"--")</f>
        <v>2.4760000000000001E-2</v>
      </c>
      <c r="P61" s="155" t="b">
        <v>1</v>
      </c>
      <c r="Q61" s="155">
        <v>50</v>
      </c>
      <c r="R61" s="155">
        <v>1</v>
      </c>
      <c r="S61" s="157">
        <f>IFERROR(_xll.qlRateHelperEarliestDate(M61,Trigger),"--")</f>
        <v>42261</v>
      </c>
      <c r="T61" s="157">
        <f>IFERROR(_xll.qlRateHelperPillarDate(M61,Trigger),"--")</f>
        <v>47742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26</v>
      </c>
      <c r="B62" s="65" t="s">
        <v>89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 t="shared" si="17"/>
        <v>UsdLibor3M</v>
      </c>
      <c r="H62" s="64" t="str">
        <f t="shared" si="18"/>
        <v>USDAM3L10Y_Quote</v>
      </c>
      <c r="I62" s="141">
        <v>0</v>
      </c>
      <c r="J62" s="70" t="str">
        <f>_xll.qlSwapRateHelper2(,H62,,B62,JoinCalendar,USD3M!D62,USD3M!E62,USD3M!F62,USD3M!G62,USD3M!I62,USD3M!C62,Discounting,PillarDate,,Permanent,Trigger,ObjectOverwrite)</f>
        <v>obj_00292#0004</v>
      </c>
      <c r="L62" s="77" t="str">
        <f t="shared" si="15"/>
        <v>Sw</v>
      </c>
      <c r="M62" s="155" t="str">
        <f t="shared" si="16"/>
        <v>--</v>
      </c>
      <c r="N62" s="163" t="str">
        <f>IFERROR(_xll.qlRateHelperQuoteName(M62,Trigger),"--")</f>
        <v>--</v>
      </c>
      <c r="O62" s="156" t="str">
        <f>IFERROR(_xll.qlRateHelperQuoteValue($M62,Trigger),"--")</f>
        <v>--</v>
      </c>
      <c r="P62" s="155" t="b">
        <v>0</v>
      </c>
      <c r="Q62" s="155">
        <v>50</v>
      </c>
      <c r="R62" s="155">
        <v>1</v>
      </c>
      <c r="S62" s="157" t="str">
        <f>IFERROR(_xll.qlRateHelperEarliestDate(M62,Trigger),"--")</f>
        <v>--</v>
      </c>
      <c r="T62" s="157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26</v>
      </c>
      <c r="B63" s="65" t="s">
        <v>133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 t="shared" si="17"/>
        <v>UsdLibor3M</v>
      </c>
      <c r="H63" s="64" t="str">
        <f t="shared" si="18"/>
        <v>USDAM3L11Y_Quote</v>
      </c>
      <c r="I63" s="141">
        <v>0</v>
      </c>
      <c r="J63" s="70"/>
      <c r="L63" s="77" t="str">
        <f t="shared" si="15"/>
        <v>Sw</v>
      </c>
      <c r="M63" s="155" t="str">
        <f t="shared" si="16"/>
        <v>--</v>
      </c>
      <c r="N63" s="163" t="str">
        <f>IFERROR(_xll.qlRateHelperQuoteName(M63,Trigger),"--")</f>
        <v>--</v>
      </c>
      <c r="O63" s="156" t="str">
        <f>IFERROR(_xll.qlRateHelperQuoteValue($M63,Trigger),"--")</f>
        <v>--</v>
      </c>
      <c r="P63" s="155" t="b">
        <v>0</v>
      </c>
      <c r="Q63" s="155">
        <v>50</v>
      </c>
      <c r="R63" s="155">
        <v>1</v>
      </c>
      <c r="S63" s="157" t="str">
        <f>IFERROR(_xll.qlRateHelperEarliestDate(M63,Trigger),"--")</f>
        <v>--</v>
      </c>
      <c r="T63" s="157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26</v>
      </c>
      <c r="B64" s="65" t="s">
        <v>90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 t="shared" si="17"/>
        <v>UsdLibor3M</v>
      </c>
      <c r="H64" s="64" t="str">
        <f t="shared" si="18"/>
        <v>USDAM3L12Y_Quote</v>
      </c>
      <c r="I64" s="141">
        <v>0</v>
      </c>
      <c r="J64" s="70" t="str">
        <f>_xll.qlSwapRateHelper2(,H64,,B64,JoinCalendar,USD3M!D64,USD3M!E64,USD3M!F64,USD3M!G64,USD3M!I64,USD3M!C64,Discounting,PillarDate,,Permanent,Trigger,ObjectOverwrite)</f>
        <v>obj_002bf#0004</v>
      </c>
      <c r="L64" s="77" t="str">
        <f t="shared" si="15"/>
        <v>Sw</v>
      </c>
      <c r="M64" s="155" t="str">
        <f t="shared" si="16"/>
        <v>--</v>
      </c>
      <c r="N64" s="163" t="str">
        <f>IFERROR(_xll.qlRateHelperQuoteName(M64,Trigger),"--")</f>
        <v>--</v>
      </c>
      <c r="O64" s="156" t="str">
        <f>IFERROR(_xll.qlRateHelperQuoteValue($M64,Trigger),"--")</f>
        <v>--</v>
      </c>
      <c r="P64" s="155" t="b">
        <v>0</v>
      </c>
      <c r="Q64" s="155">
        <v>50</v>
      </c>
      <c r="R64" s="155">
        <v>1</v>
      </c>
      <c r="S64" s="157" t="str">
        <f>IFERROR(_xll.qlRateHelperEarliestDate(M64,Trigger),"--")</f>
        <v>--</v>
      </c>
      <c r="T64" s="157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26</v>
      </c>
      <c r="B65" s="65" t="s">
        <v>134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 t="shared" si="17"/>
        <v>UsdLibor3M</v>
      </c>
      <c r="H65" s="64" t="str">
        <f t="shared" si="18"/>
        <v>USDAM3L13Y_Quote</v>
      </c>
      <c r="I65" s="141">
        <v>0</v>
      </c>
      <c r="J65" s="70"/>
      <c r="L65" s="77" t="str">
        <f t="shared" si="15"/>
        <v>Sw</v>
      </c>
      <c r="M65" s="155" t="str">
        <f t="shared" si="16"/>
        <v>--</v>
      </c>
      <c r="N65" s="163" t="str">
        <f>IFERROR(_xll.qlRateHelperQuoteName(M65,Trigger),"--")</f>
        <v>--</v>
      </c>
      <c r="O65" s="156" t="str">
        <f>IFERROR(_xll.qlRateHelperQuoteValue($M65,Trigger),"--")</f>
        <v>--</v>
      </c>
      <c r="P65" s="155" t="b">
        <v>0</v>
      </c>
      <c r="Q65" s="155">
        <v>50</v>
      </c>
      <c r="R65" s="155">
        <v>1</v>
      </c>
      <c r="S65" s="157" t="str">
        <f>IFERROR(_xll.qlRateHelperEarliestDate(M65,Trigger),"--")</f>
        <v>--</v>
      </c>
      <c r="T65" s="157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26</v>
      </c>
      <c r="B66" s="65" t="s">
        <v>135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 t="shared" si="17"/>
        <v>UsdLibor3M</v>
      </c>
      <c r="H66" s="64" t="str">
        <f t="shared" si="18"/>
        <v>USDAM3L14Y_Quote</v>
      </c>
      <c r="I66" s="141">
        <v>0</v>
      </c>
      <c r="J66" s="70"/>
      <c r="L66" s="77" t="str">
        <f t="shared" si="15"/>
        <v>Sw</v>
      </c>
      <c r="M66" s="155" t="str">
        <f t="shared" si="16"/>
        <v>obj_0029b#0004</v>
      </c>
      <c r="N66" s="163" t="str">
        <f>IFERROR(_xll.qlRateHelperQuoteName(M66,Trigger),"--")</f>
        <v>USDAM3L20Y_Quote</v>
      </c>
      <c r="O66" s="156">
        <f>IFERROR(_xll.qlRateHelperQuoteValue($M66,Trigger),"--")</f>
        <v>2.5920000000000002E-2</v>
      </c>
      <c r="P66" s="155" t="b">
        <v>1</v>
      </c>
      <c r="Q66" s="155">
        <v>50</v>
      </c>
      <c r="R66" s="155">
        <v>1</v>
      </c>
      <c r="S66" s="157">
        <f>IFERROR(_xll.qlRateHelperEarliestDate(M66,Trigger),"--")</f>
        <v>42261</v>
      </c>
      <c r="T66" s="157">
        <f>IFERROR(_xll.qlRateHelperPillarDate(M66,Trigger),"--")</f>
        <v>49566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6" t="str">
        <f>IFERROR(_xll.qlRateHelperRate(W66,Trigger),"")</f>
        <v/>
      </c>
      <c r="Z66" s="116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4" t="e">
        <v>#N/A</v>
      </c>
    </row>
    <row r="67" spans="1:29" ht="11.25" customHeight="1" x14ac:dyDescent="0.2">
      <c r="A67" s="64" t="s">
        <v>26</v>
      </c>
      <c r="B67" s="65" t="s">
        <v>91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 t="shared" si="17"/>
        <v>UsdLibor3M</v>
      </c>
      <c r="H67" s="64" t="str">
        <f t="shared" si="18"/>
        <v>USDAM3L15Y_Quote</v>
      </c>
      <c r="I67" s="141">
        <v>0</v>
      </c>
      <c r="J67" s="70" t="str">
        <f>_xll.qlSwapRateHelper2(,H67,,B67,JoinCalendar,USD3M!D67,USD3M!E67,USD3M!F67,USD3M!G67,USD3M!I67,USD3M!C67,Discounting,PillarDate,,Permanent,Trigger,ObjectOverwrite)</f>
        <v>obj_002a7#0004</v>
      </c>
      <c r="L67" s="77" t="str">
        <f t="shared" si="15"/>
        <v>Sw</v>
      </c>
      <c r="M67" s="155" t="str">
        <f t="shared" si="16"/>
        <v>--</v>
      </c>
      <c r="N67" s="163" t="str">
        <f>IFERROR(_xll.qlRateHelperQuoteName(M67,Trigger),"--")</f>
        <v>--</v>
      </c>
      <c r="O67" s="156" t="str">
        <f>IFERROR(_xll.qlRateHelperQuoteValue($M67,Trigger),"--")</f>
        <v>--</v>
      </c>
      <c r="P67" s="155" t="b">
        <v>0</v>
      </c>
      <c r="Q67" s="155">
        <v>50</v>
      </c>
      <c r="R67" s="155">
        <v>1</v>
      </c>
      <c r="S67" s="157" t="str">
        <f>IFERROR(_xll.qlRateHelperEarliestDate(M67,Trigger),"--")</f>
        <v>--</v>
      </c>
      <c r="T67" s="157" t="str">
        <f>IFERROR(_xll.qlRateHelperPillarDate(M67,Trigger),"--")</f>
        <v>--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6" t="str">
        <f>IFERROR(_xll.qlRateHelperRate(W67,Trigger),"")</f>
        <v/>
      </c>
      <c r="Z67" s="116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4" t="e">
        <v>#N/A</v>
      </c>
    </row>
    <row r="68" spans="1:29" ht="11.25" customHeight="1" x14ac:dyDescent="0.2">
      <c r="A68" s="64" t="s">
        <v>26</v>
      </c>
      <c r="B68" s="65" t="s">
        <v>136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 t="shared" si="17"/>
        <v>UsdLibor3M</v>
      </c>
      <c r="H68" s="64" t="str">
        <f t="shared" si="18"/>
        <v>USDAM3L16Y_Quote</v>
      </c>
      <c r="I68" s="141">
        <v>0</v>
      </c>
      <c r="J68" s="70"/>
      <c r="L68" s="77" t="str">
        <f t="shared" si="15"/>
        <v>Sw</v>
      </c>
      <c r="M68" s="155" t="str">
        <f t="shared" si="16"/>
        <v>--</v>
      </c>
      <c r="N68" s="163" t="str">
        <f>IFERROR(_xll.qlRateHelperQuoteName(M68,Trigger),"--")</f>
        <v>--</v>
      </c>
      <c r="O68" s="156" t="str">
        <f>IFERROR(_xll.qlRateHelperQuoteValue($M68,Trigger),"--")</f>
        <v>--</v>
      </c>
      <c r="P68" s="155" t="b">
        <v>0</v>
      </c>
      <c r="Q68" s="155">
        <v>50</v>
      </c>
      <c r="R68" s="155">
        <v>1</v>
      </c>
      <c r="S68" s="157" t="str">
        <f>IFERROR(_xll.qlRateHelperEarliestDate(M68,Trigger),"--")</f>
        <v>--</v>
      </c>
      <c r="T68" s="157" t="str">
        <f>IFERROR(_xll.qlRateHelperPillarDate(M68,Trigger),"--")</f>
        <v>--</v>
      </c>
      <c r="V68" s="4" t="str">
        <f t="shared" ref="V68:V88" si="19">IFERROR(INDEX($L$3:$L$88,MATCH(X68,$N$3:$N$88,0),1),"")</f>
        <v/>
      </c>
      <c r="W68" s="4" t="e">
        <v>#N/A</v>
      </c>
      <c r="X68" s="4" t="str">
        <f>IFERROR(_xll.qlRateHelperQuoteName(W68,Trigger),"")</f>
        <v/>
      </c>
      <c r="Y68" s="76" t="str">
        <f>IFERROR(_xll.qlRateHelperRate(W68,Trigger),"")</f>
        <v/>
      </c>
      <c r="Z68" s="116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4" t="e">
        <v>#N/A</v>
      </c>
    </row>
    <row r="69" spans="1:29" ht="11.25" customHeight="1" x14ac:dyDescent="0.2">
      <c r="A69" s="64" t="s">
        <v>26</v>
      </c>
      <c r="B69" s="65" t="s">
        <v>137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 t="shared" si="17"/>
        <v>UsdLibor3M</v>
      </c>
      <c r="H69" s="64" t="str">
        <f t="shared" si="18"/>
        <v>USDAM3L17Y_Quote</v>
      </c>
      <c r="I69" s="141">
        <v>0</v>
      </c>
      <c r="J69" s="70"/>
      <c r="L69" s="77" t="str">
        <f t="shared" si="15"/>
        <v>Sw</v>
      </c>
      <c r="M69" s="155" t="str">
        <f t="shared" si="16"/>
        <v>--</v>
      </c>
      <c r="N69" s="163" t="str">
        <f>IFERROR(_xll.qlRateHelperQuoteName(M69,Trigger),"--")</f>
        <v>--</v>
      </c>
      <c r="O69" s="156" t="str">
        <f>IFERROR(_xll.qlRateHelperQuoteValue($M69,Trigger),"--")</f>
        <v>--</v>
      </c>
      <c r="P69" s="155" t="b">
        <v>0</v>
      </c>
      <c r="Q69" s="155">
        <v>50</v>
      </c>
      <c r="R69" s="155">
        <v>1</v>
      </c>
      <c r="S69" s="157" t="str">
        <f>IFERROR(_xll.qlRateHelperEarliestDate(M69,Trigger),"--")</f>
        <v>--</v>
      </c>
      <c r="T69" s="157" t="str">
        <f>IFERROR(_xll.qlRateHelperPillarDate(M69,Trigger),"--")</f>
        <v>--</v>
      </c>
      <c r="V69" s="4" t="str">
        <f t="shared" si="19"/>
        <v/>
      </c>
      <c r="W69" s="4" t="e">
        <v>#N/A</v>
      </c>
      <c r="X69" s="4" t="str">
        <f>IFERROR(_xll.qlRateHelperQuoteName(W69,Trigger),"")</f>
        <v/>
      </c>
      <c r="Y69" s="76" t="str">
        <f>IFERROR(_xll.qlRateHelperRate(W69,Trigger),"")</f>
        <v/>
      </c>
      <c r="Z69" s="116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4" t="e">
        <v>#N/A</v>
      </c>
    </row>
    <row r="70" spans="1:29" ht="11.25" customHeight="1" x14ac:dyDescent="0.2">
      <c r="A70" s="64" t="s">
        <v>26</v>
      </c>
      <c r="B70" s="65" t="s">
        <v>138</v>
      </c>
      <c r="C70" s="66" t="s">
        <v>6</v>
      </c>
      <c r="D70" s="66" t="s">
        <v>8</v>
      </c>
      <c r="E70" s="66" t="s">
        <v>7</v>
      </c>
      <c r="F70" s="66" t="s">
        <v>28</v>
      </c>
      <c r="G70" s="66" t="str">
        <f t="shared" si="17"/>
        <v>UsdLibor3M</v>
      </c>
      <c r="H70" s="64" t="str">
        <f t="shared" si="18"/>
        <v>USDAM3L18Y_Quote</v>
      </c>
      <c r="I70" s="141">
        <v>0</v>
      </c>
      <c r="J70" s="70"/>
      <c r="L70" s="77" t="str">
        <f t="shared" si="15"/>
        <v>Sw</v>
      </c>
      <c r="M70" s="155" t="str">
        <f t="shared" si="16"/>
        <v>--</v>
      </c>
      <c r="N70" s="163" t="str">
        <f>IFERROR(_xll.qlRateHelperQuoteName(M70,Trigger),"--")</f>
        <v>--</v>
      </c>
      <c r="O70" s="156" t="str">
        <f>IFERROR(_xll.qlRateHelperQuoteValue($M70,Trigger),"--")</f>
        <v>--</v>
      </c>
      <c r="P70" s="155" t="b">
        <v>0</v>
      </c>
      <c r="Q70" s="155">
        <v>50</v>
      </c>
      <c r="R70" s="155">
        <v>1</v>
      </c>
      <c r="S70" s="157" t="str">
        <f>IFERROR(_xll.qlRateHelperEarliestDate(M70,Trigger),"--")</f>
        <v>--</v>
      </c>
      <c r="T70" s="157" t="str">
        <f>IFERROR(_xll.qlRateHelperPillarDate(M70,Trigger),"--")</f>
        <v>--</v>
      </c>
      <c r="V70" s="4" t="str">
        <f t="shared" si="19"/>
        <v/>
      </c>
      <c r="W70" s="4" t="e">
        <v>#N/A</v>
      </c>
      <c r="X70" s="4" t="str">
        <f>IFERROR(_xll.qlRateHelperQuoteName(W70,Trigger),"")</f>
        <v/>
      </c>
      <c r="Y70" s="76" t="str">
        <f>IFERROR(_xll.qlRateHelperRate(W70,Trigger),"")</f>
        <v/>
      </c>
      <c r="Z70" s="116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4" t="e">
        <v>#N/A</v>
      </c>
    </row>
    <row r="71" spans="1:29" ht="11.25" customHeight="1" x14ac:dyDescent="0.2">
      <c r="A71" s="64" t="s">
        <v>26</v>
      </c>
      <c r="B71" s="65" t="s">
        <v>139</v>
      </c>
      <c r="C71" s="66" t="s">
        <v>6</v>
      </c>
      <c r="D71" s="66" t="s">
        <v>8</v>
      </c>
      <c r="E71" s="66" t="s">
        <v>7</v>
      </c>
      <c r="F71" s="66" t="s">
        <v>28</v>
      </c>
      <c r="G71" s="66" t="str">
        <f t="shared" si="17"/>
        <v>UsdLibor3M</v>
      </c>
      <c r="H71" s="64" t="str">
        <f t="shared" si="18"/>
        <v>USDAM3L19Y_Quote</v>
      </c>
      <c r="I71" s="141">
        <v>0</v>
      </c>
      <c r="J71" s="70"/>
      <c r="L71" s="77" t="str">
        <f t="shared" si="15"/>
        <v>Sw</v>
      </c>
      <c r="M71" s="155" t="str">
        <f t="shared" si="16"/>
        <v>obj_002cb#0004</v>
      </c>
      <c r="N71" s="163" t="str">
        <f>IFERROR(_xll.qlRateHelperQuoteName(M71,Trigger),"--")</f>
        <v>USDAM3L25Y_Quote</v>
      </c>
      <c r="O71" s="156">
        <f>IFERROR(_xll.qlRateHelperQuoteValue($M71,Trigger),"--")</f>
        <v>2.6469999999999997E-2</v>
      </c>
      <c r="P71" s="155" t="b">
        <v>1</v>
      </c>
      <c r="Q71" s="155">
        <v>50</v>
      </c>
      <c r="R71" s="155">
        <v>1</v>
      </c>
      <c r="S71" s="157">
        <f>IFERROR(_xll.qlRateHelperEarliestDate(M71,Trigger),"--")</f>
        <v>42261</v>
      </c>
      <c r="T71" s="157">
        <f>IFERROR(_xll.qlRateHelperPillarDate(M71,Trigger),"--")</f>
        <v>51393</v>
      </c>
      <c r="V71" s="4" t="str">
        <f t="shared" si="19"/>
        <v/>
      </c>
      <c r="W71" s="4" t="e">
        <v>#N/A</v>
      </c>
      <c r="X71" s="4" t="str">
        <f>IFERROR(_xll.qlRateHelperQuoteName(W71,Trigger),"")</f>
        <v/>
      </c>
      <c r="Y71" s="76" t="str">
        <f>IFERROR(_xll.qlRateHelperRate(W71,Trigger),"")</f>
        <v/>
      </c>
      <c r="Z71" s="116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4" t="e">
        <v>#N/A</v>
      </c>
    </row>
    <row r="72" spans="1:29" ht="11.25" customHeight="1" x14ac:dyDescent="0.2">
      <c r="A72" s="64" t="s">
        <v>26</v>
      </c>
      <c r="B72" s="65" t="s">
        <v>92</v>
      </c>
      <c r="C72" s="66" t="s">
        <v>6</v>
      </c>
      <c r="D72" s="66" t="s">
        <v>8</v>
      </c>
      <c r="E72" s="66" t="s">
        <v>7</v>
      </c>
      <c r="F72" s="66" t="s">
        <v>28</v>
      </c>
      <c r="G72" s="66" t="str">
        <f t="shared" si="17"/>
        <v>UsdLibor3M</v>
      </c>
      <c r="H72" s="64" t="str">
        <f t="shared" si="18"/>
        <v>USDAM3L20Y_Quote</v>
      </c>
      <c r="I72" s="141">
        <v>0</v>
      </c>
      <c r="J72" s="70" t="str">
        <f>_xll.qlSwapRateHelper2(,H72,,B72,JoinCalendar,USD3M!D72,USD3M!E72,USD3M!F72,USD3M!G72,USD3M!I72,USD3M!C72,Discounting,PillarDate,,Permanent,Trigger,ObjectOverwrite)</f>
        <v>obj_0029b#0004</v>
      </c>
      <c r="L72" s="77" t="str">
        <f t="shared" si="15"/>
        <v>Sw</v>
      </c>
      <c r="M72" s="155" t="str">
        <f t="shared" si="16"/>
        <v>--</v>
      </c>
      <c r="N72" s="163" t="str">
        <f>IFERROR(_xll.qlRateHelperQuoteName(M72,Trigger),"--")</f>
        <v>--</v>
      </c>
      <c r="O72" s="156" t="str">
        <f>IFERROR(_xll.qlRateHelperQuoteValue($M72,Trigger),"--")</f>
        <v>--</v>
      </c>
      <c r="P72" s="155" t="b">
        <v>0</v>
      </c>
      <c r="Q72" s="155">
        <v>50</v>
      </c>
      <c r="R72" s="155">
        <v>1</v>
      </c>
      <c r="S72" s="157" t="str">
        <f>IFERROR(_xll.qlRateHelperEarliestDate(M72,Trigger),"--")</f>
        <v>--</v>
      </c>
      <c r="T72" s="157" t="str">
        <f>IFERROR(_xll.qlRateHelperPillarDate(M72,Trigger),"--")</f>
        <v>--</v>
      </c>
      <c r="V72" s="4" t="str">
        <f t="shared" si="19"/>
        <v/>
      </c>
      <c r="W72" s="4" t="e">
        <v>#N/A</v>
      </c>
      <c r="X72" s="4" t="str">
        <f>IFERROR(_xll.qlRateHelperQuoteName(W72,Trigger),"")</f>
        <v/>
      </c>
      <c r="Y72" s="76" t="str">
        <f>IFERROR(_xll.qlRateHelperRate(W72,Trigger),"")</f>
        <v/>
      </c>
      <c r="Z72" s="116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4" t="e">
        <v>#N/A</v>
      </c>
    </row>
    <row r="73" spans="1:29" ht="11.25" customHeight="1" x14ac:dyDescent="0.2">
      <c r="A73" s="64" t="s">
        <v>26</v>
      </c>
      <c r="B73" s="65" t="s">
        <v>140</v>
      </c>
      <c r="C73" s="66" t="s">
        <v>6</v>
      </c>
      <c r="D73" s="66" t="s">
        <v>8</v>
      </c>
      <c r="E73" s="66" t="s">
        <v>7</v>
      </c>
      <c r="F73" s="66" t="s">
        <v>28</v>
      </c>
      <c r="G73" s="66" t="str">
        <f t="shared" si="17"/>
        <v>UsdLibor3M</v>
      </c>
      <c r="H73" s="64" t="str">
        <f t="shared" si="18"/>
        <v>USDAM3L21Y_Quote</v>
      </c>
      <c r="I73" s="141">
        <v>0</v>
      </c>
      <c r="J73" s="70"/>
      <c r="L73" s="77" t="str">
        <f t="shared" si="15"/>
        <v>Sw</v>
      </c>
      <c r="M73" s="155" t="str">
        <f t="shared" si="16"/>
        <v>--</v>
      </c>
      <c r="N73" s="163" t="str">
        <f>IFERROR(_xll.qlRateHelperQuoteName(M73,Trigger),"--")</f>
        <v>--</v>
      </c>
      <c r="O73" s="156" t="str">
        <f>IFERROR(_xll.qlRateHelperQuoteValue($M73,Trigger),"--")</f>
        <v>--</v>
      </c>
      <c r="P73" s="155" t="b">
        <v>0</v>
      </c>
      <c r="Q73" s="155">
        <v>50</v>
      </c>
      <c r="R73" s="155">
        <v>1</v>
      </c>
      <c r="S73" s="157" t="str">
        <f>IFERROR(_xll.qlRateHelperEarliestDate(M73,Trigger),"--")</f>
        <v>--</v>
      </c>
      <c r="T73" s="157" t="str">
        <f>IFERROR(_xll.qlRateHelperPillarDate(M73,Trigger),"--")</f>
        <v>--</v>
      </c>
      <c r="V73" s="4" t="str">
        <f t="shared" si="19"/>
        <v/>
      </c>
      <c r="W73" s="4" t="e">
        <v>#N/A</v>
      </c>
      <c r="X73" s="4" t="str">
        <f>IFERROR(_xll.qlRateHelperQuoteName(W73,Trigger),"")</f>
        <v/>
      </c>
      <c r="Y73" s="76" t="str">
        <f>IFERROR(_xll.qlRateHelperRate(W73,Trigger),"")</f>
        <v/>
      </c>
      <c r="Z73" s="116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4" t="e">
        <v>#N/A</v>
      </c>
    </row>
    <row r="74" spans="1:29" ht="11.25" customHeight="1" x14ac:dyDescent="0.2">
      <c r="A74" s="64" t="s">
        <v>26</v>
      </c>
      <c r="B74" s="65" t="s">
        <v>141</v>
      </c>
      <c r="C74" s="66" t="s">
        <v>6</v>
      </c>
      <c r="D74" s="66" t="s">
        <v>8</v>
      </c>
      <c r="E74" s="66" t="s">
        <v>7</v>
      </c>
      <c r="F74" s="66" t="s">
        <v>28</v>
      </c>
      <c r="G74" s="66" t="str">
        <f t="shared" si="17"/>
        <v>UsdLibor3M</v>
      </c>
      <c r="H74" s="64" t="str">
        <f t="shared" si="18"/>
        <v>USDAM3L22Y_Quote</v>
      </c>
      <c r="I74" s="141">
        <v>0</v>
      </c>
      <c r="J74" s="70"/>
      <c r="L74" s="77" t="str">
        <f t="shared" si="15"/>
        <v>Sw</v>
      </c>
      <c r="M74" s="155" t="str">
        <f t="shared" si="16"/>
        <v>--</v>
      </c>
      <c r="N74" s="163" t="str">
        <f>IFERROR(_xll.qlRateHelperQuoteName(M74,Trigger),"--")</f>
        <v>--</v>
      </c>
      <c r="O74" s="156" t="str">
        <f>IFERROR(_xll.qlRateHelperQuoteValue($M74,Trigger),"--")</f>
        <v>--</v>
      </c>
      <c r="P74" s="155" t="b">
        <v>0</v>
      </c>
      <c r="Q74" s="155">
        <v>50</v>
      </c>
      <c r="R74" s="155">
        <v>1</v>
      </c>
      <c r="S74" s="157" t="str">
        <f>IFERROR(_xll.qlRateHelperEarliestDate(M74,Trigger),"--")</f>
        <v>--</v>
      </c>
      <c r="T74" s="157" t="str">
        <f>IFERROR(_xll.qlRateHelperPillarDate(M74,Trigger),"--")</f>
        <v>--</v>
      </c>
      <c r="V74" s="4" t="str">
        <f t="shared" si="19"/>
        <v/>
      </c>
      <c r="W74" s="4" t="e">
        <v>#N/A</v>
      </c>
      <c r="X74" s="4" t="str">
        <f>IFERROR(_xll.qlRateHelperQuoteName(W74,Trigger),"")</f>
        <v/>
      </c>
      <c r="Y74" s="76" t="str">
        <f>IFERROR(_xll.qlRateHelperRate(W74,Trigger),"")</f>
        <v/>
      </c>
      <c r="Z74" s="116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4" t="e">
        <v>#N/A</v>
      </c>
    </row>
    <row r="75" spans="1:29" ht="11.25" customHeight="1" x14ac:dyDescent="0.2">
      <c r="A75" s="64" t="s">
        <v>26</v>
      </c>
      <c r="B75" s="65" t="s">
        <v>142</v>
      </c>
      <c r="C75" s="66" t="s">
        <v>6</v>
      </c>
      <c r="D75" s="66" t="s">
        <v>8</v>
      </c>
      <c r="E75" s="66" t="s">
        <v>7</v>
      </c>
      <c r="F75" s="66" t="s">
        <v>28</v>
      </c>
      <c r="G75" s="66" t="str">
        <f t="shared" si="17"/>
        <v>UsdLibor3M</v>
      </c>
      <c r="H75" s="64" t="str">
        <f t="shared" si="18"/>
        <v>USDAM3L23Y_Quote</v>
      </c>
      <c r="I75" s="141">
        <v>0</v>
      </c>
      <c r="J75" s="70"/>
      <c r="L75" s="77" t="str">
        <f t="shared" si="15"/>
        <v>Sw</v>
      </c>
      <c r="M75" s="155" t="str">
        <f t="shared" si="16"/>
        <v>--</v>
      </c>
      <c r="N75" s="163" t="str">
        <f>IFERROR(_xll.qlRateHelperQuoteName(M75,Trigger),"--")</f>
        <v>--</v>
      </c>
      <c r="O75" s="156" t="str">
        <f>IFERROR(_xll.qlRateHelperQuoteValue($M75,Trigger),"--")</f>
        <v>--</v>
      </c>
      <c r="P75" s="155" t="b">
        <v>0</v>
      </c>
      <c r="Q75" s="155">
        <v>50</v>
      </c>
      <c r="R75" s="155">
        <v>1</v>
      </c>
      <c r="S75" s="157" t="str">
        <f>IFERROR(_xll.qlRateHelperEarliestDate(M75,Trigger),"--")</f>
        <v>--</v>
      </c>
      <c r="T75" s="157" t="str">
        <f>IFERROR(_xll.qlRateHelperPillarDate(M75,Trigger),"--")</f>
        <v>--</v>
      </c>
      <c r="V75" s="4" t="str">
        <f t="shared" si="19"/>
        <v/>
      </c>
      <c r="W75" s="4" t="e">
        <v>#N/A</v>
      </c>
      <c r="X75" s="4" t="str">
        <f>IFERROR(_xll.qlRateHelperQuoteName(W75,Trigger),"")</f>
        <v/>
      </c>
      <c r="Y75" s="76" t="str">
        <f>IFERROR(_xll.qlRateHelperRate(W75,Trigger),"")</f>
        <v/>
      </c>
      <c r="Z75" s="116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4" t="e">
        <v>#N/A</v>
      </c>
    </row>
    <row r="76" spans="1:29" ht="11.25" customHeight="1" x14ac:dyDescent="0.2">
      <c r="A76" s="64" t="s">
        <v>26</v>
      </c>
      <c r="B76" s="65" t="s">
        <v>143</v>
      </c>
      <c r="C76" s="66" t="s">
        <v>6</v>
      </c>
      <c r="D76" s="66" t="s">
        <v>8</v>
      </c>
      <c r="E76" s="66" t="s">
        <v>7</v>
      </c>
      <c r="F76" s="66" t="s">
        <v>28</v>
      </c>
      <c r="G76" s="66" t="str">
        <f t="shared" si="17"/>
        <v>UsdLibor3M</v>
      </c>
      <c r="H76" s="64" t="str">
        <f t="shared" si="18"/>
        <v>USDAM3L24Y_Quote</v>
      </c>
      <c r="I76" s="141">
        <v>0</v>
      </c>
      <c r="J76" s="70"/>
      <c r="L76" s="77" t="str">
        <f t="shared" si="15"/>
        <v>Sw</v>
      </c>
      <c r="M76" s="155" t="str">
        <f t="shared" si="16"/>
        <v>obj_00299#0004</v>
      </c>
      <c r="N76" s="163" t="str">
        <f>IFERROR(_xll.qlRateHelperQuoteName(M76,Trigger),"--")</f>
        <v>USDAM3L30Y_Quote</v>
      </c>
      <c r="O76" s="156">
        <f>IFERROR(_xll.qlRateHelperQuoteValue($M76,Trigger),"--")</f>
        <v>2.6800000000000001E-2</v>
      </c>
      <c r="P76" s="155" t="b">
        <v>1</v>
      </c>
      <c r="Q76" s="155">
        <v>50</v>
      </c>
      <c r="R76" s="155">
        <v>1</v>
      </c>
      <c r="S76" s="157">
        <f>IFERROR(_xll.qlRateHelperEarliestDate(M76,Trigger),"--")</f>
        <v>42261</v>
      </c>
      <c r="T76" s="157">
        <f>IFERROR(_xll.qlRateHelperPillarDate(M76,Trigger),"--")</f>
        <v>53219</v>
      </c>
      <c r="V76" s="4" t="str">
        <f t="shared" si="19"/>
        <v/>
      </c>
      <c r="W76" s="4" t="e">
        <v>#N/A</v>
      </c>
      <c r="X76" s="4" t="str">
        <f>IFERROR(_xll.qlRateHelperQuoteName(W76,Trigger),"")</f>
        <v/>
      </c>
      <c r="Y76" s="76" t="str">
        <f>IFERROR(_xll.qlRateHelperRate(W76,Trigger),"")</f>
        <v/>
      </c>
      <c r="Z76" s="116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4" t="e">
        <v>#N/A</v>
      </c>
    </row>
    <row r="77" spans="1:29" ht="11.25" customHeight="1" x14ac:dyDescent="0.2">
      <c r="A77" s="64" t="s">
        <v>26</v>
      </c>
      <c r="B77" s="65" t="s">
        <v>93</v>
      </c>
      <c r="C77" s="66" t="s">
        <v>6</v>
      </c>
      <c r="D77" s="66" t="s">
        <v>8</v>
      </c>
      <c r="E77" s="66" t="s">
        <v>7</v>
      </c>
      <c r="F77" s="66" t="s">
        <v>28</v>
      </c>
      <c r="G77" s="66" t="str">
        <f t="shared" si="17"/>
        <v>UsdLibor3M</v>
      </c>
      <c r="H77" s="64" t="str">
        <f t="shared" si="18"/>
        <v>USDAM3L25Y_Quote</v>
      </c>
      <c r="I77" s="141">
        <v>0</v>
      </c>
      <c r="J77" s="70" t="str">
        <f>_xll.qlSwapRateHelper2(,H77,,B77,JoinCalendar,USD3M!D77,USD3M!E77,USD3M!F77,USD3M!G77,USD3M!I77,USD3M!C77,Discounting,PillarDate,,Permanent,Trigger,ObjectOverwrite)</f>
        <v>obj_002cb#0004</v>
      </c>
      <c r="L77" s="77" t="str">
        <f t="shared" si="15"/>
        <v>Sw</v>
      </c>
      <c r="M77" s="155" t="str">
        <f t="shared" si="16"/>
        <v>--</v>
      </c>
      <c r="N77" s="163" t="str">
        <f>IFERROR(_xll.qlRateHelperQuoteName(M77,Trigger),"--")</f>
        <v>--</v>
      </c>
      <c r="O77" s="156" t="str">
        <f>IFERROR(_xll.qlRateHelperQuoteValue($M77,Trigger),"--")</f>
        <v>--</v>
      </c>
      <c r="P77" s="155" t="b">
        <v>0</v>
      </c>
      <c r="Q77" s="155">
        <v>50</v>
      </c>
      <c r="R77" s="155">
        <v>1</v>
      </c>
      <c r="S77" s="157" t="str">
        <f>IFERROR(_xll.qlRateHelperEarliestDate(M77,Trigger),"--")</f>
        <v>--</v>
      </c>
      <c r="T77" s="157" t="str">
        <f>IFERROR(_xll.qlRateHelperPillarDate(M77,Trigger),"--")</f>
        <v>--</v>
      </c>
      <c r="V77" s="4" t="str">
        <f t="shared" si="19"/>
        <v/>
      </c>
      <c r="W77" s="4" t="e">
        <v>#N/A</v>
      </c>
      <c r="X77" s="4" t="str">
        <f>IFERROR(_xll.qlRateHelperQuoteName(W77,Trigger),"")</f>
        <v/>
      </c>
      <c r="Y77" s="76" t="str">
        <f>IFERROR(_xll.qlRateHelperRate(W77,Trigger),"")</f>
        <v/>
      </c>
      <c r="Z77" s="116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4" t="e">
        <v>#N/A</v>
      </c>
    </row>
    <row r="78" spans="1:29" ht="11.25" customHeight="1" x14ac:dyDescent="0.2">
      <c r="A78" s="64" t="s">
        <v>26</v>
      </c>
      <c r="B78" s="65" t="s">
        <v>144</v>
      </c>
      <c r="C78" s="66" t="s">
        <v>6</v>
      </c>
      <c r="D78" s="66" t="s">
        <v>8</v>
      </c>
      <c r="E78" s="66" t="s">
        <v>7</v>
      </c>
      <c r="F78" s="66" t="s">
        <v>28</v>
      </c>
      <c r="G78" s="66" t="str">
        <f t="shared" si="17"/>
        <v>UsdLibor3M</v>
      </c>
      <c r="H78" s="64" t="str">
        <f t="shared" si="18"/>
        <v>USDAM3L26Y_Quote</v>
      </c>
      <c r="I78" s="141">
        <v>0</v>
      </c>
      <c r="J78" s="70"/>
      <c r="L78" s="77" t="str">
        <f t="shared" si="15"/>
        <v>Sw</v>
      </c>
      <c r="M78" s="155" t="str">
        <f t="shared" si="16"/>
        <v>obj_002b4#0004</v>
      </c>
      <c r="N78" s="163" t="str">
        <f>IFERROR(_xll.qlRateHelperQuoteName(M78,Trigger),"--")</f>
        <v>USDAM3L40Y_Quote</v>
      </c>
      <c r="O78" s="156">
        <f>IFERROR(_xll.qlRateHelperQuoteValue($M78,Trigger),"--")</f>
        <v>2.6960000000000001E-2</v>
      </c>
      <c r="P78" s="176" t="b">
        <f>NOT(ISERROR(_xll.qlQuoteValue(N78)))</f>
        <v>1</v>
      </c>
      <c r="Q78" s="155">
        <v>50</v>
      </c>
      <c r="R78" s="155">
        <v>1</v>
      </c>
      <c r="S78" s="157">
        <f>IFERROR(_xll.qlRateHelperEarliestDate(M78,Trigger),"--")</f>
        <v>42261</v>
      </c>
      <c r="T78" s="157">
        <f>IFERROR(_xll.qlRateHelperPillarDate(M78,Trigger),"--")</f>
        <v>56871</v>
      </c>
      <c r="V78" s="4" t="str">
        <f t="shared" si="19"/>
        <v/>
      </c>
      <c r="W78" s="4" t="e">
        <v>#N/A</v>
      </c>
      <c r="X78" s="4" t="str">
        <f>IFERROR(_xll.qlRateHelperQuoteName(W78,Trigger),"")</f>
        <v/>
      </c>
      <c r="Y78" s="76" t="str">
        <f>IFERROR(_xll.qlRateHelperRate(W78,Trigger),"")</f>
        <v/>
      </c>
      <c r="Z78" s="116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4" t="e">
        <v>#N/A</v>
      </c>
    </row>
    <row r="79" spans="1:29" ht="11.25" customHeight="1" x14ac:dyDescent="0.2">
      <c r="A79" s="64" t="s">
        <v>26</v>
      </c>
      <c r="B79" s="65" t="s">
        <v>94</v>
      </c>
      <c r="C79" s="66" t="s">
        <v>6</v>
      </c>
      <c r="D79" s="66" t="s">
        <v>8</v>
      </c>
      <c r="E79" s="66" t="s">
        <v>7</v>
      </c>
      <c r="F79" s="66" t="s">
        <v>28</v>
      </c>
      <c r="G79" s="66" t="str">
        <f t="shared" si="17"/>
        <v>UsdLibor3M</v>
      </c>
      <c r="H79" s="64" t="str">
        <f t="shared" si="18"/>
        <v>USDAM3L27Y_Quote</v>
      </c>
      <c r="I79" s="141">
        <v>0</v>
      </c>
      <c r="J79" s="70"/>
      <c r="L79" s="77" t="str">
        <f t="shared" si="15"/>
        <v>Sw</v>
      </c>
      <c r="M79" s="155" t="str">
        <f t="shared" si="16"/>
        <v>--</v>
      </c>
      <c r="N79" s="163" t="str">
        <f>IFERROR(_xll.qlRateHelperQuoteName(M79,Trigger),"--")</f>
        <v>--</v>
      </c>
      <c r="O79" s="156" t="str">
        <f>IFERROR(_xll.qlRateHelperQuoteValue($M79,Trigger),"--")</f>
        <v>--</v>
      </c>
      <c r="P79" s="155" t="b">
        <v>0</v>
      </c>
      <c r="Q79" s="155">
        <v>50</v>
      </c>
      <c r="R79" s="155">
        <v>1</v>
      </c>
      <c r="S79" s="157" t="str">
        <f>IFERROR(_xll.qlRateHelperEarliestDate(M79,Trigger),"--")</f>
        <v>--</v>
      </c>
      <c r="T79" s="157" t="str">
        <f>IFERROR(_xll.qlRateHelperPillarDate(M79,Trigger),"--")</f>
        <v>--</v>
      </c>
      <c r="V79" s="4" t="str">
        <f t="shared" si="19"/>
        <v/>
      </c>
      <c r="W79" s="4" t="e">
        <v>#N/A</v>
      </c>
      <c r="X79" s="4" t="str">
        <f>IFERROR(_xll.qlRateHelperQuoteName(W79,Trigger),"")</f>
        <v/>
      </c>
      <c r="Y79" s="76" t="str">
        <f>IFERROR(_xll.qlRateHelperRate(W79,Trigger),"")</f>
        <v/>
      </c>
      <c r="Z79" s="116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4" t="e">
        <v>#N/A</v>
      </c>
    </row>
    <row r="80" spans="1:29" ht="11.25" customHeight="1" x14ac:dyDescent="0.2">
      <c r="A80" s="64" t="s">
        <v>26</v>
      </c>
      <c r="B80" s="65" t="s">
        <v>145</v>
      </c>
      <c r="C80" s="66" t="s">
        <v>6</v>
      </c>
      <c r="D80" s="66" t="s">
        <v>8</v>
      </c>
      <c r="E80" s="66" t="s">
        <v>7</v>
      </c>
      <c r="F80" s="66" t="s">
        <v>28</v>
      </c>
      <c r="G80" s="66" t="str">
        <f t="shared" si="17"/>
        <v>UsdLibor3M</v>
      </c>
      <c r="H80" s="64" t="str">
        <f t="shared" si="18"/>
        <v>USDAM3L28Y_Quote</v>
      </c>
      <c r="I80" s="141">
        <v>0</v>
      </c>
      <c r="J80" s="70"/>
      <c r="L80" s="77" t="str">
        <f t="shared" si="15"/>
        <v>Sw</v>
      </c>
      <c r="M80" s="155" t="str">
        <f t="shared" si="16"/>
        <v>obj_002b3#0004</v>
      </c>
      <c r="N80" s="163" t="str">
        <f>IFERROR(_xll.qlRateHelperQuoteName(M80,Trigger),"--")</f>
        <v>USDAM3L50Y_Quote</v>
      </c>
      <c r="O80" s="156">
        <f>IFERROR(_xll.qlRateHelperQuoteValue($M80,Trigger),"--")</f>
        <v>2.682E-2</v>
      </c>
      <c r="P80" s="176" t="b">
        <f>NOT(ISERROR(_xll.qlQuoteValue(N80)))</f>
        <v>1</v>
      </c>
      <c r="Q80" s="155">
        <v>50</v>
      </c>
      <c r="R80" s="155">
        <v>1</v>
      </c>
      <c r="S80" s="157">
        <f>IFERROR(_xll.qlRateHelperEarliestDate(M80,Trigger),"--")</f>
        <v>42261</v>
      </c>
      <c r="T80" s="157">
        <f>IFERROR(_xll.qlRateHelperPillarDate(M80,Trigger),"--")</f>
        <v>60524</v>
      </c>
      <c r="V80" s="4" t="str">
        <f t="shared" si="19"/>
        <v/>
      </c>
      <c r="W80" s="4" t="e">
        <v>#N/A</v>
      </c>
      <c r="X80" s="4" t="str">
        <f>IFERROR(_xll.qlRateHelperQuoteName(W80,Trigger),"")</f>
        <v/>
      </c>
      <c r="Y80" s="76" t="str">
        <f>IFERROR(_xll.qlRateHelperRate(W80,Trigger),"")</f>
        <v/>
      </c>
      <c r="Z80" s="116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4" t="e">
        <v>#N/A</v>
      </c>
    </row>
    <row r="81" spans="1:29" x14ac:dyDescent="0.2">
      <c r="A81" s="64" t="s">
        <v>26</v>
      </c>
      <c r="B81" s="65" t="s">
        <v>146</v>
      </c>
      <c r="C81" s="66" t="s">
        <v>6</v>
      </c>
      <c r="D81" s="66" t="s">
        <v>8</v>
      </c>
      <c r="E81" s="66" t="s">
        <v>7</v>
      </c>
      <c r="F81" s="66" t="s">
        <v>28</v>
      </c>
      <c r="G81" s="66" t="str">
        <f t="shared" si="17"/>
        <v>UsdLibor3M</v>
      </c>
      <c r="H81" s="64" t="str">
        <f t="shared" si="18"/>
        <v>USDAM3L29Y_Quote</v>
      </c>
      <c r="I81" s="141">
        <v>0</v>
      </c>
      <c r="J81" s="70"/>
      <c r="L81" s="78" t="str">
        <f t="shared" si="15"/>
        <v>Sw</v>
      </c>
      <c r="M81" s="158" t="str">
        <f t="shared" si="16"/>
        <v>obj_00293#0004</v>
      </c>
      <c r="N81" s="163" t="str">
        <f>IFERROR(_xll.qlRateHelperQuoteName(M81,Trigger),"--")</f>
        <v>USDAM3L60Y_Quote</v>
      </c>
      <c r="O81" s="169" t="str">
        <f>IFERROR(_xll.qlRateHelperQuoteValue($M81,Trigger),"--")</f>
        <v>--</v>
      </c>
      <c r="P81" s="158" t="b">
        <v>0</v>
      </c>
      <c r="Q81" s="158">
        <v>50</v>
      </c>
      <c r="R81" s="158">
        <v>1</v>
      </c>
      <c r="S81" s="157">
        <f>IFERROR(_xll.qlRateHelperEarliestDate(M81,Trigger),"--")</f>
        <v>42261</v>
      </c>
      <c r="T81" s="157">
        <f>IFERROR(_xll.qlRateHelperPillarDate(M81,Trigger),"--")</f>
        <v>64178</v>
      </c>
      <c r="V81" s="4" t="str">
        <f t="shared" si="19"/>
        <v/>
      </c>
      <c r="W81" s="4" t="e">
        <v>#N/A</v>
      </c>
      <c r="X81" s="4" t="str">
        <f>IFERROR(_xll.qlRateHelperQuoteName(W81,Trigger),"")</f>
        <v/>
      </c>
      <c r="Y81" s="76" t="str">
        <f>IFERROR(_xll.qlRateHelperRate(W81,Trigger),"")</f>
        <v/>
      </c>
      <c r="Z81" s="116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4" t="e">
        <v>#N/A</v>
      </c>
    </row>
    <row r="82" spans="1:29" x14ac:dyDescent="0.2">
      <c r="A82" s="64" t="s">
        <v>26</v>
      </c>
      <c r="B82" s="65" t="s">
        <v>95</v>
      </c>
      <c r="C82" s="66" t="s">
        <v>6</v>
      </c>
      <c r="D82" s="66" t="s">
        <v>8</v>
      </c>
      <c r="E82" s="66" t="s">
        <v>7</v>
      </c>
      <c r="F82" s="66" t="s">
        <v>28</v>
      </c>
      <c r="G82" s="66" t="str">
        <f t="shared" si="17"/>
        <v>UsdLibor3M</v>
      </c>
      <c r="H82" s="64" t="str">
        <f t="shared" si="18"/>
        <v>USDAM3L30Y_Quote</v>
      </c>
      <c r="I82" s="141">
        <v>0</v>
      </c>
      <c r="J82" s="70" t="str">
        <f>_xll.qlSwapRateHelper2(,H82,,B82,JoinCalendar,USD3M!D82,USD3M!E82,USD3M!F82,USD3M!G82,USD3M!I82,USD3M!C82,Discounting,PillarDate,,Permanent,Trigger,ObjectOverwrite)</f>
        <v>obj_00299#0004</v>
      </c>
      <c r="L82" s="149" t="str">
        <f>A90</f>
        <v>Sw</v>
      </c>
      <c r="M82" s="151" t="str">
        <f>IF(ISBLANK(J90),"--",J90)</f>
        <v>qlSwapRateHelper2(,H90,,B90&amp;"M",JoinCalendar,USD3M!D90,USD3M!E90,USD3M!F90,USD3M!G90,USD3M!I90,USD3M!C90,Discounting,PillarDate,,Permanent,Trigger,ObjectOverwrite)</v>
      </c>
      <c r="N82" s="162" t="str">
        <f>IFERROR(_xll.qlRateHelperQuoteName(M82,Trigger),"--")</f>
        <v>--</v>
      </c>
      <c r="O82" s="152" t="str">
        <f>IFERROR(_xll.qlRateHelperQuoteValue($M82,Trigger),"--")</f>
        <v>--</v>
      </c>
      <c r="P82" s="151" t="b">
        <v>0</v>
      </c>
      <c r="Q82" s="151">
        <v>40</v>
      </c>
      <c r="R82" s="151">
        <v>1</v>
      </c>
      <c r="S82" s="153" t="str">
        <f>IFERROR(_xll.qlRateHelperEarliestDate(M82,Trigger),"--")</f>
        <v>--</v>
      </c>
      <c r="T82" s="153" t="str">
        <f>IFERROR(_xll.qlRateHelperPillarDate(M82,Trigger),"--")</f>
        <v>--</v>
      </c>
      <c r="V82" s="4" t="str">
        <f t="shared" si="19"/>
        <v/>
      </c>
      <c r="W82" s="4" t="e">
        <v>#N/A</v>
      </c>
      <c r="X82" s="4" t="str">
        <f>IFERROR(_xll.qlRateHelperQuoteName(W82,Trigger),"")</f>
        <v/>
      </c>
      <c r="Y82" s="76" t="str">
        <f>IFERROR(_xll.qlRateHelperRate(W82,Trigger),"")</f>
        <v/>
      </c>
      <c r="Z82" s="116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4" t="e">
        <v>#N/A</v>
      </c>
    </row>
    <row r="83" spans="1:29" x14ac:dyDescent="0.2">
      <c r="A83" s="64" t="s">
        <v>26</v>
      </c>
      <c r="B83" s="65" t="s">
        <v>96</v>
      </c>
      <c r="C83" s="66" t="s">
        <v>6</v>
      </c>
      <c r="D83" s="66" t="s">
        <v>8</v>
      </c>
      <c r="E83" s="66" t="s">
        <v>7</v>
      </c>
      <c r="F83" s="66" t="s">
        <v>28</v>
      </c>
      <c r="G83" s="66" t="str">
        <f t="shared" si="17"/>
        <v>UsdLibor3M</v>
      </c>
      <c r="H83" s="64" t="str">
        <f t="shared" si="18"/>
        <v>USDAM3L35Y_Quote</v>
      </c>
      <c r="I83" s="141">
        <v>0</v>
      </c>
      <c r="J83" s="70"/>
      <c r="L83" s="77" t="str">
        <f t="shared" ref="L83:L88" si="20">A91</f>
        <v>Sw</v>
      </c>
      <c r="M83" s="155" t="str">
        <f t="shared" ref="M83:M88" si="21">IF(ISBLANK(J91),"--",J91)</f>
        <v>--</v>
      </c>
      <c r="N83" s="163" t="str">
        <f>IFERROR(_xll.qlRateHelperQuoteName(M83,Trigger),"--")</f>
        <v>--</v>
      </c>
      <c r="O83" s="156" t="str">
        <f>IFERROR(_xll.qlRateHelperQuoteValue($M83,Trigger),"--")</f>
        <v>--</v>
      </c>
      <c r="P83" s="155" t="b">
        <v>0</v>
      </c>
      <c r="Q83" s="155">
        <v>40</v>
      </c>
      <c r="R83" s="155">
        <v>1</v>
      </c>
      <c r="S83" s="157" t="str">
        <f>IFERROR(_xll.qlRateHelperEarliestDate(M83,Trigger),"--")</f>
        <v>--</v>
      </c>
      <c r="T83" s="157" t="str">
        <f>IFERROR(_xll.qlRateHelperPillarDate(M83,Trigger),"--")</f>
        <v>--</v>
      </c>
      <c r="V83" s="4" t="str">
        <f t="shared" si="19"/>
        <v/>
      </c>
      <c r="W83" s="4" t="e">
        <v>#N/A</v>
      </c>
      <c r="X83" s="4" t="str">
        <f>IFERROR(_xll.qlRateHelperQuoteName(W83,Trigger),"")</f>
        <v/>
      </c>
      <c r="Y83" s="76" t="str">
        <f>IFERROR(_xll.qlRateHelperRate(W83,Trigger),"")</f>
        <v/>
      </c>
      <c r="Z83" s="116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4" t="e">
        <v>#N/A</v>
      </c>
    </row>
    <row r="84" spans="1:29" x14ac:dyDescent="0.2">
      <c r="A84" s="64" t="s">
        <v>26</v>
      </c>
      <c r="B84" s="65" t="s">
        <v>97</v>
      </c>
      <c r="C84" s="66" t="s">
        <v>6</v>
      </c>
      <c r="D84" s="66" t="s">
        <v>8</v>
      </c>
      <c r="E84" s="66" t="s">
        <v>7</v>
      </c>
      <c r="F84" s="66" t="s">
        <v>28</v>
      </c>
      <c r="G84" s="66" t="str">
        <f t="shared" si="17"/>
        <v>UsdLibor3M</v>
      </c>
      <c r="H84" s="64" t="str">
        <f t="shared" si="18"/>
        <v>USDAM3L40Y_Quote</v>
      </c>
      <c r="I84" s="139">
        <v>0</v>
      </c>
      <c r="J84" s="70" t="str">
        <f>_xll.qlSwapRateHelper2(,H84,,B84,JoinCalendar,USD3M!D84,USD3M!E84,USD3M!F84,USD3M!G84,USD3M!I84,USD3M!C84,Discounting,PillarDate,,Permanent,Trigger,ObjectOverwrite)</f>
        <v>obj_002b4#0004</v>
      </c>
      <c r="L84" s="77" t="str">
        <f t="shared" si="20"/>
        <v>Sw</v>
      </c>
      <c r="M84" s="155" t="str">
        <f t="shared" si="21"/>
        <v>--</v>
      </c>
      <c r="N84" s="163" t="str">
        <f>IFERROR(_xll.qlRateHelperQuoteName(M84,Trigger),"--")</f>
        <v>--</v>
      </c>
      <c r="O84" s="156" t="str">
        <f>IFERROR(_xll.qlRateHelperQuoteValue($M84,Trigger),"--")</f>
        <v>--</v>
      </c>
      <c r="P84" s="155" t="b">
        <v>0</v>
      </c>
      <c r="Q84" s="155">
        <v>40</v>
      </c>
      <c r="R84" s="155">
        <v>1</v>
      </c>
      <c r="S84" s="157" t="str">
        <f>IFERROR(_xll.qlRateHelperEarliestDate(M84,Trigger),"--")</f>
        <v>--</v>
      </c>
      <c r="T84" s="157" t="str">
        <f>IFERROR(_xll.qlRateHelperPillarDate(M84,Trigger),"--")</f>
        <v>--</v>
      </c>
      <c r="V84" s="4" t="str">
        <f t="shared" si="19"/>
        <v/>
      </c>
      <c r="W84" s="4" t="e">
        <v>#N/A</v>
      </c>
      <c r="X84" s="4" t="str">
        <f>IFERROR(_xll.qlRateHelperQuoteName(W84,Trigger),"")</f>
        <v/>
      </c>
      <c r="Y84" s="76" t="str">
        <f>IFERROR(_xll.qlRateHelperRate(W84,Trigger),"")</f>
        <v/>
      </c>
      <c r="Z84" s="116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4" t="e">
        <v>#N/A</v>
      </c>
    </row>
    <row r="85" spans="1:29" x14ac:dyDescent="0.2">
      <c r="A85" s="64" t="s">
        <v>26</v>
      </c>
      <c r="B85" s="65" t="s">
        <v>98</v>
      </c>
      <c r="C85" s="66" t="s">
        <v>6</v>
      </c>
      <c r="D85" s="66" t="s">
        <v>8</v>
      </c>
      <c r="E85" s="66" t="s">
        <v>7</v>
      </c>
      <c r="F85" s="66" t="s">
        <v>28</v>
      </c>
      <c r="G85" s="66" t="str">
        <f t="shared" si="17"/>
        <v>UsdLibor3M</v>
      </c>
      <c r="H85" s="64" t="str">
        <f t="shared" si="18"/>
        <v>USDAM3L45Y_Quote</v>
      </c>
      <c r="I85" s="139">
        <v>0</v>
      </c>
      <c r="J85" s="70"/>
      <c r="L85" s="77" t="str">
        <f t="shared" si="20"/>
        <v>Sw</v>
      </c>
      <c r="M85" s="155" t="str">
        <f t="shared" si="21"/>
        <v>--</v>
      </c>
      <c r="N85" s="163" t="str">
        <f>IFERROR(_xll.qlRateHelperQuoteName(M85,Trigger),"--")</f>
        <v>--</v>
      </c>
      <c r="O85" s="156" t="str">
        <f>IFERROR(_xll.qlRateHelperQuoteValue($M85,Trigger),"--")</f>
        <v>--</v>
      </c>
      <c r="P85" s="155" t="b">
        <v>0</v>
      </c>
      <c r="Q85" s="155">
        <v>40</v>
      </c>
      <c r="R85" s="155">
        <v>1</v>
      </c>
      <c r="S85" s="157" t="str">
        <f>IFERROR(_xll.qlRateHelperEarliestDate(M85,Trigger),"--")</f>
        <v>--</v>
      </c>
      <c r="T85" s="157" t="str">
        <f>IFERROR(_xll.qlRateHelperPillarDate(M85,Trigger),"--")</f>
        <v>--</v>
      </c>
      <c r="V85" s="4" t="str">
        <f t="shared" si="19"/>
        <v/>
      </c>
      <c r="W85" s="4" t="e">
        <v>#N/A</v>
      </c>
      <c r="X85" s="4" t="str">
        <f>IFERROR(_xll.qlRateHelperQuoteName(W85,Trigger),"")</f>
        <v/>
      </c>
      <c r="Y85" s="76" t="str">
        <f>IFERROR(_xll.qlRateHelperRate(W85,Trigger),"")</f>
        <v/>
      </c>
      <c r="Z85" s="116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4" t="e">
        <v>#N/A</v>
      </c>
    </row>
    <row r="86" spans="1:29" x14ac:dyDescent="0.2">
      <c r="A86" s="64" t="s">
        <v>26</v>
      </c>
      <c r="B86" s="65" t="s">
        <v>99</v>
      </c>
      <c r="C86" s="66" t="s">
        <v>6</v>
      </c>
      <c r="D86" s="66" t="s">
        <v>8</v>
      </c>
      <c r="E86" s="66" t="s">
        <v>7</v>
      </c>
      <c r="F86" s="66" t="s">
        <v>28</v>
      </c>
      <c r="G86" s="66" t="str">
        <f t="shared" si="17"/>
        <v>UsdLibor3M</v>
      </c>
      <c r="H86" s="64" t="str">
        <f t="shared" si="18"/>
        <v>USDAM3L50Y_Quote</v>
      </c>
      <c r="I86" s="139">
        <v>0</v>
      </c>
      <c r="J86" s="70" t="str">
        <f>_xll.qlSwapRateHelper2(,H86,,B86,JoinCalendar,USD3M!D86,USD3M!E86,USD3M!F86,USD3M!G86,USD3M!I86,USD3M!C86,Discounting,PillarDate,,Permanent,Trigger,ObjectOverwrite)</f>
        <v>obj_002b3#0004</v>
      </c>
      <c r="L86" s="77" t="str">
        <f t="shared" si="20"/>
        <v>Sw</v>
      </c>
      <c r="M86" s="155" t="str">
        <f t="shared" si="21"/>
        <v>--</v>
      </c>
      <c r="N86" s="163" t="str">
        <f>IFERROR(_xll.qlRateHelperQuoteName(M86,Trigger),"--")</f>
        <v>--</v>
      </c>
      <c r="O86" s="156" t="str">
        <f>IFERROR(_xll.qlRateHelperQuoteValue($M86,Trigger),"--")</f>
        <v>--</v>
      </c>
      <c r="P86" s="155" t="b">
        <v>0</v>
      </c>
      <c r="Q86" s="155">
        <v>40</v>
      </c>
      <c r="R86" s="155">
        <v>1</v>
      </c>
      <c r="S86" s="157" t="str">
        <f>IFERROR(_xll.qlRateHelperEarliestDate(M86,Trigger),"--")</f>
        <v>--</v>
      </c>
      <c r="T86" s="157" t="str">
        <f>IFERROR(_xll.qlRateHelperPillarDate(M86,Trigger),"--")</f>
        <v>--</v>
      </c>
      <c r="V86" s="4" t="str">
        <f t="shared" si="19"/>
        <v/>
      </c>
      <c r="W86" s="4" t="e">
        <v>#N/A</v>
      </c>
      <c r="X86" s="4" t="str">
        <f>IFERROR(_xll.qlRateHelperQuoteName(W86,Trigger),"")</f>
        <v/>
      </c>
      <c r="Y86" s="76" t="str">
        <f>IFERROR(_xll.qlRateHelperRate(W86,Trigger),"")</f>
        <v/>
      </c>
      <c r="Z86" s="116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4" t="e">
        <v>#N/A</v>
      </c>
    </row>
    <row r="87" spans="1:29" x14ac:dyDescent="0.2">
      <c r="A87" s="1" t="s">
        <v>26</v>
      </c>
      <c r="B87" s="9" t="s">
        <v>147</v>
      </c>
      <c r="C87" s="7" t="s">
        <v>6</v>
      </c>
      <c r="D87" s="7" t="s">
        <v>8</v>
      </c>
      <c r="E87" s="7" t="s">
        <v>7</v>
      </c>
      <c r="F87" s="7" t="s">
        <v>28</v>
      </c>
      <c r="G87" s="7" t="str">
        <f t="shared" si="17"/>
        <v>UsdLibor3M</v>
      </c>
      <c r="H87" s="1" t="str">
        <f t="shared" si="18"/>
        <v>USDAM3L60Y_Quote</v>
      </c>
      <c r="I87" s="142">
        <v>0</v>
      </c>
      <c r="J87" s="3" t="str">
        <f>_xll.qlSwapRateHelper2(,H87,,B87,JoinCalendar,USD3M!D87,USD3M!E87,USD3M!F87,USD3M!G87,USD3M!I87,USD3M!C87,Discounting,PillarDate,,Permanent,Trigger,ObjectOverwrite)</f>
        <v>obj_00293#0004</v>
      </c>
      <c r="L87" s="77" t="str">
        <f t="shared" si="20"/>
        <v>Sw</v>
      </c>
      <c r="M87" s="155" t="str">
        <f t="shared" si="21"/>
        <v>--</v>
      </c>
      <c r="N87" s="163" t="str">
        <f>IFERROR(_xll.qlRateHelperQuoteName(M87,Trigger),"--")</f>
        <v>--</v>
      </c>
      <c r="O87" s="156" t="str">
        <f>IFERROR(_xll.qlRateHelperQuoteValue($M87,Trigger),"--")</f>
        <v>--</v>
      </c>
      <c r="P87" s="155" t="b">
        <v>0</v>
      </c>
      <c r="Q87" s="155">
        <v>40</v>
      </c>
      <c r="R87" s="155">
        <v>1</v>
      </c>
      <c r="S87" s="157" t="str">
        <f>IFERROR(_xll.qlRateHelperEarliestDate(M87,Trigger),"--")</f>
        <v>--</v>
      </c>
      <c r="T87" s="157" t="str">
        <f>IFERROR(_xll.qlRateHelperPillarDate(M87,Trigger),"--")</f>
        <v>--</v>
      </c>
      <c r="V87" s="4" t="str">
        <f t="shared" si="19"/>
        <v/>
      </c>
      <c r="W87" s="4" t="e">
        <v>#N/A</v>
      </c>
      <c r="X87" s="4" t="str">
        <f>IFERROR(_xll.qlRateHelperQuoteName(W87,Trigger),"")</f>
        <v/>
      </c>
      <c r="Y87" s="76" t="str">
        <f>IFERROR(_xll.qlRateHelperRate(W87,Trigger),"")</f>
        <v/>
      </c>
      <c r="Z87" s="116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4" t="e">
        <v>#N/A</v>
      </c>
    </row>
    <row r="88" spans="1:29" x14ac:dyDescent="0.2">
      <c r="L88" s="78" t="str">
        <f t="shared" si="20"/>
        <v>Sw</v>
      </c>
      <c r="M88" s="158" t="str">
        <f t="shared" si="21"/>
        <v>--</v>
      </c>
      <c r="N88" s="168" t="str">
        <f>IFERROR(_xll.qlRateHelperQuoteName(M88,Trigger),"--")</f>
        <v>--</v>
      </c>
      <c r="O88" s="169" t="str">
        <f>IFERROR(_xll.qlRateHelperQuoteValue($M88,Trigger),"--")</f>
        <v>--</v>
      </c>
      <c r="P88" s="158" t="b">
        <v>0</v>
      </c>
      <c r="Q88" s="158">
        <v>40</v>
      </c>
      <c r="R88" s="158">
        <v>1</v>
      </c>
      <c r="S88" s="167" t="str">
        <f>IFERROR(_xll.qlRateHelperEarliestDate(M88,Trigger),"--")</f>
        <v>--</v>
      </c>
      <c r="T88" s="167" t="str">
        <f>IFERROR(_xll.qlRateHelperPillarDate(M88,Trigger),"--")</f>
        <v>--</v>
      </c>
      <c r="V88" s="6" t="str">
        <f t="shared" si="19"/>
        <v/>
      </c>
      <c r="W88" s="6" t="e">
        <v>#N/A</v>
      </c>
      <c r="X88" s="6" t="str">
        <f>IFERROR(_xll.qlRateHelperQuoteName(W88,Trigger),"")</f>
        <v/>
      </c>
      <c r="Y88" s="86" t="str">
        <f>IFERROR(_xll.qlRateHelperRate(W88,Trigger),"")</f>
        <v/>
      </c>
      <c r="Z88" s="117" t="str">
        <f>IF(ISERROR(_xll.qlSwapRateHelperSpread($W88)),IF(ISERROR(_xll.qlFuturesRateHelperConvexityAdjustment($W88)),"",_xll.qlFuturesRateHelperConvexityAdjustment($W88)),_xll.qlSwapRateHelperSpread($W88))</f>
        <v/>
      </c>
      <c r="AA88" s="13" t="str">
        <f>IFERROR(_xll.qlRateHelperEarliestDate(W88,Trigger),"")</f>
        <v/>
      </c>
      <c r="AB88" s="13" t="str">
        <f>IFERROR(_xll.qlRateHelperPillarDate(W88,Trigger),"")</f>
        <v/>
      </c>
      <c r="AC88" s="85" t="e">
        <v>#N/A</v>
      </c>
    </row>
    <row r="89" spans="1:29" x14ac:dyDescent="0.2">
      <c r="A89" s="71" t="s">
        <v>9</v>
      </c>
      <c r="B89" s="71" t="s">
        <v>30</v>
      </c>
      <c r="C89" s="71" t="s">
        <v>151</v>
      </c>
      <c r="D89" s="71" t="s">
        <v>5</v>
      </c>
      <c r="E89" s="71" t="s">
        <v>35</v>
      </c>
      <c r="F89" s="71" t="s">
        <v>152</v>
      </c>
      <c r="G89" s="71" t="s">
        <v>4</v>
      </c>
      <c r="H89" s="71" t="s">
        <v>1</v>
      </c>
      <c r="I89" s="71" t="s">
        <v>148</v>
      </c>
      <c r="J89" s="71" t="s">
        <v>25</v>
      </c>
    </row>
    <row r="90" spans="1:29" x14ac:dyDescent="0.2">
      <c r="A90" s="58" t="s">
        <v>26</v>
      </c>
      <c r="B90" s="127">
        <v>12</v>
      </c>
      <c r="C90" s="60" t="s">
        <v>6</v>
      </c>
      <c r="D90" s="66" t="s">
        <v>8</v>
      </c>
      <c r="E90" s="66" t="s">
        <v>7</v>
      </c>
      <c r="F90" s="66" t="s">
        <v>28</v>
      </c>
      <c r="G90" s="66" t="str">
        <f t="shared" ref="G90:G96" si="22">PROPER(Currency)&amp;FamilyName&amp;Tenor</f>
        <v>UsdLibor3M</v>
      </c>
      <c r="H90" s="64" t="str">
        <f>Currency&amp;"1S"&amp;$B90&amp;"_Quote"</f>
        <v>USD1S12_Quote</v>
      </c>
      <c r="I90" s="140">
        <v>0</v>
      </c>
      <c r="J90" s="63" t="s">
        <v>154</v>
      </c>
      <c r="K90" s="51" t="s">
        <v>47</v>
      </c>
    </row>
    <row r="91" spans="1:29" x14ac:dyDescent="0.2">
      <c r="A91" s="64" t="s">
        <v>26</v>
      </c>
      <c r="B91" s="128">
        <v>12</v>
      </c>
      <c r="C91" s="66" t="s">
        <v>6</v>
      </c>
      <c r="D91" s="66" t="s">
        <v>8</v>
      </c>
      <c r="E91" s="66" t="s">
        <v>7</v>
      </c>
      <c r="F91" s="66" t="s">
        <v>28</v>
      </c>
      <c r="G91" s="66" t="str">
        <f t="shared" si="22"/>
        <v>UsdLibor3M</v>
      </c>
      <c r="H91" s="64" t="str">
        <f>Currency&amp;"2S"&amp;$B91&amp;"_Quote"</f>
        <v>USD2S12_Quote</v>
      </c>
      <c r="I91" s="141">
        <v>0</v>
      </c>
      <c r="J91" s="70"/>
    </row>
    <row r="92" spans="1:29" x14ac:dyDescent="0.2">
      <c r="A92" s="64" t="s">
        <v>26</v>
      </c>
      <c r="B92" s="128">
        <v>12</v>
      </c>
      <c r="C92" s="66" t="s">
        <v>6</v>
      </c>
      <c r="D92" s="66" t="s">
        <v>8</v>
      </c>
      <c r="E92" s="66" t="s">
        <v>7</v>
      </c>
      <c r="F92" s="66" t="s">
        <v>28</v>
      </c>
      <c r="G92" s="66" t="str">
        <f t="shared" si="22"/>
        <v>UsdLibor3M</v>
      </c>
      <c r="H92" s="64" t="str">
        <f>Currency&amp;"3S"&amp;$B92&amp;"_Quote"</f>
        <v>USD3S12_Quote</v>
      </c>
      <c r="I92" s="141">
        <v>0</v>
      </c>
      <c r="J92" s="70"/>
    </row>
    <row r="93" spans="1:29" x14ac:dyDescent="0.2">
      <c r="A93" s="64" t="s">
        <v>26</v>
      </c>
      <c r="B93" s="128">
        <v>12</v>
      </c>
      <c r="C93" s="66" t="s">
        <v>6</v>
      </c>
      <c r="D93" s="66" t="s">
        <v>8</v>
      </c>
      <c r="E93" s="66" t="s">
        <v>7</v>
      </c>
      <c r="F93" s="66" t="s">
        <v>28</v>
      </c>
      <c r="G93" s="66" t="str">
        <f t="shared" si="22"/>
        <v>UsdLibor3M</v>
      </c>
      <c r="H93" s="64" t="str">
        <f>Currency&amp;"4S"&amp;$B93&amp;"_Quote"</f>
        <v>USD4S12_Quote</v>
      </c>
      <c r="I93" s="141">
        <v>0</v>
      </c>
      <c r="J93" s="70"/>
    </row>
    <row r="94" spans="1:29" x14ac:dyDescent="0.2">
      <c r="A94" s="64" t="s">
        <v>26</v>
      </c>
      <c r="B94" s="128">
        <v>24</v>
      </c>
      <c r="C94" s="66" t="s">
        <v>6</v>
      </c>
      <c r="D94" s="66" t="s">
        <v>8</v>
      </c>
      <c r="E94" s="66" t="s">
        <v>7</v>
      </c>
      <c r="F94" s="66" t="s">
        <v>28</v>
      </c>
      <c r="G94" s="66" t="str">
        <f t="shared" si="22"/>
        <v>UsdLibor3M</v>
      </c>
      <c r="H94" s="64" t="str">
        <f>Currency&amp;"1S"&amp;$B94&amp;"_Quote"</f>
        <v>USD1S24_Quote</v>
      </c>
      <c r="I94" s="141">
        <v>0</v>
      </c>
      <c r="J94" s="70"/>
    </row>
    <row r="95" spans="1:29" x14ac:dyDescent="0.2">
      <c r="A95" s="64" t="s">
        <v>26</v>
      </c>
      <c r="B95" s="128">
        <v>24</v>
      </c>
      <c r="C95" s="66" t="s">
        <v>6</v>
      </c>
      <c r="D95" s="66" t="s">
        <v>8</v>
      </c>
      <c r="E95" s="66" t="s">
        <v>7</v>
      </c>
      <c r="F95" s="66" t="s">
        <v>28</v>
      </c>
      <c r="G95" s="66" t="str">
        <f t="shared" si="22"/>
        <v>UsdLibor3M</v>
      </c>
      <c r="H95" s="64" t="str">
        <f>Currency&amp;"2S"&amp;$B95&amp;"_Quote"</f>
        <v>USD2S24_Quote</v>
      </c>
      <c r="I95" s="141">
        <v>0</v>
      </c>
      <c r="J95" s="70"/>
    </row>
    <row r="96" spans="1:29" x14ac:dyDescent="0.2">
      <c r="A96" s="1" t="s">
        <v>26</v>
      </c>
      <c r="B96" s="129">
        <v>36</v>
      </c>
      <c r="C96" s="7" t="s">
        <v>6</v>
      </c>
      <c r="D96" s="7" t="s">
        <v>8</v>
      </c>
      <c r="E96" s="7" t="s">
        <v>7</v>
      </c>
      <c r="F96" s="7" t="s">
        <v>28</v>
      </c>
      <c r="G96" s="7" t="str">
        <f t="shared" si="22"/>
        <v>UsdLibor3M</v>
      </c>
      <c r="H96" s="1" t="str">
        <f>Currency&amp;"1S"&amp;$B96&amp;"_Quote"</f>
        <v>USD1S36_Quote</v>
      </c>
      <c r="I96" s="144">
        <v>0</v>
      </c>
      <c r="J96" s="3"/>
    </row>
  </sheetData>
  <mergeCells count="1">
    <mergeCell ref="AE2:AF2"/>
  </mergeCells>
  <dataValidations count="4">
    <dataValidation type="list" allowBlank="1" showInputMessage="1" showErrorMessage="1" sqref="D50:D87 D90:D96">
      <formula1>"Annual,Semiannual,EveryFourthMonth,Quarterly,Bimonthly,Monthly,Biweekly,Weekly,Daily,Once,NoFrequency"</formula1>
    </dataValidation>
    <dataValidation type="list" allowBlank="1" showInputMessage="1" showErrorMessage="1" sqref="E50:E87 E90:E96">
      <formula1>"Following,Modified Following,Preceding,Modified Preceding,Unadjusted,Half-Month Modified Following"</formula1>
    </dataValidation>
    <dataValidation type="list" allowBlank="1" showInputMessage="1" showErrorMessage="1" sqref="F50:F87 F90:F9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3.42578125" style="57" hidden="1" customWidth="1" outlineLevel="1"/>
    <col min="9" max="9" width="9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5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3</v>
      </c>
      <c r="H1" s="55" t="str">
        <f>"_SYNTH"&amp;Tenor</f>
        <v>_SYNTH6M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USD6M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66">_xll.qlPiecewiseYieldCurveData(YieldCurve_6M,Trigger)</f>
        <v>1</v>
      </c>
      <c r="AE2" s="191" t="s">
        <v>118</v>
      </c>
      <c r="AF2" s="192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Currency&amp;"FedFunds"</f>
        <v>USDFedFunds</v>
      </c>
      <c r="H3" s="133" t="str">
        <f t="shared" ref="H3:H12" si="0">Currency&amp;$B3&amp;"D"&amp;$H$1&amp;QuoteSuffix</f>
        <v>USDSND_SYNTH6M_Quote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66">_xll.qlRateHelperSelection(_xll.ohFilter(RateHelpers,IncludeFlag),_xll.ohFilter(Priority,IncludeFlag),$AF$3,$AF$4,$AF$5,$AF$6,_xll.ohFilter(MinDistance,IncludeFlag),Trigger)</f>
        <v>obj_00286</v>
      </c>
      <c r="X3" s="4" t="str">
        <f>IFERROR(_xll.qlRateHelperQuoteName(W3,Trigger),"")</f>
        <v>USD1MD_SYNTH6M_Quote</v>
      </c>
      <c r="Y3" s="76">
        <f>IFERROR(_xll.qlRateHelperRate(W3,Trigger),"")</f>
        <v>5.1209999999999997E-3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42261</v>
      </c>
      <c r="AB3" s="5">
        <f>IFERROR(_xll.qlRateHelperPillarDate(W3,Trigger),"")</f>
        <v>42291</v>
      </c>
      <c r="AC3" s="84">
        <v>0.99957343203787785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PROPER(Currency)&amp;FamilyName&amp;B4</f>
        <v>UsdLiborSW</v>
      </c>
      <c r="H4" s="170" t="str">
        <f t="shared" si="0"/>
        <v>USDSWD_SYNTH6M_Quote</v>
      </c>
      <c r="I4" s="143"/>
      <c r="J4" s="63"/>
      <c r="K4" s="53"/>
      <c r="L4" s="11" t="str">
        <f t="shared" ref="L4:L9" si="1">A4</f>
        <v>Dp</v>
      </c>
      <c r="M4" s="106" t="str">
        <f t="shared" ref="M4:M9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6" si="3">IFERROR(INDEX($L$3:$L$88,MATCH(X4,$N$3:$N$88,0),1),"")</f>
        <v>Dp</v>
      </c>
      <c r="W4" s="4" t="str">
        <v>obj_002ad</v>
      </c>
      <c r="X4" s="4" t="str">
        <f>IFERROR(_xll.qlRateHelperQuoteName(W4,Trigger),"")</f>
        <v>USD2MD_SYNTH6M_Quote</v>
      </c>
      <c r="Y4" s="76">
        <f>IFERROR(_xll.qlRateHelperRate(W4,Trigger),"")</f>
        <v>5.0959999999999998E-3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42261</v>
      </c>
      <c r="AB4" s="5">
        <f>IFERROR(_xll.qlRateHelperPillarDate(W4,Trigger),"")</f>
        <v>42324</v>
      </c>
      <c r="AC4" s="84">
        <v>0.99910899459861691</v>
      </c>
      <c r="AE4" s="119" t="s">
        <v>120</v>
      </c>
      <c r="AF4" s="120">
        <v>0</v>
      </c>
    </row>
    <row r="5" spans="1:32" ht="11.25" customHeight="1" x14ac:dyDescent="0.2">
      <c r="A5" s="177" t="s">
        <v>27</v>
      </c>
      <c r="B5" s="178" t="s">
        <v>51</v>
      </c>
      <c r="C5" s="179" t="str">
        <f>B5</f>
        <v>2W</v>
      </c>
      <c r="D5" s="180"/>
      <c r="E5" s="180"/>
      <c r="F5" s="180"/>
      <c r="G5" s="181" t="str">
        <f>_xll.qlLibor(,Currency,C5,,Permanent,Trigger,ObjectOverwrite)</f>
        <v>obj_0025c#0003</v>
      </c>
      <c r="H5" s="182" t="str">
        <f t="shared" si="0"/>
        <v>USD2WD_SYNTH6M_Quote</v>
      </c>
      <c r="I5" s="180"/>
      <c r="J5" s="183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obj_0025a</v>
      </c>
      <c r="X5" s="4" t="str">
        <f>IFERROR(_xll.qlRateHelperQuoteName(W5,Trigger),"")</f>
        <v>USD3MD_SYNTH6M_Quote</v>
      </c>
      <c r="Y5" s="76">
        <f>IFERROR(_xll.qlRateHelperRate(W5,Trigger),"")</f>
        <v>5.045E-3</v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42261</v>
      </c>
      <c r="AB5" s="5">
        <f>IFERROR(_xll.qlRateHelperPillarDate(W5,Trigger),"")</f>
        <v>42352</v>
      </c>
      <c r="AC5" s="84">
        <v>0.99872636033777984</v>
      </c>
      <c r="AD5" s="87"/>
      <c r="AE5" s="119" t="s">
        <v>121</v>
      </c>
      <c r="AF5" s="120">
        <v>0</v>
      </c>
    </row>
    <row r="6" spans="1:32" ht="11.25" customHeight="1" x14ac:dyDescent="0.2">
      <c r="A6" s="184" t="s">
        <v>27</v>
      </c>
      <c r="B6" s="185" t="s">
        <v>52</v>
      </c>
      <c r="C6" s="186" t="str">
        <f t="shared" ref="C6:C9" si="4">B6</f>
        <v>3W</v>
      </c>
      <c r="D6" s="187"/>
      <c r="E6" s="187"/>
      <c r="F6" s="187"/>
      <c r="G6" s="188" t="str">
        <f>_xll.qlLibor(,Currency,C6,,Permanent,Trigger,ObjectOverwrite)</f>
        <v>obj_0026a#0003</v>
      </c>
      <c r="H6" s="189" t="str">
        <f t="shared" si="0"/>
        <v>USD3WD_SYNTH6M_Quote</v>
      </c>
      <c r="I6" s="187"/>
      <c r="J6" s="19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Dp</v>
      </c>
      <c r="W6" s="4" t="str">
        <v>obj_00273</v>
      </c>
      <c r="X6" s="4" t="str">
        <f>IFERROR(_xll.qlRateHelperQuoteName(W6,Trigger),"")</f>
        <v>USD4MD_SYNTH6M_Quote</v>
      </c>
      <c r="Y6" s="76">
        <f>IFERROR(_xll.qlRateHelperRate(W6,Trigger),"")</f>
        <v>5.2009999999999999E-3</v>
      </c>
      <c r="Z6" s="116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42261</v>
      </c>
      <c r="AB6" s="5">
        <f>IFERROR(_xll.qlRateHelperPillarDate(W6,Trigger),"")</f>
        <v>42383</v>
      </c>
      <c r="AC6" s="84">
        <v>0.99824054004458285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PROPER(Currency)&amp;FamilyName&amp;B7</f>
        <v>UsdLibor1M</v>
      </c>
      <c r="H7" s="134" t="str">
        <f t="shared" si="0"/>
        <v>USD1MD_SYNTH6M_Quote</v>
      </c>
      <c r="I7" s="137"/>
      <c r="J7" s="70" t="str">
        <f>_xll.qlDepositRateHelper(,H7,G7,Permanent,Trigger,ObjectOverwrite)</f>
        <v>obj_00286#0005</v>
      </c>
      <c r="K7" s="53"/>
      <c r="L7" s="11" t="str">
        <f t="shared" si="1"/>
        <v>Dp</v>
      </c>
      <c r="M7" s="106" t="str">
        <f t="shared" si="2"/>
        <v>obj_00286#0005</v>
      </c>
      <c r="N7" s="160" t="str">
        <f>IFERROR(_xll.qlRateHelperQuoteName(M7,Trigger),"--")</f>
        <v>USD1MD_SYNTH6M_Quote</v>
      </c>
      <c r="O7" s="110">
        <f>IFERROR(_xll.qlRateHelperQuoteValue($M7,Trigger),"--")</f>
        <v>5.1209999999999997E-3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42261</v>
      </c>
      <c r="T7" s="111">
        <f>IFERROR(_xll.qlRateHelperPillarDate(M7,Trigger),"--")</f>
        <v>42291</v>
      </c>
      <c r="V7" s="4" t="str">
        <f t="shared" si="3"/>
        <v>Dp</v>
      </c>
      <c r="W7" s="4" t="str">
        <v>obj_00269</v>
      </c>
      <c r="X7" s="4" t="str">
        <f>IFERROR(_xll.qlRateHelperQuoteName(W7,Trigger),"")</f>
        <v>USD5MD_SYNTH6M_Quote</v>
      </c>
      <c r="Y7" s="76">
        <f>IFERROR(_xll.qlRateHelperRate(W7,Trigger),"")</f>
        <v>5.2859999999999999E-3</v>
      </c>
      <c r="Z7" s="116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42261</v>
      </c>
      <c r="AB7" s="5">
        <f>IFERROR(_xll.qlRateHelperPillarDate(W7,Trigger),"")</f>
        <v>42415</v>
      </c>
      <c r="AC7" s="84">
        <v>0.99774386830685557</v>
      </c>
    </row>
    <row r="8" spans="1:32" ht="11.25" customHeight="1" x14ac:dyDescent="0.25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PROPER(Currency)&amp;FamilyName&amp;B8</f>
        <v>UsdLibor2M</v>
      </c>
      <c r="H8" s="134" t="str">
        <f t="shared" si="0"/>
        <v>USD2MD_SYNTH6M_Quote</v>
      </c>
      <c r="I8" s="137"/>
      <c r="J8" s="70" t="str">
        <f>_xll.qlDepositRateHelper(,H8,G8,Permanent,Trigger,ObjectOverwrite)</f>
        <v>obj_002ad#0005</v>
      </c>
      <c r="K8" s="53"/>
      <c r="L8" s="11" t="str">
        <f t="shared" si="1"/>
        <v>Dp</v>
      </c>
      <c r="M8" s="106" t="str">
        <f t="shared" si="2"/>
        <v>obj_002ad#0005</v>
      </c>
      <c r="N8" s="160" t="str">
        <f>IFERROR(_xll.qlRateHelperQuoteName(M8,Trigger),"--")</f>
        <v>USD2MD_SYNTH6M_Quote</v>
      </c>
      <c r="O8" s="110">
        <f>IFERROR(_xll.qlRateHelperQuoteValue($M8,Trigger),"--")</f>
        <v>5.0959999999999998E-3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42261</v>
      </c>
      <c r="T8" s="111">
        <f>IFERROR(_xll.qlRateHelperPillarDate(M8,Trigger),"--")</f>
        <v>42324</v>
      </c>
      <c r="V8" s="4" t="str">
        <f t="shared" si="3"/>
        <v>Dp</v>
      </c>
      <c r="W8" s="4" t="str">
        <v>obj_00284</v>
      </c>
      <c r="X8" s="4" t="str">
        <f>IFERROR(_xll.qlRateHelperQuoteName(W8,Trigger),"")</f>
        <v>USD6MD_SYNTH6M_Quote</v>
      </c>
      <c r="Y8" s="76">
        <f>IFERROR(_xll.qlRateHelperRate(W8,Trigger),"")</f>
        <v>5.3899999999999998E-3</v>
      </c>
      <c r="Z8" s="116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42261</v>
      </c>
      <c r="AB8" s="5">
        <f>IFERROR(_xll.qlRateHelperPillarDate(W8,Trigger),"")</f>
        <v>42443</v>
      </c>
      <c r="AC8" s="84">
        <v>0.99728246069917581</v>
      </c>
    </row>
    <row r="9" spans="1:32" ht="11.25" customHeight="1" x14ac:dyDescent="0.25">
      <c r="A9" s="64" t="s">
        <v>27</v>
      </c>
      <c r="B9" s="65" t="s">
        <v>0</v>
      </c>
      <c r="C9" s="68" t="str">
        <f t="shared" si="4"/>
        <v>3M</v>
      </c>
      <c r="D9" s="137"/>
      <c r="E9" s="137"/>
      <c r="F9" s="137"/>
      <c r="G9" s="66" t="str">
        <f>PROPER(Currency)&amp;FamilyName&amp;B9</f>
        <v>UsdLibor3M</v>
      </c>
      <c r="H9" s="134" t="str">
        <f t="shared" si="0"/>
        <v>USD3MD_SYNTH6M_Quote</v>
      </c>
      <c r="I9" s="137"/>
      <c r="J9" s="70" t="str">
        <f>_xll.qlDepositRateHelper(,H9,G9,Permanent,Trigger,ObjectOverwrite)</f>
        <v>obj_0025a#0005</v>
      </c>
      <c r="K9" s="53"/>
      <c r="L9" s="11" t="str">
        <f t="shared" si="1"/>
        <v>Dp</v>
      </c>
      <c r="M9" s="106" t="str">
        <f t="shared" si="2"/>
        <v>obj_0025a#0005</v>
      </c>
      <c r="N9" s="160" t="str">
        <f>IFERROR(_xll.qlRateHelperQuoteName(M9,Trigger),"--")</f>
        <v>USD3MD_SYNTH6M_Quote</v>
      </c>
      <c r="O9" s="110">
        <f>IFERROR(_xll.qlRateHelperQuoteValue($M9,Trigger),"--")</f>
        <v>5.045E-3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42261</v>
      </c>
      <c r="T9" s="111">
        <f>IFERROR(_xll.qlRateHelperPillarDate(M9,Trigger),"--")</f>
        <v>42352</v>
      </c>
      <c r="V9" s="4" t="str">
        <f t="shared" si="3"/>
        <v>FRA</v>
      </c>
      <c r="W9" s="4" t="str">
        <v>obj_00249</v>
      </c>
      <c r="X9" s="4" t="str">
        <f>IFERROR(_xll.qlRateHelperQuoteName(W9,Trigger),"")</f>
        <v>USD1x7F_Quote</v>
      </c>
      <c r="Y9" s="76">
        <f>IFERROR(_xll.qlRateHelperRate(W9,Trigger),"")</f>
        <v>5.6400000000000009E-3</v>
      </c>
      <c r="Z9" s="116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42291</v>
      </c>
      <c r="AB9" s="5">
        <f>IFERROR(_xll.qlRateHelperPillarDate(W9,Trigger),"")</f>
        <v>42474</v>
      </c>
      <c r="AC9" s="84">
        <v>0.99671584770251531</v>
      </c>
    </row>
    <row r="10" spans="1:32" ht="11.25" customHeight="1" x14ac:dyDescent="0.2">
      <c r="A10" s="177" t="s">
        <v>27</v>
      </c>
      <c r="B10" s="178" t="s">
        <v>54</v>
      </c>
      <c r="C10" s="179" t="str">
        <f t="shared" ref="C10:C12" si="5">B10</f>
        <v>4M</v>
      </c>
      <c r="D10" s="180"/>
      <c r="E10" s="180"/>
      <c r="F10" s="180"/>
      <c r="G10" s="181" t="str">
        <f>_xll.qlLibor(,Currency,C10,,Permanent,Trigger,ObjectOverwrite)</f>
        <v>obj_00272#0004</v>
      </c>
      <c r="H10" s="182" t="str">
        <f t="shared" si="0"/>
        <v>USD4MD_SYNTH6M_Quote</v>
      </c>
      <c r="I10" s="180"/>
      <c r="J10" s="183" t="str">
        <f>_xll.qlDepositRateHelper(,H10,G10,Permanent,Trigger,ObjectOverwrite)</f>
        <v>obj_00273#0005</v>
      </c>
      <c r="K10" s="53"/>
      <c r="L10" s="11" t="str">
        <f t="shared" ref="L10:L12" si="6">A10</f>
        <v>Dp</v>
      </c>
      <c r="M10" s="106" t="str">
        <f t="shared" ref="M10:M12" si="7">IF(ISBLANK(J10),"--",J10)</f>
        <v>obj_00273#0005</v>
      </c>
      <c r="N10" s="160" t="str">
        <f>IFERROR(_xll.qlRateHelperQuoteName(M10,Trigger),"--")</f>
        <v>USD4MD_SYNTH6M_Quote</v>
      </c>
      <c r="O10" s="110">
        <f>IFERROR(_xll.qlRateHelperQuoteValue($M10,Trigger),"--")</f>
        <v>5.2009999999999999E-3</v>
      </c>
      <c r="P10" s="109" t="b">
        <v>1</v>
      </c>
      <c r="Q10" s="106">
        <v>10</v>
      </c>
      <c r="R10" s="106">
        <v>1</v>
      </c>
      <c r="S10" s="111">
        <f>IFERROR(_xll.qlRateHelperEarliestDate(M10,Trigger),"--")</f>
        <v>42261</v>
      </c>
      <c r="T10" s="111">
        <f>IFERROR(_xll.qlRateHelperPillarDate(M10,Trigger),"--")</f>
        <v>42383</v>
      </c>
      <c r="V10" s="4" t="str">
        <f t="shared" si="3"/>
        <v>FRA</v>
      </c>
      <c r="W10" s="4" t="str">
        <v>obj_00267</v>
      </c>
      <c r="X10" s="4" t="str">
        <f>IFERROR(_xll.qlRateHelperQuoteName(W10,Trigger),"")</f>
        <v>USD2x8F_Quote</v>
      </c>
      <c r="Y10" s="76">
        <f>IFERROR(_xll.qlRateHelperRate(W10,Trigger),"")</f>
        <v>6.1000000000000013E-3</v>
      </c>
      <c r="Z10" s="116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42324</v>
      </c>
      <c r="AB10" s="5">
        <f>IFERROR(_xll.qlRateHelperPillarDate(W10,Trigger),"")</f>
        <v>42506</v>
      </c>
      <c r="AC10" s="84">
        <v>0.99603732615557083</v>
      </c>
    </row>
    <row r="11" spans="1:32" ht="11.25" customHeight="1" x14ac:dyDescent="0.2">
      <c r="A11" s="184" t="s">
        <v>27</v>
      </c>
      <c r="B11" s="185" t="s">
        <v>55</v>
      </c>
      <c r="C11" s="186" t="str">
        <f t="shared" si="5"/>
        <v>5M</v>
      </c>
      <c r="D11" s="187"/>
      <c r="E11" s="187"/>
      <c r="F11" s="187"/>
      <c r="G11" s="188" t="str">
        <f>_xll.qlLibor(,Currency,C11,,Permanent,Trigger,ObjectOverwrite)</f>
        <v>obj_0024a#0003</v>
      </c>
      <c r="H11" s="189" t="str">
        <f t="shared" si="0"/>
        <v>USD5MD_SYNTH6M_Quote</v>
      </c>
      <c r="I11" s="187"/>
      <c r="J11" s="190" t="str">
        <f>_xll.qlDepositRateHelper(,H11,G11,Permanent,Trigger,ObjectOverwrite)</f>
        <v>obj_00269#0004</v>
      </c>
      <c r="K11" s="53"/>
      <c r="L11" s="11" t="str">
        <f t="shared" si="6"/>
        <v>Dp</v>
      </c>
      <c r="M11" s="106" t="str">
        <f t="shared" si="7"/>
        <v>obj_00269#0004</v>
      </c>
      <c r="N11" s="160" t="str">
        <f>IFERROR(_xll.qlRateHelperQuoteName(M11,Trigger),"--")</f>
        <v>USD5MD_SYNTH6M_Quote</v>
      </c>
      <c r="O11" s="110">
        <f>IFERROR(_xll.qlRateHelperQuoteValue($M11,Trigger),"--")</f>
        <v>5.2859999999999999E-3</v>
      </c>
      <c r="P11" s="109" t="b">
        <v>1</v>
      </c>
      <c r="Q11" s="106">
        <v>10</v>
      </c>
      <c r="R11" s="106">
        <v>1</v>
      </c>
      <c r="S11" s="111">
        <f>IFERROR(_xll.qlRateHelperEarliestDate(M11,Trigger),"--")</f>
        <v>42261</v>
      </c>
      <c r="T11" s="111">
        <f>IFERROR(_xll.qlRateHelperPillarDate(M11,Trigger),"--")</f>
        <v>42415</v>
      </c>
      <c r="V11" s="4" t="str">
        <f t="shared" si="3"/>
        <v>FRA</v>
      </c>
      <c r="W11" s="4" t="str">
        <v>obj_0023e</v>
      </c>
      <c r="X11" s="4" t="str">
        <f>IFERROR(_xll.qlRateHelperQuoteName(W11,Trigger),"")</f>
        <v>USD3x9F_Quote</v>
      </c>
      <c r="Y11" s="76">
        <f>IFERROR(_xll.qlRateHelperRate(W11,Trigger),"")</f>
        <v>6.5199999999999989E-3</v>
      </c>
      <c r="Z11" s="116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42352</v>
      </c>
      <c r="AB11" s="5">
        <f>IFERROR(_xll.qlRateHelperPillarDate(W11,Trigger),"")</f>
        <v>42535</v>
      </c>
      <c r="AC11" s="84">
        <v>0.9954271828447725</v>
      </c>
    </row>
    <row r="12" spans="1:32" ht="11.25" customHeight="1" x14ac:dyDescent="0.2">
      <c r="A12" s="1" t="s">
        <v>27</v>
      </c>
      <c r="B12" s="9" t="s">
        <v>3</v>
      </c>
      <c r="C12" s="10" t="str">
        <f t="shared" si="5"/>
        <v>6M</v>
      </c>
      <c r="D12" s="138"/>
      <c r="E12" s="138"/>
      <c r="F12" s="138"/>
      <c r="G12" s="7" t="str">
        <f>PROPER(Currency)&amp;FamilyName&amp;B12</f>
        <v>UsdLibor6M</v>
      </c>
      <c r="H12" s="135" t="str">
        <f t="shared" si="0"/>
        <v>USD6MD_SYNTH6M_Quote</v>
      </c>
      <c r="I12" s="138"/>
      <c r="J12" s="3" t="str">
        <f>_xll.qlDepositRateHelper(,H12,G12,Permanent,Trigger,ObjectOverwrite)</f>
        <v>obj_00284#0005</v>
      </c>
      <c r="K12" s="53" t="s">
        <v>47</v>
      </c>
      <c r="L12" s="12" t="str">
        <f t="shared" si="6"/>
        <v>Dp</v>
      </c>
      <c r="M12" s="107" t="str">
        <f t="shared" si="7"/>
        <v>obj_00284#0005</v>
      </c>
      <c r="N12" s="161" t="str">
        <f>IFERROR(_xll.qlRateHelperQuoteName(M12,Trigger),"--")</f>
        <v>USD6MD_SYNTH6M_Quote</v>
      </c>
      <c r="O12" s="113">
        <f>IFERROR(_xll.qlRateHelperQuoteValue($M12,Trigger),"--")</f>
        <v>5.3899999999999998E-3</v>
      </c>
      <c r="P12" s="112" t="b">
        <v>1</v>
      </c>
      <c r="Q12" s="107">
        <v>70</v>
      </c>
      <c r="R12" s="107">
        <v>1</v>
      </c>
      <c r="S12" s="114">
        <f>IFERROR(_xll.qlRateHelperEarliestDate(M12,Trigger),"--")</f>
        <v>42261</v>
      </c>
      <c r="T12" s="114">
        <f>IFERROR(_xll.qlRateHelperPillarDate(M12,Trigger),"--")</f>
        <v>42443</v>
      </c>
      <c r="V12" s="4" t="str">
        <f t="shared" si="3"/>
        <v>FRA</v>
      </c>
      <c r="W12" s="4" t="str">
        <v>obj_00242</v>
      </c>
      <c r="X12" s="4" t="str">
        <f>IFERROR(_xll.qlRateHelperQuoteName(W12,Trigger),"")</f>
        <v>USD4x10F_Quote</v>
      </c>
      <c r="Y12" s="76">
        <f>IFERROR(_xll.qlRateHelperRate(W12,Trigger),"")</f>
        <v>6.9500000000000004E-3</v>
      </c>
      <c r="Z12" s="116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42383</v>
      </c>
      <c r="AB12" s="5">
        <f>IFERROR(_xll.qlRateHelperPillarDate(W12,Trigger),"")</f>
        <v>42565</v>
      </c>
      <c r="AC12" s="84">
        <v>0.99474539158398978</v>
      </c>
    </row>
    <row r="13" spans="1:32" ht="11.25" customHeight="1" x14ac:dyDescent="0.2">
      <c r="B13" s="51"/>
      <c r="C13" s="51"/>
      <c r="D13" s="51"/>
      <c r="E13" s="51"/>
      <c r="F13" s="51"/>
      <c r="G13" s="51"/>
      <c r="H13" s="51"/>
      <c r="K13" s="53"/>
      <c r="L13" s="74" t="str">
        <f>A15</f>
        <v>FRA</v>
      </c>
      <c r="M13" s="145" t="str">
        <f>IF(ISBLANK(J15),"--",J15)</f>
        <v>obj_00249#0007</v>
      </c>
      <c r="N13" s="159" t="str">
        <f>IFERROR(_xll.qlRateHelperQuoteName(M13,Trigger),"--")</f>
        <v>USD1x7F_Quote</v>
      </c>
      <c r="O13" s="147">
        <f>IFERROR(_xll.qlRateHelperQuoteValue($M13,Trigger),"--")</f>
        <v>5.6400000000000009E-3</v>
      </c>
      <c r="P13" s="146" t="b">
        <v>1</v>
      </c>
      <c r="Q13" s="145">
        <v>20</v>
      </c>
      <c r="R13" s="145">
        <v>1</v>
      </c>
      <c r="S13" s="148">
        <f>IFERROR(_xll.qlRateHelperEarliestDate(M13,Trigger),"--")</f>
        <v>42291</v>
      </c>
      <c r="T13" s="148">
        <f>IFERROR(_xll.qlRateHelperPillarDate(M13,Trigger),"--")</f>
        <v>42474</v>
      </c>
      <c r="V13" s="4" t="str">
        <f t="shared" si="3"/>
        <v>FRA</v>
      </c>
      <c r="W13" s="4" t="str">
        <v>obj_00261</v>
      </c>
      <c r="X13" s="4" t="str">
        <f>IFERROR(_xll.qlRateHelperQuoteName(W13,Trigger),"")</f>
        <v>USD5x11F_Quote</v>
      </c>
      <c r="Y13" s="76">
        <f>IFERROR(_xll.qlRateHelperRate(W13,Trigger),"")</f>
        <v>7.4399999999999996E-3</v>
      </c>
      <c r="Z13" s="116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42415</v>
      </c>
      <c r="AB13" s="5">
        <f>IFERROR(_xll.qlRateHelperPillarDate(W13,Trigger),"")</f>
        <v>42597</v>
      </c>
      <c r="AC13" s="84">
        <v>0.99401266401548949</v>
      </c>
    </row>
    <row r="14" spans="1:32" ht="11.25" customHeight="1" x14ac:dyDescent="0.2">
      <c r="A14" s="71" t="s">
        <v>9</v>
      </c>
      <c r="B14" s="71" t="s">
        <v>126</v>
      </c>
      <c r="C14" s="71" t="s">
        <v>127</v>
      </c>
      <c r="D14" s="71"/>
      <c r="E14" s="71"/>
      <c r="F14" s="71"/>
      <c r="G14" s="71" t="s">
        <v>4</v>
      </c>
      <c r="H14" s="71" t="s">
        <v>1</v>
      </c>
      <c r="I14" s="71"/>
      <c r="J14" s="71" t="s">
        <v>25</v>
      </c>
      <c r="K14" s="53"/>
      <c r="L14" s="11" t="str">
        <f t="shared" ref="L14:L26" si="8">A16</f>
        <v>FRA</v>
      </c>
      <c r="M14" s="106" t="str">
        <f t="shared" ref="M14:M26" si="9">IF(ISBLANK(J16),"--",J16)</f>
        <v>obj_00267#0005</v>
      </c>
      <c r="N14" s="160" t="str">
        <f>IFERROR(_xll.qlRateHelperQuoteName(M14,Trigger),"--")</f>
        <v>USD2x8F_Quote</v>
      </c>
      <c r="O14" s="110">
        <f>IFERROR(_xll.qlRateHelperQuoteValue($M14,Trigger),"--")</f>
        <v>6.1000000000000013E-3</v>
      </c>
      <c r="P14" s="109" t="b">
        <v>1</v>
      </c>
      <c r="Q14" s="106">
        <v>20</v>
      </c>
      <c r="R14" s="106">
        <v>1</v>
      </c>
      <c r="S14" s="111">
        <f>IFERROR(_xll.qlRateHelperEarliestDate(M14,Trigger),"--")</f>
        <v>42324</v>
      </c>
      <c r="T14" s="111">
        <f>IFERROR(_xll.qlRateHelperPillarDate(M14,Trigger),"--")</f>
        <v>42506</v>
      </c>
      <c r="V14" s="4" t="str">
        <f t="shared" si="3"/>
        <v>FRA</v>
      </c>
      <c r="W14" s="4" t="str">
        <v>obj_0024d</v>
      </c>
      <c r="X14" s="4" t="str">
        <f>IFERROR(_xll.qlRateHelperQuoteName(W14,Trigger),"")</f>
        <v>USD6x12F_Quote</v>
      </c>
      <c r="Y14" s="76">
        <f>IFERROR(_xll.qlRateHelperRate(W14,Trigger),"")</f>
        <v>7.8700000000000003E-3</v>
      </c>
      <c r="Z14" s="116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42443</v>
      </c>
      <c r="AB14" s="5">
        <f>IFERROR(_xll.qlRateHelperPillarDate(W14,Trigger),"")</f>
        <v>42627</v>
      </c>
      <c r="AC14" s="84">
        <v>0.99328701884847348</v>
      </c>
    </row>
    <row r="15" spans="1:32" ht="11.25" customHeight="1" x14ac:dyDescent="0.2">
      <c r="A15" s="58" t="s">
        <v>128</v>
      </c>
      <c r="B15" s="127">
        <v>1</v>
      </c>
      <c r="C15" s="61" t="str">
        <f t="shared" ref="C15:C32" si="10">"x"&amp;B15+SUBSTITUTE(Tenor,"M","")&amp;"F"</f>
        <v>x7F</v>
      </c>
      <c r="D15" s="143"/>
      <c r="E15" s="143"/>
      <c r="F15" s="143"/>
      <c r="G15" s="60" t="str">
        <f t="shared" ref="G15:G32" si="11">PROPER(Currency)&amp;FamilyName&amp;Tenor</f>
        <v>UsdLibor6M</v>
      </c>
      <c r="H15" s="130" t="str">
        <f t="shared" ref="H15:H24" si="12">Currency&amp;B15&amp;C15&amp;QuoteSuffix</f>
        <v>USD1x7F_Quote</v>
      </c>
      <c r="I15" s="143"/>
      <c r="J15" s="63" t="str">
        <f>_xll.qlFraRateHelper(,H15,B15&amp;"M",G15,PillarDate,,Permanent,Trigger,ObjectOverwrite)</f>
        <v>obj_00249#0007</v>
      </c>
      <c r="K15" s="53"/>
      <c r="L15" s="11" t="str">
        <f t="shared" si="8"/>
        <v>FRA</v>
      </c>
      <c r="M15" s="106" t="str">
        <f t="shared" si="9"/>
        <v>obj_0023e#0005</v>
      </c>
      <c r="N15" s="160" t="str">
        <f>IFERROR(_xll.qlRateHelperQuoteName(M15,Trigger),"--")</f>
        <v>USD3x9F_Quote</v>
      </c>
      <c r="O15" s="110">
        <f>IFERROR(_xll.qlRateHelperQuoteValue($M15,Trigger),"--")</f>
        <v>6.5199999999999989E-3</v>
      </c>
      <c r="P15" s="109" t="b">
        <v>1</v>
      </c>
      <c r="Q15" s="106">
        <v>20</v>
      </c>
      <c r="R15" s="106">
        <v>1</v>
      </c>
      <c r="S15" s="111">
        <f>IFERROR(_xll.qlRateHelperEarliestDate(M15,Trigger),"--")</f>
        <v>42352</v>
      </c>
      <c r="T15" s="111">
        <f>IFERROR(_xll.qlRateHelperPillarDate(M15,Trigger),"--")</f>
        <v>42535</v>
      </c>
      <c r="V15" s="4" t="str">
        <f t="shared" si="3"/>
        <v>FRA</v>
      </c>
      <c r="W15" s="4" t="str">
        <v>obj_00278</v>
      </c>
      <c r="X15" s="4" t="str">
        <f>IFERROR(_xll.qlRateHelperQuoteName(W15,Trigger),"")</f>
        <v>USD7x13F_Quote</v>
      </c>
      <c r="Y15" s="76">
        <f>IFERROR(_xll.qlRateHelperRate(W15,Trigger),"")</f>
        <v>8.3600000000000011E-3</v>
      </c>
      <c r="Z15" s="116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42474</v>
      </c>
      <c r="AB15" s="5">
        <f>IFERROR(_xll.qlRateHelperPillarDate(W15,Trigger),"")</f>
        <v>42657</v>
      </c>
      <c r="AC15" s="84">
        <v>0.99249806177267541</v>
      </c>
    </row>
    <row r="16" spans="1:32" ht="11.25" customHeight="1" x14ac:dyDescent="0.2">
      <c r="A16" s="64" t="s">
        <v>128</v>
      </c>
      <c r="B16" s="128">
        <v>2</v>
      </c>
      <c r="C16" s="68" t="str">
        <f t="shared" si="10"/>
        <v>x8F</v>
      </c>
      <c r="D16" s="137"/>
      <c r="E16" s="137"/>
      <c r="F16" s="137"/>
      <c r="G16" s="66" t="str">
        <f t="shared" si="11"/>
        <v>UsdLibor6M</v>
      </c>
      <c r="H16" s="131" t="str">
        <f t="shared" si="12"/>
        <v>USD2x8F_Quote</v>
      </c>
      <c r="I16" s="137"/>
      <c r="J16" s="70" t="str">
        <f>_xll.qlFraRateHelper(,H16,B16&amp;"M",G16,PillarDate,,Permanent,Trigger,ObjectOverwrite)</f>
        <v>obj_00267#0005</v>
      </c>
      <c r="K16" s="53"/>
      <c r="L16" s="11" t="str">
        <f t="shared" si="8"/>
        <v>FRA</v>
      </c>
      <c r="M16" s="106" t="str">
        <f t="shared" si="9"/>
        <v>obj_00242#0005</v>
      </c>
      <c r="N16" s="160" t="str">
        <f>IFERROR(_xll.qlRateHelperQuoteName(M16,Trigger),"--")</f>
        <v>USD4x10F_Quote</v>
      </c>
      <c r="O16" s="110">
        <f>IFERROR(_xll.qlRateHelperQuoteValue($M16,Trigger),"--")</f>
        <v>6.9500000000000004E-3</v>
      </c>
      <c r="P16" s="109" t="b">
        <v>1</v>
      </c>
      <c r="Q16" s="106">
        <v>20</v>
      </c>
      <c r="R16" s="106">
        <v>1</v>
      </c>
      <c r="S16" s="111">
        <f>IFERROR(_xll.qlRateHelperEarliestDate(M16,Trigger),"--")</f>
        <v>42383</v>
      </c>
      <c r="T16" s="111">
        <f>IFERROR(_xll.qlRateHelperPillarDate(M16,Trigger),"--")</f>
        <v>42565</v>
      </c>
      <c r="V16" s="4" t="str">
        <f t="shared" si="3"/>
        <v>FRA</v>
      </c>
      <c r="W16" s="4" t="str">
        <v>obj_0027f</v>
      </c>
      <c r="X16" s="4" t="str">
        <f>IFERROR(_xll.qlRateHelperQuoteName(W16,Trigger),"")</f>
        <v>USD8x14F_Quote</v>
      </c>
      <c r="Y16" s="76">
        <f>IFERROR(_xll.qlRateHelperRate(W16,Trigger),"")</f>
        <v>8.8699999999999994E-3</v>
      </c>
      <c r="Z16" s="116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42506</v>
      </c>
      <c r="AB16" s="5">
        <f>IFERROR(_xll.qlRateHelperPillarDate(W16,Trigger),"")</f>
        <v>42688</v>
      </c>
      <c r="AC16" s="84">
        <v>0.99160056135996233</v>
      </c>
    </row>
    <row r="17" spans="1:29" ht="11.25" customHeight="1" x14ac:dyDescent="0.2">
      <c r="A17" s="64" t="s">
        <v>128</v>
      </c>
      <c r="B17" s="128">
        <v>3</v>
      </c>
      <c r="C17" s="68" t="str">
        <f t="shared" si="10"/>
        <v>x9F</v>
      </c>
      <c r="D17" s="137"/>
      <c r="E17" s="137"/>
      <c r="F17" s="137"/>
      <c r="G17" s="66" t="str">
        <f t="shared" si="11"/>
        <v>UsdLibor6M</v>
      </c>
      <c r="H17" s="131" t="str">
        <f t="shared" si="12"/>
        <v>USD3x9F_Quote</v>
      </c>
      <c r="I17" s="137"/>
      <c r="J17" s="70" t="str">
        <f>_xll.qlFraRateHelper(,H17,B17&amp;"M",G17,PillarDate,,Permanent,Trigger,ObjectOverwrite)</f>
        <v>obj_0023e#0005</v>
      </c>
      <c r="K17" s="53"/>
      <c r="L17" s="11" t="str">
        <f t="shared" si="8"/>
        <v>FRA</v>
      </c>
      <c r="M17" s="106" t="str">
        <f t="shared" si="9"/>
        <v>obj_00261#0005</v>
      </c>
      <c r="N17" s="160" t="str">
        <f>IFERROR(_xll.qlRateHelperQuoteName(M17,Trigger),"--")</f>
        <v>USD5x11F_Quote</v>
      </c>
      <c r="O17" s="110">
        <f>IFERROR(_xll.qlRateHelperQuoteValue($M17,Trigger),"--")</f>
        <v>7.4399999999999996E-3</v>
      </c>
      <c r="P17" s="109" t="b">
        <v>1</v>
      </c>
      <c r="Q17" s="106">
        <v>20</v>
      </c>
      <c r="R17" s="106">
        <v>1</v>
      </c>
      <c r="S17" s="111">
        <f>IFERROR(_xll.qlRateHelperEarliestDate(M17,Trigger),"--")</f>
        <v>42415</v>
      </c>
      <c r="T17" s="111">
        <f>IFERROR(_xll.qlRateHelperPillarDate(M17,Trigger),"--")</f>
        <v>42597</v>
      </c>
      <c r="V17" s="4" t="str">
        <f t="shared" si="3"/>
        <v>FRA</v>
      </c>
      <c r="W17" s="4" t="str">
        <v>obj_00240</v>
      </c>
      <c r="X17" s="4" t="str">
        <f>IFERROR(_xll.qlRateHelperQuoteName(W17,Trigger),"")</f>
        <v>USD9x15F_Quote</v>
      </c>
      <c r="Y17" s="76">
        <f>IFERROR(_xll.qlRateHelperRate(W17,Trigger),"")</f>
        <v>9.3500000000000007E-3</v>
      </c>
      <c r="Z17" s="116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42535</v>
      </c>
      <c r="AB17" s="5">
        <f>IFERROR(_xll.qlRateHelperPillarDate(W17,Trigger),"")</f>
        <v>42718</v>
      </c>
      <c r="AC17" s="84">
        <v>0.99071838094004216</v>
      </c>
    </row>
    <row r="18" spans="1:29" ht="11.25" customHeight="1" x14ac:dyDescent="0.2">
      <c r="A18" s="64" t="s">
        <v>128</v>
      </c>
      <c r="B18" s="128">
        <v>4</v>
      </c>
      <c r="C18" s="68" t="str">
        <f t="shared" si="10"/>
        <v>x10F</v>
      </c>
      <c r="D18" s="137"/>
      <c r="E18" s="137"/>
      <c r="F18" s="137"/>
      <c r="G18" s="66" t="str">
        <f t="shared" si="11"/>
        <v>UsdLibor6M</v>
      </c>
      <c r="H18" s="131" t="str">
        <f t="shared" si="12"/>
        <v>USD4x10F_Quote</v>
      </c>
      <c r="I18" s="137"/>
      <c r="J18" s="70" t="str">
        <f>_xll.qlFraRateHelper(,H18,B18&amp;"M",G18,PillarDate,,Permanent,Trigger,ObjectOverwrite)</f>
        <v>obj_00242#0005</v>
      </c>
      <c r="K18" s="53"/>
      <c r="L18" s="11" t="str">
        <f t="shared" si="8"/>
        <v>FRA</v>
      </c>
      <c r="M18" s="106" t="str">
        <f t="shared" si="9"/>
        <v>obj_0024d#0005</v>
      </c>
      <c r="N18" s="160" t="str">
        <f>IFERROR(_xll.qlRateHelperQuoteName(M18,Trigger),"--")</f>
        <v>USD6x12F_Quote</v>
      </c>
      <c r="O18" s="110">
        <f>IFERROR(_xll.qlRateHelperQuoteValue($M18,Trigger),"--")</f>
        <v>7.8700000000000003E-3</v>
      </c>
      <c r="P18" s="109" t="b">
        <v>1</v>
      </c>
      <c r="Q18" s="106">
        <v>20</v>
      </c>
      <c r="R18" s="106">
        <v>1</v>
      </c>
      <c r="S18" s="111">
        <f>IFERROR(_xll.qlRateHelperEarliestDate(M18,Trigger),"--")</f>
        <v>42443</v>
      </c>
      <c r="T18" s="111">
        <f>IFERROR(_xll.qlRateHelperPillarDate(M18,Trigger),"--")</f>
        <v>42627</v>
      </c>
      <c r="V18" s="4" t="str">
        <f t="shared" si="3"/>
        <v>FRA</v>
      </c>
      <c r="W18" s="4" t="str">
        <v>obj_00268</v>
      </c>
      <c r="X18" s="4" t="str">
        <f>IFERROR(_xll.qlRateHelperQuoteName(W18,Trigger),"")</f>
        <v>USD10x16F_Quote</v>
      </c>
      <c r="Y18" s="76">
        <f>IFERROR(_xll.qlRateHelperRate(W18,Trigger),"")</f>
        <v>9.8999999999999991E-3</v>
      </c>
      <c r="Z18" s="116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42565</v>
      </c>
      <c r="AB18" s="5">
        <f>IFERROR(_xll.qlRateHelperPillarDate(W18,Trigger),"")</f>
        <v>42751</v>
      </c>
      <c r="AC18" s="84">
        <v>0.98968778631652676</v>
      </c>
    </row>
    <row r="19" spans="1:29" ht="11.25" customHeight="1" x14ac:dyDescent="0.2">
      <c r="A19" s="64" t="s">
        <v>128</v>
      </c>
      <c r="B19" s="128">
        <v>5</v>
      </c>
      <c r="C19" s="68" t="str">
        <f t="shared" si="10"/>
        <v>x11F</v>
      </c>
      <c r="D19" s="137"/>
      <c r="E19" s="137"/>
      <c r="F19" s="137"/>
      <c r="G19" s="66" t="str">
        <f t="shared" si="11"/>
        <v>UsdLibor6M</v>
      </c>
      <c r="H19" s="131" t="str">
        <f t="shared" si="12"/>
        <v>USD5x11F_Quote</v>
      </c>
      <c r="I19" s="137"/>
      <c r="J19" s="70" t="str">
        <f>_xll.qlFraRateHelper(,H19,B19&amp;"M",G19,PillarDate,,Permanent,Trigger,ObjectOverwrite)</f>
        <v>obj_00261#0005</v>
      </c>
      <c r="K19" s="53"/>
      <c r="L19" s="11" t="str">
        <f t="shared" si="8"/>
        <v>FRA</v>
      </c>
      <c r="M19" s="106" t="str">
        <f t="shared" si="9"/>
        <v>obj_00278#0005</v>
      </c>
      <c r="N19" s="160" t="str">
        <f>IFERROR(_xll.qlRateHelperQuoteName(M19,Trigger),"--")</f>
        <v>USD7x13F_Quote</v>
      </c>
      <c r="O19" s="110">
        <f>IFERROR(_xll.qlRateHelperQuoteValue($M19,Trigger),"--")</f>
        <v>8.3600000000000011E-3</v>
      </c>
      <c r="P19" s="176" t="b">
        <f>NOT(ISERROR(_xll.qlQuoteValue(N19)))</f>
        <v>1</v>
      </c>
      <c r="Q19" s="106">
        <v>20</v>
      </c>
      <c r="R19" s="106">
        <v>1</v>
      </c>
      <c r="S19" s="111">
        <f>IFERROR(_xll.qlRateHelperEarliestDate(M19,Trigger),"--")</f>
        <v>42474</v>
      </c>
      <c r="T19" s="111">
        <f>IFERROR(_xll.qlRateHelperPillarDate(M19,Trigger),"--")</f>
        <v>42657</v>
      </c>
      <c r="V19" s="4" t="str">
        <f t="shared" si="3"/>
        <v>FRA</v>
      </c>
      <c r="W19" s="4" t="str">
        <v>obj_00244</v>
      </c>
      <c r="X19" s="4" t="str">
        <f>IFERROR(_xll.qlRateHelperQuoteName(W19,Trigger),"")</f>
        <v>USD12x18F_Quote</v>
      </c>
      <c r="Y19" s="76">
        <f>IFERROR(_xll.qlRateHelperRate(W19,Trigger),"")</f>
        <v>1.0960000000000001E-2</v>
      </c>
      <c r="Z19" s="116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42627</v>
      </c>
      <c r="AB19" s="5">
        <f>IFERROR(_xll.qlRateHelperPillarDate(W19,Trigger),"")</f>
        <v>42808</v>
      </c>
      <c r="AC19" s="84">
        <v>0.98784356178147448</v>
      </c>
    </row>
    <row r="20" spans="1:29" ht="11.25" customHeight="1" x14ac:dyDescent="0.2">
      <c r="A20" s="64" t="s">
        <v>128</v>
      </c>
      <c r="B20" s="128">
        <v>6</v>
      </c>
      <c r="C20" s="68" t="str">
        <f t="shared" si="10"/>
        <v>x12F</v>
      </c>
      <c r="D20" s="137"/>
      <c r="E20" s="137"/>
      <c r="F20" s="137"/>
      <c r="G20" s="66" t="str">
        <f t="shared" si="11"/>
        <v>UsdLibor6M</v>
      </c>
      <c r="H20" s="131" t="str">
        <f t="shared" si="12"/>
        <v>USD6x12F_Quote</v>
      </c>
      <c r="I20" s="137"/>
      <c r="J20" s="70" t="str">
        <f>_xll.qlFraRateHelper(,H20,B20&amp;"M",G20,PillarDate,,Permanent,Trigger,ObjectOverwrite)</f>
        <v>obj_0024d#0005</v>
      </c>
      <c r="K20" s="53"/>
      <c r="L20" s="11" t="str">
        <f t="shared" si="8"/>
        <v>FRA</v>
      </c>
      <c r="M20" s="106" t="str">
        <f t="shared" si="9"/>
        <v>obj_0027f#0005</v>
      </c>
      <c r="N20" s="160" t="str">
        <f>IFERROR(_xll.qlRateHelperQuoteName(M20,Trigger),"--")</f>
        <v>USD8x14F_Quote</v>
      </c>
      <c r="O20" s="110">
        <f>IFERROR(_xll.qlRateHelperQuoteValue($M20,Trigger),"--")</f>
        <v>8.8699999999999994E-3</v>
      </c>
      <c r="P20" s="176" t="b">
        <f>NOT(ISERROR(_xll.qlQuoteValue(N20)))</f>
        <v>1</v>
      </c>
      <c r="Q20" s="106">
        <v>20</v>
      </c>
      <c r="R20" s="106">
        <v>1</v>
      </c>
      <c r="S20" s="111">
        <f>IFERROR(_xll.qlRateHelperEarliestDate(M20,Trigger),"--")</f>
        <v>42506</v>
      </c>
      <c r="T20" s="111">
        <f>IFERROR(_xll.qlRateHelperPillarDate(M20,Trigger),"--")</f>
        <v>42688</v>
      </c>
      <c r="V20" s="4" t="str">
        <f t="shared" si="3"/>
        <v>FRA</v>
      </c>
      <c r="W20" s="4" t="str">
        <v>obj_00257</v>
      </c>
      <c r="X20" s="4" t="str">
        <f>IFERROR(_xll.qlRateHelperQuoteName(W20,Trigger),"")</f>
        <v>USD13x19F_Quote</v>
      </c>
      <c r="Y20" s="76">
        <f>IFERROR(_xll.qlRateHelperRate(W20,Trigger),"")</f>
        <v>1.154E-2</v>
      </c>
      <c r="Z20" s="116" t="str">
        <f>IF(ISERROR(_xll.qlSwapRateHelperSpread($W20)),IF(ISERROR(_xll.qlFuturesRateHelperConvexityAdjustment($W20)),"",_xll.qlFuturesRateHelperConvexityAdjustment($W20)),_xll.qlSwapRateHelperSpread($W20))</f>
        <v/>
      </c>
      <c r="AA20" s="5">
        <f>IFERROR(_xll.qlRateHelperEarliestDate(W20,Trigger),"")</f>
        <v>42657</v>
      </c>
      <c r="AB20" s="5">
        <f>IFERROR(_xll.qlRateHelperPillarDate(W20,Trigger),"")</f>
        <v>42843</v>
      </c>
      <c r="AC20" s="84">
        <v>0.98661553110445877</v>
      </c>
    </row>
    <row r="21" spans="1:29" ht="11.25" customHeight="1" x14ac:dyDescent="0.2">
      <c r="A21" s="64" t="s">
        <v>128</v>
      </c>
      <c r="B21" s="128">
        <v>7</v>
      </c>
      <c r="C21" s="68" t="str">
        <f t="shared" si="10"/>
        <v>x13F</v>
      </c>
      <c r="D21" s="137"/>
      <c r="E21" s="137"/>
      <c r="F21" s="137"/>
      <c r="G21" s="66" t="str">
        <f t="shared" si="11"/>
        <v>UsdLibor6M</v>
      </c>
      <c r="H21" s="131" t="str">
        <f t="shared" si="12"/>
        <v>USD7x13F_Quote</v>
      </c>
      <c r="I21" s="137"/>
      <c r="J21" s="70" t="str">
        <f>_xll.qlFraRateHelper(,H21,B21&amp;"M",G21,PillarDate,,Permanent,Trigger,ObjectOverwrite)</f>
        <v>obj_00278#0005</v>
      </c>
      <c r="K21" s="53"/>
      <c r="L21" s="11" t="str">
        <f t="shared" si="8"/>
        <v>FRA</v>
      </c>
      <c r="M21" s="106" t="str">
        <f t="shared" si="9"/>
        <v>obj_00240#0005</v>
      </c>
      <c r="N21" s="160" t="str">
        <f>IFERROR(_xll.qlRateHelperQuoteName(M21,Trigger),"--")</f>
        <v>USD9x15F_Quote</v>
      </c>
      <c r="O21" s="110">
        <f>IFERROR(_xll.qlRateHelperQuoteValue($M21,Trigger),"--")</f>
        <v>9.3500000000000007E-3</v>
      </c>
      <c r="P21" s="109" t="b">
        <v>1</v>
      </c>
      <c r="Q21" s="106">
        <v>20</v>
      </c>
      <c r="R21" s="106">
        <v>1</v>
      </c>
      <c r="S21" s="111">
        <f>IFERROR(_xll.qlRateHelperEarliestDate(M21,Trigger),"--")</f>
        <v>42535</v>
      </c>
      <c r="T21" s="111">
        <f>IFERROR(_xll.qlRateHelperPillarDate(M21,Trigger),"--")</f>
        <v>42718</v>
      </c>
      <c r="V21" s="4" t="str">
        <f t="shared" si="3"/>
        <v>BasSw</v>
      </c>
      <c r="W21" s="4" t="str">
        <v>obj_00290</v>
      </c>
      <c r="X21" s="4" t="str">
        <f>IFERROR(_xll.qlRateHelperQuoteName(W21,Trigger),"")</f>
        <v>USDAM3L2Y_S6L3L_Quote</v>
      </c>
      <c r="Y21" s="76">
        <f>IFERROR(_xll.qlRateHelperRate(W21,Trigger),"")</f>
        <v>9.6533973044276352E-3</v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42261</v>
      </c>
      <c r="AB21" s="5">
        <f>IFERROR(_xll.qlRateHelperPillarDate(W21,Trigger),"")</f>
        <v>42992</v>
      </c>
      <c r="AC21" s="84">
        <v>0.98064933851035685</v>
      </c>
    </row>
    <row r="22" spans="1:29" ht="11.25" customHeight="1" x14ac:dyDescent="0.2">
      <c r="A22" s="64" t="s">
        <v>128</v>
      </c>
      <c r="B22" s="128">
        <v>8</v>
      </c>
      <c r="C22" s="68" t="str">
        <f t="shared" si="10"/>
        <v>x14F</v>
      </c>
      <c r="D22" s="137"/>
      <c r="E22" s="137"/>
      <c r="F22" s="137"/>
      <c r="G22" s="66" t="str">
        <f t="shared" si="11"/>
        <v>UsdLibor6M</v>
      </c>
      <c r="H22" s="131" t="str">
        <f t="shared" si="12"/>
        <v>USD8x14F_Quote</v>
      </c>
      <c r="I22" s="137"/>
      <c r="J22" s="70" t="str">
        <f>_xll.qlFraRateHelper(,H22,B22&amp;"M",G22,PillarDate,,Permanent,Trigger,ObjectOverwrite)</f>
        <v>obj_0027f#0005</v>
      </c>
      <c r="K22" s="53"/>
      <c r="L22" s="11" t="str">
        <f t="shared" si="8"/>
        <v>FRA</v>
      </c>
      <c r="M22" s="106" t="str">
        <f t="shared" si="9"/>
        <v>obj_00268#0005</v>
      </c>
      <c r="N22" s="160" t="str">
        <f>IFERROR(_xll.qlRateHelperQuoteName(M22,Trigger),"--")</f>
        <v>USD10x16F_Quote</v>
      </c>
      <c r="O22" s="110">
        <f>IFERROR(_xll.qlRateHelperQuoteValue($M22,Trigger),"--")</f>
        <v>9.8999999999999991E-3</v>
      </c>
      <c r="P22" s="176" t="b">
        <f>NOT(ISERROR(_xll.qlQuoteValue(N22)))</f>
        <v>1</v>
      </c>
      <c r="Q22" s="106">
        <v>20</v>
      </c>
      <c r="R22" s="106">
        <v>1</v>
      </c>
      <c r="S22" s="111">
        <f>IFERROR(_xll.qlRateHelperEarliestDate(M22,Trigger),"--")</f>
        <v>42565</v>
      </c>
      <c r="T22" s="111">
        <f>IFERROR(_xll.qlRateHelperPillarDate(M22,Trigger),"--")</f>
        <v>42751</v>
      </c>
      <c r="V22" s="4" t="str">
        <f t="shared" si="3"/>
        <v>BasSw</v>
      </c>
      <c r="W22" s="4" t="str">
        <v>obj_0028c</v>
      </c>
      <c r="X22" s="4" t="str">
        <f>IFERROR(_xll.qlRateHelperQuoteName(W22,Trigger),"")</f>
        <v>USDAM3L3Y_S6L3L_Quote</v>
      </c>
      <c r="Y22" s="76">
        <f>IFERROR(_xll.qlRateHelperRate(W22,Trigger),"")</f>
        <v>1.2283578971898539E-2</v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42261</v>
      </c>
      <c r="AB22" s="5">
        <f>IFERROR(_xll.qlRateHelperPillarDate(W22,Trigger),"")</f>
        <v>43357</v>
      </c>
      <c r="AC22" s="84">
        <v>0.96339439078246902</v>
      </c>
    </row>
    <row r="23" spans="1:29" ht="11.25" customHeight="1" x14ac:dyDescent="0.2">
      <c r="A23" s="64" t="s">
        <v>128</v>
      </c>
      <c r="B23" s="128">
        <v>9</v>
      </c>
      <c r="C23" s="68" t="str">
        <f t="shared" si="10"/>
        <v>x15F</v>
      </c>
      <c r="D23" s="137"/>
      <c r="E23" s="137"/>
      <c r="F23" s="137"/>
      <c r="G23" s="66" t="str">
        <f t="shared" si="11"/>
        <v>UsdLibor6M</v>
      </c>
      <c r="H23" s="131" t="str">
        <f t="shared" si="12"/>
        <v>USD9x15F_Quote</v>
      </c>
      <c r="I23" s="137"/>
      <c r="J23" s="70" t="str">
        <f>_xll.qlFraRateHelper(,H23,B23&amp;"M",G23,PillarDate,,Permanent,Trigger,ObjectOverwrite)</f>
        <v>obj_00240#0005</v>
      </c>
      <c r="K23" s="53"/>
      <c r="L23" s="11" t="str">
        <f t="shared" si="8"/>
        <v>FRA</v>
      </c>
      <c r="M23" s="106" t="str">
        <f t="shared" si="9"/>
        <v>--</v>
      </c>
      <c r="N23" s="160" t="str">
        <f>IFERROR(_xll.qlRateHelperQuoteName(M23,Trigger),"--")</f>
        <v>--</v>
      </c>
      <c r="O23" s="110" t="str">
        <f>IFERROR(_xll.qlRateHelperQuoteValue($M23,Trigger),"--")</f>
        <v>--</v>
      </c>
      <c r="P23" s="109" t="b">
        <v>0</v>
      </c>
      <c r="Q23" s="106">
        <v>20</v>
      </c>
      <c r="R23" s="106">
        <v>1</v>
      </c>
      <c r="S23" s="111" t="str">
        <f>IFERROR(_xll.qlRateHelperEarliestDate(M23,Trigger),"--")</f>
        <v>--</v>
      </c>
      <c r="T23" s="111" t="str">
        <f>IFERROR(_xll.qlRateHelperPillarDate(M23,Trigger),"--")</f>
        <v>--</v>
      </c>
      <c r="V23" s="4" t="str">
        <f t="shared" si="3"/>
        <v>BasSw</v>
      </c>
      <c r="W23" s="4" t="str">
        <v>obj_002d2</v>
      </c>
      <c r="X23" s="4" t="str">
        <f>IFERROR(_xll.qlRateHelperQuoteName(W23,Trigger),"")</f>
        <v>USDAM3L4Y_S6L3L_Quote</v>
      </c>
      <c r="Y23" s="76">
        <f>IFERROR(_xll.qlRateHelperRate(W23,Trigger),"")</f>
        <v>1.4644025440987566E-2</v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42261</v>
      </c>
      <c r="AB23" s="5">
        <f>IFERROR(_xll.qlRateHelperPillarDate(W23,Trigger),"")</f>
        <v>43724</v>
      </c>
      <c r="AC23" s="84">
        <v>0.94231607938632644</v>
      </c>
    </row>
    <row r="24" spans="1:29" ht="11.25" customHeight="1" x14ac:dyDescent="0.2">
      <c r="A24" s="64" t="s">
        <v>128</v>
      </c>
      <c r="B24" s="128">
        <v>10</v>
      </c>
      <c r="C24" s="68" t="str">
        <f t="shared" si="10"/>
        <v>x16F</v>
      </c>
      <c r="D24" s="137"/>
      <c r="E24" s="137"/>
      <c r="F24" s="137"/>
      <c r="G24" s="66" t="str">
        <f t="shared" si="11"/>
        <v>UsdLibor6M</v>
      </c>
      <c r="H24" s="131" t="str">
        <f t="shared" si="12"/>
        <v>USD10x16F_Quote</v>
      </c>
      <c r="I24" s="137"/>
      <c r="J24" s="70" t="str">
        <f>_xll.qlFraRateHelper(,H24,B24&amp;"M",G24,PillarDate,,Permanent,Trigger,ObjectOverwrite)</f>
        <v>obj_00268#0005</v>
      </c>
      <c r="K24" s="53"/>
      <c r="L24" s="11" t="str">
        <f t="shared" si="8"/>
        <v>FRA</v>
      </c>
      <c r="M24" s="106" t="str">
        <f t="shared" si="9"/>
        <v>obj_00244#0005</v>
      </c>
      <c r="N24" s="160" t="str">
        <f>IFERROR(_xll.qlRateHelperQuoteName(M24,Trigger),"--")</f>
        <v>USD12x18F_Quote</v>
      </c>
      <c r="O24" s="110">
        <f>IFERROR(_xll.qlRateHelperQuoteValue($M24,Trigger),"--")</f>
        <v>1.0960000000000001E-2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42627</v>
      </c>
      <c r="T24" s="111">
        <f>IFERROR(_xll.qlRateHelperPillarDate(M24,Trigger),"--")</f>
        <v>42808</v>
      </c>
      <c r="V24" s="4" t="str">
        <f t="shared" si="3"/>
        <v>BasSw</v>
      </c>
      <c r="W24" s="4" t="str">
        <v>obj_002d5</v>
      </c>
      <c r="X24" s="4" t="str">
        <f>IFERROR(_xll.qlRateHelperQuoteName(W24,Trigger),"")</f>
        <v>USDAM3L5Y_S6L3L_Quote</v>
      </c>
      <c r="Y24" s="76">
        <f>IFERROR(_xll.qlRateHelperRate(W24,Trigger),"")</f>
        <v>1.6654400480553881E-2</v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42261</v>
      </c>
      <c r="AB24" s="5">
        <f>IFERROR(_xll.qlRateHelperPillarDate(W24,Trigger),"")</f>
        <v>44088</v>
      </c>
      <c r="AC24" s="84">
        <v>0.91896067389403469</v>
      </c>
    </row>
    <row r="25" spans="1:29" ht="11.25" customHeight="1" x14ac:dyDescent="0.2">
      <c r="A25" s="64" t="s">
        <v>128</v>
      </c>
      <c r="B25" s="128">
        <v>11</v>
      </c>
      <c r="C25" s="68" t="str">
        <f t="shared" si="10"/>
        <v>x17F</v>
      </c>
      <c r="D25" s="137"/>
      <c r="E25" s="137"/>
      <c r="F25" s="137"/>
      <c r="G25" s="66" t="str">
        <f t="shared" si="11"/>
        <v>UsdLibor6M</v>
      </c>
      <c r="H25" s="131" t="str">
        <f t="shared" ref="H25:H32" si="13">Currency&amp;B25&amp;C25&amp;QuoteSuffix</f>
        <v>USD11x17F_Quote</v>
      </c>
      <c r="I25" s="137"/>
      <c r="J25" s="70"/>
      <c r="K25" s="53"/>
      <c r="L25" s="11" t="str">
        <f t="shared" si="8"/>
        <v>FRA</v>
      </c>
      <c r="M25" s="106" t="str">
        <f t="shared" si="9"/>
        <v>obj_00257#0005</v>
      </c>
      <c r="N25" s="160" t="str">
        <f>IFERROR(_xll.qlRateHelperQuoteName(M25,Trigger),"--")</f>
        <v>USD13x19F_Quote</v>
      </c>
      <c r="O25" s="110">
        <f>IFERROR(_xll.qlRateHelperQuoteValue($M25,Trigger),"--")</f>
        <v>1.154E-2</v>
      </c>
      <c r="P25" s="176" t="b">
        <f>NOT(ISERROR(_xll.qlQuoteValue(N25)))</f>
        <v>1</v>
      </c>
      <c r="Q25" s="106">
        <v>20</v>
      </c>
      <c r="R25" s="106">
        <v>1</v>
      </c>
      <c r="S25" s="111">
        <f>IFERROR(_xll.qlRateHelperEarliestDate(M25,Trigger),"--")</f>
        <v>42657</v>
      </c>
      <c r="T25" s="111">
        <f>IFERROR(_xll.qlRateHelperPillarDate(M25,Trigger),"--")</f>
        <v>42843</v>
      </c>
      <c r="V25" s="4" t="str">
        <f t="shared" si="3"/>
        <v>BasSw</v>
      </c>
      <c r="W25" s="4" t="str">
        <v>obj_002a6</v>
      </c>
      <c r="X25" s="4" t="str">
        <f>IFERROR(_xll.qlRateHelperQuoteName(W25,Trigger),"")</f>
        <v>USDAM3L6Y_S6L3L_Quote</v>
      </c>
      <c r="Y25" s="76">
        <f>IFERROR(_xll.qlRateHelperRate(W25,Trigger),"")</f>
        <v>1.843487253168536E-2</v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42261</v>
      </c>
      <c r="AB25" s="5">
        <f>IFERROR(_xll.qlRateHelperPillarDate(W25,Trigger),"")</f>
        <v>44453</v>
      </c>
      <c r="AC25" s="84">
        <v>0.89365064060143218</v>
      </c>
    </row>
    <row r="26" spans="1:29" ht="11.25" customHeight="1" x14ac:dyDescent="0.2">
      <c r="A26" s="64" t="s">
        <v>128</v>
      </c>
      <c r="B26" s="128">
        <v>12</v>
      </c>
      <c r="C26" s="68" t="str">
        <f t="shared" si="10"/>
        <v>x18F</v>
      </c>
      <c r="D26" s="137"/>
      <c r="E26" s="137"/>
      <c r="F26" s="137"/>
      <c r="G26" s="66" t="str">
        <f t="shared" si="11"/>
        <v>UsdLibor6M</v>
      </c>
      <c r="H26" s="131" t="str">
        <f t="shared" si="13"/>
        <v>USD12x18F_Quote</v>
      </c>
      <c r="I26" s="137"/>
      <c r="J26" s="70" t="str">
        <f>_xll.qlFraRateHelper(,H26,B26&amp;"M",G26,PillarDate,,Permanent,Trigger,ObjectOverwrite)</f>
        <v>obj_00244#0005</v>
      </c>
      <c r="K26" s="53"/>
      <c r="L26" s="11" t="str">
        <f t="shared" si="8"/>
        <v>FRA</v>
      </c>
      <c r="M26" s="106" t="str">
        <f t="shared" si="9"/>
        <v>--</v>
      </c>
      <c r="N26" s="160" t="str">
        <f>IFERROR(_xll.qlRateHelperQuoteName(M26,Trigger),"--")</f>
        <v>--</v>
      </c>
      <c r="O26" s="110" t="str">
        <f>IFERROR(_xll.qlRateHelperQuoteValue($M26,Trigger),"--")</f>
        <v>--</v>
      </c>
      <c r="P26" s="109" t="b">
        <v>0</v>
      </c>
      <c r="Q26" s="106">
        <v>20</v>
      </c>
      <c r="R26" s="106">
        <v>1</v>
      </c>
      <c r="S26" s="111" t="str">
        <f>IFERROR(_xll.qlRateHelperEarliestDate(M26,Trigger),"--")</f>
        <v>--</v>
      </c>
      <c r="T26" s="111" t="str">
        <f>IFERROR(_xll.qlRateHelperPillarDate(M26,Trigger),"--")</f>
        <v>--</v>
      </c>
      <c r="V26" s="4" t="str">
        <f t="shared" si="3"/>
        <v>BasSw</v>
      </c>
      <c r="W26" s="4" t="str">
        <v>obj_00296</v>
      </c>
      <c r="X26" s="4" t="str">
        <f>IFERROR(_xll.qlRateHelperQuoteName(W26,Trigger),"")</f>
        <v>USDAM3L7Y_S6L3L_Quote</v>
      </c>
      <c r="Y26" s="76">
        <f>IFERROR(_xll.qlRateHelperRate(W26,Trigger),"")</f>
        <v>1.9935408476519281E-2</v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42261</v>
      </c>
      <c r="AB26" s="5">
        <f>IFERROR(_xll.qlRateHelperPillarDate(W26,Trigger),"")</f>
        <v>44818</v>
      </c>
      <c r="AC26" s="84">
        <v>0.86752941248229232</v>
      </c>
    </row>
    <row r="27" spans="1:29" ht="11.25" customHeight="1" x14ac:dyDescent="0.2">
      <c r="A27" s="64" t="s">
        <v>128</v>
      </c>
      <c r="B27" s="128">
        <v>13</v>
      </c>
      <c r="C27" s="68" t="str">
        <f t="shared" si="10"/>
        <v>x19F</v>
      </c>
      <c r="D27" s="137"/>
      <c r="E27" s="137"/>
      <c r="F27" s="137"/>
      <c r="G27" s="66" t="str">
        <f t="shared" si="11"/>
        <v>UsdLibor6M</v>
      </c>
      <c r="H27" s="131" t="str">
        <f t="shared" si="13"/>
        <v>USD13x19F_Quote</v>
      </c>
      <c r="I27" s="137"/>
      <c r="J27" s="70" t="str">
        <f>_xll.qlFraRateHelper(,H27,B27&amp;"M",G27,PillarDate,,Permanent,Trigger,ObjectOverwrite)</f>
        <v>obj_00257#0005</v>
      </c>
      <c r="K27" s="53"/>
      <c r="L27" s="11" t="str">
        <f>A29</f>
        <v>FRA</v>
      </c>
      <c r="M27" s="106" t="str">
        <f>IF(ISBLANK(J29),"--",J29)</f>
        <v>--</v>
      </c>
      <c r="N27" s="160" t="str">
        <f>IFERROR(_xll.qlRateHelperQuoteName(M27,Trigger),"--")</f>
        <v>--</v>
      </c>
      <c r="O27" s="110" t="str">
        <f>IFERROR(_xll.qlRateHelperQuoteValue($M27,Trigger),"--")</f>
        <v>--</v>
      </c>
      <c r="P27" s="109" t="b">
        <v>0</v>
      </c>
      <c r="Q27" s="106">
        <v>20</v>
      </c>
      <c r="R27" s="106">
        <v>1</v>
      </c>
      <c r="S27" s="111" t="str">
        <f>IFERROR(_xll.qlRateHelperEarliestDate(M27,Trigger),"--")</f>
        <v>--</v>
      </c>
      <c r="T27" s="111" t="str">
        <f>IFERROR(_xll.qlRateHelperPillarDate(M27,Trigger),"--")</f>
        <v>--</v>
      </c>
      <c r="V27" s="4" t="str">
        <f t="shared" si="3"/>
        <v>BasSw</v>
      </c>
      <c r="W27" s="4" t="str">
        <v>obj_002cd</v>
      </c>
      <c r="X27" s="4" t="str">
        <f>IFERROR(_xll.qlRateHelperQuoteName(W27,Trigger),"")</f>
        <v>USDAM3L8Y_S6L3L_Quote</v>
      </c>
      <c r="Y27" s="76">
        <f>IFERROR(_xll.qlRateHelperRate(W27,Trigger),"")</f>
        <v>2.1185893848964729E-2</v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42261</v>
      </c>
      <c r="AB27" s="5">
        <f>IFERROR(_xll.qlRateHelperPillarDate(W27,Trigger),"")</f>
        <v>45183</v>
      </c>
      <c r="AC27" s="84">
        <v>0.84122001540222402</v>
      </c>
    </row>
    <row r="28" spans="1:29" ht="11.25" customHeight="1" x14ac:dyDescent="0.2">
      <c r="A28" s="64" t="s">
        <v>128</v>
      </c>
      <c r="B28" s="128">
        <v>14</v>
      </c>
      <c r="C28" s="68" t="str">
        <f t="shared" si="10"/>
        <v>x20F</v>
      </c>
      <c r="D28" s="137"/>
      <c r="E28" s="137"/>
      <c r="F28" s="137"/>
      <c r="G28" s="66" t="str">
        <f t="shared" si="11"/>
        <v>UsdLibor6M</v>
      </c>
      <c r="H28" s="131" t="str">
        <f t="shared" si="13"/>
        <v>USD14x20F_Quote</v>
      </c>
      <c r="I28" s="137"/>
      <c r="J28" s="70"/>
      <c r="K28" s="53"/>
      <c r="L28" s="11" t="str">
        <f t="shared" ref="L28:L29" si="14">A30</f>
        <v>FRA</v>
      </c>
      <c r="M28" s="106" t="str">
        <f t="shared" ref="M28:M29" si="15">IF(ISBLANK(J30),"--",J30)</f>
        <v>--</v>
      </c>
      <c r="N28" s="160" t="str">
        <f>IFERROR(_xll.qlRateHelperQuoteName(M28,Trigger),"--")</f>
        <v>--</v>
      </c>
      <c r="O28" s="110" t="str">
        <f>IFERROR(_xll.qlRateHelperQuoteValue($M28,Trigger),"--")</f>
        <v>--</v>
      </c>
      <c r="P28" s="109" t="b">
        <v>0</v>
      </c>
      <c r="Q28" s="106">
        <v>20</v>
      </c>
      <c r="R28" s="106">
        <v>1</v>
      </c>
      <c r="S28" s="111" t="str">
        <f>IFERROR(_xll.qlRateHelperEarliestDate(M28,Trigger),"--")</f>
        <v>--</v>
      </c>
      <c r="T28" s="111" t="str">
        <f>IFERROR(_xll.qlRateHelperPillarDate(M28,Trigger),"--")</f>
        <v>--</v>
      </c>
      <c r="V28" s="4" t="str">
        <f t="shared" si="3"/>
        <v>BasSw</v>
      </c>
      <c r="W28" s="4" t="str">
        <v>obj_002c5</v>
      </c>
      <c r="X28" s="4" t="str">
        <f>IFERROR(_xll.qlRateHelperQuoteName(W28,Trigger),"")</f>
        <v>USDAM3L9Y_S6L3L_Quote</v>
      </c>
      <c r="Y28" s="76">
        <f>IFERROR(_xll.qlRateHelperRate(W28,Trigger),"")</f>
        <v>2.2216420715955039E-2</v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42261</v>
      </c>
      <c r="AB28" s="5">
        <f>IFERROR(_xll.qlRateHelperPillarDate(W28,Trigger),"")</f>
        <v>45551</v>
      </c>
      <c r="AC28" s="84">
        <v>0.81506395968690071</v>
      </c>
    </row>
    <row r="29" spans="1:29" ht="11.25" customHeight="1" x14ac:dyDescent="0.2">
      <c r="A29" s="64" t="s">
        <v>128</v>
      </c>
      <c r="B29" s="128">
        <v>15</v>
      </c>
      <c r="C29" s="68" t="str">
        <f t="shared" si="10"/>
        <v>x21F</v>
      </c>
      <c r="D29" s="137"/>
      <c r="E29" s="137"/>
      <c r="F29" s="137"/>
      <c r="G29" s="66" t="str">
        <f t="shared" si="11"/>
        <v>UsdLibor6M</v>
      </c>
      <c r="H29" s="131" t="str">
        <f t="shared" si="13"/>
        <v>USD15x21F_Quote</v>
      </c>
      <c r="I29" s="137"/>
      <c r="J29" s="70"/>
      <c r="K29" s="53"/>
      <c r="L29" s="11" t="str">
        <f t="shared" si="14"/>
        <v>FRA</v>
      </c>
      <c r="M29" s="106" t="str">
        <f t="shared" si="15"/>
        <v>--</v>
      </c>
      <c r="N29" s="160" t="str">
        <f>IFERROR(_xll.qlRateHelperQuoteName(M29,Trigger),"--")</f>
        <v>--</v>
      </c>
      <c r="O29" s="110" t="str">
        <f>IFERROR(_xll.qlRateHelperQuoteValue($M29,Trigger),"--")</f>
        <v>--</v>
      </c>
      <c r="P29" s="109" t="b">
        <v>0</v>
      </c>
      <c r="Q29" s="106">
        <v>20</v>
      </c>
      <c r="R29" s="106">
        <v>1</v>
      </c>
      <c r="S29" s="111" t="str">
        <f>IFERROR(_xll.qlRateHelperEarliestDate(M29,Trigger),"--")</f>
        <v>--</v>
      </c>
      <c r="T29" s="111" t="str">
        <f>IFERROR(_xll.qlRateHelperPillarDate(M29,Trigger),"--")</f>
        <v>--</v>
      </c>
      <c r="V29" s="4" t="str">
        <f t="shared" si="3"/>
        <v>BasSw</v>
      </c>
      <c r="W29" s="4" t="str">
        <v>obj_002bd</v>
      </c>
      <c r="X29" s="4" t="str">
        <f>IFERROR(_xll.qlRateHelperQuoteName(W29,Trigger),"")</f>
        <v>USDAM3L10Y_S6L3L_Quote</v>
      </c>
      <c r="Y29" s="76">
        <f>IFERROR(_xll.qlRateHelperRate(W29,Trigger),"")</f>
        <v>2.306682520080814E-2</v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42261</v>
      </c>
      <c r="AB29" s="5">
        <f>IFERROR(_xll.qlRateHelperPillarDate(W29,Trigger),"")</f>
        <v>45915</v>
      </c>
      <c r="AC29" s="84">
        <v>0.7896486765760431</v>
      </c>
    </row>
    <row r="30" spans="1:29" ht="11.25" customHeight="1" x14ac:dyDescent="0.2">
      <c r="A30" s="64" t="s">
        <v>128</v>
      </c>
      <c r="B30" s="128">
        <v>16</v>
      </c>
      <c r="C30" s="68" t="str">
        <f t="shared" si="10"/>
        <v>x22F</v>
      </c>
      <c r="D30" s="137"/>
      <c r="E30" s="137"/>
      <c r="F30" s="137"/>
      <c r="G30" s="66" t="str">
        <f t="shared" si="11"/>
        <v>UsdLibor6M</v>
      </c>
      <c r="H30" s="131" t="str">
        <f t="shared" si="13"/>
        <v>USD16x22F_Quote</v>
      </c>
      <c r="I30" s="137"/>
      <c r="J30" s="70"/>
      <c r="K30" s="53"/>
      <c r="L30" s="12" t="str">
        <f>A32</f>
        <v>FRA</v>
      </c>
      <c r="M30" s="107" t="str">
        <f>IF(ISBLANK(J32),"--",J32)</f>
        <v>--</v>
      </c>
      <c r="N30" s="161" t="str">
        <f>IFERROR(_xll.qlRateHelperQuoteName(M30,Trigger),"--")</f>
        <v>--</v>
      </c>
      <c r="O30" s="113" t="str">
        <f>IFERROR(_xll.qlRateHelperQuoteValue($M30,Trigger),"--")</f>
        <v>--</v>
      </c>
      <c r="P30" s="112" t="b">
        <v>0</v>
      </c>
      <c r="Q30" s="107">
        <v>20</v>
      </c>
      <c r="R30" s="107">
        <v>1</v>
      </c>
      <c r="S30" s="114" t="str">
        <f>IFERROR(_xll.qlRateHelperEarliestDate(M30,Trigger),"--")</f>
        <v>--</v>
      </c>
      <c r="T30" s="114" t="str">
        <f>IFERROR(_xll.qlRateHelperPillarDate(M30,Trigger),"--")</f>
        <v>--</v>
      </c>
      <c r="V30" s="4" t="str">
        <f t="shared" si="3"/>
        <v>BasSw</v>
      </c>
      <c r="W30" s="4" t="str">
        <v>obj_002a8</v>
      </c>
      <c r="X30" s="4" t="str">
        <f>IFERROR(_xll.qlRateHelperQuoteName(W30,Trigger),"")</f>
        <v>USDAM3L12Y_S6L3L_Quote</v>
      </c>
      <c r="Y30" s="76">
        <f>IFERROR(_xll.qlRateHelperRate(W30,Trigger),"")</f>
        <v>2.4427626611261678E-2</v>
      </c>
      <c r="Z30" s="116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42261</v>
      </c>
      <c r="AB30" s="5">
        <f>IFERROR(_xll.qlRateHelperPillarDate(W30,Trigger),"")</f>
        <v>46644</v>
      </c>
      <c r="AC30" s="84">
        <v>0.74020173052919735</v>
      </c>
    </row>
    <row r="31" spans="1:29" ht="11.25" customHeight="1" x14ac:dyDescent="0.2">
      <c r="A31" s="64" t="s">
        <v>128</v>
      </c>
      <c r="B31" s="128">
        <v>17</v>
      </c>
      <c r="C31" s="68" t="str">
        <f t="shared" si="10"/>
        <v>x23F</v>
      </c>
      <c r="D31" s="137"/>
      <c r="E31" s="137"/>
      <c r="F31" s="137"/>
      <c r="G31" s="66" t="str">
        <f t="shared" si="11"/>
        <v>UsdLibor6M</v>
      </c>
      <c r="H31" s="131" t="str">
        <f t="shared" si="13"/>
        <v>USD17x23F_Quote</v>
      </c>
      <c r="I31" s="137"/>
      <c r="J31" s="70"/>
      <c r="K31" s="53"/>
      <c r="L31" s="11" t="str">
        <f>A35</f>
        <v>BasSw</v>
      </c>
      <c r="M31" s="106" t="str">
        <f>IF(ISBLANK(J35),"--",J35)</f>
        <v>--</v>
      </c>
      <c r="N31" s="160" t="str">
        <f>IFERROR(_xll.qlRateHelperQuoteName(M31,Trigger),"--")</f>
        <v>--</v>
      </c>
      <c r="O31" s="110" t="str">
        <f>IFERROR(_xll.qlRateHelperQuoteValue($M31,Trigger),"--")</f>
        <v>--</v>
      </c>
      <c r="P31" s="109" t="b">
        <v>0</v>
      </c>
      <c r="Q31" s="106">
        <v>40</v>
      </c>
      <c r="R31" s="106">
        <v>1</v>
      </c>
      <c r="S31" s="111" t="str">
        <f>IFERROR(_xll.qlRateHelperEarliestDate(M31,Trigger),"--")</f>
        <v>--</v>
      </c>
      <c r="T31" s="111" t="str">
        <f>IFERROR(_xll.qlRateHelperPillarDate(M31,Trigger),"--")</f>
        <v>--</v>
      </c>
      <c r="V31" s="4" t="str">
        <f t="shared" si="3"/>
        <v>BasSw</v>
      </c>
      <c r="W31" s="4" t="str">
        <v>obj_002c2</v>
      </c>
      <c r="X31" s="4" t="str">
        <f>IFERROR(_xll.qlRateHelperQuoteName(W31,Trigger),"")</f>
        <v>USDAM3L15Y_S6L3L_Quote</v>
      </c>
      <c r="Y31" s="76">
        <f>IFERROR(_xll.qlRateHelperRate(W31,Trigger),"")</f>
        <v>2.5738395188630397E-2</v>
      </c>
      <c r="Z31" s="116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42261</v>
      </c>
      <c r="AB31" s="5">
        <f>IFERROR(_xll.qlRateHelperPillarDate(W31,Trigger),"")</f>
        <v>47742</v>
      </c>
      <c r="AC31" s="84">
        <v>0.67203606226511325</v>
      </c>
    </row>
    <row r="32" spans="1:29" ht="11.25" customHeight="1" x14ac:dyDescent="0.2">
      <c r="A32" s="1" t="s">
        <v>128</v>
      </c>
      <c r="B32" s="129">
        <v>18</v>
      </c>
      <c r="C32" s="10" t="str">
        <f t="shared" si="10"/>
        <v>x24F</v>
      </c>
      <c r="D32" s="138"/>
      <c r="E32" s="138"/>
      <c r="F32" s="138"/>
      <c r="G32" s="7" t="str">
        <f t="shared" si="11"/>
        <v>UsdLibor6M</v>
      </c>
      <c r="H32" s="132" t="str">
        <f t="shared" si="13"/>
        <v>USD18x24F_Quote</v>
      </c>
      <c r="I32" s="138"/>
      <c r="J32" s="3"/>
      <c r="K32" s="53"/>
      <c r="L32" s="11" t="str">
        <f t="shared" ref="L32:L66" si="16">A36</f>
        <v>BasSw</v>
      </c>
      <c r="M32" s="106" t="str">
        <f t="shared" ref="M32:M66" si="17">IF(ISBLANK(J36),"--",J36)</f>
        <v>obj_00290#0004</v>
      </c>
      <c r="N32" s="160" t="str">
        <f>IFERROR(_xll.qlRateHelperQuoteName(M32,Trigger),"--")</f>
        <v>USDAM3L2Y_S6L3L_Quote</v>
      </c>
      <c r="O32" s="110">
        <f>IFERROR(_xll.qlRateHelperQuoteValue($M32,Trigger),"--")</f>
        <v>9.6533973044276352E-3</v>
      </c>
      <c r="P32" s="109" t="b">
        <v>1</v>
      </c>
      <c r="Q32" s="106">
        <v>40</v>
      </c>
      <c r="R32" s="106">
        <v>1</v>
      </c>
      <c r="S32" s="111">
        <f>IFERROR(_xll.qlRateHelperEarliestDate(M32,Trigger),"--")</f>
        <v>42261</v>
      </c>
      <c r="T32" s="111">
        <f>IFERROR(_xll.qlRateHelperPillarDate(M32,Trigger),"--")</f>
        <v>42992</v>
      </c>
      <c r="V32" s="4" t="str">
        <f t="shared" si="3"/>
        <v>BasSw</v>
      </c>
      <c r="W32" s="4" t="str">
        <v>obj_002d0</v>
      </c>
      <c r="X32" s="4" t="str">
        <f>IFERROR(_xll.qlRateHelperQuoteName(W32,Trigger),"")</f>
        <v>USDAM3L20Y_S6L3L_Quote</v>
      </c>
      <c r="Y32" s="76">
        <f>IFERROR(_xll.qlRateHelperRate(W32,Trigger),"")</f>
        <v>2.6908870932738443E-2</v>
      </c>
      <c r="Z32" s="116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42261</v>
      </c>
      <c r="AB32" s="5">
        <f>IFERROR(_xll.qlRateHelperPillarDate(W32,Trigger),"")</f>
        <v>49566</v>
      </c>
      <c r="AC32" s="84">
        <v>0.57409733240346417</v>
      </c>
    </row>
    <row r="33" spans="1:29" ht="11.25" customHeight="1" x14ac:dyDescent="0.2">
      <c r="B33" s="51"/>
      <c r="C33" s="51"/>
      <c r="D33" s="51"/>
      <c r="E33" s="51"/>
      <c r="F33" s="51" t="s">
        <v>150</v>
      </c>
      <c r="G33" s="51" t="s">
        <v>149</v>
      </c>
      <c r="H33" s="51" t="s">
        <v>156</v>
      </c>
      <c r="K33" s="53"/>
      <c r="L33" s="11" t="str">
        <f t="shared" si="16"/>
        <v>BasSw</v>
      </c>
      <c r="M33" s="106" t="str">
        <f t="shared" si="17"/>
        <v>obj_0028c#0004</v>
      </c>
      <c r="N33" s="160" t="str">
        <f>IFERROR(_xll.qlRateHelperQuoteName(M33,Trigger),"--")</f>
        <v>USDAM3L3Y_S6L3L_Quote</v>
      </c>
      <c r="O33" s="110">
        <f>IFERROR(_xll.qlRateHelperQuoteValue($M33,Trigger),"--")</f>
        <v>1.2283578971898539E-2</v>
      </c>
      <c r="P33" s="109" t="b">
        <v>1</v>
      </c>
      <c r="Q33" s="106">
        <v>40</v>
      </c>
      <c r="R33" s="106">
        <v>1</v>
      </c>
      <c r="S33" s="111">
        <f>IFERROR(_xll.qlRateHelperEarliestDate(M33,Trigger),"--")</f>
        <v>42261</v>
      </c>
      <c r="T33" s="111">
        <f>IFERROR(_xll.qlRateHelperPillarDate(M33,Trigger),"--")</f>
        <v>43357</v>
      </c>
      <c r="V33" s="4" t="str">
        <f t="shared" si="3"/>
        <v>BasSw</v>
      </c>
      <c r="W33" s="4" t="str">
        <v>obj_002a2</v>
      </c>
      <c r="X33" s="4" t="str">
        <f>IFERROR(_xll.qlRateHelperQuoteName(W33,Trigger),"")</f>
        <v>USDAM3L25Y_S6L3L_Quote</v>
      </c>
      <c r="Y33" s="76">
        <f>IFERROR(_xll.qlRateHelperRate(W33,Trigger),"")</f>
        <v>2.7459074575297532E-2</v>
      </c>
      <c r="Z33" s="116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42261</v>
      </c>
      <c r="AB33" s="5">
        <f>IFERROR(_xll.qlRateHelperPillarDate(W33,Trigger),"")</f>
        <v>51393</v>
      </c>
      <c r="AC33" s="84">
        <v>0.49263693914349505</v>
      </c>
    </row>
    <row r="34" spans="1:29" ht="11.25" customHeight="1" x14ac:dyDescent="0.2">
      <c r="A34" s="71" t="s">
        <v>9</v>
      </c>
      <c r="B34" s="71" t="s">
        <v>30</v>
      </c>
      <c r="C34" s="71" t="s">
        <v>151</v>
      </c>
      <c r="D34" s="71" t="s">
        <v>5</v>
      </c>
      <c r="E34" s="71" t="s">
        <v>35</v>
      </c>
      <c r="F34" s="71" t="s">
        <v>152</v>
      </c>
      <c r="G34" s="71" t="s">
        <v>4</v>
      </c>
      <c r="H34" s="71" t="s">
        <v>1</v>
      </c>
      <c r="I34" s="71" t="s">
        <v>148</v>
      </c>
      <c r="J34" s="71" t="s">
        <v>25</v>
      </c>
      <c r="K34" s="53"/>
      <c r="L34" s="11" t="str">
        <f t="shared" si="16"/>
        <v>BasSw</v>
      </c>
      <c r="M34" s="106" t="str">
        <f t="shared" si="17"/>
        <v>obj_002d2#0004</v>
      </c>
      <c r="N34" s="160" t="str">
        <f>IFERROR(_xll.qlRateHelperQuoteName(M34,Trigger),"--")</f>
        <v>USDAM3L4Y_S6L3L_Quote</v>
      </c>
      <c r="O34" s="110">
        <f>IFERROR(_xll.qlRateHelperQuoteValue($M34,Trigger),"--")</f>
        <v>1.4644025440987566E-2</v>
      </c>
      <c r="P34" s="109" t="b">
        <v>1</v>
      </c>
      <c r="Q34" s="106">
        <v>40</v>
      </c>
      <c r="R34" s="106">
        <v>1</v>
      </c>
      <c r="S34" s="111">
        <f>IFERROR(_xll.qlRateHelperEarliestDate(M34,Trigger),"--")</f>
        <v>42261</v>
      </c>
      <c r="T34" s="111">
        <f>IFERROR(_xll.qlRateHelperPillarDate(M34,Trigger),"--")</f>
        <v>43724</v>
      </c>
      <c r="V34" s="4" t="str">
        <f t="shared" si="3"/>
        <v>BasSw</v>
      </c>
      <c r="W34" s="4" t="str">
        <v>obj_002c4</v>
      </c>
      <c r="X34" s="4" t="str">
        <f>IFERROR(_xll.qlRateHelperQuoteName(W34,Trigger),"")</f>
        <v>USDAM3L30Y_S6L3L_Quote</v>
      </c>
      <c r="Y34" s="76">
        <f>IFERROR(_xll.qlRateHelperRate(W34,Trigger),"")</f>
        <v>2.7789171794169367E-2</v>
      </c>
      <c r="Z34" s="116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42261</v>
      </c>
      <c r="AB34" s="5">
        <f>IFERROR(_xll.qlRateHelperPillarDate(W34,Trigger),"")</f>
        <v>53219</v>
      </c>
      <c r="AC34" s="84">
        <v>0.4233266913096892</v>
      </c>
    </row>
    <row r="35" spans="1:29" ht="11.25" customHeight="1" x14ac:dyDescent="0.2">
      <c r="A35" s="58" t="s">
        <v>160</v>
      </c>
      <c r="B35" s="59" t="s">
        <v>29</v>
      </c>
      <c r="C35" s="60" t="s">
        <v>6</v>
      </c>
      <c r="D35" s="60" t="s">
        <v>8</v>
      </c>
      <c r="E35" s="60" t="s">
        <v>7</v>
      </c>
      <c r="F35" s="60" t="s">
        <v>28</v>
      </c>
      <c r="G35" s="60" t="str">
        <f t="shared" ref="G35:G70" si="18">PROPER(Currency)&amp;FamilyName&amp;Tenor</f>
        <v>UsdLibor6M</v>
      </c>
      <c r="H35" s="58" t="str">
        <f t="shared" ref="H35:H70" si="19">Currency&amp;$G$33&amp;$F$33&amp;$B35&amp;"_S"&amp;$H$33&amp;$F$33&amp;QuoteSuffix</f>
        <v>USDAM3L1Y_S6L3L_Quote</v>
      </c>
      <c r="I35" s="140">
        <v>0</v>
      </c>
      <c r="J35" s="70"/>
      <c r="K35" s="53"/>
      <c r="L35" s="11" t="str">
        <f t="shared" si="16"/>
        <v>BasSw</v>
      </c>
      <c r="M35" s="106" t="str">
        <f t="shared" si="17"/>
        <v>obj_002d5#0004</v>
      </c>
      <c r="N35" s="160" t="str">
        <f>IFERROR(_xll.qlRateHelperQuoteName(M35,Trigger),"--")</f>
        <v>USDAM3L5Y_S6L3L_Quote</v>
      </c>
      <c r="O35" s="110">
        <f>IFERROR(_xll.qlRateHelperQuoteValue($M35,Trigger),"--")</f>
        <v>1.6654400480553881E-2</v>
      </c>
      <c r="P35" s="109" t="b">
        <v>1</v>
      </c>
      <c r="Q35" s="106">
        <v>40</v>
      </c>
      <c r="R35" s="106">
        <v>1</v>
      </c>
      <c r="S35" s="111">
        <f>IFERROR(_xll.qlRateHelperEarliestDate(M35,Trigger),"--")</f>
        <v>42261</v>
      </c>
      <c r="T35" s="111">
        <f>IFERROR(_xll.qlRateHelperPillarDate(M35,Trigger),"--")</f>
        <v>44088</v>
      </c>
      <c r="V35" s="4" t="str">
        <f t="shared" si="3"/>
        <v>BasSw</v>
      </c>
      <c r="W35" s="4" t="str">
        <v>obj_002ba</v>
      </c>
      <c r="X35" s="4" t="str">
        <f>IFERROR(_xll.qlRateHelperQuoteName(W35,Trigger),"")</f>
        <v>USDAM3L35Y_S6L3L_Quote</v>
      </c>
      <c r="Y35" s="76">
        <f>IFERROR(_xll.qlRateHelperRate(W35,Trigger),"")</f>
        <v>2.793405967487737E-2</v>
      </c>
      <c r="Z35" s="116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42261</v>
      </c>
      <c r="AB35" s="5">
        <f>IFERROR(_xll.qlRateHelperPillarDate(W35,Trigger),"")</f>
        <v>55045</v>
      </c>
      <c r="AC35" s="84">
        <v>0.36550207740329221</v>
      </c>
    </row>
    <row r="36" spans="1:29" ht="11.25" customHeight="1" x14ac:dyDescent="0.2">
      <c r="A36" s="64" t="s">
        <v>160</v>
      </c>
      <c r="B36" s="65" t="s">
        <v>72</v>
      </c>
      <c r="C36" s="66" t="s">
        <v>6</v>
      </c>
      <c r="D36" s="66" t="s">
        <v>8</v>
      </c>
      <c r="E36" s="66" t="s">
        <v>7</v>
      </c>
      <c r="F36" s="66" t="s">
        <v>28</v>
      </c>
      <c r="G36" s="66" t="str">
        <f t="shared" si="18"/>
        <v>UsdLibor6M</v>
      </c>
      <c r="H36" s="64" t="str">
        <f t="shared" si="19"/>
        <v>USDAM3L2Y_S6L3L_Quote</v>
      </c>
      <c r="I36" s="141">
        <v>0</v>
      </c>
      <c r="J36" s="70" t="str">
        <f>_xll.qlSwapRateHelper2(,H36,,B36,JoinCalendar,USD6M!D36,USD6M!E36,USD6M!F36,USD6M!G36,USD6M!I36,USD6M!C36,Discounting,PillarDate,,Permanent,Trigger,ObjectOverwrite)</f>
        <v>obj_00290#0004</v>
      </c>
      <c r="K36" s="53"/>
      <c r="L36" s="11" t="str">
        <f t="shared" si="16"/>
        <v>BasSw</v>
      </c>
      <c r="M36" s="106" t="str">
        <f t="shared" si="17"/>
        <v>obj_002a6#0004</v>
      </c>
      <c r="N36" s="160" t="str">
        <f>IFERROR(_xll.qlRateHelperQuoteName(M36,Trigger),"--")</f>
        <v>USDAM3L6Y_S6L3L_Quote</v>
      </c>
      <c r="O36" s="110">
        <f>IFERROR(_xll.qlRateHelperQuoteValue($M36,Trigger),"--")</f>
        <v>1.843487253168536E-2</v>
      </c>
      <c r="P36" s="109" t="b">
        <v>1</v>
      </c>
      <c r="Q36" s="106">
        <v>40</v>
      </c>
      <c r="R36" s="106">
        <v>1</v>
      </c>
      <c r="S36" s="111">
        <f>IFERROR(_xll.qlRateHelperEarliestDate(M36,Trigger),"--")</f>
        <v>42261</v>
      </c>
      <c r="T36" s="111">
        <f>IFERROR(_xll.qlRateHelperPillarDate(M36,Trigger),"--")</f>
        <v>44453</v>
      </c>
      <c r="V36" s="4" t="str">
        <f t="shared" si="3"/>
        <v>BasSw</v>
      </c>
      <c r="W36" s="4" t="str">
        <v>obj_002a3</v>
      </c>
      <c r="X36" s="4" t="str">
        <f>IFERROR(_xll.qlRateHelperQuoteName(W36,Trigger),"")</f>
        <v>USDAM3L40Y_S6L3L_Quote</v>
      </c>
      <c r="Y36" s="76">
        <f>IFERROR(_xll.qlRateHelperRate(W36,Trigger),"")</f>
        <v>2.7949197555523081E-2</v>
      </c>
      <c r="Z36" s="116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42261</v>
      </c>
      <c r="AB36" s="5">
        <f>IFERROR(_xll.qlRateHelperPillarDate(W36,Trigger),"")</f>
        <v>56871</v>
      </c>
      <c r="AC36" s="84">
        <v>0.31751015176023051</v>
      </c>
    </row>
    <row r="37" spans="1:29" ht="11.25" customHeight="1" x14ac:dyDescent="0.2">
      <c r="A37" s="64" t="s">
        <v>160</v>
      </c>
      <c r="B37" s="65" t="s">
        <v>76</v>
      </c>
      <c r="C37" s="66" t="s">
        <v>6</v>
      </c>
      <c r="D37" s="66" t="s">
        <v>8</v>
      </c>
      <c r="E37" s="66" t="s">
        <v>7</v>
      </c>
      <c r="F37" s="66" t="s">
        <v>28</v>
      </c>
      <c r="G37" s="66" t="str">
        <f t="shared" si="18"/>
        <v>UsdLibor6M</v>
      </c>
      <c r="H37" s="64" t="str">
        <f t="shared" si="19"/>
        <v>USDAM3L3Y_S6L3L_Quote</v>
      </c>
      <c r="I37" s="141">
        <v>0</v>
      </c>
      <c r="J37" s="70" t="str">
        <f>_xll.qlSwapRateHelper2(,H37,,B37,JoinCalendar,USD6M!D37,USD6M!E37,USD6M!F37,USD6M!G37,USD6M!I37,USD6M!C37,Discounting,PillarDate,,Permanent,Trigger,ObjectOverwrite)</f>
        <v>obj_0028c#0004</v>
      </c>
      <c r="K37" s="53"/>
      <c r="L37" s="11" t="str">
        <f t="shared" si="16"/>
        <v>BasSw</v>
      </c>
      <c r="M37" s="106" t="str">
        <f t="shared" si="17"/>
        <v>obj_00296#0004</v>
      </c>
      <c r="N37" s="160" t="str">
        <f>IFERROR(_xll.qlRateHelperQuoteName(M37,Trigger),"--")</f>
        <v>USDAM3L7Y_S6L3L_Quote</v>
      </c>
      <c r="O37" s="110">
        <f>IFERROR(_xll.qlRateHelperQuoteValue($M37,Trigger),"--")</f>
        <v>1.9935408476519281E-2</v>
      </c>
      <c r="P37" s="109" t="b">
        <v>1</v>
      </c>
      <c r="Q37" s="106">
        <v>40</v>
      </c>
      <c r="R37" s="106">
        <v>1</v>
      </c>
      <c r="S37" s="111">
        <f>IFERROR(_xll.qlRateHelperEarliestDate(M37,Trigger),"--")</f>
        <v>42261</v>
      </c>
      <c r="T37" s="111">
        <f>IFERROR(_xll.qlRateHelperPillarDate(M37,Trigger),"--")</f>
        <v>44818</v>
      </c>
      <c r="V37" s="4" t="str">
        <f t="shared" si="3"/>
        <v>BasSw</v>
      </c>
      <c r="W37" s="4" t="str">
        <v>obj_002af</v>
      </c>
      <c r="X37" s="4" t="str">
        <f>IFERROR(_xll.qlRateHelperQuoteName(W37,Trigger),"")</f>
        <v>USDAM3L50Y_S6L3L_Quote</v>
      </c>
      <c r="Y37" s="76">
        <f>IFERROR(_xll.qlRateHelperRate(W37,Trigger),"")</f>
        <v>2.7809231411805403E-2</v>
      </c>
      <c r="Z37" s="116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42261</v>
      </c>
      <c r="AB37" s="5">
        <f>IFERROR(_xll.qlRateHelperPillarDate(W37,Trigger),"")</f>
        <v>60524</v>
      </c>
      <c r="AC37" s="84">
        <v>0.24312546927770526</v>
      </c>
    </row>
    <row r="38" spans="1:29" ht="11.25" customHeight="1" x14ac:dyDescent="0.2">
      <c r="A38" s="64" t="s">
        <v>160</v>
      </c>
      <c r="B38" s="65" t="s">
        <v>80</v>
      </c>
      <c r="C38" s="66" t="s">
        <v>6</v>
      </c>
      <c r="D38" s="66" t="s">
        <v>8</v>
      </c>
      <c r="E38" s="66" t="s">
        <v>7</v>
      </c>
      <c r="F38" s="66" t="s">
        <v>28</v>
      </c>
      <c r="G38" s="66" t="str">
        <f t="shared" si="18"/>
        <v>UsdLibor6M</v>
      </c>
      <c r="H38" s="64" t="str">
        <f t="shared" si="19"/>
        <v>USDAM3L4Y_S6L3L_Quote</v>
      </c>
      <c r="I38" s="141">
        <v>0</v>
      </c>
      <c r="J38" s="70" t="str">
        <f>_xll.qlSwapRateHelper2(,H38,,B38,JoinCalendar,USD6M!D38,USD6M!E38,USD6M!F38,USD6M!G38,USD6M!I38,USD6M!C38,Discounting,PillarDate,,Permanent,Trigger,ObjectOverwrite)</f>
        <v>obj_002d2#0004</v>
      </c>
      <c r="K38" s="53"/>
      <c r="L38" s="11" t="str">
        <f t="shared" si="16"/>
        <v>BasSw</v>
      </c>
      <c r="M38" s="106" t="str">
        <f t="shared" si="17"/>
        <v>obj_002cd#0004</v>
      </c>
      <c r="N38" s="160" t="str">
        <f>IFERROR(_xll.qlRateHelperQuoteName(M38,Trigger),"--")</f>
        <v>USDAM3L8Y_S6L3L_Quote</v>
      </c>
      <c r="O38" s="110">
        <f>IFERROR(_xll.qlRateHelperQuoteValue($M38,Trigger),"--")</f>
        <v>2.1185893848964729E-2</v>
      </c>
      <c r="P38" s="109" t="b">
        <v>1</v>
      </c>
      <c r="Q38" s="106">
        <v>40</v>
      </c>
      <c r="R38" s="106">
        <v>1</v>
      </c>
      <c r="S38" s="111">
        <f>IFERROR(_xll.qlRateHelperEarliestDate(M38,Trigger),"--")</f>
        <v>42261</v>
      </c>
      <c r="T38" s="111">
        <f>IFERROR(_xll.qlRateHelperPillarDate(M38,Trigger),"--")</f>
        <v>45183</v>
      </c>
      <c r="V38" s="4" t="str">
        <f t="shared" si="3"/>
        <v>BasSw</v>
      </c>
      <c r="W38" s="4" t="str">
        <v>obj_002d1</v>
      </c>
      <c r="X38" s="4" t="str">
        <f>IFERROR(_xll.qlRateHelperQuoteName(W38,Trigger),"")</f>
        <v>USDAM3L60Y_S6L3L_Quote</v>
      </c>
      <c r="Y38" s="76">
        <f>IFERROR(_xll.qlRateHelperRate(W38,Trigger),"")</f>
        <v>2.7685365793594527E-2</v>
      </c>
      <c r="Z38" s="116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42261</v>
      </c>
      <c r="AB38" s="5">
        <f>IFERROR(_xll.qlRateHelperPillarDate(W38,Trigger),"")</f>
        <v>64178</v>
      </c>
      <c r="AC38" s="84">
        <v>0.18693976864775017</v>
      </c>
    </row>
    <row r="39" spans="1:29" ht="11.25" customHeight="1" x14ac:dyDescent="0.2">
      <c r="A39" s="64" t="s">
        <v>160</v>
      </c>
      <c r="B39" s="65" t="s">
        <v>84</v>
      </c>
      <c r="C39" s="66" t="s">
        <v>6</v>
      </c>
      <c r="D39" s="66" t="s">
        <v>8</v>
      </c>
      <c r="E39" s="66" t="s">
        <v>7</v>
      </c>
      <c r="F39" s="66" t="s">
        <v>28</v>
      </c>
      <c r="G39" s="66" t="str">
        <f t="shared" si="18"/>
        <v>UsdLibor6M</v>
      </c>
      <c r="H39" s="64" t="str">
        <f t="shared" si="19"/>
        <v>USDAM3L5Y_S6L3L_Quote</v>
      </c>
      <c r="I39" s="141">
        <v>0</v>
      </c>
      <c r="J39" s="70" t="str">
        <f>_xll.qlSwapRateHelper2(,H39,,B39,JoinCalendar,USD6M!D39,USD6M!E39,USD6M!F39,USD6M!G39,USD6M!I39,USD6M!C39,Discounting,PillarDate,,Permanent,Trigger,ObjectOverwrite)</f>
        <v>obj_002d5#0004</v>
      </c>
      <c r="K39" s="53"/>
      <c r="L39" s="11" t="str">
        <f t="shared" si="16"/>
        <v>BasSw</v>
      </c>
      <c r="M39" s="106" t="str">
        <f t="shared" si="17"/>
        <v>obj_002c5#0004</v>
      </c>
      <c r="N39" s="160" t="str">
        <f>IFERROR(_xll.qlRateHelperQuoteName(M39,Trigger),"--")</f>
        <v>USDAM3L9Y_S6L3L_Quote</v>
      </c>
      <c r="O39" s="110">
        <f>IFERROR(_xll.qlRateHelperQuoteValue($M39,Trigger),"--")</f>
        <v>2.2216420715955039E-2</v>
      </c>
      <c r="P39" s="109" t="b">
        <v>1</v>
      </c>
      <c r="Q39" s="106">
        <v>40</v>
      </c>
      <c r="R39" s="106">
        <v>1</v>
      </c>
      <c r="S39" s="111">
        <f>IFERROR(_xll.qlRateHelperEarliestDate(M39,Trigger),"--")</f>
        <v>42261</v>
      </c>
      <c r="T39" s="111">
        <f>IFERROR(_xll.qlRateHelperPillarDate(M39,Trigger),"--")</f>
        <v>45551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160</v>
      </c>
      <c r="B40" s="65" t="s">
        <v>85</v>
      </c>
      <c r="C40" s="66" t="s">
        <v>6</v>
      </c>
      <c r="D40" s="66" t="s">
        <v>8</v>
      </c>
      <c r="E40" s="66" t="s">
        <v>7</v>
      </c>
      <c r="F40" s="66" t="s">
        <v>28</v>
      </c>
      <c r="G40" s="66" t="str">
        <f t="shared" si="18"/>
        <v>UsdLibor6M</v>
      </c>
      <c r="H40" s="64" t="str">
        <f t="shared" si="19"/>
        <v>USDAM3L6Y_S6L3L_Quote</v>
      </c>
      <c r="I40" s="141">
        <v>0</v>
      </c>
      <c r="J40" s="70" t="str">
        <f>_xll.qlSwapRateHelper2(,H40,,B40,JoinCalendar,USD6M!D40,USD6M!E40,USD6M!F40,USD6M!G40,USD6M!I40,USD6M!C40,Discounting,PillarDate,,Permanent,Trigger,ObjectOverwrite)</f>
        <v>obj_002a6#0004</v>
      </c>
      <c r="K40" s="53"/>
      <c r="L40" s="11" t="str">
        <f t="shared" si="16"/>
        <v>BasSw</v>
      </c>
      <c r="M40" s="106" t="str">
        <f t="shared" si="17"/>
        <v>obj_002bd#0004</v>
      </c>
      <c r="N40" s="160" t="str">
        <f>IFERROR(_xll.qlRateHelperQuoteName(M40,Trigger),"--")</f>
        <v>USDAM3L10Y_S6L3L_Quote</v>
      </c>
      <c r="O40" s="110">
        <f>IFERROR(_xll.qlRateHelperQuoteValue($M40,Trigger),"--")</f>
        <v>2.306682520080814E-2</v>
      </c>
      <c r="P40" s="109" t="b">
        <v>1</v>
      </c>
      <c r="Q40" s="106">
        <v>40</v>
      </c>
      <c r="R40" s="106">
        <v>1</v>
      </c>
      <c r="S40" s="111">
        <f>IFERROR(_xll.qlRateHelperEarliestDate(M40,Trigger),"--")</f>
        <v>42261</v>
      </c>
      <c r="T40" s="111">
        <f>IFERROR(_xll.qlRateHelperPillarDate(M40,Trigger),"--")</f>
        <v>45915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160</v>
      </c>
      <c r="B41" s="65" t="s">
        <v>86</v>
      </c>
      <c r="C41" s="66" t="s">
        <v>6</v>
      </c>
      <c r="D41" s="66" t="s">
        <v>8</v>
      </c>
      <c r="E41" s="66" t="s">
        <v>7</v>
      </c>
      <c r="F41" s="66" t="s">
        <v>28</v>
      </c>
      <c r="G41" s="66" t="str">
        <f t="shared" si="18"/>
        <v>UsdLibor6M</v>
      </c>
      <c r="H41" s="64" t="str">
        <f t="shared" si="19"/>
        <v>USDAM3L7Y_S6L3L_Quote</v>
      </c>
      <c r="I41" s="141">
        <v>0</v>
      </c>
      <c r="J41" s="70" t="str">
        <f>_xll.qlSwapRateHelper2(,H41,,B41,JoinCalendar,USD6M!D41,USD6M!E41,USD6M!F41,USD6M!G41,USD6M!I41,USD6M!C41,Discounting,PillarDate,,Permanent,Trigger,ObjectOverwrite)</f>
        <v>obj_00296#0004</v>
      </c>
      <c r="L41" s="11" t="str">
        <f t="shared" si="16"/>
        <v>BasSw</v>
      </c>
      <c r="M41" s="106" t="str">
        <f t="shared" si="17"/>
        <v>--</v>
      </c>
      <c r="N41" s="160" t="str">
        <f>IFERROR(_xll.qlRateHelperQuoteName(M41,Trigger),"--")</f>
        <v>--</v>
      </c>
      <c r="O41" s="110" t="str">
        <f>IFERROR(_xll.qlRateHelperQuoteValue($M41,Trigger),"--")</f>
        <v>--</v>
      </c>
      <c r="P41" s="109" t="b">
        <v>0</v>
      </c>
      <c r="Q41" s="106">
        <v>40</v>
      </c>
      <c r="R41" s="106">
        <v>1</v>
      </c>
      <c r="S41" s="111" t="str">
        <f>IFERROR(_xll.qlRateHelperEarliestDate(M41,Trigger),"--")</f>
        <v>--</v>
      </c>
      <c r="T41" s="111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160</v>
      </c>
      <c r="B42" s="65" t="s">
        <v>87</v>
      </c>
      <c r="C42" s="66" t="s">
        <v>6</v>
      </c>
      <c r="D42" s="66" t="s">
        <v>8</v>
      </c>
      <c r="E42" s="66" t="s">
        <v>7</v>
      </c>
      <c r="F42" s="66" t="s">
        <v>28</v>
      </c>
      <c r="G42" s="66" t="str">
        <f t="shared" si="18"/>
        <v>UsdLibor6M</v>
      </c>
      <c r="H42" s="64" t="str">
        <f t="shared" si="19"/>
        <v>USDAM3L8Y_S6L3L_Quote</v>
      </c>
      <c r="I42" s="141">
        <v>0</v>
      </c>
      <c r="J42" s="70" t="str">
        <f>_xll.qlSwapRateHelper2(,H42,,B42,JoinCalendar,USD6M!D42,USD6M!E42,USD6M!F42,USD6M!G42,USD6M!I42,USD6M!C42,Discounting,PillarDate,,Permanent,Trigger,ObjectOverwrite)</f>
        <v>obj_002cd#0004</v>
      </c>
      <c r="L42" s="11" t="str">
        <f t="shared" si="16"/>
        <v>BasSw</v>
      </c>
      <c r="M42" s="106" t="str">
        <f t="shared" si="17"/>
        <v>obj_002a8#0004</v>
      </c>
      <c r="N42" s="160" t="str">
        <f>IFERROR(_xll.qlRateHelperQuoteName(M42,Trigger),"--")</f>
        <v>USDAM3L12Y_S6L3L_Quote</v>
      </c>
      <c r="O42" s="110">
        <f>IFERROR(_xll.qlRateHelperQuoteValue($M42,Trigger),"--")</f>
        <v>2.4427626611261678E-2</v>
      </c>
      <c r="P42" s="109" t="b">
        <v>1</v>
      </c>
      <c r="Q42" s="106">
        <v>40</v>
      </c>
      <c r="R42" s="106">
        <v>1</v>
      </c>
      <c r="S42" s="111">
        <f>IFERROR(_xll.qlRateHelperEarliestDate(M42,Trigger),"--")</f>
        <v>42261</v>
      </c>
      <c r="T42" s="111">
        <f>IFERROR(_xll.qlRateHelperPillarDate(M42,Trigger),"--")</f>
        <v>46644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160</v>
      </c>
      <c r="B43" s="65" t="s">
        <v>88</v>
      </c>
      <c r="C43" s="66" t="s">
        <v>6</v>
      </c>
      <c r="D43" s="66" t="s">
        <v>8</v>
      </c>
      <c r="E43" s="66" t="s">
        <v>7</v>
      </c>
      <c r="F43" s="66" t="s">
        <v>28</v>
      </c>
      <c r="G43" s="66" t="str">
        <f t="shared" si="18"/>
        <v>UsdLibor6M</v>
      </c>
      <c r="H43" s="64" t="str">
        <f t="shared" si="19"/>
        <v>USDAM3L9Y_S6L3L_Quote</v>
      </c>
      <c r="I43" s="141">
        <v>0</v>
      </c>
      <c r="J43" s="70" t="str">
        <f>_xll.qlSwapRateHelper2(,H43,,B43,JoinCalendar,USD6M!D43,USD6M!E43,USD6M!F43,USD6M!G43,USD6M!I43,USD6M!C43,Discounting,PillarDate,,Permanent,Trigger,ObjectOverwrite)</f>
        <v>obj_002c5#0004</v>
      </c>
      <c r="L43" s="11" t="str">
        <f t="shared" si="16"/>
        <v>BasSw</v>
      </c>
      <c r="M43" s="106" t="str">
        <f t="shared" si="17"/>
        <v>--</v>
      </c>
      <c r="N43" s="160" t="str">
        <f>IFERROR(_xll.qlRateHelperQuoteName(M43,Trigger),"--")</f>
        <v>--</v>
      </c>
      <c r="O43" s="110" t="str">
        <f>IFERROR(_xll.qlRateHelperQuoteValue($M43,Trigger),"--")</f>
        <v>--</v>
      </c>
      <c r="P43" s="109" t="b">
        <v>0</v>
      </c>
      <c r="Q43" s="106">
        <v>40</v>
      </c>
      <c r="R43" s="106">
        <v>1</v>
      </c>
      <c r="S43" s="111" t="str">
        <f>IFERROR(_xll.qlRateHelperEarliestDate(M43,Trigger),"--")</f>
        <v>--</v>
      </c>
      <c r="T43" s="111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160</v>
      </c>
      <c r="B44" s="65" t="s">
        <v>89</v>
      </c>
      <c r="C44" s="66" t="s">
        <v>6</v>
      </c>
      <c r="D44" s="66" t="s">
        <v>8</v>
      </c>
      <c r="E44" s="66" t="s">
        <v>7</v>
      </c>
      <c r="F44" s="66" t="s">
        <v>28</v>
      </c>
      <c r="G44" s="66" t="str">
        <f t="shared" si="18"/>
        <v>UsdLibor6M</v>
      </c>
      <c r="H44" s="64" t="str">
        <f t="shared" si="19"/>
        <v>USDAM3L10Y_S6L3L_Quote</v>
      </c>
      <c r="I44" s="141">
        <v>0</v>
      </c>
      <c r="J44" s="70" t="str">
        <f>_xll.qlSwapRateHelper2(,H44,,B44,JoinCalendar,USD6M!D44,USD6M!E44,USD6M!F44,USD6M!G44,USD6M!I44,USD6M!C44,Discounting,PillarDate,,Permanent,Trigger,ObjectOverwrite)</f>
        <v>obj_002bd#0004</v>
      </c>
      <c r="L44" s="11" t="str">
        <f t="shared" si="16"/>
        <v>BasSw</v>
      </c>
      <c r="M44" s="106" t="str">
        <f t="shared" si="17"/>
        <v>--</v>
      </c>
      <c r="N44" s="160" t="str">
        <f>IFERROR(_xll.qlRateHelperQuoteName(M44,Trigger),"--")</f>
        <v>--</v>
      </c>
      <c r="O44" s="110" t="str">
        <f>IFERROR(_xll.qlRateHelperQuoteValue($M44,Trigger),"--")</f>
        <v>--</v>
      </c>
      <c r="P44" s="109" t="b">
        <v>0</v>
      </c>
      <c r="Q44" s="106">
        <v>40</v>
      </c>
      <c r="R44" s="106">
        <v>1</v>
      </c>
      <c r="S44" s="111" t="str">
        <f>IFERROR(_xll.qlRateHelperEarliestDate(M44,Trigger),"--")</f>
        <v>--</v>
      </c>
      <c r="T44" s="111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160</v>
      </c>
      <c r="B45" s="65" t="s">
        <v>133</v>
      </c>
      <c r="C45" s="66" t="s">
        <v>6</v>
      </c>
      <c r="D45" s="66" t="s">
        <v>8</v>
      </c>
      <c r="E45" s="66" t="s">
        <v>7</v>
      </c>
      <c r="F45" s="66" t="s">
        <v>28</v>
      </c>
      <c r="G45" s="66" t="str">
        <f t="shared" si="18"/>
        <v>UsdLibor6M</v>
      </c>
      <c r="H45" s="64" t="str">
        <f t="shared" si="19"/>
        <v>USDAM3L11Y_S6L3L_Quote</v>
      </c>
      <c r="I45" s="141">
        <v>0</v>
      </c>
      <c r="J45" s="70"/>
      <c r="L45" s="11" t="str">
        <f t="shared" si="16"/>
        <v>BasSw</v>
      </c>
      <c r="M45" s="106" t="str">
        <f t="shared" si="17"/>
        <v>obj_002c2#0004</v>
      </c>
      <c r="N45" s="160" t="str">
        <f>IFERROR(_xll.qlRateHelperQuoteName(M45,Trigger),"--")</f>
        <v>USDAM3L15Y_S6L3L_Quote</v>
      </c>
      <c r="O45" s="110">
        <f>IFERROR(_xll.qlRateHelperQuoteValue($M45,Trigger),"--")</f>
        <v>2.5738395188630397E-2</v>
      </c>
      <c r="P45" s="109" t="b">
        <v>1</v>
      </c>
      <c r="Q45" s="106">
        <v>40</v>
      </c>
      <c r="R45" s="106">
        <v>1</v>
      </c>
      <c r="S45" s="111">
        <f>IFERROR(_xll.qlRateHelperEarliestDate(M45,Trigger),"--")</f>
        <v>42261</v>
      </c>
      <c r="T45" s="111">
        <f>IFERROR(_xll.qlRateHelperPillarDate(M45,Trigger),"--")</f>
        <v>47742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160</v>
      </c>
      <c r="B46" s="65" t="s">
        <v>90</v>
      </c>
      <c r="C46" s="66" t="s">
        <v>6</v>
      </c>
      <c r="D46" s="66" t="s">
        <v>8</v>
      </c>
      <c r="E46" s="66" t="s">
        <v>7</v>
      </c>
      <c r="F46" s="66" t="s">
        <v>28</v>
      </c>
      <c r="G46" s="66" t="str">
        <f t="shared" si="18"/>
        <v>UsdLibor6M</v>
      </c>
      <c r="H46" s="64" t="str">
        <f t="shared" si="19"/>
        <v>USDAM3L12Y_S6L3L_Quote</v>
      </c>
      <c r="I46" s="141">
        <v>0</v>
      </c>
      <c r="J46" s="70" t="str">
        <f>_xll.qlSwapRateHelper2(,H46,,B46,JoinCalendar,USD6M!D46,USD6M!E46,USD6M!F46,USD6M!G46,USD6M!I46,USD6M!C46,Discounting,PillarDate,,Permanent,Trigger,ObjectOverwrite)</f>
        <v>obj_002a8#0004</v>
      </c>
      <c r="L46" s="11" t="str">
        <f t="shared" si="16"/>
        <v>BasSw</v>
      </c>
      <c r="M46" s="106" t="str">
        <f t="shared" si="17"/>
        <v>--</v>
      </c>
      <c r="N46" s="160" t="str">
        <f>IFERROR(_xll.qlRateHelperQuoteName(M46,Trigger),"--")</f>
        <v>--</v>
      </c>
      <c r="O46" s="110" t="str">
        <f>IFERROR(_xll.qlRateHelperQuoteValue($M46,Trigger),"--")</f>
        <v>--</v>
      </c>
      <c r="P46" s="109" t="b">
        <v>0</v>
      </c>
      <c r="Q46" s="106">
        <v>40</v>
      </c>
      <c r="R46" s="106">
        <v>1</v>
      </c>
      <c r="S46" s="111" t="str">
        <f>IFERROR(_xll.qlRateHelperEarliestDate(M46,Trigger),"--")</f>
        <v>--</v>
      </c>
      <c r="T46" s="111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64" t="s">
        <v>160</v>
      </c>
      <c r="B47" s="65" t="s">
        <v>134</v>
      </c>
      <c r="C47" s="66" t="s">
        <v>6</v>
      </c>
      <c r="D47" s="66" t="s">
        <v>8</v>
      </c>
      <c r="E47" s="66" t="s">
        <v>7</v>
      </c>
      <c r="F47" s="66" t="s">
        <v>28</v>
      </c>
      <c r="G47" s="66" t="str">
        <f t="shared" si="18"/>
        <v>UsdLibor6M</v>
      </c>
      <c r="H47" s="64" t="str">
        <f t="shared" si="19"/>
        <v>USDAM3L13Y_S6L3L_Quote</v>
      </c>
      <c r="I47" s="141">
        <v>0</v>
      </c>
      <c r="J47" s="70"/>
      <c r="L47" s="11" t="str">
        <f t="shared" si="16"/>
        <v>BasSw</v>
      </c>
      <c r="M47" s="106" t="str">
        <f t="shared" si="17"/>
        <v>--</v>
      </c>
      <c r="N47" s="160" t="str">
        <f>IFERROR(_xll.qlRateHelperQuoteName(M47,Trigger),"--")</f>
        <v>--</v>
      </c>
      <c r="O47" s="110" t="str">
        <f>IFERROR(_xll.qlRateHelperQuoteValue($M47,Trigger),"--")</f>
        <v>--</v>
      </c>
      <c r="P47" s="109" t="b">
        <v>0</v>
      </c>
      <c r="Q47" s="106">
        <v>40</v>
      </c>
      <c r="R47" s="106">
        <v>1</v>
      </c>
      <c r="S47" s="111" t="str">
        <f>IFERROR(_xll.qlRateHelperEarliestDate(M47,Trigger),"--")</f>
        <v>--</v>
      </c>
      <c r="T47" s="111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160</v>
      </c>
      <c r="B48" s="65" t="s">
        <v>135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 t="shared" si="18"/>
        <v>UsdLibor6M</v>
      </c>
      <c r="H48" s="64" t="str">
        <f t="shared" si="19"/>
        <v>USDAM3L14Y_S6L3L_Quote</v>
      </c>
      <c r="I48" s="141">
        <v>0</v>
      </c>
      <c r="J48" s="70"/>
      <c r="L48" s="11" t="str">
        <f t="shared" si="16"/>
        <v>BasSw</v>
      </c>
      <c r="M48" s="106" t="str">
        <f t="shared" si="17"/>
        <v>--</v>
      </c>
      <c r="N48" s="160" t="str">
        <f>IFERROR(_xll.qlRateHelperQuoteName(M48,Trigger),"--")</f>
        <v>--</v>
      </c>
      <c r="O48" s="110" t="str">
        <f>IFERROR(_xll.qlRateHelperQuoteValue($M48,Trigger),"--")</f>
        <v>--</v>
      </c>
      <c r="P48" s="109" t="b">
        <v>0</v>
      </c>
      <c r="Q48" s="106">
        <v>40</v>
      </c>
      <c r="R48" s="106">
        <v>1</v>
      </c>
      <c r="S48" s="111" t="str">
        <f>IFERROR(_xll.qlRateHelperEarliestDate(M48,Trigger),"--")</f>
        <v>--</v>
      </c>
      <c r="T48" s="111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160</v>
      </c>
      <c r="B49" s="65" t="s">
        <v>91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 t="shared" si="18"/>
        <v>UsdLibor6M</v>
      </c>
      <c r="H49" s="64" t="str">
        <f t="shared" si="19"/>
        <v>USDAM3L15Y_S6L3L_Quote</v>
      </c>
      <c r="I49" s="141">
        <v>0</v>
      </c>
      <c r="J49" s="70" t="str">
        <f>_xll.qlSwapRateHelper2(,H49,,B49,JoinCalendar,USD6M!D49,USD6M!E49,USD6M!F49,USD6M!G49,USD6M!I49,USD6M!C49,Discounting,PillarDate,,Permanent,Trigger,ObjectOverwrite)</f>
        <v>obj_002c2#0004</v>
      </c>
      <c r="L49" s="11" t="str">
        <f t="shared" si="16"/>
        <v>BasSw</v>
      </c>
      <c r="M49" s="106" t="str">
        <f t="shared" si="17"/>
        <v>--</v>
      </c>
      <c r="N49" s="160" t="str">
        <f>IFERROR(_xll.qlRateHelperQuoteName(M49,Trigger),"--")</f>
        <v>--</v>
      </c>
      <c r="O49" s="110" t="str">
        <f>IFERROR(_xll.qlRateHelperQuoteValue($M49,Trigger),"--")</f>
        <v>--</v>
      </c>
      <c r="P49" s="109" t="b">
        <v>0</v>
      </c>
      <c r="Q49" s="106">
        <v>40</v>
      </c>
      <c r="R49" s="106">
        <v>1</v>
      </c>
      <c r="S49" s="111" t="str">
        <f>IFERROR(_xll.qlRateHelperEarliestDate(M49,Trigger),"--")</f>
        <v>--</v>
      </c>
      <c r="T49" s="111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160</v>
      </c>
      <c r="B50" s="65" t="s">
        <v>136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 t="shared" si="18"/>
        <v>UsdLibor6M</v>
      </c>
      <c r="H50" s="64" t="str">
        <f t="shared" si="19"/>
        <v>USDAM3L16Y_S6L3L_Quote</v>
      </c>
      <c r="I50" s="141">
        <v>0</v>
      </c>
      <c r="J50" s="70"/>
      <c r="L50" s="11" t="str">
        <f t="shared" si="16"/>
        <v>BasSw</v>
      </c>
      <c r="M50" s="106" t="str">
        <f t="shared" si="17"/>
        <v>obj_002d0#0004</v>
      </c>
      <c r="N50" s="160" t="str">
        <f>IFERROR(_xll.qlRateHelperQuoteName(M50,Trigger),"--")</f>
        <v>USDAM3L20Y_S6L3L_Quote</v>
      </c>
      <c r="O50" s="110">
        <f>IFERROR(_xll.qlRateHelperQuoteValue($M50,Trigger),"--")</f>
        <v>2.6908870932738443E-2</v>
      </c>
      <c r="P50" s="109" t="b">
        <v>1</v>
      </c>
      <c r="Q50" s="106">
        <v>40</v>
      </c>
      <c r="R50" s="106">
        <v>1</v>
      </c>
      <c r="S50" s="111">
        <f>IFERROR(_xll.qlRateHelperEarliestDate(M50,Trigger),"--")</f>
        <v>42261</v>
      </c>
      <c r="T50" s="111">
        <f>IFERROR(_xll.qlRateHelperPillarDate(M50,Trigger),"--")</f>
        <v>49566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160</v>
      </c>
      <c r="B51" s="65" t="s">
        <v>137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8"/>
        <v>UsdLibor6M</v>
      </c>
      <c r="H51" s="64" t="str">
        <f t="shared" si="19"/>
        <v>USDAM3L17Y_S6L3L_Quote</v>
      </c>
      <c r="I51" s="141">
        <v>0</v>
      </c>
      <c r="J51" s="70"/>
      <c r="L51" s="11" t="str">
        <f t="shared" si="16"/>
        <v>BasSw</v>
      </c>
      <c r="M51" s="106" t="str">
        <f t="shared" si="17"/>
        <v>--</v>
      </c>
      <c r="N51" s="160" t="str">
        <f>IFERROR(_xll.qlRateHelperQuoteName(M51,Trigger),"--")</f>
        <v>--</v>
      </c>
      <c r="O51" s="110" t="str">
        <f>IFERROR(_xll.qlRateHelperQuoteValue($M51,Trigger),"--")</f>
        <v>--</v>
      </c>
      <c r="P51" s="109" t="b">
        <v>0</v>
      </c>
      <c r="Q51" s="106">
        <v>40</v>
      </c>
      <c r="R51" s="106">
        <v>1</v>
      </c>
      <c r="S51" s="111" t="str">
        <f>IFERROR(_xll.qlRateHelperEarliestDate(M51,Trigger),"--")</f>
        <v>--</v>
      </c>
      <c r="T51" s="111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160</v>
      </c>
      <c r="B52" s="65" t="s">
        <v>138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8"/>
        <v>UsdLibor6M</v>
      </c>
      <c r="H52" s="64" t="str">
        <f t="shared" si="19"/>
        <v>USDAM3L18Y_S6L3L_Quote</v>
      </c>
      <c r="I52" s="141">
        <v>0</v>
      </c>
      <c r="J52" s="70"/>
      <c r="L52" s="11" t="str">
        <f t="shared" si="16"/>
        <v>BasSw</v>
      </c>
      <c r="M52" s="106" t="str">
        <f t="shared" si="17"/>
        <v>--</v>
      </c>
      <c r="N52" s="160" t="str">
        <f>IFERROR(_xll.qlRateHelperQuoteName(M52,Trigger),"--")</f>
        <v>--</v>
      </c>
      <c r="O52" s="110" t="str">
        <f>IFERROR(_xll.qlRateHelperQuoteValue($M52,Trigger),"--")</f>
        <v>--</v>
      </c>
      <c r="P52" s="109" t="b">
        <v>0</v>
      </c>
      <c r="Q52" s="106">
        <v>40</v>
      </c>
      <c r="R52" s="106">
        <v>1</v>
      </c>
      <c r="S52" s="111" t="str">
        <f>IFERROR(_xll.qlRateHelperEarliestDate(M52,Trigger),"--")</f>
        <v>--</v>
      </c>
      <c r="T52" s="111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160</v>
      </c>
      <c r="B53" s="65" t="s">
        <v>139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8"/>
        <v>UsdLibor6M</v>
      </c>
      <c r="H53" s="64" t="str">
        <f t="shared" si="19"/>
        <v>USDAM3L19Y_S6L3L_Quote</v>
      </c>
      <c r="I53" s="141">
        <v>0</v>
      </c>
      <c r="J53" s="70"/>
      <c r="L53" s="11" t="str">
        <f t="shared" si="16"/>
        <v>BasSw</v>
      </c>
      <c r="M53" s="106" t="str">
        <f t="shared" si="17"/>
        <v>--</v>
      </c>
      <c r="N53" s="160" t="str">
        <f>IFERROR(_xll.qlRateHelperQuoteName(M53,Trigger),"--")</f>
        <v>--</v>
      </c>
      <c r="O53" s="110" t="str">
        <f>IFERROR(_xll.qlRateHelperQuoteValue($M53,Trigger),"--")</f>
        <v>--</v>
      </c>
      <c r="P53" s="109" t="b">
        <v>0</v>
      </c>
      <c r="Q53" s="106">
        <v>40</v>
      </c>
      <c r="R53" s="106">
        <v>1</v>
      </c>
      <c r="S53" s="111" t="str">
        <f>IFERROR(_xll.qlRateHelperEarliestDate(M53,Trigger),"--")</f>
        <v>--</v>
      </c>
      <c r="T53" s="111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160</v>
      </c>
      <c r="B54" s="65" t="s">
        <v>92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8"/>
        <v>UsdLibor6M</v>
      </c>
      <c r="H54" s="64" t="str">
        <f t="shared" si="19"/>
        <v>USDAM3L20Y_S6L3L_Quote</v>
      </c>
      <c r="I54" s="141">
        <v>0</v>
      </c>
      <c r="J54" s="70" t="str">
        <f>_xll.qlSwapRateHelper2(,H54,,B54,JoinCalendar,USD6M!D54,USD6M!E54,USD6M!F54,USD6M!G54,USD6M!I54,USD6M!C54,Discounting,PillarDate,,Permanent,Trigger,ObjectOverwrite)</f>
        <v>obj_002d0#0004</v>
      </c>
      <c r="L54" s="11" t="str">
        <f t="shared" si="16"/>
        <v>BasSw</v>
      </c>
      <c r="M54" s="106" t="str">
        <f t="shared" si="17"/>
        <v>--</v>
      </c>
      <c r="N54" s="160" t="str">
        <f>IFERROR(_xll.qlRateHelperQuoteName(M54,Trigger),"--")</f>
        <v>--</v>
      </c>
      <c r="O54" s="110" t="str">
        <f>IFERROR(_xll.qlRateHelperQuoteValue($M54,Trigger),"--")</f>
        <v>--</v>
      </c>
      <c r="P54" s="109" t="b">
        <v>0</v>
      </c>
      <c r="Q54" s="106">
        <v>40</v>
      </c>
      <c r="R54" s="106">
        <v>1</v>
      </c>
      <c r="S54" s="111" t="str">
        <f>IFERROR(_xll.qlRateHelperEarliestDate(M54,Trigger),"--")</f>
        <v>--</v>
      </c>
      <c r="T54" s="111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160</v>
      </c>
      <c r="B55" s="65" t="s">
        <v>140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8"/>
        <v>UsdLibor6M</v>
      </c>
      <c r="H55" s="64" t="str">
        <f t="shared" si="19"/>
        <v>USDAM3L21Y_S6L3L_Quote</v>
      </c>
      <c r="I55" s="141">
        <v>0</v>
      </c>
      <c r="J55" s="70"/>
      <c r="L55" s="11" t="str">
        <f t="shared" si="16"/>
        <v>BasSw</v>
      </c>
      <c r="M55" s="106" t="str">
        <f t="shared" si="17"/>
        <v>obj_002a2#0004</v>
      </c>
      <c r="N55" s="160" t="str">
        <f>IFERROR(_xll.qlRateHelperQuoteName(M55,Trigger),"--")</f>
        <v>USDAM3L25Y_S6L3L_Quote</v>
      </c>
      <c r="O55" s="110">
        <f>IFERROR(_xll.qlRateHelperQuoteValue($M55,Trigger),"--")</f>
        <v>2.7459074575297532E-2</v>
      </c>
      <c r="P55" s="109" t="b">
        <v>1</v>
      </c>
      <c r="Q55" s="106">
        <v>40</v>
      </c>
      <c r="R55" s="106">
        <v>1</v>
      </c>
      <c r="S55" s="111">
        <f>IFERROR(_xll.qlRateHelperEarliestDate(M55,Trigger),"--")</f>
        <v>42261</v>
      </c>
      <c r="T55" s="111">
        <f>IFERROR(_xll.qlRateHelperPillarDate(M55,Trigger),"--")</f>
        <v>51393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160</v>
      </c>
      <c r="B56" s="65" t="s">
        <v>141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8"/>
        <v>UsdLibor6M</v>
      </c>
      <c r="H56" s="64" t="str">
        <f t="shared" si="19"/>
        <v>USDAM3L22Y_S6L3L_Quote</v>
      </c>
      <c r="I56" s="141">
        <v>0</v>
      </c>
      <c r="J56" s="70"/>
      <c r="L56" s="11" t="str">
        <f t="shared" si="16"/>
        <v>BasSw</v>
      </c>
      <c r="M56" s="106" t="str">
        <f t="shared" si="17"/>
        <v>--</v>
      </c>
      <c r="N56" s="160" t="str">
        <f>IFERROR(_xll.qlRateHelperQuoteName(M56,Trigger),"--")</f>
        <v>--</v>
      </c>
      <c r="O56" s="110" t="str">
        <f>IFERROR(_xll.qlRateHelperQuoteValue($M56,Trigger),"--")</f>
        <v>--</v>
      </c>
      <c r="P56" s="109" t="b">
        <v>0</v>
      </c>
      <c r="Q56" s="106">
        <v>40</v>
      </c>
      <c r="R56" s="106">
        <v>1</v>
      </c>
      <c r="S56" s="111" t="str">
        <f>IFERROR(_xll.qlRateHelperEarliestDate(M56,Trigger),"--")</f>
        <v>--</v>
      </c>
      <c r="T56" s="111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160</v>
      </c>
      <c r="B57" s="65" t="s">
        <v>142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8"/>
        <v>UsdLibor6M</v>
      </c>
      <c r="H57" s="64" t="str">
        <f t="shared" si="19"/>
        <v>USDAM3L23Y_S6L3L_Quote</v>
      </c>
      <c r="I57" s="141">
        <v>0</v>
      </c>
      <c r="J57" s="70"/>
      <c r="L57" s="11" t="str">
        <f t="shared" si="16"/>
        <v>BasSw</v>
      </c>
      <c r="M57" s="106" t="str">
        <f t="shared" si="17"/>
        <v>--</v>
      </c>
      <c r="N57" s="160" t="str">
        <f>IFERROR(_xll.qlRateHelperQuoteName(M57,Trigger),"--")</f>
        <v>--</v>
      </c>
      <c r="O57" s="110" t="str">
        <f>IFERROR(_xll.qlRateHelperQuoteValue($M57,Trigger),"--")</f>
        <v>--</v>
      </c>
      <c r="P57" s="109" t="b">
        <v>0</v>
      </c>
      <c r="Q57" s="106">
        <v>40</v>
      </c>
      <c r="R57" s="106">
        <v>1</v>
      </c>
      <c r="S57" s="111" t="str">
        <f>IFERROR(_xll.qlRateHelperEarliestDate(M57,Trigger),"--")</f>
        <v>--</v>
      </c>
      <c r="T57" s="111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160</v>
      </c>
      <c r="B58" s="65" t="s">
        <v>143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8"/>
        <v>UsdLibor6M</v>
      </c>
      <c r="H58" s="64" t="str">
        <f t="shared" si="19"/>
        <v>USDAM3L24Y_S6L3L_Quote</v>
      </c>
      <c r="I58" s="141">
        <v>0</v>
      </c>
      <c r="J58" s="70"/>
      <c r="L58" s="11" t="str">
        <f t="shared" si="16"/>
        <v>BasSw</v>
      </c>
      <c r="M58" s="106" t="str">
        <f t="shared" si="17"/>
        <v>--</v>
      </c>
      <c r="N58" s="160" t="str">
        <f>IFERROR(_xll.qlRateHelperQuoteName(M58,Trigger),"--")</f>
        <v>--</v>
      </c>
      <c r="O58" s="110" t="str">
        <f>IFERROR(_xll.qlRateHelperQuoteValue($M58,Trigger),"--")</f>
        <v>--</v>
      </c>
      <c r="P58" s="109" t="b">
        <v>0</v>
      </c>
      <c r="Q58" s="106">
        <v>40</v>
      </c>
      <c r="R58" s="106">
        <v>1</v>
      </c>
      <c r="S58" s="111" t="str">
        <f>IFERROR(_xll.qlRateHelperEarliestDate(M58,Trigger),"--")</f>
        <v>--</v>
      </c>
      <c r="T58" s="111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160</v>
      </c>
      <c r="B59" s="65" t="s">
        <v>93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 t="shared" si="18"/>
        <v>UsdLibor6M</v>
      </c>
      <c r="H59" s="64" t="str">
        <f t="shared" si="19"/>
        <v>USDAM3L25Y_S6L3L_Quote</v>
      </c>
      <c r="I59" s="141">
        <v>0</v>
      </c>
      <c r="J59" s="70" t="str">
        <f>_xll.qlSwapRateHelper2(,H59,,B59,JoinCalendar,USD6M!D59,USD6M!E59,USD6M!F59,USD6M!G59,USD6M!I59,USD6M!C59,Discounting,PillarDate,,Permanent,Trigger,ObjectOverwrite)</f>
        <v>obj_002a2#0004</v>
      </c>
      <c r="L59" s="11" t="str">
        <f t="shared" si="16"/>
        <v>BasSw</v>
      </c>
      <c r="M59" s="106" t="str">
        <f t="shared" si="17"/>
        <v>--</v>
      </c>
      <c r="N59" s="160" t="str">
        <f>IFERROR(_xll.qlRateHelperQuoteName(M59,Trigger),"--")</f>
        <v>--</v>
      </c>
      <c r="O59" s="110" t="str">
        <f>IFERROR(_xll.qlRateHelperQuoteValue($M59,Trigger),"--")</f>
        <v>--</v>
      </c>
      <c r="P59" s="109" t="b">
        <v>0</v>
      </c>
      <c r="Q59" s="106">
        <v>40</v>
      </c>
      <c r="R59" s="106">
        <v>1</v>
      </c>
      <c r="S59" s="111" t="str">
        <f>IFERROR(_xll.qlRateHelperEarliestDate(M59,Trigger),"--")</f>
        <v>--</v>
      </c>
      <c r="T59" s="111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160</v>
      </c>
      <c r="B60" s="65" t="s">
        <v>144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 t="shared" si="18"/>
        <v>UsdLibor6M</v>
      </c>
      <c r="H60" s="64" t="str">
        <f t="shared" si="19"/>
        <v>USDAM3L26Y_S6L3L_Quote</v>
      </c>
      <c r="I60" s="141">
        <v>0</v>
      </c>
      <c r="J60" s="70"/>
      <c r="L60" s="11" t="str">
        <f t="shared" si="16"/>
        <v>BasSw</v>
      </c>
      <c r="M60" s="106" t="str">
        <f t="shared" si="17"/>
        <v>obj_002c4#0004</v>
      </c>
      <c r="N60" s="160" t="str">
        <f>IFERROR(_xll.qlRateHelperQuoteName(M60,Trigger),"--")</f>
        <v>USDAM3L30Y_S6L3L_Quote</v>
      </c>
      <c r="O60" s="110">
        <f>IFERROR(_xll.qlRateHelperQuoteValue($M60,Trigger),"--")</f>
        <v>2.7789171794169367E-2</v>
      </c>
      <c r="P60" s="109" t="b">
        <v>1</v>
      </c>
      <c r="Q60" s="106">
        <v>40</v>
      </c>
      <c r="R60" s="106">
        <v>1</v>
      </c>
      <c r="S60" s="111">
        <f>IFERROR(_xll.qlRateHelperEarliestDate(M60,Trigger),"--")</f>
        <v>42261</v>
      </c>
      <c r="T60" s="111">
        <f>IFERROR(_xll.qlRateHelperPillarDate(M60,Trigger),"--")</f>
        <v>53219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160</v>
      </c>
      <c r="B61" s="65" t="s">
        <v>94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 t="shared" si="18"/>
        <v>UsdLibor6M</v>
      </c>
      <c r="H61" s="64" t="str">
        <f t="shared" si="19"/>
        <v>USDAM3L27Y_S6L3L_Quote</v>
      </c>
      <c r="I61" s="141">
        <v>0</v>
      </c>
      <c r="J61" s="70"/>
      <c r="L61" s="11" t="str">
        <f t="shared" si="16"/>
        <v>BasSw</v>
      </c>
      <c r="M61" s="106" t="str">
        <f t="shared" si="17"/>
        <v>obj_002ba#0004</v>
      </c>
      <c r="N61" s="160" t="str">
        <f>IFERROR(_xll.qlRateHelperQuoteName(M61,Trigger),"--")</f>
        <v>USDAM3L35Y_S6L3L_Quote</v>
      </c>
      <c r="O61" s="110">
        <f>IFERROR(_xll.qlRateHelperQuoteValue($M61,Trigger),"--")</f>
        <v>2.793405967487737E-2</v>
      </c>
      <c r="P61" s="109" t="b">
        <v>1</v>
      </c>
      <c r="Q61" s="106">
        <v>40</v>
      </c>
      <c r="R61" s="106">
        <v>1</v>
      </c>
      <c r="S61" s="111">
        <f>IFERROR(_xll.qlRateHelperEarliestDate(M61,Trigger),"--")</f>
        <v>42261</v>
      </c>
      <c r="T61" s="111">
        <f>IFERROR(_xll.qlRateHelperPillarDate(M61,Trigger),"--")</f>
        <v>55045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160</v>
      </c>
      <c r="B62" s="65" t="s">
        <v>145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 t="shared" si="18"/>
        <v>UsdLibor6M</v>
      </c>
      <c r="H62" s="64" t="str">
        <f t="shared" si="19"/>
        <v>USDAM3L28Y_S6L3L_Quote</v>
      </c>
      <c r="I62" s="141">
        <v>0</v>
      </c>
      <c r="J62" s="70"/>
      <c r="L62" s="11" t="str">
        <f t="shared" si="16"/>
        <v>BasSw</v>
      </c>
      <c r="M62" s="106" t="str">
        <f t="shared" si="17"/>
        <v>obj_002a3#0004</v>
      </c>
      <c r="N62" s="160" t="str">
        <f>IFERROR(_xll.qlRateHelperQuoteName(M62,Trigger),"--")</f>
        <v>USDAM3L40Y_S6L3L_Quote</v>
      </c>
      <c r="O62" s="110">
        <f>IFERROR(_xll.qlRateHelperQuoteValue($M62,Trigger),"--")</f>
        <v>2.7949197555523081E-2</v>
      </c>
      <c r="P62" s="109" t="b">
        <v>1</v>
      </c>
      <c r="Q62" s="106">
        <v>40</v>
      </c>
      <c r="R62" s="106">
        <v>1</v>
      </c>
      <c r="S62" s="111">
        <f>IFERROR(_xll.qlRateHelperEarliestDate(M62,Trigger),"--")</f>
        <v>42261</v>
      </c>
      <c r="T62" s="111">
        <f>IFERROR(_xll.qlRateHelperPillarDate(M62,Trigger),"--")</f>
        <v>56871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160</v>
      </c>
      <c r="B63" s="65" t="s">
        <v>146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 t="shared" si="18"/>
        <v>UsdLibor6M</v>
      </c>
      <c r="H63" s="64" t="str">
        <f t="shared" si="19"/>
        <v>USDAM3L29Y_S6L3L_Quote</v>
      </c>
      <c r="I63" s="141">
        <v>0</v>
      </c>
      <c r="J63" s="70"/>
      <c r="L63" s="11" t="str">
        <f t="shared" si="16"/>
        <v>BasSw</v>
      </c>
      <c r="M63" s="106" t="str">
        <f t="shared" si="17"/>
        <v>--</v>
      </c>
      <c r="N63" s="160" t="str">
        <f>IFERROR(_xll.qlRateHelperQuoteName(M63,Trigger),"--")</f>
        <v>--</v>
      </c>
      <c r="O63" s="110" t="str">
        <f>IFERROR(_xll.qlRateHelperQuoteValue($M63,Trigger),"--")</f>
        <v>--</v>
      </c>
      <c r="P63" s="109" t="b">
        <v>0</v>
      </c>
      <c r="Q63" s="106">
        <v>40</v>
      </c>
      <c r="R63" s="106">
        <v>1</v>
      </c>
      <c r="S63" s="111" t="str">
        <f>IFERROR(_xll.qlRateHelperEarliestDate(M63,Trigger),"--")</f>
        <v>--</v>
      </c>
      <c r="T63" s="111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160</v>
      </c>
      <c r="B64" s="65" t="s">
        <v>95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 t="shared" si="18"/>
        <v>UsdLibor6M</v>
      </c>
      <c r="H64" s="64" t="str">
        <f t="shared" si="19"/>
        <v>USDAM3L30Y_S6L3L_Quote</v>
      </c>
      <c r="I64" s="141">
        <v>0</v>
      </c>
      <c r="J64" s="70" t="str">
        <f>_xll.qlSwapRateHelper2(,H64,,B64,JoinCalendar,USD6M!D64,USD6M!E64,USD6M!F64,USD6M!G64,USD6M!I64,USD6M!C64,Discounting,PillarDate,,Permanent,Trigger,ObjectOverwrite)</f>
        <v>obj_002c4#0004</v>
      </c>
      <c r="L64" s="11" t="str">
        <f t="shared" si="16"/>
        <v>BasSw</v>
      </c>
      <c r="M64" s="106" t="str">
        <f t="shared" si="17"/>
        <v>obj_002af#0004</v>
      </c>
      <c r="N64" s="160" t="str">
        <f>IFERROR(_xll.qlRateHelperQuoteName(M64,Trigger),"--")</f>
        <v>USDAM3L50Y_S6L3L_Quote</v>
      </c>
      <c r="O64" s="110">
        <f>IFERROR(_xll.qlRateHelperQuoteValue($M64,Trigger),"--")</f>
        <v>2.7809231411805403E-2</v>
      </c>
      <c r="P64" s="109" t="b">
        <v>1</v>
      </c>
      <c r="Q64" s="106">
        <v>40</v>
      </c>
      <c r="R64" s="106">
        <v>1</v>
      </c>
      <c r="S64" s="111">
        <f>IFERROR(_xll.qlRateHelperEarliestDate(M64,Trigger),"--")</f>
        <v>42261</v>
      </c>
      <c r="T64" s="111">
        <f>IFERROR(_xll.qlRateHelperPillarDate(M64,Trigger),"--")</f>
        <v>60524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160</v>
      </c>
      <c r="B65" s="65" t="s">
        <v>96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 t="shared" si="18"/>
        <v>UsdLibor6M</v>
      </c>
      <c r="H65" s="64" t="str">
        <f t="shared" si="19"/>
        <v>USDAM3L35Y_S6L3L_Quote</v>
      </c>
      <c r="I65" s="141">
        <v>0</v>
      </c>
      <c r="J65" s="70" t="str">
        <f>_xll.qlSwapRateHelper2(,H65,,B65,JoinCalendar,USD6M!D65,USD6M!E65,USD6M!F65,USD6M!G65,USD6M!I65,USD6M!C65,Discounting,PillarDate,,Permanent,Trigger,ObjectOverwrite)</f>
        <v>obj_002ba#0004</v>
      </c>
      <c r="L65" s="11" t="str">
        <f t="shared" si="16"/>
        <v>BasSw</v>
      </c>
      <c r="M65" s="106" t="str">
        <f t="shared" si="17"/>
        <v>--</v>
      </c>
      <c r="N65" s="160" t="str">
        <f>IFERROR(_xll.qlRateHelperQuoteName(M65,Trigger),"--")</f>
        <v>--</v>
      </c>
      <c r="O65" s="110" t="str">
        <f>IFERROR(_xll.qlRateHelperQuoteValue($M65,Trigger),"--")</f>
        <v>--</v>
      </c>
      <c r="P65" s="109" t="b">
        <v>0</v>
      </c>
      <c r="Q65" s="106">
        <v>40</v>
      </c>
      <c r="R65" s="106">
        <v>1</v>
      </c>
      <c r="S65" s="111" t="str">
        <f>IFERROR(_xll.qlRateHelperEarliestDate(M65,Trigger),"--")</f>
        <v>--</v>
      </c>
      <c r="T65" s="111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160</v>
      </c>
      <c r="B66" s="65" t="s">
        <v>97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 t="shared" si="18"/>
        <v>UsdLibor6M</v>
      </c>
      <c r="H66" s="64" t="str">
        <f t="shared" si="19"/>
        <v>USDAM3L40Y_S6L3L_Quote</v>
      </c>
      <c r="I66" s="141">
        <v>0</v>
      </c>
      <c r="J66" s="70" t="str">
        <f>_xll.qlSwapRateHelper2(,H66,,B66,JoinCalendar,USD6M!D66,USD6M!E66,USD6M!F66,USD6M!G66,USD6M!I66,USD6M!C66,Discounting,PillarDate,,Permanent,Trigger,ObjectOverwrite)</f>
        <v>obj_002a3#0004</v>
      </c>
      <c r="L66" s="12" t="str">
        <f t="shared" si="16"/>
        <v>BasSw</v>
      </c>
      <c r="M66" s="107" t="str">
        <f t="shared" si="17"/>
        <v>obj_002d1#0004</v>
      </c>
      <c r="N66" s="161" t="str">
        <f>IFERROR(_xll.qlRateHelperQuoteName(M66,Trigger),"--")</f>
        <v>USDAM3L60Y_S6L3L_Quote</v>
      </c>
      <c r="O66" s="113">
        <f>IFERROR(_xll.qlRateHelperQuoteValue($M66,Trigger),"--")</f>
        <v>2.7685365793594527E-2</v>
      </c>
      <c r="P66" s="112" t="b">
        <v>1</v>
      </c>
      <c r="Q66" s="107">
        <v>40</v>
      </c>
      <c r="R66" s="107">
        <v>1</v>
      </c>
      <c r="S66" s="114">
        <f>IFERROR(_xll.qlRateHelperEarliestDate(M66,Trigger),"--")</f>
        <v>42261</v>
      </c>
      <c r="T66" s="114">
        <f>IFERROR(_xll.qlRateHelperPillarDate(M66,Trigger),"--")</f>
        <v>64178</v>
      </c>
      <c r="V66" s="6" t="str">
        <f t="shared" si="3"/>
        <v/>
      </c>
      <c r="W66" s="6" t="e">
        <v>#N/A</v>
      </c>
      <c r="X66" s="6" t="str">
        <f>IFERROR(_xll.qlRateHelperQuoteName(W66,Trigger),"")</f>
        <v/>
      </c>
      <c r="Y66" s="86" t="str">
        <f>IFERROR(_xll.qlRateHelperRate(W66,Trigger),"")</f>
        <v/>
      </c>
      <c r="Z66" s="117" t="str">
        <f>IF(ISERROR(_xll.qlSwapRateHelperSpread($W66)),IF(ISERROR(_xll.qlFuturesRateHelperConvexityAdjustment($W66)),"",_xll.qlFuturesRateHelperConvexityAdjustment($W66)),_xll.qlSwapRateHelperSpread($W66))</f>
        <v/>
      </c>
      <c r="AA66" s="13" t="str">
        <f>IFERROR(_xll.qlRateHelperEarliestDate(W66,Trigger),"")</f>
        <v/>
      </c>
      <c r="AB66" s="13" t="str">
        <f>IFERROR(_xll.qlRateHelperPillarDate(W66,Trigger),"")</f>
        <v/>
      </c>
      <c r="AC66" s="85" t="e">
        <v>#N/A</v>
      </c>
    </row>
    <row r="67" spans="1:29" ht="11.25" customHeight="1" x14ac:dyDescent="0.2">
      <c r="A67" s="64" t="s">
        <v>160</v>
      </c>
      <c r="B67" s="65" t="s">
        <v>98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 t="shared" si="18"/>
        <v>UsdLibor6M</v>
      </c>
      <c r="H67" s="64" t="str">
        <f t="shared" si="19"/>
        <v>USDAM3L45Y_S6L3L_Quote</v>
      </c>
      <c r="I67" s="141">
        <v>0</v>
      </c>
      <c r="J67" s="70"/>
    </row>
    <row r="68" spans="1:29" ht="11.25" customHeight="1" x14ac:dyDescent="0.2">
      <c r="A68" s="64" t="s">
        <v>160</v>
      </c>
      <c r="B68" s="65" t="s">
        <v>99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 t="shared" si="18"/>
        <v>UsdLibor6M</v>
      </c>
      <c r="H68" s="64" t="str">
        <f t="shared" si="19"/>
        <v>USDAM3L50Y_S6L3L_Quote</v>
      </c>
      <c r="I68" s="141">
        <v>0</v>
      </c>
      <c r="J68" s="70" t="str">
        <f>_xll.qlSwapRateHelper2(,H68,,B68,JoinCalendar,USD6M!D68,USD6M!E68,USD6M!F68,USD6M!G68,USD6M!I68,USD6M!C68,Discounting,PillarDate,,Permanent,Trigger,ObjectOverwrite)</f>
        <v>obj_002af#0004</v>
      </c>
    </row>
    <row r="69" spans="1:29" ht="11.25" customHeight="1" x14ac:dyDescent="0.2">
      <c r="A69" s="64" t="s">
        <v>160</v>
      </c>
      <c r="B69" s="65" t="s">
        <v>155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 t="shared" si="18"/>
        <v>UsdLibor6M</v>
      </c>
      <c r="H69" s="64" t="str">
        <f t="shared" si="19"/>
        <v>USDAM3L55Y_S6L3L_Quote</v>
      </c>
      <c r="I69" s="139">
        <v>0</v>
      </c>
      <c r="J69" s="70"/>
    </row>
    <row r="70" spans="1:29" ht="11.25" customHeight="1" x14ac:dyDescent="0.2">
      <c r="A70" s="1" t="s">
        <v>160</v>
      </c>
      <c r="B70" s="9" t="s">
        <v>147</v>
      </c>
      <c r="C70" s="7" t="s">
        <v>6</v>
      </c>
      <c r="D70" s="7" t="s">
        <v>8</v>
      </c>
      <c r="E70" s="7" t="s">
        <v>7</v>
      </c>
      <c r="F70" s="7" t="s">
        <v>28</v>
      </c>
      <c r="G70" s="7" t="str">
        <f t="shared" si="18"/>
        <v>UsdLibor6M</v>
      </c>
      <c r="H70" s="1" t="str">
        <f t="shared" si="19"/>
        <v>USDAM3L60Y_S6L3L_Quote</v>
      </c>
      <c r="I70" s="142">
        <v>0</v>
      </c>
      <c r="J70" s="3" t="str">
        <f>_xll.qlSwapRateHelper2(,H70,,B70,JoinCalendar,USD6M!D70,USD6M!E70,USD6M!F70,USD6M!G70,USD6M!I70,USD6M!C70,Discounting,PillarDate,,Permanent,Trigger,ObjectOverwrite)</f>
        <v>obj_002d1#0004</v>
      </c>
    </row>
    <row r="71" spans="1:29" ht="11.25" customHeight="1" x14ac:dyDescent="0.2"/>
    <row r="72" spans="1:29" ht="11.25" customHeight="1" x14ac:dyDescent="0.2"/>
    <row r="73" spans="1:29" ht="11.25" customHeight="1" x14ac:dyDescent="0.2"/>
    <row r="74" spans="1:29" ht="11.25" customHeight="1" x14ac:dyDescent="0.2"/>
    <row r="75" spans="1:29" ht="11.25" customHeight="1" x14ac:dyDescent="0.2"/>
    <row r="76" spans="1:29" ht="11.25" customHeight="1" x14ac:dyDescent="0.2"/>
    <row r="77" spans="1:29" ht="11.25" customHeight="1" x14ac:dyDescent="0.2"/>
    <row r="78" spans="1:29" ht="11.25" customHeight="1" x14ac:dyDescent="0.2"/>
    <row r="79" spans="1:29" ht="11.25" customHeight="1" x14ac:dyDescent="0.2"/>
    <row r="80" spans="1:29" ht="11.25" customHeight="1" x14ac:dyDescent="0.2"/>
    <row r="90" spans="11:11" x14ac:dyDescent="0.2">
      <c r="K90" s="51" t="s">
        <v>47</v>
      </c>
    </row>
  </sheetData>
  <mergeCells count="1">
    <mergeCell ref="AE2:AF2"/>
  </mergeCells>
  <dataValidations count="4"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F35:F7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5:E70">
      <formula1>"Following,Modified Following,Preceding,Modified Preceding,Unadjusted,Half-Month Modified Following"</formula1>
    </dataValidation>
    <dataValidation type="list" allowBlank="1" showInputMessage="1" showErrorMessage="1" sqref="D35:D70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3.42578125" style="57" hidden="1" customWidth="1" outlineLevel="1"/>
    <col min="9" max="9" width="17.28515625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6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2</v>
      </c>
      <c r="H1" s="55" t="str">
        <f>"_SYNTH"&amp;Tenor</f>
        <v>_SYNTH1M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USD1M</v>
      </c>
      <c r="W1" s="193"/>
      <c r="X1" s="72"/>
      <c r="Y1" s="75"/>
      <c r="Z1" s="75"/>
      <c r="AA1" s="72"/>
      <c r="AB1" s="193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 t="e">
        <f t="array" aca="1" ref="AC2:AC55" ca="1">qlPiecewiseYieldCurveData(YieldCurve_1M,Trigger)</f>
        <v>#NAME?</v>
      </c>
      <c r="AE2" s="191" t="s">
        <v>118</v>
      </c>
      <c r="AF2" s="192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PROPER(Currency)&amp;"FedFunds"</f>
        <v>UsdFedFunds</v>
      </c>
      <c r="H3" s="133" t="str">
        <f t="shared" ref="H3:H7" si="0">Currency&amp;$B3&amp;"D"&amp;$H$1&amp;QuoteSuffix</f>
        <v>USDSND_SYNTH1M_Quote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 ca="1">IFERROR(INDEX($L$3:$L$55,MATCH(X3,$N$3:$N$55,0),1),"")</f>
        <v/>
      </c>
      <c r="W3" s="4" t="e">
        <f t="array" aca="1" ref="W3:W55" ca="1">qlRateHelperSelection(ohFilter(RateHelpers,IncludeFlag),ohFilter(Priority,IncludeFlag),$AF$3,$AF$4,$AF$5,$AF$6,ohFilter(MinDistance,IncludeFlag),Trigger)</f>
        <v>#NAME?</v>
      </c>
      <c r="X3" s="4" t="str">
        <f ca="1">IFERROR(_xll.qlRateHelperQuoteName(W3,Trigger),"")</f>
        <v/>
      </c>
      <c r="Y3" s="76" t="str">
        <f ca="1">IFERROR(_xll.qlRateHelperRate(W3,Trigger),"")</f>
        <v/>
      </c>
      <c r="Z3" s="116" t="str">
        <f ca="1">IF(ISERROR(_xll.qlSwapRateHelperSpread($W3)),IF(ISERROR(_xll.qlFuturesRateHelperConvexityAdjustment($W3)),"",_xll.qlFuturesRateHelperConvexityAdjustment($W3)),_xll.qlSwapRateHelperSpread($W3))</f>
        <v/>
      </c>
      <c r="AA3" s="5" t="str">
        <f ca="1">IFERROR(_xll.qlRateHelperEarliestDate(W3,Trigger),"")</f>
        <v/>
      </c>
      <c r="AB3" s="5" t="str">
        <f ca="1">IFERROR(_xll.qlRateHelperPillarDate(W3,Trigger),"")</f>
        <v/>
      </c>
      <c r="AC3" s="84" t="e">
        <f ca="1"/>
        <v>#NAME?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PROPER(Currency)&amp;FamilyName&amp;B4</f>
        <v>UsdLiborSW</v>
      </c>
      <c r="H4" s="170" t="str">
        <f t="shared" si="0"/>
        <v>USDSWD_SYNTH1M_Quote</v>
      </c>
      <c r="I4" s="143"/>
      <c r="J4" s="70" t="str">
        <f>_xll.qlDepositRateHelper(,H4,G4,Permanent,Trigger,ObjectOverwrite)</f>
        <v>obj_002cc#0005</v>
      </c>
      <c r="K4" s="53"/>
      <c r="L4" s="11" t="str">
        <f t="shared" ref="L4:L7" si="1">A4</f>
        <v>Dp</v>
      </c>
      <c r="M4" s="106" t="str">
        <f t="shared" ref="M4:M7" si="2">IF(ISBLANK(J4),"--",J4)</f>
        <v>obj_002cc#0005</v>
      </c>
      <c r="N4" s="160" t="str">
        <f>IFERROR(_xll.qlRateHelperQuoteName(M4,Trigger),"--")</f>
        <v>USDSWD_SYNTH1M_Quote</v>
      </c>
      <c r="O4" s="110">
        <f>IFERROR(_xll.qlRateHelperQuoteValue($M4,Trigger),"--")</f>
        <v>1.8220000000000001E-3</v>
      </c>
      <c r="P4" s="109" t="b">
        <v>1</v>
      </c>
      <c r="Q4" s="106">
        <v>10</v>
      </c>
      <c r="R4" s="106">
        <v>1</v>
      </c>
      <c r="S4" s="111">
        <f>IFERROR(_xll.qlRateHelperEarliestDate(M4,Trigger),"--")</f>
        <v>42261</v>
      </c>
      <c r="T4" s="111">
        <f>IFERROR(_xll.qlRateHelperPillarDate(M4,Trigger),"--")</f>
        <v>42268</v>
      </c>
      <c r="V4" s="4" t="str">
        <f t="shared" ref="V4:V55" ca="1" si="3">IFERROR(INDEX($L$3:$L$55,MATCH(X4,$N$3:$N$55,0),1),"")</f>
        <v/>
      </c>
      <c r="W4" s="4" t="e">
        <f ca="1"/>
        <v>#NAME?</v>
      </c>
      <c r="X4" s="4" t="str">
        <f ca="1">IFERROR(_xll.qlRateHelperQuoteName(W4,Trigger),"")</f>
        <v/>
      </c>
      <c r="Y4" s="76" t="str">
        <f ca="1">IFERROR(_xll.qlRateHelperRate(W4,Trigger),"")</f>
        <v/>
      </c>
      <c r="Z4" s="116" t="str">
        <f ca="1">IF(ISERROR(_xll.qlSwapRateHelperSpread($W4)),IF(ISERROR(_xll.qlFuturesRateHelperConvexityAdjustment($W4)),"",_xll.qlFuturesRateHelperConvexityAdjustment($W4)),_xll.qlSwapRateHelperSpread($W4))</f>
        <v/>
      </c>
      <c r="AA4" s="5" t="str">
        <f ca="1">IFERROR(_xll.qlRateHelperEarliestDate(W4,Trigger),"")</f>
        <v/>
      </c>
      <c r="AB4" s="5" t="str">
        <f ca="1">IFERROR(_xll.qlRateHelperPillarDate(W4,Trigger),"")</f>
        <v/>
      </c>
      <c r="AC4" s="84" t="e">
        <f ca="1"/>
        <v>#NAME?</v>
      </c>
      <c r="AE4" s="119" t="s">
        <v>120</v>
      </c>
      <c r="AF4" s="120">
        <v>0</v>
      </c>
    </row>
    <row r="5" spans="1:32" ht="11.25" customHeight="1" x14ac:dyDescent="0.2">
      <c r="A5" s="177" t="s">
        <v>27</v>
      </c>
      <c r="B5" s="178" t="s">
        <v>51</v>
      </c>
      <c r="C5" s="179" t="str">
        <f>B5</f>
        <v>2W</v>
      </c>
      <c r="D5" s="180"/>
      <c r="E5" s="180"/>
      <c r="F5" s="180"/>
      <c r="G5" s="181" t="str">
        <f>_xll.qlLibor(,Currency,C5,,Permanent,Trigger,ObjectOverwrite)</f>
        <v>obj_00258#0003</v>
      </c>
      <c r="H5" s="182" t="str">
        <f t="shared" si="0"/>
        <v>USD2WD_SYNTH1M_Quote</v>
      </c>
      <c r="I5" s="180"/>
      <c r="J5" s="183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ca="1" si="3"/>
        <v/>
      </c>
      <c r="W5" s="4" t="e">
        <f ca="1"/>
        <v>#NAME?</v>
      </c>
      <c r="X5" s="4" t="str">
        <f ca="1">IFERROR(_xll.qlRateHelperQuoteName(W5,Trigger),"")</f>
        <v/>
      </c>
      <c r="Y5" s="76" t="str">
        <f ca="1">IFERROR(_xll.qlRateHelperRate(W5,Trigger),"")</f>
        <v/>
      </c>
      <c r="Z5" s="116" t="str">
        <f ca="1">IF(ISERROR(_xll.qlSwapRateHelperSpread($W5)),IF(ISERROR(_xll.qlFuturesRateHelperConvexityAdjustment($W5)),"",_xll.qlFuturesRateHelperConvexityAdjustment($W5)),_xll.qlSwapRateHelperSpread($W5))</f>
        <v/>
      </c>
      <c r="AA5" s="5" t="str">
        <f ca="1">IFERROR(_xll.qlRateHelperEarliestDate(W5,Trigger),"")</f>
        <v/>
      </c>
      <c r="AB5" s="5" t="str">
        <f ca="1">IFERROR(_xll.qlRateHelperPillarDate(W5,Trigger),"")</f>
        <v/>
      </c>
      <c r="AC5" s="84" t="e">
        <f ca="1"/>
        <v>#NAME?</v>
      </c>
      <c r="AD5" s="87"/>
      <c r="AE5" s="119" t="s">
        <v>121</v>
      </c>
      <c r="AF5" s="120">
        <v>0</v>
      </c>
    </row>
    <row r="6" spans="1:32" ht="11.25" customHeight="1" x14ac:dyDescent="0.2">
      <c r="A6" s="184" t="s">
        <v>27</v>
      </c>
      <c r="B6" s="185" t="s">
        <v>52</v>
      </c>
      <c r="C6" s="186" t="str">
        <f t="shared" ref="C6:C7" si="4">B6</f>
        <v>3W</v>
      </c>
      <c r="D6" s="187"/>
      <c r="E6" s="187"/>
      <c r="F6" s="187"/>
      <c r="G6" s="188" t="str">
        <f>_xll.qlLibor(,Currency,C6,,Permanent,Trigger,ObjectOverwrite)</f>
        <v>obj_00260#0003</v>
      </c>
      <c r="H6" s="189" t="str">
        <f t="shared" si="0"/>
        <v>USD3WD_SYNTH1M_Quote</v>
      </c>
      <c r="I6" s="187"/>
      <c r="J6" s="19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ca="1" si="3"/>
        <v/>
      </c>
      <c r="W6" s="4" t="e">
        <f ca="1"/>
        <v>#NAME?</v>
      </c>
      <c r="X6" s="4" t="str">
        <f ca="1">IFERROR(_xll.qlRateHelperQuoteName(W6,Trigger),"")</f>
        <v/>
      </c>
      <c r="Y6" s="76" t="str">
        <f ca="1">IFERROR(_xll.qlRateHelperRate(W6,Trigger),"")</f>
        <v/>
      </c>
      <c r="Z6" s="116" t="str">
        <f ca="1">IF(ISERROR(_xll.qlSwapRateHelperSpread($W6)),IF(ISERROR(_xll.qlFuturesRateHelperConvexityAdjustment($W6)),"",_xll.qlFuturesRateHelperConvexityAdjustment($W6)),_xll.qlSwapRateHelperSpread($W6))</f>
        <v/>
      </c>
      <c r="AA6" s="5" t="str">
        <f ca="1">IFERROR(_xll.qlRateHelperEarliestDate(W6,Trigger),"")</f>
        <v/>
      </c>
      <c r="AB6" s="5" t="str">
        <f ca="1">IFERROR(_xll.qlRateHelperPillarDate(W6,Trigger),"")</f>
        <v/>
      </c>
      <c r="AC6" s="84" t="e">
        <f ca="1"/>
        <v>#NAME?</v>
      </c>
      <c r="AE6" s="119" t="s">
        <v>122</v>
      </c>
      <c r="AF6" s="121" t="s">
        <v>123</v>
      </c>
    </row>
    <row r="7" spans="1:32" ht="11.25" customHeight="1" x14ac:dyDescent="0.2">
      <c r="A7" s="1" t="s">
        <v>27</v>
      </c>
      <c r="B7" s="9" t="s">
        <v>2</v>
      </c>
      <c r="C7" s="10" t="str">
        <f t="shared" si="4"/>
        <v>1M</v>
      </c>
      <c r="D7" s="138"/>
      <c r="E7" s="138"/>
      <c r="F7" s="138"/>
      <c r="G7" s="7" t="str">
        <f>PROPER(Currency)&amp;FamilyName&amp;B7</f>
        <v>UsdLibor1M</v>
      </c>
      <c r="H7" s="135" t="str">
        <f t="shared" si="0"/>
        <v>USD1MD_SYNTH1M_Quote</v>
      </c>
      <c r="I7" s="138"/>
      <c r="J7" s="3" t="str">
        <f>_xll.qlDepositRateHelper(,H7,G7,Permanent,Trigger,ObjectOverwrite)</f>
        <v>obj_002c7#0005</v>
      </c>
      <c r="K7" s="53"/>
      <c r="L7" s="11" t="str">
        <f t="shared" si="1"/>
        <v>Dp</v>
      </c>
      <c r="M7" s="106" t="str">
        <f t="shared" si="2"/>
        <v>obj_002c7#0005</v>
      </c>
      <c r="N7" s="160" t="str">
        <f>IFERROR(_xll.qlRateHelperQuoteName(M7,Trigger),"--")</f>
        <v>USD1MD_SYNTH1M_Quote</v>
      </c>
      <c r="O7" s="110">
        <f>IFERROR(_xll.qlRateHelperQuoteValue($M7,Trigger),"--")</f>
        <v>2.0400000000000001E-3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42261</v>
      </c>
      <c r="T7" s="111">
        <f>IFERROR(_xll.qlRateHelperPillarDate(M7,Trigger),"--")</f>
        <v>42291</v>
      </c>
      <c r="V7" s="4" t="str">
        <f t="shared" ca="1" si="3"/>
        <v/>
      </c>
      <c r="W7" s="4" t="e">
        <f ca="1"/>
        <v>#NAME?</v>
      </c>
      <c r="X7" s="4" t="str">
        <f ca="1">IFERROR(_xll.qlRateHelperQuoteName(W7,Trigger),"")</f>
        <v/>
      </c>
      <c r="Y7" s="76" t="str">
        <f ca="1">IFERROR(_xll.qlRateHelperRate(W7,Trigger),"")</f>
        <v/>
      </c>
      <c r="Z7" s="116" t="str">
        <f ca="1">IF(ISERROR(_xll.qlSwapRateHelperSpread($W7)),IF(ISERROR(_xll.qlFuturesRateHelperConvexityAdjustment($W7)),"",_xll.qlFuturesRateHelperConvexityAdjustment($W7)),_xll.qlSwapRateHelperSpread($W7))</f>
        <v/>
      </c>
      <c r="AA7" s="5" t="str">
        <f ca="1">IFERROR(_xll.qlRateHelperEarliestDate(W7,Trigger),"")</f>
        <v/>
      </c>
      <c r="AB7" s="5" t="str">
        <f ca="1">IFERROR(_xll.qlRateHelperPillarDate(W7,Trigger),"")</f>
        <v/>
      </c>
      <c r="AC7" s="84" t="e">
        <f ca="1"/>
        <v>#NAME?</v>
      </c>
    </row>
    <row r="8" spans="1:32" ht="11.25" customHeight="1" x14ac:dyDescent="0.2">
      <c r="B8" s="51"/>
      <c r="C8" s="51"/>
      <c r="D8" s="51"/>
      <c r="E8" s="51"/>
      <c r="F8" s="51"/>
      <c r="G8" s="51" t="s">
        <v>158</v>
      </c>
      <c r="H8" s="51"/>
      <c r="K8" s="53"/>
      <c r="L8" s="74" t="str">
        <f>A10</f>
        <v>Sw</v>
      </c>
      <c r="M8" s="145" t="str">
        <f>IF(ISBLANK(J10),"--",J10)</f>
        <v>--</v>
      </c>
      <c r="N8" s="159" t="str">
        <f>IFERROR(_xll.qlRateHelperQuoteName(M8,Trigger),"--")</f>
        <v>--</v>
      </c>
      <c r="O8" s="147" t="str">
        <f>IFERROR(_xll.qlRateHelperQuoteValue($M8,Trigger),"--")</f>
        <v>--</v>
      </c>
      <c r="P8" s="146" t="b">
        <v>0</v>
      </c>
      <c r="Q8" s="145">
        <v>10</v>
      </c>
      <c r="R8" s="145">
        <v>1</v>
      </c>
      <c r="S8" s="148" t="str">
        <f>IFERROR(_xll.qlRateHelperEarliestDate(M8,Trigger),"--")</f>
        <v>--</v>
      </c>
      <c r="T8" s="148" t="str">
        <f>IFERROR(_xll.qlRateHelperPillarDate(M8,Trigger),"--")</f>
        <v>--</v>
      </c>
      <c r="V8" s="4" t="str">
        <f t="shared" ca="1" si="3"/>
        <v/>
      </c>
      <c r="W8" s="4" t="e">
        <f ca="1"/>
        <v>#NAME?</v>
      </c>
      <c r="X8" s="4" t="str">
        <f ca="1">IFERROR(_xll.qlRateHelperQuoteName(W8,Trigger),"")</f>
        <v/>
      </c>
      <c r="Y8" s="76" t="str">
        <f ca="1">IFERROR(_xll.qlRateHelperRate(W8,Trigger),"")</f>
        <v/>
      </c>
      <c r="Z8" s="116" t="str">
        <f ca="1">IF(ISERROR(_xll.qlSwapRateHelperSpread($W8)),IF(ISERROR(_xll.qlFuturesRateHelperConvexityAdjustment($W8)),"",_xll.qlFuturesRateHelperConvexityAdjustment($W8)),_xll.qlSwapRateHelperSpread($W8))</f>
        <v/>
      </c>
      <c r="AA8" s="5" t="str">
        <f ca="1">IFERROR(_xll.qlRateHelperEarliestDate(W8,Trigger),"")</f>
        <v/>
      </c>
      <c r="AB8" s="5" t="str">
        <f ca="1">IFERROR(_xll.qlRateHelperPillarDate(W8,Trigger),"")</f>
        <v/>
      </c>
      <c r="AC8" s="84" t="e">
        <f ca="1"/>
        <v>#NAME?</v>
      </c>
    </row>
    <row r="9" spans="1:32" ht="11.25" customHeight="1" x14ac:dyDescent="0.2">
      <c r="A9" s="71" t="s">
        <v>9</v>
      </c>
      <c r="B9" s="71" t="s">
        <v>30</v>
      </c>
      <c r="C9" s="71" t="s">
        <v>151</v>
      </c>
      <c r="D9" s="71" t="s">
        <v>5</v>
      </c>
      <c r="E9" s="71" t="s">
        <v>35</v>
      </c>
      <c r="F9" s="71" t="s">
        <v>152</v>
      </c>
      <c r="G9" s="71" t="s">
        <v>4</v>
      </c>
      <c r="H9" s="71" t="s">
        <v>1</v>
      </c>
      <c r="I9" s="71" t="s">
        <v>148</v>
      </c>
      <c r="J9" s="71" t="s">
        <v>25</v>
      </c>
      <c r="K9" s="53"/>
      <c r="L9" s="11" t="str">
        <f t="shared" ref="L9:L18" si="5">A11</f>
        <v>Sw</v>
      </c>
      <c r="M9" s="106" t="str">
        <f t="shared" ref="M9:M18" si="6">IF(ISBLANK(J11),"--",J11)</f>
        <v>obj_002c6#0004</v>
      </c>
      <c r="N9" s="160" t="str">
        <f>IFERROR(_xll.qlRateHelperQuoteName(M9,Trigger),"--")</f>
        <v>USD3X1S_Quote</v>
      </c>
      <c r="O9" s="110">
        <f>IFERROR(_xll.qlRateHelperQuoteValue($M9,Trigger),"--")</f>
        <v>2.5400000000000002E-3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42261</v>
      </c>
      <c r="T9" s="111">
        <f>IFERROR(_xll.qlRateHelperPillarDate(M9,Trigger),"--")</f>
        <v>42352</v>
      </c>
      <c r="V9" s="4" t="str">
        <f t="shared" ca="1" si="3"/>
        <v/>
      </c>
      <c r="W9" s="4" t="e">
        <f ca="1"/>
        <v>#NAME?</v>
      </c>
      <c r="X9" s="4" t="str">
        <f ca="1">IFERROR(_xll.qlRateHelperQuoteName(W9,Trigger),"")</f>
        <v/>
      </c>
      <c r="Y9" s="76" t="str">
        <f ca="1">IFERROR(_xll.qlRateHelperRate(W9,Trigger),"")</f>
        <v/>
      </c>
      <c r="Z9" s="116" t="str">
        <f ca="1">IF(ISERROR(_xll.qlSwapRateHelperSpread($W9)),IF(ISERROR(_xll.qlFuturesRateHelperConvexityAdjustment($W9)),"",_xll.qlFuturesRateHelperConvexityAdjustment($W9)),_xll.qlSwapRateHelperSpread($W9))</f>
        <v/>
      </c>
      <c r="AA9" s="5" t="str">
        <f ca="1">IFERROR(_xll.qlRateHelperEarliestDate(W9,Trigger),"")</f>
        <v/>
      </c>
      <c r="AB9" s="5" t="str">
        <f ca="1">IFERROR(_xll.qlRateHelperPillarDate(W9,Trigger),"")</f>
        <v/>
      </c>
      <c r="AC9" s="84" t="e">
        <f ca="1"/>
        <v>#NAME?</v>
      </c>
    </row>
    <row r="10" spans="1:32" ht="11.25" customHeight="1" x14ac:dyDescent="0.2">
      <c r="A10" s="58" t="s">
        <v>26</v>
      </c>
      <c r="B10" s="59" t="s">
        <v>53</v>
      </c>
      <c r="C10" s="60" t="s">
        <v>6</v>
      </c>
      <c r="D10" s="60" t="s">
        <v>8</v>
      </c>
      <c r="E10" s="60" t="s">
        <v>7</v>
      </c>
      <c r="F10" s="60" t="s">
        <v>28</v>
      </c>
      <c r="G10" s="60" t="str">
        <f t="shared" ref="G10:G20" si="7">PROPER(Currency)&amp;FamilyName&amp;Tenor</f>
        <v>UsdLibor1M</v>
      </c>
      <c r="H10" s="58" t="str">
        <f t="shared" ref="H10:H20" si="8">Currency&amp;SUBSTITUTE($B10,"M","")&amp;$G$8&amp;QuoteSuffix</f>
        <v>USD2X1S_Quote</v>
      </c>
      <c r="I10" s="140">
        <v>0</v>
      </c>
      <c r="J10" s="70"/>
      <c r="K10" s="53"/>
      <c r="L10" s="11" t="str">
        <f t="shared" si="5"/>
        <v>Sw</v>
      </c>
      <c r="M10" s="106" t="str">
        <f t="shared" si="6"/>
        <v>--</v>
      </c>
      <c r="N10" s="160" t="str">
        <f>IFERROR(_xll.qlRateHelperQuoteName(M10,Trigger),"--")</f>
        <v>--</v>
      </c>
      <c r="O10" s="110" t="str">
        <f>IFERROR(_xll.qlRateHelperQuoteValue($M10,Trigger),"--")</f>
        <v>--</v>
      </c>
      <c r="P10" s="109" t="b">
        <v>0</v>
      </c>
      <c r="Q10" s="106">
        <v>10</v>
      </c>
      <c r="R10" s="106">
        <v>1</v>
      </c>
      <c r="S10" s="111" t="str">
        <f>IFERROR(_xll.qlRateHelperEarliestDate(M10,Trigger),"--")</f>
        <v>--</v>
      </c>
      <c r="T10" s="111" t="str">
        <f>IFERROR(_xll.qlRateHelperPillarDate(M10,Trigger),"--")</f>
        <v>--</v>
      </c>
      <c r="V10" s="4" t="str">
        <f t="shared" ca="1" si="3"/>
        <v/>
      </c>
      <c r="W10" s="4" t="e">
        <f ca="1"/>
        <v>#NAME?</v>
      </c>
      <c r="X10" s="4" t="str">
        <f ca="1">IFERROR(_xll.qlRateHelperQuoteName(W10,Trigger),"")</f>
        <v/>
      </c>
      <c r="Y10" s="76" t="str">
        <f ca="1">IFERROR(_xll.qlRateHelperRate(W10,Trigger),"")</f>
        <v/>
      </c>
      <c r="Z10" s="116" t="str">
        <f ca="1">IF(ISERROR(_xll.qlSwapRateHelperSpread($W10)),IF(ISERROR(_xll.qlFuturesRateHelperConvexityAdjustment($W10)),"",_xll.qlFuturesRateHelperConvexityAdjustment($W10)),_xll.qlSwapRateHelperSpread($W10))</f>
        <v/>
      </c>
      <c r="AA10" s="5" t="str">
        <f ca="1">IFERROR(_xll.qlRateHelperEarliestDate(W10,Trigger),"")</f>
        <v/>
      </c>
      <c r="AB10" s="5" t="str">
        <f ca="1">IFERROR(_xll.qlRateHelperPillarDate(W10,Trigger),"")</f>
        <v/>
      </c>
      <c r="AC10" s="84" t="e">
        <f ca="1"/>
        <v>#NAME?</v>
      </c>
    </row>
    <row r="11" spans="1:32" ht="11.25" customHeight="1" x14ac:dyDescent="0.2">
      <c r="A11" s="64" t="s">
        <v>26</v>
      </c>
      <c r="B11" s="65" t="s">
        <v>0</v>
      </c>
      <c r="C11" s="66" t="s">
        <v>6</v>
      </c>
      <c r="D11" s="66" t="s">
        <v>8</v>
      </c>
      <c r="E11" s="66" t="s">
        <v>7</v>
      </c>
      <c r="F11" s="66" t="s">
        <v>28</v>
      </c>
      <c r="G11" s="66" t="str">
        <f t="shared" si="7"/>
        <v>UsdLibor1M</v>
      </c>
      <c r="H11" s="64" t="str">
        <f t="shared" si="8"/>
        <v>USD3X1S_Quote</v>
      </c>
      <c r="I11" s="141">
        <v>0</v>
      </c>
      <c r="J11" s="70" t="str">
        <f>_xll.qlSwapRateHelper2(,H11,,B11,JoinCalendar,USD1M!D11,USD1M!E11,USD1M!F11,USD1M!G11,USD1M!I11,USD1M!C11,Discounting,PillarDate,,Permanent,Trigger,ObjectOverwrite)</f>
        <v>obj_002c6#0004</v>
      </c>
      <c r="K11" s="53"/>
      <c r="L11" s="11" t="str">
        <f t="shared" si="5"/>
        <v>Sw</v>
      </c>
      <c r="M11" s="106" t="str">
        <f t="shared" si="6"/>
        <v>--</v>
      </c>
      <c r="N11" s="160" t="str">
        <f>IFERROR(_xll.qlRateHelperQuoteName(M11,Trigger),"--")</f>
        <v>--</v>
      </c>
      <c r="O11" s="110" t="str">
        <f>IFERROR(_xll.qlRateHelperQuoteValue($M11,Trigger),"--")</f>
        <v>--</v>
      </c>
      <c r="P11" s="109" t="b">
        <v>0</v>
      </c>
      <c r="Q11" s="106">
        <v>10</v>
      </c>
      <c r="R11" s="106">
        <v>1</v>
      </c>
      <c r="S11" s="111" t="str">
        <f>IFERROR(_xll.qlRateHelperEarliestDate(M11,Trigger),"--")</f>
        <v>--</v>
      </c>
      <c r="T11" s="111" t="str">
        <f>IFERROR(_xll.qlRateHelperPillarDate(M11,Trigger),"--")</f>
        <v>--</v>
      </c>
      <c r="V11" s="4" t="str">
        <f t="shared" ca="1" si="3"/>
        <v/>
      </c>
      <c r="W11" s="4" t="e">
        <f ca="1"/>
        <v>#NAME?</v>
      </c>
      <c r="X11" s="4" t="str">
        <f ca="1">IFERROR(_xll.qlRateHelperQuoteName(W11,Trigger),"")</f>
        <v/>
      </c>
      <c r="Y11" s="76" t="str">
        <f ca="1">IFERROR(_xll.qlRateHelperRate(W11,Trigger),"")</f>
        <v/>
      </c>
      <c r="Z11" s="116" t="str">
        <f ca="1">IF(ISERROR(_xll.qlSwapRateHelperSpread($W11)),IF(ISERROR(_xll.qlFuturesRateHelperConvexityAdjustment($W11)),"",_xll.qlFuturesRateHelperConvexityAdjustment($W11)),_xll.qlSwapRateHelperSpread($W11))</f>
        <v/>
      </c>
      <c r="AA11" s="5" t="str">
        <f ca="1">IFERROR(_xll.qlRateHelperEarliestDate(W11,Trigger),"")</f>
        <v/>
      </c>
      <c r="AB11" s="5" t="str">
        <f ca="1">IFERROR(_xll.qlRateHelperPillarDate(W11,Trigger),"")</f>
        <v/>
      </c>
      <c r="AC11" s="84" t="e">
        <f ca="1"/>
        <v>#NAME?</v>
      </c>
    </row>
    <row r="12" spans="1:32" ht="11.25" customHeight="1" x14ac:dyDescent="0.2">
      <c r="A12" s="64" t="s">
        <v>26</v>
      </c>
      <c r="B12" s="65" t="s">
        <v>54</v>
      </c>
      <c r="C12" s="66" t="s">
        <v>6</v>
      </c>
      <c r="D12" s="66" t="s">
        <v>8</v>
      </c>
      <c r="E12" s="66" t="s">
        <v>7</v>
      </c>
      <c r="F12" s="66" t="s">
        <v>28</v>
      </c>
      <c r="G12" s="66" t="str">
        <f t="shared" si="7"/>
        <v>UsdLibor1M</v>
      </c>
      <c r="H12" s="64" t="str">
        <f t="shared" si="8"/>
        <v>USD4X1S_Quote</v>
      </c>
      <c r="I12" s="141">
        <v>0</v>
      </c>
      <c r="J12" s="70"/>
      <c r="K12" s="53" t="s">
        <v>47</v>
      </c>
      <c r="L12" s="11" t="str">
        <f t="shared" si="5"/>
        <v>Sw</v>
      </c>
      <c r="M12" s="106" t="str">
        <f t="shared" si="6"/>
        <v>obj_002b7#0004</v>
      </c>
      <c r="N12" s="160" t="str">
        <f>IFERROR(_xll.qlRateHelperQuoteName(M12,Trigger),"--")</f>
        <v>USD6X1S_Quote</v>
      </c>
      <c r="O12" s="110">
        <f>IFERROR(_xll.qlRateHelperQuoteValue($M12,Trigger),"--")</f>
        <v>3.1800000000000005E-3</v>
      </c>
      <c r="P12" s="109" t="b">
        <v>1</v>
      </c>
      <c r="Q12" s="106">
        <v>70</v>
      </c>
      <c r="R12" s="106">
        <v>1</v>
      </c>
      <c r="S12" s="111">
        <f>IFERROR(_xll.qlRateHelperEarliestDate(M12,Trigger),"--")</f>
        <v>42261</v>
      </c>
      <c r="T12" s="111">
        <f>IFERROR(_xll.qlRateHelperPillarDate(M12,Trigger),"--")</f>
        <v>42443</v>
      </c>
      <c r="V12" s="4" t="str">
        <f t="shared" ca="1" si="3"/>
        <v/>
      </c>
      <c r="W12" s="4" t="e">
        <f ca="1"/>
        <v>#NAME?</v>
      </c>
      <c r="X12" s="4" t="str">
        <f ca="1">IFERROR(_xll.qlRateHelperQuoteName(W12,Trigger),"")</f>
        <v/>
      </c>
      <c r="Y12" s="76" t="str">
        <f ca="1">IFERROR(_xll.qlRateHelperRate(W12,Trigger),"")</f>
        <v/>
      </c>
      <c r="Z12" s="116" t="str">
        <f ca="1">IF(ISERROR(_xll.qlSwapRateHelperSpread($W12)),IF(ISERROR(_xll.qlFuturesRateHelperConvexityAdjustment($W12)),"",_xll.qlFuturesRateHelperConvexityAdjustment($W12)),_xll.qlSwapRateHelperSpread($W12))</f>
        <v/>
      </c>
      <c r="AA12" s="5" t="str">
        <f ca="1">IFERROR(_xll.qlRateHelperEarliestDate(W12,Trigger),"")</f>
        <v/>
      </c>
      <c r="AB12" s="5" t="str">
        <f ca="1">IFERROR(_xll.qlRateHelperPillarDate(W12,Trigger),"")</f>
        <v/>
      </c>
      <c r="AC12" s="84" t="e">
        <f ca="1"/>
        <v>#NAME?</v>
      </c>
    </row>
    <row r="13" spans="1:32" ht="11.25" customHeight="1" x14ac:dyDescent="0.2">
      <c r="A13" s="64" t="s">
        <v>26</v>
      </c>
      <c r="B13" s="65" t="s">
        <v>55</v>
      </c>
      <c r="C13" s="66" t="s">
        <v>6</v>
      </c>
      <c r="D13" s="66" t="s">
        <v>8</v>
      </c>
      <c r="E13" s="66" t="s">
        <v>7</v>
      </c>
      <c r="F13" s="66" t="s">
        <v>28</v>
      </c>
      <c r="G13" s="66" t="str">
        <f t="shared" si="7"/>
        <v>UsdLibor1M</v>
      </c>
      <c r="H13" s="64" t="str">
        <f t="shared" si="8"/>
        <v>USD5X1S_Quote</v>
      </c>
      <c r="I13" s="141">
        <v>0</v>
      </c>
      <c r="J13" s="70"/>
      <c r="K13" s="53"/>
      <c r="L13" s="11" t="str">
        <f t="shared" si="5"/>
        <v>Sw</v>
      </c>
      <c r="M13" s="106" t="str">
        <f t="shared" si="6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20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ca="1" si="3"/>
        <v/>
      </c>
      <c r="W13" s="4" t="e">
        <f ca="1"/>
        <v>#NAME?</v>
      </c>
      <c r="X13" s="4" t="str">
        <f ca="1">IFERROR(_xll.qlRateHelperQuoteName(W13,Trigger),"")</f>
        <v/>
      </c>
      <c r="Y13" s="76" t="str">
        <f ca="1">IFERROR(_xll.qlRateHelperRate(W13,Trigger),"")</f>
        <v/>
      </c>
      <c r="Z13" s="116" t="str">
        <f ca="1">IF(ISERROR(_xll.qlSwapRateHelperSpread($W13)),IF(ISERROR(_xll.qlFuturesRateHelperConvexityAdjustment($W13)),"",_xll.qlFuturesRateHelperConvexityAdjustment($W13)),_xll.qlSwapRateHelperSpread($W13))</f>
        <v/>
      </c>
      <c r="AA13" s="5" t="str">
        <f ca="1">IFERROR(_xll.qlRateHelperEarliestDate(W13,Trigger),"")</f>
        <v/>
      </c>
      <c r="AB13" s="5" t="str">
        <f ca="1">IFERROR(_xll.qlRateHelperPillarDate(W13,Trigger),"")</f>
        <v/>
      </c>
      <c r="AC13" s="84" t="e">
        <f ca="1"/>
        <v>#NAME?</v>
      </c>
    </row>
    <row r="14" spans="1:32" ht="11.25" customHeight="1" x14ac:dyDescent="0.2">
      <c r="A14" s="64" t="s">
        <v>26</v>
      </c>
      <c r="B14" s="65" t="s">
        <v>3</v>
      </c>
      <c r="C14" s="66" t="s">
        <v>6</v>
      </c>
      <c r="D14" s="66" t="s">
        <v>8</v>
      </c>
      <c r="E14" s="66" t="s">
        <v>7</v>
      </c>
      <c r="F14" s="66" t="s">
        <v>28</v>
      </c>
      <c r="G14" s="66" t="str">
        <f t="shared" si="7"/>
        <v>UsdLibor1M</v>
      </c>
      <c r="H14" s="64" t="str">
        <f t="shared" si="8"/>
        <v>USD6X1S_Quote</v>
      </c>
      <c r="I14" s="141">
        <v>0</v>
      </c>
      <c r="J14" s="70" t="str">
        <f>_xll.qlSwapRateHelper2(,H14,,B14,JoinCalendar,USD1M!D14,USD1M!E14,USD1M!F14,USD1M!G14,USD1M!I14,USD1M!C14,Discounting,PillarDate,,Permanent,Trigger,ObjectOverwrite)</f>
        <v>obj_002b7#0004</v>
      </c>
      <c r="K14" s="53"/>
      <c r="L14" s="11" t="str">
        <f t="shared" si="5"/>
        <v>Sw</v>
      </c>
      <c r="M14" s="106" t="str">
        <f t="shared" si="6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20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ca="1" si="3"/>
        <v/>
      </c>
      <c r="W14" s="4" t="e">
        <f ca="1"/>
        <v>#NAME?</v>
      </c>
      <c r="X14" s="4" t="str">
        <f ca="1">IFERROR(_xll.qlRateHelperQuoteName(W14,Trigger),"")</f>
        <v/>
      </c>
      <c r="Y14" s="76" t="str">
        <f ca="1">IFERROR(_xll.qlRateHelperRate(W14,Trigger),"")</f>
        <v/>
      </c>
      <c r="Z14" s="116" t="str">
        <f ca="1">IF(ISERROR(_xll.qlSwapRateHelperSpread($W14)),IF(ISERROR(_xll.qlFuturesRateHelperConvexityAdjustment($W14)),"",_xll.qlFuturesRateHelperConvexityAdjustment($W14)),_xll.qlSwapRateHelperSpread($W14))</f>
        <v/>
      </c>
      <c r="AA14" s="5" t="str">
        <f ca="1">IFERROR(_xll.qlRateHelperEarliestDate(W14,Trigger),"")</f>
        <v/>
      </c>
      <c r="AB14" s="5" t="str">
        <f ca="1">IFERROR(_xll.qlRateHelperPillarDate(W14,Trigger),"")</f>
        <v/>
      </c>
      <c r="AC14" s="84" t="e">
        <f ca="1"/>
        <v>#NAME?</v>
      </c>
    </row>
    <row r="15" spans="1:32" ht="11.25" customHeight="1" x14ac:dyDescent="0.2">
      <c r="A15" s="64" t="s">
        <v>26</v>
      </c>
      <c r="B15" s="65" t="s">
        <v>56</v>
      </c>
      <c r="C15" s="66" t="s">
        <v>6</v>
      </c>
      <c r="D15" s="66" t="s">
        <v>8</v>
      </c>
      <c r="E15" s="66" t="s">
        <v>7</v>
      </c>
      <c r="F15" s="66" t="s">
        <v>28</v>
      </c>
      <c r="G15" s="66" t="str">
        <f t="shared" si="7"/>
        <v>UsdLibor1M</v>
      </c>
      <c r="H15" s="64" t="str">
        <f t="shared" si="8"/>
        <v>USD7X1S_Quote</v>
      </c>
      <c r="I15" s="141">
        <v>0</v>
      </c>
      <c r="J15" s="70"/>
      <c r="K15" s="53"/>
      <c r="L15" s="11" t="str">
        <f t="shared" si="5"/>
        <v>Sw</v>
      </c>
      <c r="M15" s="106" t="str">
        <f t="shared" si="6"/>
        <v>obj_002ca#0004</v>
      </c>
      <c r="N15" s="160" t="str">
        <f>IFERROR(_xll.qlRateHelperQuoteName(M15,Trigger),"--")</f>
        <v>USD9X1S_Quote</v>
      </c>
      <c r="O15" s="110">
        <f>IFERROR(_xll.qlRateHelperQuoteValue($M15,Trigger),"--")</f>
        <v>3.8500000000000001E-3</v>
      </c>
      <c r="P15" s="109" t="b">
        <v>1</v>
      </c>
      <c r="Q15" s="106">
        <v>20</v>
      </c>
      <c r="R15" s="106">
        <v>1</v>
      </c>
      <c r="S15" s="111">
        <f>IFERROR(_xll.qlRateHelperEarliestDate(M15,Trigger),"--")</f>
        <v>42261</v>
      </c>
      <c r="T15" s="111">
        <f>IFERROR(_xll.qlRateHelperPillarDate(M15,Trigger),"--")</f>
        <v>42535</v>
      </c>
      <c r="V15" s="4" t="str">
        <f t="shared" ca="1" si="3"/>
        <v/>
      </c>
      <c r="W15" s="4" t="e">
        <f ca="1"/>
        <v>#NAME?</v>
      </c>
      <c r="X15" s="4" t="str">
        <f ca="1">IFERROR(_xll.qlRateHelperQuoteName(W15,Trigger),"")</f>
        <v/>
      </c>
      <c r="Y15" s="76" t="str">
        <f ca="1">IFERROR(_xll.qlRateHelperRate(W15,Trigger),"")</f>
        <v/>
      </c>
      <c r="Z15" s="116" t="str">
        <f ca="1">IF(ISERROR(_xll.qlSwapRateHelperSpread($W15)),IF(ISERROR(_xll.qlFuturesRateHelperConvexityAdjustment($W15)),"",_xll.qlFuturesRateHelperConvexityAdjustment($W15)),_xll.qlSwapRateHelperSpread($W15))</f>
        <v/>
      </c>
      <c r="AA15" s="5" t="str">
        <f ca="1">IFERROR(_xll.qlRateHelperEarliestDate(W15,Trigger),"")</f>
        <v/>
      </c>
      <c r="AB15" s="5" t="str">
        <f ca="1">IFERROR(_xll.qlRateHelperPillarDate(W15,Trigger),"")</f>
        <v/>
      </c>
      <c r="AC15" s="84" t="e">
        <f ca="1"/>
        <v>#NAME?</v>
      </c>
    </row>
    <row r="16" spans="1:32" ht="11.25" customHeight="1" x14ac:dyDescent="0.2">
      <c r="A16" s="64" t="s">
        <v>26</v>
      </c>
      <c r="B16" s="65" t="s">
        <v>57</v>
      </c>
      <c r="C16" s="66" t="s">
        <v>6</v>
      </c>
      <c r="D16" s="66" t="s">
        <v>8</v>
      </c>
      <c r="E16" s="66" t="s">
        <v>7</v>
      </c>
      <c r="F16" s="66" t="s">
        <v>28</v>
      </c>
      <c r="G16" s="66" t="str">
        <f t="shared" si="7"/>
        <v>UsdLibor1M</v>
      </c>
      <c r="H16" s="64" t="str">
        <f t="shared" si="8"/>
        <v>USD8X1S_Quote</v>
      </c>
      <c r="I16" s="141">
        <v>0</v>
      </c>
      <c r="J16" s="70"/>
      <c r="K16" s="53"/>
      <c r="L16" s="11" t="str">
        <f t="shared" si="5"/>
        <v>Sw</v>
      </c>
      <c r="M16" s="106" t="str">
        <f t="shared" si="6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20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ca="1" si="3"/>
        <v/>
      </c>
      <c r="W16" s="4" t="e">
        <f ca="1"/>
        <v>#NAME?</v>
      </c>
      <c r="X16" s="4" t="str">
        <f ca="1">IFERROR(_xll.qlRateHelperQuoteName(W16,Trigger),"")</f>
        <v/>
      </c>
      <c r="Y16" s="76" t="str">
        <f ca="1">IFERROR(_xll.qlRateHelperRate(W16,Trigger),"")</f>
        <v/>
      </c>
      <c r="Z16" s="116" t="str">
        <f ca="1">IF(ISERROR(_xll.qlSwapRateHelperSpread($W16)),IF(ISERROR(_xll.qlFuturesRateHelperConvexityAdjustment($W16)),"",_xll.qlFuturesRateHelperConvexityAdjustment($W16)),_xll.qlSwapRateHelperSpread($W16))</f>
        <v/>
      </c>
      <c r="AA16" s="5" t="str">
        <f ca="1">IFERROR(_xll.qlRateHelperEarliestDate(W16,Trigger),"")</f>
        <v/>
      </c>
      <c r="AB16" s="5" t="str">
        <f ca="1">IFERROR(_xll.qlRateHelperPillarDate(W16,Trigger),"")</f>
        <v/>
      </c>
      <c r="AC16" s="84" t="e">
        <f ca="1"/>
        <v>#NAME?</v>
      </c>
    </row>
    <row r="17" spans="1:29" ht="11.25" customHeight="1" x14ac:dyDescent="0.2">
      <c r="A17" s="64" t="s">
        <v>26</v>
      </c>
      <c r="B17" s="65" t="s">
        <v>58</v>
      </c>
      <c r="C17" s="66" t="s">
        <v>6</v>
      </c>
      <c r="D17" s="66" t="s">
        <v>8</v>
      </c>
      <c r="E17" s="66" t="s">
        <v>7</v>
      </c>
      <c r="F17" s="66" t="s">
        <v>28</v>
      </c>
      <c r="G17" s="66" t="str">
        <f t="shared" si="7"/>
        <v>UsdLibor1M</v>
      </c>
      <c r="H17" s="64" t="str">
        <f t="shared" si="8"/>
        <v>USD9X1S_Quote</v>
      </c>
      <c r="I17" s="141">
        <v>0</v>
      </c>
      <c r="J17" s="70" t="str">
        <f>_xll.qlSwapRateHelper2(,H17,,B17,JoinCalendar,USD1M!D17,USD1M!E17,USD1M!F17,USD1M!G17,USD1M!I17,USD1M!C17,Discounting,PillarDate,,Permanent,Trigger,ObjectOverwrite)</f>
        <v>obj_002ca#0004</v>
      </c>
      <c r="K17" s="53"/>
      <c r="L17" s="11" t="str">
        <f t="shared" si="5"/>
        <v>Sw</v>
      </c>
      <c r="M17" s="106" t="str">
        <f t="shared" si="6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20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ca="1" si="3"/>
        <v/>
      </c>
      <c r="W17" s="4" t="e">
        <f ca="1"/>
        <v>#NAME?</v>
      </c>
      <c r="X17" s="4" t="str">
        <f ca="1">IFERROR(_xll.qlRateHelperQuoteName(W17,Trigger),"")</f>
        <v/>
      </c>
      <c r="Y17" s="76" t="str">
        <f ca="1">IFERROR(_xll.qlRateHelperRate(W17,Trigger),"")</f>
        <v/>
      </c>
      <c r="Z17" s="116" t="str">
        <f ca="1">IF(ISERROR(_xll.qlSwapRateHelperSpread($W17)),IF(ISERROR(_xll.qlFuturesRateHelperConvexityAdjustment($W17)),"",_xll.qlFuturesRateHelperConvexityAdjustment($W17)),_xll.qlSwapRateHelperSpread($W17))</f>
        <v/>
      </c>
      <c r="AA17" s="5" t="str">
        <f ca="1">IFERROR(_xll.qlRateHelperEarliestDate(W17,Trigger),"")</f>
        <v/>
      </c>
      <c r="AB17" s="5" t="str">
        <f ca="1">IFERROR(_xll.qlRateHelperPillarDate(W17,Trigger),"")</f>
        <v/>
      </c>
      <c r="AC17" s="84" t="e">
        <f ca="1"/>
        <v>#NAME?</v>
      </c>
    </row>
    <row r="18" spans="1:29" ht="11.25" customHeight="1" x14ac:dyDescent="0.2">
      <c r="A18" s="64" t="s">
        <v>26</v>
      </c>
      <c r="B18" s="65" t="s">
        <v>59</v>
      </c>
      <c r="C18" s="66" t="s">
        <v>6</v>
      </c>
      <c r="D18" s="66" t="s">
        <v>8</v>
      </c>
      <c r="E18" s="66" t="s">
        <v>7</v>
      </c>
      <c r="F18" s="66" t="s">
        <v>28</v>
      </c>
      <c r="G18" s="66" t="str">
        <f t="shared" si="7"/>
        <v>UsdLibor1M</v>
      </c>
      <c r="H18" s="64" t="str">
        <f t="shared" si="8"/>
        <v>USD10X1S_Quote</v>
      </c>
      <c r="I18" s="141">
        <v>0</v>
      </c>
      <c r="J18" s="70"/>
      <c r="K18" s="53"/>
      <c r="L18" s="12" t="str">
        <f t="shared" si="5"/>
        <v>Sw</v>
      </c>
      <c r="M18" s="107" t="str">
        <f t="shared" si="6"/>
        <v>obj_00291#0004</v>
      </c>
      <c r="N18" s="161" t="str">
        <f>IFERROR(_xll.qlRateHelperQuoteName(M18,Trigger),"--")</f>
        <v>USD12X1S_Quote</v>
      </c>
      <c r="O18" s="113">
        <f>IFERROR(_xll.qlRateHelperQuoteValue($M18,Trigger),"--")</f>
        <v>4.5499999999999994E-3</v>
      </c>
      <c r="P18" s="175" t="b">
        <f>NOT(ISERROR(_xll.qlQuoteValue(N18)))</f>
        <v>1</v>
      </c>
      <c r="Q18" s="107">
        <v>20</v>
      </c>
      <c r="R18" s="107">
        <v>1</v>
      </c>
      <c r="S18" s="114">
        <f>IFERROR(_xll.qlRateHelperEarliestDate(M18,Trigger),"--")</f>
        <v>42261</v>
      </c>
      <c r="T18" s="114">
        <f>IFERROR(_xll.qlRateHelperPillarDate(M18,Trigger),"--")</f>
        <v>42627</v>
      </c>
      <c r="V18" s="4" t="str">
        <f t="shared" ca="1" si="3"/>
        <v/>
      </c>
      <c r="W18" s="4" t="e">
        <f ca="1"/>
        <v>#NAME?</v>
      </c>
      <c r="X18" s="4" t="str">
        <f ca="1">IFERROR(_xll.qlRateHelperQuoteName(W18,Trigger),"")</f>
        <v/>
      </c>
      <c r="Y18" s="76" t="str">
        <f ca="1">IFERROR(_xll.qlRateHelperRate(W18,Trigger),"")</f>
        <v/>
      </c>
      <c r="Z18" s="116" t="str">
        <f ca="1">IF(ISERROR(_xll.qlSwapRateHelperSpread($W18)),IF(ISERROR(_xll.qlFuturesRateHelperConvexityAdjustment($W18)),"",_xll.qlFuturesRateHelperConvexityAdjustment($W18)),_xll.qlSwapRateHelperSpread($W18))</f>
        <v/>
      </c>
      <c r="AA18" s="5" t="str">
        <f ca="1">IFERROR(_xll.qlRateHelperEarliestDate(W18,Trigger),"")</f>
        <v/>
      </c>
      <c r="AB18" s="5" t="str">
        <f ca="1">IFERROR(_xll.qlRateHelperPillarDate(W18,Trigger),"")</f>
        <v/>
      </c>
      <c r="AC18" s="84" t="e">
        <f ca="1"/>
        <v>#NAME?</v>
      </c>
    </row>
    <row r="19" spans="1:29" ht="11.25" customHeight="1" x14ac:dyDescent="0.2">
      <c r="A19" s="64" t="s">
        <v>26</v>
      </c>
      <c r="B19" s="65" t="s">
        <v>60</v>
      </c>
      <c r="C19" s="66" t="s">
        <v>6</v>
      </c>
      <c r="D19" s="66" t="s">
        <v>8</v>
      </c>
      <c r="E19" s="66" t="s">
        <v>7</v>
      </c>
      <c r="F19" s="66" t="s">
        <v>28</v>
      </c>
      <c r="G19" s="66" t="str">
        <f t="shared" si="7"/>
        <v>UsdLibor1M</v>
      </c>
      <c r="H19" s="64" t="str">
        <f t="shared" si="8"/>
        <v>USD11X1S_Quote</v>
      </c>
      <c r="I19" s="141">
        <v>0</v>
      </c>
      <c r="J19" s="70"/>
      <c r="K19" s="53"/>
      <c r="L19" s="74" t="str">
        <f>A23</f>
        <v>BasSw</v>
      </c>
      <c r="M19" s="145" t="str">
        <f>IF(ISBLANK(J23),"--",J23)</f>
        <v>--</v>
      </c>
      <c r="N19" s="159" t="str">
        <f>IFERROR(_xll.qlRateHelperQuoteName(M19,Trigger),"--")</f>
        <v>--</v>
      </c>
      <c r="O19" s="147" t="str">
        <f>IFERROR(_xll.qlRateHelperQuoteValue($M19,Trigger),"--")</f>
        <v>--</v>
      </c>
      <c r="P19" s="146" t="b">
        <v>0</v>
      </c>
      <c r="Q19" s="145">
        <v>20</v>
      </c>
      <c r="R19" s="145">
        <v>1</v>
      </c>
      <c r="S19" s="148" t="str">
        <f>IFERROR(_xll.qlRateHelperEarliestDate(M19,Trigger),"--")</f>
        <v>--</v>
      </c>
      <c r="T19" s="148" t="str">
        <f>IFERROR(_xll.qlRateHelperPillarDate(M19,Trigger),"--")</f>
        <v>--</v>
      </c>
      <c r="V19" s="4" t="str">
        <f t="shared" ca="1" si="3"/>
        <v/>
      </c>
      <c r="W19" s="4" t="e">
        <f ca="1"/>
        <v>#NAME?</v>
      </c>
      <c r="X19" s="4" t="str">
        <f ca="1">IFERROR(_xll.qlRateHelperQuoteName(W19,Trigger),"")</f>
        <v/>
      </c>
      <c r="Y19" s="76" t="str">
        <f ca="1">IFERROR(_xll.qlRateHelperRate(W19,Trigger),"")</f>
        <v/>
      </c>
      <c r="Z19" s="116" t="str">
        <f ca="1">IF(ISERROR(_xll.qlSwapRateHelperSpread($W19)),IF(ISERROR(_xll.qlFuturesRateHelperConvexityAdjustment($W19)),"",_xll.qlFuturesRateHelperConvexityAdjustment($W19)),_xll.qlSwapRateHelperSpread($W19))</f>
        <v/>
      </c>
      <c r="AA19" s="5" t="str">
        <f ca="1">IFERROR(_xll.qlRateHelperEarliestDate(W19,Trigger),"")</f>
        <v/>
      </c>
      <c r="AB19" s="5" t="str">
        <f ca="1">IFERROR(_xll.qlRateHelperPillarDate(W19,Trigger),"")</f>
        <v/>
      </c>
      <c r="AC19" s="84" t="e">
        <f ca="1"/>
        <v>#NAME?</v>
      </c>
    </row>
    <row r="20" spans="1:29" ht="11.25" customHeight="1" x14ac:dyDescent="0.2">
      <c r="A20" s="1" t="s">
        <v>26</v>
      </c>
      <c r="B20" s="9" t="s">
        <v>157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 t="shared" si="7"/>
        <v>UsdLibor1M</v>
      </c>
      <c r="H20" s="1" t="str">
        <f t="shared" si="8"/>
        <v>USD12X1S_Quote</v>
      </c>
      <c r="I20" s="144">
        <v>0</v>
      </c>
      <c r="J20" s="3" t="str">
        <f>_xll.qlSwapRateHelper2(,H20,,B20,JoinCalendar,USD1M!D20,USD1M!E20,USD1M!F20,USD1M!G20,USD1M!I20,USD1M!C20,Discounting,PillarDate,,Permanent,Trigger,ObjectOverwrite)</f>
        <v>obj_00291#0004</v>
      </c>
      <c r="K20" s="53"/>
      <c r="L20" s="11" t="str">
        <f t="shared" ref="L20:L55" si="9">A24</f>
        <v>BasSw</v>
      </c>
      <c r="M20" s="106" t="str">
        <f t="shared" ref="M20:M55" si="10">IF(ISBLANK(J24),"--",J24)</f>
        <v>--</v>
      </c>
      <c r="N20" s="160" t="str">
        <f>IFERROR(_xll.qlRateHelperQuoteName(M20,Trigger),"--")</f>
        <v>--</v>
      </c>
      <c r="O20" s="110" t="str">
        <f>IFERROR(_xll.qlRateHelperQuoteValue($M20,Trigger),"--")</f>
        <v>--</v>
      </c>
      <c r="P20" s="109" t="b">
        <v>0</v>
      </c>
      <c r="Q20" s="106">
        <v>20</v>
      </c>
      <c r="R20" s="106">
        <v>1</v>
      </c>
      <c r="S20" s="111" t="str">
        <f>IFERROR(_xll.qlRateHelperEarliestDate(M20,Trigger),"--")</f>
        <v>--</v>
      </c>
      <c r="T20" s="111" t="str">
        <f>IFERROR(_xll.qlRateHelperPillarDate(M20,Trigger),"--")</f>
        <v>--</v>
      </c>
      <c r="V20" s="4" t="str">
        <f t="shared" ca="1" si="3"/>
        <v/>
      </c>
      <c r="W20" s="4" t="e">
        <f ca="1"/>
        <v>#NAME?</v>
      </c>
      <c r="X20" s="4" t="str">
        <f ca="1">IFERROR(_xll.qlRateHelperQuoteName(W20,Trigger),"")</f>
        <v/>
      </c>
      <c r="Y20" s="76" t="str">
        <f ca="1">IFERROR(_xll.qlRateHelperRate(W20,Trigger),"")</f>
        <v/>
      </c>
      <c r="Z20" s="116" t="str">
        <f ca="1">IF(ISERROR(_xll.qlSwapRateHelperSpread($W20)),IF(ISERROR(_xll.qlFuturesRateHelperConvexityAdjustment($W20)),"",_xll.qlFuturesRateHelperConvexityAdjustment($W20)),_xll.qlSwapRateHelperSpread($W20))</f>
        <v/>
      </c>
      <c r="AA20" s="5" t="str">
        <f ca="1">IFERROR(_xll.qlRateHelperEarliestDate(W20,Trigger),"")</f>
        <v/>
      </c>
      <c r="AB20" s="5" t="str">
        <f ca="1">IFERROR(_xll.qlRateHelperPillarDate(W20,Trigger),"")</f>
        <v/>
      </c>
      <c r="AC20" s="84" t="e">
        <f ca="1"/>
        <v>#NAME?</v>
      </c>
    </row>
    <row r="21" spans="1:29" ht="11.25" customHeight="1" x14ac:dyDescent="0.2">
      <c r="F21" s="55" t="s">
        <v>150</v>
      </c>
      <c r="G21" s="55" t="s">
        <v>149</v>
      </c>
      <c r="H21" s="55" t="s">
        <v>159</v>
      </c>
      <c r="K21" s="53"/>
      <c r="L21" s="11" t="str">
        <f t="shared" si="9"/>
        <v>BasSw</v>
      </c>
      <c r="M21" s="106" t="str">
        <f t="shared" si="10"/>
        <v>--</v>
      </c>
      <c r="N21" s="160" t="str">
        <f>IFERROR(_xll.qlRateHelperQuoteName(M21,Trigger),"--")</f>
        <v>--</v>
      </c>
      <c r="O21" s="110" t="str">
        <f>IFERROR(_xll.qlRateHelperQuoteValue($M21,Trigger),"--")</f>
        <v>--</v>
      </c>
      <c r="P21" s="109" t="b">
        <v>0</v>
      </c>
      <c r="Q21" s="106">
        <v>20</v>
      </c>
      <c r="R21" s="106">
        <v>1</v>
      </c>
      <c r="S21" s="111" t="str">
        <f>IFERROR(_xll.qlRateHelperEarliestDate(M21,Trigger),"--")</f>
        <v>--</v>
      </c>
      <c r="T21" s="111" t="str">
        <f>IFERROR(_xll.qlRateHelperPillarDate(M21,Trigger),"--")</f>
        <v>--</v>
      </c>
      <c r="V21" s="4" t="str">
        <f t="shared" ca="1" si="3"/>
        <v/>
      </c>
      <c r="W21" s="4" t="e">
        <f ca="1"/>
        <v>#NAME?</v>
      </c>
      <c r="X21" s="4" t="str">
        <f ca="1">IFERROR(_xll.qlRateHelperQuoteName(W21,Trigger),"")</f>
        <v/>
      </c>
      <c r="Y21" s="76" t="str">
        <f ca="1">IFERROR(_xll.qlRateHelperRate(W21,Trigger),"")</f>
        <v/>
      </c>
      <c r="Z21" s="116" t="str">
        <f ca="1">IF(ISERROR(_xll.qlSwapRateHelperSpread($W21)),IF(ISERROR(_xll.qlFuturesRateHelperConvexityAdjustment($W21)),"",_xll.qlFuturesRateHelperConvexityAdjustment($W21)),_xll.qlSwapRateHelperSpread($W21))</f>
        <v/>
      </c>
      <c r="AA21" s="5" t="str">
        <f ca="1">IFERROR(_xll.qlRateHelperEarliestDate(W21,Trigger),"")</f>
        <v/>
      </c>
      <c r="AB21" s="5" t="str">
        <f ca="1">IFERROR(_xll.qlRateHelperPillarDate(W21,Trigger),"")</f>
        <v/>
      </c>
      <c r="AC21" s="84" t="e">
        <f ca="1"/>
        <v>#NAME?</v>
      </c>
    </row>
    <row r="22" spans="1:29" ht="11.25" customHeight="1" x14ac:dyDescent="0.2">
      <c r="A22" s="71" t="s">
        <v>9</v>
      </c>
      <c r="B22" s="71" t="s">
        <v>30</v>
      </c>
      <c r="C22" s="71" t="s">
        <v>151</v>
      </c>
      <c r="D22" s="71" t="s">
        <v>5</v>
      </c>
      <c r="E22" s="71" t="s">
        <v>35</v>
      </c>
      <c r="F22" s="71" t="s">
        <v>152</v>
      </c>
      <c r="G22" s="71" t="s">
        <v>4</v>
      </c>
      <c r="H22" s="71" t="s">
        <v>1</v>
      </c>
      <c r="I22" s="71" t="s">
        <v>148</v>
      </c>
      <c r="J22" s="71" t="s">
        <v>25</v>
      </c>
      <c r="K22" s="53"/>
      <c r="L22" s="11" t="str">
        <f t="shared" si="9"/>
        <v>BasSw</v>
      </c>
      <c r="M22" s="106" t="str">
        <f t="shared" si="10"/>
        <v>--</v>
      </c>
      <c r="N22" s="160" t="str">
        <f>IFERROR(_xll.qlRateHelperQuoteName(M22,Trigger),"--")</f>
        <v>--</v>
      </c>
      <c r="O22" s="110" t="str">
        <f>IFERROR(_xll.qlRateHelperQuoteValue($M22,Trigger),"--")</f>
        <v>--</v>
      </c>
      <c r="P22" s="109" t="b">
        <v>0</v>
      </c>
      <c r="Q22" s="106">
        <v>20</v>
      </c>
      <c r="R22" s="106">
        <v>1</v>
      </c>
      <c r="S22" s="111" t="str">
        <f>IFERROR(_xll.qlRateHelperEarliestDate(M22,Trigger),"--")</f>
        <v>--</v>
      </c>
      <c r="T22" s="111" t="str">
        <f>IFERROR(_xll.qlRateHelperPillarDate(M22,Trigger),"--")</f>
        <v>--</v>
      </c>
      <c r="V22" s="4" t="str">
        <f t="shared" ca="1" si="3"/>
        <v/>
      </c>
      <c r="W22" s="4" t="e">
        <f ca="1"/>
        <v>#NAME?</v>
      </c>
      <c r="X22" s="4" t="str">
        <f ca="1">IFERROR(_xll.qlRateHelperQuoteName(W22,Trigger),"")</f>
        <v/>
      </c>
      <c r="Y22" s="76" t="str">
        <f ca="1">IFERROR(_xll.qlRateHelperRate(W22,Trigger),"")</f>
        <v/>
      </c>
      <c r="Z22" s="116" t="str">
        <f ca="1">IF(ISERROR(_xll.qlSwapRateHelperSpread($W22)),IF(ISERROR(_xll.qlFuturesRateHelperConvexityAdjustment($W22)),"",_xll.qlFuturesRateHelperConvexityAdjustment($W22)),_xll.qlSwapRateHelperSpread($W22))</f>
        <v/>
      </c>
      <c r="AA22" s="5" t="str">
        <f ca="1">IFERROR(_xll.qlRateHelperEarliestDate(W22,Trigger),"")</f>
        <v/>
      </c>
      <c r="AB22" s="5" t="str">
        <f ca="1">IFERROR(_xll.qlRateHelperPillarDate(W22,Trigger),"")</f>
        <v/>
      </c>
      <c r="AC22" s="84" t="e">
        <f ca="1"/>
        <v>#NAME?</v>
      </c>
    </row>
    <row r="23" spans="1:29" ht="11.25" customHeight="1" x14ac:dyDescent="0.2">
      <c r="A23" s="64" t="s">
        <v>160</v>
      </c>
      <c r="B23" s="65" t="s">
        <v>29</v>
      </c>
      <c r="C23" s="66" t="s">
        <v>6</v>
      </c>
      <c r="D23" s="66" t="s">
        <v>8</v>
      </c>
      <c r="E23" s="66" t="s">
        <v>7</v>
      </c>
      <c r="F23" s="66" t="s">
        <v>28</v>
      </c>
      <c r="G23" s="66" t="str">
        <f t="shared" ref="G23:G59" si="11">PROPER(Currency)&amp;FamilyName&amp;Tenor</f>
        <v>UsdLibor1M</v>
      </c>
      <c r="H23" s="64" t="str">
        <f t="shared" ref="H23:H59" si="12">Currency&amp;$G$21&amp;$F$21&amp;$B23&amp;QuoteSuffix</f>
        <v>USDAM3L1Y_Quote</v>
      </c>
      <c r="I23" s="171" t="str">
        <f t="shared" ref="I23:I59" si="13">Currency&amp;$F$21&amp;$H$21&amp;$B23&amp;QuoteSuffix</f>
        <v>USD3L1L1Y_Quote</v>
      </c>
      <c r="J23" s="70"/>
      <c r="K23" s="53"/>
      <c r="L23" s="11" t="str">
        <f t="shared" si="9"/>
        <v>BasSw</v>
      </c>
      <c r="M23" s="106" t="str">
        <f t="shared" si="10"/>
        <v>obj_002cf#0004</v>
      </c>
      <c r="N23" s="160" t="str">
        <f>IFERROR(_xll.qlRateHelperQuoteName(M23,Trigger),"--")</f>
        <v>USDAM3L2Y_Quote</v>
      </c>
      <c r="O23" s="110">
        <f>IFERROR(_xll.qlRateHelperQuoteValue($M23,Trigger),"--")</f>
        <v>8.5799999999999991E-3</v>
      </c>
      <c r="P23" s="109" t="b">
        <v>1</v>
      </c>
      <c r="Q23" s="106">
        <v>20</v>
      </c>
      <c r="R23" s="106">
        <v>1</v>
      </c>
      <c r="S23" s="111">
        <f>IFERROR(_xll.qlRateHelperEarliestDate(M23,Trigger),"--")</f>
        <v>42261</v>
      </c>
      <c r="T23" s="111">
        <f>IFERROR(_xll.qlRateHelperPillarDate(M23,Trigger),"--")</f>
        <v>42992</v>
      </c>
      <c r="V23" s="4" t="str">
        <f t="shared" ca="1" si="3"/>
        <v/>
      </c>
      <c r="W23" s="4" t="e">
        <f ca="1"/>
        <v>#NAME?</v>
      </c>
      <c r="X23" s="4" t="str">
        <f ca="1">IFERROR(_xll.qlRateHelperQuoteName(W23,Trigger),"")</f>
        <v/>
      </c>
      <c r="Y23" s="76" t="str">
        <f ca="1">IFERROR(_xll.qlRateHelperRate(W23,Trigger),"")</f>
        <v/>
      </c>
      <c r="Z23" s="116" t="str">
        <f ca="1">IF(ISERROR(_xll.qlSwapRateHelperSpread($W23)),IF(ISERROR(_xll.qlFuturesRateHelperConvexityAdjustment($W23)),"",_xll.qlFuturesRateHelperConvexityAdjustment($W23)),_xll.qlSwapRateHelperSpread($W23))</f>
        <v/>
      </c>
      <c r="AA23" s="5" t="str">
        <f ca="1">IFERROR(_xll.qlRateHelperEarliestDate(W23,Trigger),"")</f>
        <v/>
      </c>
      <c r="AB23" s="5" t="str">
        <f ca="1">IFERROR(_xll.qlRateHelperPillarDate(W23,Trigger),"")</f>
        <v/>
      </c>
      <c r="AC23" s="84" t="e">
        <f ca="1"/>
        <v>#NAME?</v>
      </c>
    </row>
    <row r="24" spans="1:29" ht="11.25" customHeight="1" x14ac:dyDescent="0.2">
      <c r="A24" s="64" t="s">
        <v>160</v>
      </c>
      <c r="B24" s="65" t="s">
        <v>63</v>
      </c>
      <c r="C24" s="66" t="s">
        <v>6</v>
      </c>
      <c r="D24" s="66" t="s">
        <v>8</v>
      </c>
      <c r="E24" s="66" t="s">
        <v>7</v>
      </c>
      <c r="F24" s="66" t="s">
        <v>28</v>
      </c>
      <c r="G24" s="66" t="str">
        <f t="shared" si="11"/>
        <v>UsdLibor1M</v>
      </c>
      <c r="H24" s="64" t="str">
        <f t="shared" si="12"/>
        <v>USDAM3L15M_Quote</v>
      </c>
      <c r="I24" s="171" t="str">
        <f t="shared" si="13"/>
        <v>USD3L1L15M_Quote</v>
      </c>
      <c r="J24" s="70"/>
      <c r="K24" s="53"/>
      <c r="L24" s="11" t="str">
        <f t="shared" si="9"/>
        <v>BasSw</v>
      </c>
      <c r="M24" s="106" t="str">
        <f t="shared" si="10"/>
        <v>obj_002b2#0004</v>
      </c>
      <c r="N24" s="160" t="str">
        <f>IFERROR(_xll.qlRateHelperQuoteName(M24,Trigger),"--")</f>
        <v>USDAM3L3Y_Quote</v>
      </c>
      <c r="O24" s="110">
        <f>IFERROR(_xll.qlRateHelperQuoteValue($M24,Trigger),"--")</f>
        <v>1.1379999999999999E-2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42261</v>
      </c>
      <c r="T24" s="111">
        <f>IFERROR(_xll.qlRateHelperPillarDate(M24,Trigger),"--")</f>
        <v>43357</v>
      </c>
      <c r="V24" s="4" t="str">
        <f t="shared" ca="1" si="3"/>
        <v/>
      </c>
      <c r="W24" s="4" t="e">
        <f ca="1"/>
        <v>#NAME?</v>
      </c>
      <c r="X24" s="4" t="str">
        <f ca="1">IFERROR(_xll.qlRateHelperQuoteName(W24,Trigger),"")</f>
        <v/>
      </c>
      <c r="Y24" s="76" t="str">
        <f ca="1">IFERROR(_xll.qlRateHelperRate(W24,Trigger),"")</f>
        <v/>
      </c>
      <c r="Z24" s="116" t="str">
        <f ca="1">IF(ISERROR(_xll.qlSwapRateHelperSpread($W24)),IF(ISERROR(_xll.qlFuturesRateHelperConvexityAdjustment($W24)),"",_xll.qlFuturesRateHelperConvexityAdjustment($W24)),_xll.qlSwapRateHelperSpread($W24))</f>
        <v/>
      </c>
      <c r="AA24" s="5" t="str">
        <f ca="1">IFERROR(_xll.qlRateHelperEarliestDate(W24,Trigger),"")</f>
        <v/>
      </c>
      <c r="AB24" s="5" t="str">
        <f ca="1">IFERROR(_xll.qlRateHelperPillarDate(W24,Trigger),"")</f>
        <v/>
      </c>
      <c r="AC24" s="84" t="e">
        <f ca="1"/>
        <v>#NAME?</v>
      </c>
    </row>
    <row r="25" spans="1:29" ht="11.25" customHeight="1" x14ac:dyDescent="0.2">
      <c r="A25" s="64" t="s">
        <v>160</v>
      </c>
      <c r="B25" s="65" t="s">
        <v>66</v>
      </c>
      <c r="C25" s="66" t="s">
        <v>6</v>
      </c>
      <c r="D25" s="66" t="s">
        <v>8</v>
      </c>
      <c r="E25" s="66" t="s">
        <v>7</v>
      </c>
      <c r="F25" s="66" t="s">
        <v>28</v>
      </c>
      <c r="G25" s="66" t="str">
        <f t="shared" si="11"/>
        <v>UsdLibor1M</v>
      </c>
      <c r="H25" s="64" t="str">
        <f t="shared" si="12"/>
        <v>USDAM3L18M_Quote</v>
      </c>
      <c r="I25" s="171" t="str">
        <f t="shared" si="13"/>
        <v>USD3L1L18M_Quote</v>
      </c>
      <c r="J25" s="70"/>
      <c r="K25" s="53"/>
      <c r="L25" s="11" t="str">
        <f t="shared" si="9"/>
        <v>BasSw</v>
      </c>
      <c r="M25" s="106" t="str">
        <f t="shared" si="10"/>
        <v>obj_002b1#0004</v>
      </c>
      <c r="N25" s="160" t="str">
        <f>IFERROR(_xll.qlRateHelperQuoteName(M25,Trigger),"--")</f>
        <v>USDAM3L4Y_Quote</v>
      </c>
      <c r="O25" s="110">
        <f>IFERROR(_xll.qlRateHelperQuoteValue($M25,Trigger),"--")</f>
        <v>1.38E-2</v>
      </c>
      <c r="P25" s="109" t="b">
        <v>1</v>
      </c>
      <c r="Q25" s="106">
        <v>20</v>
      </c>
      <c r="R25" s="106">
        <v>1</v>
      </c>
      <c r="S25" s="111">
        <f>IFERROR(_xll.qlRateHelperEarliestDate(M25,Trigger),"--")</f>
        <v>42261</v>
      </c>
      <c r="T25" s="111">
        <f>IFERROR(_xll.qlRateHelperPillarDate(M25,Trigger),"--")</f>
        <v>43724</v>
      </c>
      <c r="V25" s="4" t="str">
        <f t="shared" ca="1" si="3"/>
        <v/>
      </c>
      <c r="W25" s="4" t="e">
        <f ca="1"/>
        <v>#NAME?</v>
      </c>
      <c r="X25" s="4" t="str">
        <f ca="1">IFERROR(_xll.qlRateHelperQuoteName(W25,Trigger),"")</f>
        <v/>
      </c>
      <c r="Y25" s="76" t="str">
        <f ca="1">IFERROR(_xll.qlRateHelperRate(W25,Trigger),"")</f>
        <v/>
      </c>
      <c r="Z25" s="116" t="str">
        <f ca="1">IF(ISERROR(_xll.qlSwapRateHelperSpread($W25)),IF(ISERROR(_xll.qlFuturesRateHelperConvexityAdjustment($W25)),"",_xll.qlFuturesRateHelperConvexityAdjustment($W25)),_xll.qlSwapRateHelperSpread($W25))</f>
        <v/>
      </c>
      <c r="AA25" s="5" t="str">
        <f ca="1">IFERROR(_xll.qlRateHelperEarliestDate(W25,Trigger),"")</f>
        <v/>
      </c>
      <c r="AB25" s="5" t="str">
        <f ca="1">IFERROR(_xll.qlRateHelperPillarDate(W25,Trigger),"")</f>
        <v/>
      </c>
      <c r="AC25" s="84" t="e">
        <f ca="1"/>
        <v>#NAME?</v>
      </c>
    </row>
    <row r="26" spans="1:29" ht="11.25" customHeight="1" x14ac:dyDescent="0.2">
      <c r="A26" s="64" t="s">
        <v>160</v>
      </c>
      <c r="B26" s="65" t="s">
        <v>69</v>
      </c>
      <c r="C26" s="66" t="s">
        <v>6</v>
      </c>
      <c r="D26" s="66" t="s">
        <v>8</v>
      </c>
      <c r="E26" s="66" t="s">
        <v>7</v>
      </c>
      <c r="F26" s="66" t="s">
        <v>28</v>
      </c>
      <c r="G26" s="66" t="str">
        <f t="shared" si="11"/>
        <v>UsdLibor1M</v>
      </c>
      <c r="H26" s="64" t="str">
        <f t="shared" si="12"/>
        <v>USDAM3L21M_Quote</v>
      </c>
      <c r="I26" s="171" t="str">
        <f t="shared" si="13"/>
        <v>USD3L1L21M_Quote</v>
      </c>
      <c r="J26" s="70"/>
      <c r="K26" s="53"/>
      <c r="L26" s="11" t="str">
        <f t="shared" si="9"/>
        <v>BasSw</v>
      </c>
      <c r="M26" s="106" t="str">
        <f t="shared" si="10"/>
        <v>obj_002bc#0004</v>
      </c>
      <c r="N26" s="160" t="str">
        <f>IFERROR(_xll.qlRateHelperQuoteName(M26,Trigger),"--")</f>
        <v>USDAM3L5Y_Quote</v>
      </c>
      <c r="O26" s="110">
        <f>IFERROR(_xll.qlRateHelperQuoteValue($M26,Trigger),"--")</f>
        <v>1.585E-2</v>
      </c>
      <c r="P26" s="109" t="b">
        <v>1</v>
      </c>
      <c r="Q26" s="106">
        <v>20</v>
      </c>
      <c r="R26" s="106">
        <v>1</v>
      </c>
      <c r="S26" s="111">
        <f>IFERROR(_xll.qlRateHelperEarliestDate(M26,Trigger),"--")</f>
        <v>42261</v>
      </c>
      <c r="T26" s="111">
        <f>IFERROR(_xll.qlRateHelperPillarDate(M26,Trigger),"--")</f>
        <v>44088</v>
      </c>
      <c r="V26" s="4" t="str">
        <f t="shared" ca="1" si="3"/>
        <v/>
      </c>
      <c r="W26" s="4" t="e">
        <f ca="1"/>
        <v>#NAME?</v>
      </c>
      <c r="X26" s="4" t="str">
        <f ca="1">IFERROR(_xll.qlRateHelperQuoteName(W26,Trigger),"")</f>
        <v/>
      </c>
      <c r="Y26" s="76" t="str">
        <f ca="1">IFERROR(_xll.qlRateHelperRate(W26,Trigger),"")</f>
        <v/>
      </c>
      <c r="Z26" s="116" t="str">
        <f ca="1">IF(ISERROR(_xll.qlSwapRateHelperSpread($W26)),IF(ISERROR(_xll.qlFuturesRateHelperConvexityAdjustment($W26)),"",_xll.qlFuturesRateHelperConvexityAdjustment($W26)),_xll.qlSwapRateHelperSpread($W26))</f>
        <v/>
      </c>
      <c r="AA26" s="5" t="str">
        <f ca="1">IFERROR(_xll.qlRateHelperEarliestDate(W26,Trigger),"")</f>
        <v/>
      </c>
      <c r="AB26" s="5" t="str">
        <f ca="1">IFERROR(_xll.qlRateHelperPillarDate(W26,Trigger),"")</f>
        <v/>
      </c>
      <c r="AC26" s="84" t="e">
        <f ca="1"/>
        <v>#NAME?</v>
      </c>
    </row>
    <row r="27" spans="1:29" ht="11.25" customHeight="1" x14ac:dyDescent="0.2">
      <c r="A27" s="64" t="s">
        <v>160</v>
      </c>
      <c r="B27" s="65" t="s">
        <v>72</v>
      </c>
      <c r="C27" s="66" t="s">
        <v>6</v>
      </c>
      <c r="D27" s="66" t="s">
        <v>8</v>
      </c>
      <c r="E27" s="66" t="s">
        <v>7</v>
      </c>
      <c r="F27" s="66" t="s">
        <v>28</v>
      </c>
      <c r="G27" s="66" t="str">
        <f t="shared" si="11"/>
        <v>UsdLibor1M</v>
      </c>
      <c r="H27" s="64" t="str">
        <f t="shared" si="12"/>
        <v>USDAM3L2Y_Quote</v>
      </c>
      <c r="I27" s="171" t="str">
        <f t="shared" si="13"/>
        <v>USD3L1L2Y_Quote</v>
      </c>
      <c r="J27" s="70" t="str">
        <f>_xll.qlSwapRateHelper2(,H27,,B27,JoinCalendar,USD1M!D27,USD1M!E27,USD1M!F27,USD1M!G27,USD1M!I27,USD1M!C27,Discounting,PillarDate,,Permanent,Trigger,ObjectOverwrite)</f>
        <v>obj_002cf#0004</v>
      </c>
      <c r="K27" s="53"/>
      <c r="L27" s="11" t="str">
        <f t="shared" si="9"/>
        <v>BasSw</v>
      </c>
      <c r="M27" s="106" t="str">
        <f t="shared" si="10"/>
        <v>obj_002ae#0004</v>
      </c>
      <c r="N27" s="160" t="str">
        <f>IFERROR(_xll.qlRateHelperQuoteName(M27,Trigger),"--")</f>
        <v>USDAM3L6Y_Quote</v>
      </c>
      <c r="O27" s="110">
        <f>IFERROR(_xll.qlRateHelperQuoteValue($M27,Trigger),"--")</f>
        <v>1.763E-2</v>
      </c>
      <c r="P27" s="109" t="b">
        <v>1</v>
      </c>
      <c r="Q27" s="106">
        <v>20</v>
      </c>
      <c r="R27" s="106">
        <v>1</v>
      </c>
      <c r="S27" s="111">
        <f>IFERROR(_xll.qlRateHelperEarliestDate(M27,Trigger),"--")</f>
        <v>42261</v>
      </c>
      <c r="T27" s="111">
        <f>IFERROR(_xll.qlRateHelperPillarDate(M27,Trigger),"--")</f>
        <v>44453</v>
      </c>
      <c r="V27" s="4" t="str">
        <f t="shared" ca="1" si="3"/>
        <v/>
      </c>
      <c r="W27" s="4" t="e">
        <f ca="1"/>
        <v>#NAME?</v>
      </c>
      <c r="X27" s="4" t="str">
        <f ca="1">IFERROR(_xll.qlRateHelperQuoteName(W27,Trigger),"")</f>
        <v/>
      </c>
      <c r="Y27" s="76" t="str">
        <f ca="1">IFERROR(_xll.qlRateHelperRate(W27,Trigger),"")</f>
        <v/>
      </c>
      <c r="Z27" s="116" t="str">
        <f ca="1">IF(ISERROR(_xll.qlSwapRateHelperSpread($W27)),IF(ISERROR(_xll.qlFuturesRateHelperConvexityAdjustment($W27)),"",_xll.qlFuturesRateHelperConvexityAdjustment($W27)),_xll.qlSwapRateHelperSpread($W27))</f>
        <v/>
      </c>
      <c r="AA27" s="5" t="str">
        <f ca="1">IFERROR(_xll.qlRateHelperEarliestDate(W27,Trigger),"")</f>
        <v/>
      </c>
      <c r="AB27" s="5" t="str">
        <f ca="1">IFERROR(_xll.qlRateHelperPillarDate(W27,Trigger),"")</f>
        <v/>
      </c>
      <c r="AC27" s="84" t="e">
        <f ca="1"/>
        <v>#NAME?</v>
      </c>
    </row>
    <row r="28" spans="1:29" ht="11.25" customHeight="1" x14ac:dyDescent="0.2">
      <c r="A28" s="64" t="s">
        <v>160</v>
      </c>
      <c r="B28" s="65" t="s">
        <v>76</v>
      </c>
      <c r="C28" s="66" t="s">
        <v>6</v>
      </c>
      <c r="D28" s="66" t="s">
        <v>8</v>
      </c>
      <c r="E28" s="66" t="s">
        <v>7</v>
      </c>
      <c r="F28" s="66" t="s">
        <v>28</v>
      </c>
      <c r="G28" s="66" t="str">
        <f t="shared" si="11"/>
        <v>UsdLibor1M</v>
      </c>
      <c r="H28" s="64" t="str">
        <f t="shared" si="12"/>
        <v>USDAM3L3Y_Quote</v>
      </c>
      <c r="I28" s="171" t="str">
        <f t="shared" si="13"/>
        <v>USD3L1L3Y_Quote</v>
      </c>
      <c r="J28" s="70" t="str">
        <f>_xll.qlSwapRateHelper2(,H28,,B28,JoinCalendar,USD1M!D28,USD1M!E28,USD1M!F28,USD1M!G28,USD1M!I28,USD1M!C28,Discounting,PillarDate,,Permanent,Trigger,ObjectOverwrite)</f>
        <v>obj_002b2#0004</v>
      </c>
      <c r="K28" s="53"/>
      <c r="L28" s="11" t="str">
        <f t="shared" si="9"/>
        <v>BasSw</v>
      </c>
      <c r="M28" s="106" t="str">
        <f t="shared" si="10"/>
        <v>obj_00298#0004</v>
      </c>
      <c r="N28" s="160" t="str">
        <f>IFERROR(_xll.qlRateHelperQuoteName(M28,Trigger),"--")</f>
        <v>USDAM3L7Y_Quote</v>
      </c>
      <c r="O28" s="110">
        <f>IFERROR(_xll.qlRateHelperQuoteValue($M28,Trigger),"--")</f>
        <v>1.9119999999999998E-2</v>
      </c>
      <c r="P28" s="109" t="b">
        <v>1</v>
      </c>
      <c r="Q28" s="106">
        <v>20</v>
      </c>
      <c r="R28" s="106">
        <v>1</v>
      </c>
      <c r="S28" s="111">
        <f>IFERROR(_xll.qlRateHelperEarliestDate(M28,Trigger),"--")</f>
        <v>42261</v>
      </c>
      <c r="T28" s="111">
        <f>IFERROR(_xll.qlRateHelperPillarDate(M28,Trigger),"--")</f>
        <v>44818</v>
      </c>
      <c r="V28" s="4" t="str">
        <f t="shared" ca="1" si="3"/>
        <v/>
      </c>
      <c r="W28" s="4" t="e">
        <f ca="1"/>
        <v>#NAME?</v>
      </c>
      <c r="X28" s="4" t="str">
        <f ca="1">IFERROR(_xll.qlRateHelperQuoteName(W28,Trigger),"")</f>
        <v/>
      </c>
      <c r="Y28" s="76" t="str">
        <f ca="1">IFERROR(_xll.qlRateHelperRate(W28,Trigger),"")</f>
        <v/>
      </c>
      <c r="Z28" s="116" t="str">
        <f ca="1">IF(ISERROR(_xll.qlSwapRateHelperSpread($W28)),IF(ISERROR(_xll.qlFuturesRateHelperConvexityAdjustment($W28)),"",_xll.qlFuturesRateHelperConvexityAdjustment($W28)),_xll.qlSwapRateHelperSpread($W28))</f>
        <v/>
      </c>
      <c r="AA28" s="5" t="str">
        <f ca="1">IFERROR(_xll.qlRateHelperEarliestDate(W28,Trigger),"")</f>
        <v/>
      </c>
      <c r="AB28" s="5" t="str">
        <f ca="1">IFERROR(_xll.qlRateHelperPillarDate(W28,Trigger),"")</f>
        <v/>
      </c>
      <c r="AC28" s="84" t="e">
        <f ca="1"/>
        <v>#NAME?</v>
      </c>
    </row>
    <row r="29" spans="1:29" ht="11.25" customHeight="1" x14ac:dyDescent="0.2">
      <c r="A29" s="64" t="s">
        <v>160</v>
      </c>
      <c r="B29" s="65" t="s">
        <v>80</v>
      </c>
      <c r="C29" s="66" t="s">
        <v>6</v>
      </c>
      <c r="D29" s="66" t="s">
        <v>8</v>
      </c>
      <c r="E29" s="66" t="s">
        <v>7</v>
      </c>
      <c r="F29" s="66" t="s">
        <v>28</v>
      </c>
      <c r="G29" s="66" t="str">
        <f t="shared" si="11"/>
        <v>UsdLibor1M</v>
      </c>
      <c r="H29" s="64" t="str">
        <f t="shared" si="12"/>
        <v>USDAM3L4Y_Quote</v>
      </c>
      <c r="I29" s="171" t="str">
        <f t="shared" si="13"/>
        <v>USD3L1L4Y_Quote</v>
      </c>
      <c r="J29" s="70" t="str">
        <f>_xll.qlSwapRateHelper2(,H29,,B29,JoinCalendar,USD1M!D29,USD1M!E29,USD1M!F29,USD1M!G29,USD1M!I29,USD1M!C29,Discounting,PillarDate,,Permanent,Trigger,ObjectOverwrite)</f>
        <v>obj_002b1#0004</v>
      </c>
      <c r="K29" s="53"/>
      <c r="L29" s="11" t="str">
        <f t="shared" si="9"/>
        <v>BasSw</v>
      </c>
      <c r="M29" s="106" t="str">
        <f t="shared" si="10"/>
        <v>obj_002b6#0004</v>
      </c>
      <c r="N29" s="160" t="str">
        <f>IFERROR(_xll.qlRateHelperQuoteName(M29,Trigger),"--")</f>
        <v>USDAM3L8Y_Quote</v>
      </c>
      <c r="O29" s="110">
        <f>IFERROR(_xll.qlRateHelperQuoteValue($M29,Trigger),"--")</f>
        <v>2.035E-2</v>
      </c>
      <c r="P29" s="109" t="b">
        <v>1</v>
      </c>
      <c r="Q29" s="106">
        <v>20</v>
      </c>
      <c r="R29" s="106">
        <v>1</v>
      </c>
      <c r="S29" s="111">
        <f>IFERROR(_xll.qlRateHelperEarliestDate(M29,Trigger),"--")</f>
        <v>42261</v>
      </c>
      <c r="T29" s="111">
        <f>IFERROR(_xll.qlRateHelperPillarDate(M29,Trigger),"--")</f>
        <v>45183</v>
      </c>
      <c r="V29" s="4" t="str">
        <f t="shared" ca="1" si="3"/>
        <v/>
      </c>
      <c r="W29" s="4" t="e">
        <f ca="1"/>
        <v>#NAME?</v>
      </c>
      <c r="X29" s="4" t="str">
        <f ca="1">IFERROR(_xll.qlRateHelperQuoteName(W29,Trigger),"")</f>
        <v/>
      </c>
      <c r="Y29" s="76" t="str">
        <f ca="1">IFERROR(_xll.qlRateHelperRate(W29,Trigger),"")</f>
        <v/>
      </c>
      <c r="Z29" s="116" t="str">
        <f ca="1">IF(ISERROR(_xll.qlSwapRateHelperSpread($W29)),IF(ISERROR(_xll.qlFuturesRateHelperConvexityAdjustment($W29)),"",_xll.qlFuturesRateHelperConvexityAdjustment($W29)),_xll.qlSwapRateHelperSpread($W29))</f>
        <v/>
      </c>
      <c r="AA29" s="5" t="str">
        <f ca="1">IFERROR(_xll.qlRateHelperEarliestDate(W29,Trigger),"")</f>
        <v/>
      </c>
      <c r="AB29" s="5" t="str">
        <f ca="1">IFERROR(_xll.qlRateHelperPillarDate(W29,Trigger),"")</f>
        <v/>
      </c>
      <c r="AC29" s="84" t="e">
        <f ca="1"/>
        <v>#NAME?</v>
      </c>
    </row>
    <row r="30" spans="1:29" ht="11.25" customHeight="1" x14ac:dyDescent="0.2">
      <c r="A30" s="64" t="s">
        <v>160</v>
      </c>
      <c r="B30" s="65" t="s">
        <v>84</v>
      </c>
      <c r="C30" s="66" t="s">
        <v>6</v>
      </c>
      <c r="D30" s="66" t="s">
        <v>8</v>
      </c>
      <c r="E30" s="66" t="s">
        <v>7</v>
      </c>
      <c r="F30" s="66" t="s">
        <v>28</v>
      </c>
      <c r="G30" s="66" t="str">
        <f t="shared" si="11"/>
        <v>UsdLibor1M</v>
      </c>
      <c r="H30" s="64" t="str">
        <f t="shared" si="12"/>
        <v>USDAM3L5Y_Quote</v>
      </c>
      <c r="I30" s="171" t="str">
        <f t="shared" si="13"/>
        <v>USD3L1L5Y_Quote</v>
      </c>
      <c r="J30" s="70" t="str">
        <f>_xll.qlSwapRateHelper2(,H30,,B30,JoinCalendar,USD1M!D30,USD1M!E30,USD1M!F30,USD1M!G30,USD1M!I30,USD1M!C30,Discounting,PillarDate,,Permanent,Trigger,ObjectOverwrite)</f>
        <v>obj_002bc#0004</v>
      </c>
      <c r="K30" s="53"/>
      <c r="L30" s="11" t="str">
        <f t="shared" si="9"/>
        <v>BasSw</v>
      </c>
      <c r="M30" s="106" t="str">
        <f t="shared" si="10"/>
        <v>obj_002ab#0004</v>
      </c>
      <c r="N30" s="160" t="str">
        <f>IFERROR(_xll.qlRateHelperQuoteName(M30,Trigger),"--")</f>
        <v>USDAM3L9Y_Quote</v>
      </c>
      <c r="O30" s="110">
        <f>IFERROR(_xll.qlRateHelperQuoteValue($M30,Trigger),"--")</f>
        <v>2.1349999999999997E-2</v>
      </c>
      <c r="P30" s="109" t="b">
        <v>1</v>
      </c>
      <c r="Q30" s="106">
        <v>20</v>
      </c>
      <c r="R30" s="106">
        <v>1</v>
      </c>
      <c r="S30" s="111">
        <f>IFERROR(_xll.qlRateHelperEarliestDate(M30,Trigger),"--")</f>
        <v>42261</v>
      </c>
      <c r="T30" s="111">
        <f>IFERROR(_xll.qlRateHelperPillarDate(M30,Trigger),"--")</f>
        <v>45551</v>
      </c>
      <c r="V30" s="4" t="str">
        <f t="shared" ca="1" si="3"/>
        <v/>
      </c>
      <c r="W30" s="4" t="e">
        <f ca="1"/>
        <v>#NAME?</v>
      </c>
      <c r="X30" s="4" t="str">
        <f ca="1">IFERROR(_xll.qlRateHelperQuoteName(W30,Trigger),"")</f>
        <v/>
      </c>
      <c r="Y30" s="76" t="str">
        <f ca="1">IFERROR(_xll.qlRateHelperRate(W30,Trigger),"")</f>
        <v/>
      </c>
      <c r="Z30" s="116" t="str">
        <f ca="1">IF(ISERROR(_xll.qlSwapRateHelperSpread($W30)),IF(ISERROR(_xll.qlFuturesRateHelperConvexityAdjustment($W30)),"",_xll.qlFuturesRateHelperConvexityAdjustment($W30)),_xll.qlSwapRateHelperSpread($W30))</f>
        <v/>
      </c>
      <c r="AA30" s="5" t="str">
        <f ca="1">IFERROR(_xll.qlRateHelperEarliestDate(W30,Trigger),"")</f>
        <v/>
      </c>
      <c r="AB30" s="5" t="str">
        <f ca="1">IFERROR(_xll.qlRateHelperPillarDate(W30,Trigger),"")</f>
        <v/>
      </c>
      <c r="AC30" s="84" t="e">
        <f ca="1"/>
        <v>#NAME?</v>
      </c>
    </row>
    <row r="31" spans="1:29" ht="11.25" customHeight="1" x14ac:dyDescent="0.2">
      <c r="A31" s="64" t="s">
        <v>160</v>
      </c>
      <c r="B31" s="65" t="s">
        <v>85</v>
      </c>
      <c r="C31" s="66" t="s">
        <v>6</v>
      </c>
      <c r="D31" s="66" t="s">
        <v>8</v>
      </c>
      <c r="E31" s="66" t="s">
        <v>7</v>
      </c>
      <c r="F31" s="66" t="s">
        <v>28</v>
      </c>
      <c r="G31" s="66" t="str">
        <f t="shared" si="11"/>
        <v>UsdLibor1M</v>
      </c>
      <c r="H31" s="64" t="str">
        <f t="shared" si="12"/>
        <v>USDAM3L6Y_Quote</v>
      </c>
      <c r="I31" s="171" t="str">
        <f t="shared" si="13"/>
        <v>USD3L1L6Y_Quote</v>
      </c>
      <c r="J31" s="70" t="str">
        <f>_xll.qlSwapRateHelper2(,H31,,B31,JoinCalendar,USD1M!D31,USD1M!E31,USD1M!F31,USD1M!G31,USD1M!I31,USD1M!C31,Discounting,PillarDate,,Permanent,Trigger,ObjectOverwrite)</f>
        <v>obj_002ae#0004</v>
      </c>
      <c r="K31" s="53"/>
      <c r="L31" s="11" t="str">
        <f t="shared" si="9"/>
        <v>BasSw</v>
      </c>
      <c r="M31" s="106" t="str">
        <f t="shared" si="10"/>
        <v>obj_002a4#0004</v>
      </c>
      <c r="N31" s="160" t="str">
        <f>IFERROR(_xll.qlRateHelperQuoteName(M31,Trigger),"--")</f>
        <v>USDAM3L10Y_Quote</v>
      </c>
      <c r="O31" s="110">
        <f>IFERROR(_xll.qlRateHelperQuoteValue($M31,Trigger),"--")</f>
        <v>2.2179999999999998E-2</v>
      </c>
      <c r="P31" s="109" t="b">
        <v>1</v>
      </c>
      <c r="Q31" s="106">
        <v>40</v>
      </c>
      <c r="R31" s="106">
        <v>1</v>
      </c>
      <c r="S31" s="111">
        <f>IFERROR(_xll.qlRateHelperEarliestDate(M31,Trigger),"--")</f>
        <v>42261</v>
      </c>
      <c r="T31" s="111">
        <f>IFERROR(_xll.qlRateHelperPillarDate(M31,Trigger),"--")</f>
        <v>45915</v>
      </c>
      <c r="V31" s="4" t="str">
        <f t="shared" ca="1" si="3"/>
        <v/>
      </c>
      <c r="W31" s="4" t="e">
        <f ca="1"/>
        <v>#NAME?</v>
      </c>
      <c r="X31" s="4" t="str">
        <f ca="1">IFERROR(_xll.qlRateHelperQuoteName(W31,Trigger),"")</f>
        <v/>
      </c>
      <c r="Y31" s="76" t="str">
        <f ca="1">IFERROR(_xll.qlRateHelperRate(W31,Trigger),"")</f>
        <v/>
      </c>
      <c r="Z31" s="116" t="str">
        <f ca="1">IF(ISERROR(_xll.qlSwapRateHelperSpread($W31)),IF(ISERROR(_xll.qlFuturesRateHelperConvexityAdjustment($W31)),"",_xll.qlFuturesRateHelperConvexityAdjustment($W31)),_xll.qlSwapRateHelperSpread($W31))</f>
        <v/>
      </c>
      <c r="AA31" s="5" t="str">
        <f ca="1">IFERROR(_xll.qlRateHelperEarliestDate(W31,Trigger),"")</f>
        <v/>
      </c>
      <c r="AB31" s="5" t="str">
        <f ca="1">IFERROR(_xll.qlRateHelperPillarDate(W31,Trigger),"")</f>
        <v/>
      </c>
      <c r="AC31" s="84" t="e">
        <f ca="1"/>
        <v>#NAME?</v>
      </c>
    </row>
    <row r="32" spans="1:29" ht="11.25" customHeight="1" x14ac:dyDescent="0.2">
      <c r="A32" s="64" t="s">
        <v>160</v>
      </c>
      <c r="B32" s="65" t="s">
        <v>86</v>
      </c>
      <c r="C32" s="66" t="s">
        <v>6</v>
      </c>
      <c r="D32" s="66" t="s">
        <v>8</v>
      </c>
      <c r="E32" s="66" t="s">
        <v>7</v>
      </c>
      <c r="F32" s="66" t="s">
        <v>28</v>
      </c>
      <c r="G32" s="66" t="str">
        <f t="shared" si="11"/>
        <v>UsdLibor1M</v>
      </c>
      <c r="H32" s="64" t="str">
        <f t="shared" si="12"/>
        <v>USDAM3L7Y_Quote</v>
      </c>
      <c r="I32" s="171" t="str">
        <f t="shared" si="13"/>
        <v>USD3L1L7Y_Quote</v>
      </c>
      <c r="J32" s="70" t="str">
        <f>_xll.qlSwapRateHelper2(,H32,,B32,JoinCalendar,USD1M!D32,USD1M!E32,USD1M!F32,USD1M!G32,USD1M!I32,USD1M!C32,Discounting,PillarDate,,Permanent,Trigger,ObjectOverwrite)</f>
        <v>obj_00298#0004</v>
      </c>
      <c r="K32" s="53"/>
      <c r="L32" s="11" t="str">
        <f t="shared" si="9"/>
        <v>BasSw</v>
      </c>
      <c r="M32" s="106" t="str">
        <f t="shared" si="10"/>
        <v>--</v>
      </c>
      <c r="N32" s="160" t="str">
        <f>IFERROR(_xll.qlRateHelperQuoteName(M32,Trigger),"--")</f>
        <v>--</v>
      </c>
      <c r="O32" s="110" t="str">
        <f>IFERROR(_xll.qlRateHelperQuoteValue($M32,Trigger),"--")</f>
        <v>--</v>
      </c>
      <c r="P32" s="109" t="b">
        <v>0</v>
      </c>
      <c r="Q32" s="106">
        <v>40</v>
      </c>
      <c r="R32" s="106">
        <v>1</v>
      </c>
      <c r="S32" s="111" t="str">
        <f>IFERROR(_xll.qlRateHelperEarliestDate(M32,Trigger),"--")</f>
        <v>--</v>
      </c>
      <c r="T32" s="111" t="str">
        <f>IFERROR(_xll.qlRateHelperPillarDate(M32,Trigger),"--")</f>
        <v>--</v>
      </c>
      <c r="V32" s="4" t="str">
        <f t="shared" ca="1" si="3"/>
        <v/>
      </c>
      <c r="W32" s="4" t="e">
        <f ca="1"/>
        <v>#NAME?</v>
      </c>
      <c r="X32" s="4" t="str">
        <f ca="1">IFERROR(_xll.qlRateHelperQuoteName(W32,Trigger),"")</f>
        <v/>
      </c>
      <c r="Y32" s="76" t="str">
        <f ca="1">IFERROR(_xll.qlRateHelperRate(W32,Trigger),"")</f>
        <v/>
      </c>
      <c r="Z32" s="116" t="str">
        <f ca="1">IF(ISERROR(_xll.qlSwapRateHelperSpread($W32)),IF(ISERROR(_xll.qlFuturesRateHelperConvexityAdjustment($W32)),"",_xll.qlFuturesRateHelperConvexityAdjustment($W32)),_xll.qlSwapRateHelperSpread($W32))</f>
        <v/>
      </c>
      <c r="AA32" s="5" t="str">
        <f ca="1">IFERROR(_xll.qlRateHelperEarliestDate(W32,Trigger),"")</f>
        <v/>
      </c>
      <c r="AB32" s="5" t="str">
        <f ca="1">IFERROR(_xll.qlRateHelperPillarDate(W32,Trigger),"")</f>
        <v/>
      </c>
      <c r="AC32" s="84" t="e">
        <f ca="1"/>
        <v>#NAME?</v>
      </c>
    </row>
    <row r="33" spans="1:29" ht="11.25" customHeight="1" x14ac:dyDescent="0.2">
      <c r="A33" s="64" t="s">
        <v>160</v>
      </c>
      <c r="B33" s="65" t="s">
        <v>87</v>
      </c>
      <c r="C33" s="66" t="s">
        <v>6</v>
      </c>
      <c r="D33" s="66" t="s">
        <v>8</v>
      </c>
      <c r="E33" s="66" t="s">
        <v>7</v>
      </c>
      <c r="F33" s="66" t="s">
        <v>28</v>
      </c>
      <c r="G33" s="66" t="str">
        <f t="shared" si="11"/>
        <v>UsdLibor1M</v>
      </c>
      <c r="H33" s="64" t="str">
        <f t="shared" si="12"/>
        <v>USDAM3L8Y_Quote</v>
      </c>
      <c r="I33" s="171" t="str">
        <f t="shared" si="13"/>
        <v>USD3L1L8Y_Quote</v>
      </c>
      <c r="J33" s="70" t="str">
        <f>_xll.qlSwapRateHelper2(,H33,,B33,JoinCalendar,USD1M!D33,USD1M!E33,USD1M!F33,USD1M!G33,USD1M!I33,USD1M!C33,Discounting,PillarDate,,Permanent,Trigger,ObjectOverwrite)</f>
        <v>obj_002b6#0004</v>
      </c>
      <c r="K33" s="53"/>
      <c r="L33" s="11" t="str">
        <f t="shared" si="9"/>
        <v>BasSw</v>
      </c>
      <c r="M33" s="106" t="str">
        <f t="shared" si="10"/>
        <v>obj_00287#0004</v>
      </c>
      <c r="N33" s="160" t="str">
        <f>IFERROR(_xll.qlRateHelperQuoteName(M33,Trigger),"--")</f>
        <v>USDAM3L12Y_Quote</v>
      </c>
      <c r="O33" s="110">
        <f>IFERROR(_xll.qlRateHelperQuoteValue($M33,Trigger),"--")</f>
        <v>2.349E-2</v>
      </c>
      <c r="P33" s="109" t="b">
        <v>1</v>
      </c>
      <c r="Q33" s="106">
        <v>40</v>
      </c>
      <c r="R33" s="106">
        <v>1</v>
      </c>
      <c r="S33" s="111">
        <f>IFERROR(_xll.qlRateHelperEarliestDate(M33,Trigger),"--")</f>
        <v>42261</v>
      </c>
      <c r="T33" s="111">
        <f>IFERROR(_xll.qlRateHelperPillarDate(M33,Trigger),"--")</f>
        <v>46644</v>
      </c>
      <c r="V33" s="4" t="str">
        <f t="shared" ca="1" si="3"/>
        <v/>
      </c>
      <c r="W33" s="4" t="e">
        <f ca="1"/>
        <v>#NAME?</v>
      </c>
      <c r="X33" s="4" t="str">
        <f ca="1">IFERROR(_xll.qlRateHelperQuoteName(W33,Trigger),"")</f>
        <v/>
      </c>
      <c r="Y33" s="76" t="str">
        <f ca="1">IFERROR(_xll.qlRateHelperRate(W33,Trigger),"")</f>
        <v/>
      </c>
      <c r="Z33" s="116" t="str">
        <f ca="1">IF(ISERROR(_xll.qlSwapRateHelperSpread($W33)),IF(ISERROR(_xll.qlFuturesRateHelperConvexityAdjustment($W33)),"",_xll.qlFuturesRateHelperConvexityAdjustment($W33)),_xll.qlSwapRateHelperSpread($W33))</f>
        <v/>
      </c>
      <c r="AA33" s="5" t="str">
        <f ca="1">IFERROR(_xll.qlRateHelperEarliestDate(W33,Trigger),"")</f>
        <v/>
      </c>
      <c r="AB33" s="5" t="str">
        <f ca="1">IFERROR(_xll.qlRateHelperPillarDate(W33,Trigger),"")</f>
        <v/>
      </c>
      <c r="AC33" s="84" t="e">
        <f ca="1"/>
        <v>#NAME?</v>
      </c>
    </row>
    <row r="34" spans="1:29" ht="11.25" customHeight="1" x14ac:dyDescent="0.2">
      <c r="A34" s="64" t="s">
        <v>160</v>
      </c>
      <c r="B34" s="65" t="s">
        <v>88</v>
      </c>
      <c r="C34" s="66" t="s">
        <v>6</v>
      </c>
      <c r="D34" s="66" t="s">
        <v>8</v>
      </c>
      <c r="E34" s="66" t="s">
        <v>7</v>
      </c>
      <c r="F34" s="66" t="s">
        <v>28</v>
      </c>
      <c r="G34" s="66" t="str">
        <f t="shared" si="11"/>
        <v>UsdLibor1M</v>
      </c>
      <c r="H34" s="64" t="str">
        <f t="shared" si="12"/>
        <v>USDAM3L9Y_Quote</v>
      </c>
      <c r="I34" s="171" t="str">
        <f t="shared" si="13"/>
        <v>USD3L1L9Y_Quote</v>
      </c>
      <c r="J34" s="70" t="str">
        <f>_xll.qlSwapRateHelper2(,H34,,B34,JoinCalendar,USD1M!D34,USD1M!E34,USD1M!F34,USD1M!G34,USD1M!I34,USD1M!C34,Discounting,PillarDate,,Permanent,Trigger,ObjectOverwrite)</f>
        <v>obj_002ab#0004</v>
      </c>
      <c r="K34" s="53"/>
      <c r="L34" s="11" t="str">
        <f t="shared" si="9"/>
        <v>BasSw</v>
      </c>
      <c r="M34" s="106" t="str">
        <f t="shared" si="10"/>
        <v>--</v>
      </c>
      <c r="N34" s="160" t="str">
        <f>IFERROR(_xll.qlRateHelperQuoteName(M34,Trigger),"--")</f>
        <v>--</v>
      </c>
      <c r="O34" s="110" t="str">
        <f>IFERROR(_xll.qlRateHelperQuoteValue($M34,Trigger),"--")</f>
        <v>--</v>
      </c>
      <c r="P34" s="109" t="b">
        <v>0</v>
      </c>
      <c r="Q34" s="106">
        <v>40</v>
      </c>
      <c r="R34" s="106">
        <v>1</v>
      </c>
      <c r="S34" s="111" t="str">
        <f>IFERROR(_xll.qlRateHelperEarliestDate(M34,Trigger),"--")</f>
        <v>--</v>
      </c>
      <c r="T34" s="111" t="str">
        <f>IFERROR(_xll.qlRateHelperPillarDate(M34,Trigger),"--")</f>
        <v>--</v>
      </c>
      <c r="V34" s="4" t="str">
        <f t="shared" ca="1" si="3"/>
        <v/>
      </c>
      <c r="W34" s="4" t="e">
        <f ca="1"/>
        <v>#NAME?</v>
      </c>
      <c r="X34" s="4" t="str">
        <f ca="1">IFERROR(_xll.qlRateHelperQuoteName(W34,Trigger),"")</f>
        <v/>
      </c>
      <c r="Y34" s="76" t="str">
        <f ca="1">IFERROR(_xll.qlRateHelperRate(W34,Trigger),"")</f>
        <v/>
      </c>
      <c r="Z34" s="116" t="str">
        <f ca="1">IF(ISERROR(_xll.qlSwapRateHelperSpread($W34)),IF(ISERROR(_xll.qlFuturesRateHelperConvexityAdjustment($W34)),"",_xll.qlFuturesRateHelperConvexityAdjustment($W34)),_xll.qlSwapRateHelperSpread($W34))</f>
        <v/>
      </c>
      <c r="AA34" s="5" t="str">
        <f ca="1">IFERROR(_xll.qlRateHelperEarliestDate(W34,Trigger),"")</f>
        <v/>
      </c>
      <c r="AB34" s="5" t="str">
        <f ca="1">IFERROR(_xll.qlRateHelperPillarDate(W34,Trigger),"")</f>
        <v/>
      </c>
      <c r="AC34" s="84" t="e">
        <f ca="1"/>
        <v>#NAME?</v>
      </c>
    </row>
    <row r="35" spans="1:29" ht="11.25" customHeight="1" x14ac:dyDescent="0.2">
      <c r="A35" s="64" t="s">
        <v>160</v>
      </c>
      <c r="B35" s="65" t="s">
        <v>89</v>
      </c>
      <c r="C35" s="66" t="s">
        <v>6</v>
      </c>
      <c r="D35" s="66" t="s">
        <v>8</v>
      </c>
      <c r="E35" s="66" t="s">
        <v>7</v>
      </c>
      <c r="F35" s="66" t="s">
        <v>28</v>
      </c>
      <c r="G35" s="66" t="str">
        <f t="shared" si="11"/>
        <v>UsdLibor1M</v>
      </c>
      <c r="H35" s="64" t="str">
        <f t="shared" si="12"/>
        <v>USDAM3L10Y_Quote</v>
      </c>
      <c r="I35" s="171" t="str">
        <f t="shared" si="13"/>
        <v>USD3L1L10Y_Quote</v>
      </c>
      <c r="J35" s="70" t="str">
        <f>_xll.qlSwapRateHelper2(,H35,,B35,JoinCalendar,USD1M!D35,USD1M!E35,USD1M!F35,USD1M!G35,USD1M!I35,USD1M!C35,Discounting,PillarDate,,Permanent,Trigger,ObjectOverwrite)</f>
        <v>obj_002a4#0004</v>
      </c>
      <c r="K35" s="53"/>
      <c r="L35" s="11" t="str">
        <f t="shared" si="9"/>
        <v>BasSw</v>
      </c>
      <c r="M35" s="106" t="str">
        <f t="shared" si="10"/>
        <v>--</v>
      </c>
      <c r="N35" s="160" t="str">
        <f>IFERROR(_xll.qlRateHelperQuoteName(M35,Trigger),"--")</f>
        <v>--</v>
      </c>
      <c r="O35" s="110" t="str">
        <f>IFERROR(_xll.qlRateHelperQuoteValue($M35,Trigger),"--")</f>
        <v>--</v>
      </c>
      <c r="P35" s="109" t="b">
        <v>0</v>
      </c>
      <c r="Q35" s="106">
        <v>40</v>
      </c>
      <c r="R35" s="106">
        <v>1</v>
      </c>
      <c r="S35" s="111" t="str">
        <f>IFERROR(_xll.qlRateHelperEarliestDate(M35,Trigger),"--")</f>
        <v>--</v>
      </c>
      <c r="T35" s="111" t="str">
        <f>IFERROR(_xll.qlRateHelperPillarDate(M35,Trigger),"--")</f>
        <v>--</v>
      </c>
      <c r="V35" s="4" t="str">
        <f t="shared" ca="1" si="3"/>
        <v/>
      </c>
      <c r="W35" s="4" t="e">
        <f ca="1"/>
        <v>#NAME?</v>
      </c>
      <c r="X35" s="4" t="str">
        <f ca="1">IFERROR(_xll.qlRateHelperQuoteName(W35,Trigger),"")</f>
        <v/>
      </c>
      <c r="Y35" s="76" t="str">
        <f ca="1">IFERROR(_xll.qlRateHelperRate(W35,Trigger),"")</f>
        <v/>
      </c>
      <c r="Z35" s="116" t="str">
        <f ca="1">IF(ISERROR(_xll.qlSwapRateHelperSpread($W35)),IF(ISERROR(_xll.qlFuturesRateHelperConvexityAdjustment($W35)),"",_xll.qlFuturesRateHelperConvexityAdjustment($W35)),_xll.qlSwapRateHelperSpread($W35))</f>
        <v/>
      </c>
      <c r="AA35" s="5" t="str">
        <f ca="1">IFERROR(_xll.qlRateHelperEarliestDate(W35,Trigger),"")</f>
        <v/>
      </c>
      <c r="AB35" s="5" t="str">
        <f ca="1">IFERROR(_xll.qlRateHelperPillarDate(W35,Trigger),"")</f>
        <v/>
      </c>
      <c r="AC35" s="84" t="e">
        <f ca="1"/>
        <v>#NAME?</v>
      </c>
    </row>
    <row r="36" spans="1:29" ht="11.25" customHeight="1" x14ac:dyDescent="0.2">
      <c r="A36" s="64" t="s">
        <v>160</v>
      </c>
      <c r="B36" s="65" t="s">
        <v>133</v>
      </c>
      <c r="C36" s="66" t="s">
        <v>6</v>
      </c>
      <c r="D36" s="66" t="s">
        <v>8</v>
      </c>
      <c r="E36" s="66" t="s">
        <v>7</v>
      </c>
      <c r="F36" s="66" t="s">
        <v>28</v>
      </c>
      <c r="G36" s="66" t="str">
        <f t="shared" si="11"/>
        <v>UsdLibor1M</v>
      </c>
      <c r="H36" s="64" t="str">
        <f t="shared" si="12"/>
        <v>USDAM3L11Y_Quote</v>
      </c>
      <c r="I36" s="171" t="str">
        <f t="shared" si="13"/>
        <v>USD3L1L11Y_Quote</v>
      </c>
      <c r="J36" s="70"/>
      <c r="K36" s="53"/>
      <c r="L36" s="11" t="str">
        <f t="shared" si="9"/>
        <v>BasSw</v>
      </c>
      <c r="M36" s="106" t="str">
        <f t="shared" si="10"/>
        <v>obj_002a0#0004</v>
      </c>
      <c r="N36" s="160" t="str">
        <f>IFERROR(_xll.qlRateHelperQuoteName(M36,Trigger),"--")</f>
        <v>USDAM3L15Y_Quote</v>
      </c>
      <c r="O36" s="110">
        <f>IFERROR(_xll.qlRateHelperQuoteValue($M36,Trigger),"--")</f>
        <v>2.4760000000000001E-2</v>
      </c>
      <c r="P36" s="109" t="b">
        <v>1</v>
      </c>
      <c r="Q36" s="106">
        <v>40</v>
      </c>
      <c r="R36" s="106">
        <v>1</v>
      </c>
      <c r="S36" s="111">
        <f>IFERROR(_xll.qlRateHelperEarliestDate(M36,Trigger),"--")</f>
        <v>42261</v>
      </c>
      <c r="T36" s="111">
        <f>IFERROR(_xll.qlRateHelperPillarDate(M36,Trigger),"--")</f>
        <v>47742</v>
      </c>
      <c r="V36" s="4" t="str">
        <f t="shared" ca="1" si="3"/>
        <v/>
      </c>
      <c r="W36" s="4" t="e">
        <f ca="1"/>
        <v>#NAME?</v>
      </c>
      <c r="X36" s="4" t="str">
        <f ca="1">IFERROR(_xll.qlRateHelperQuoteName(W36,Trigger),"")</f>
        <v/>
      </c>
      <c r="Y36" s="76" t="str">
        <f ca="1">IFERROR(_xll.qlRateHelperRate(W36,Trigger),"")</f>
        <v/>
      </c>
      <c r="Z36" s="116" t="str">
        <f ca="1">IF(ISERROR(_xll.qlSwapRateHelperSpread($W36)),IF(ISERROR(_xll.qlFuturesRateHelperConvexityAdjustment($W36)),"",_xll.qlFuturesRateHelperConvexityAdjustment($W36)),_xll.qlSwapRateHelperSpread($W36))</f>
        <v/>
      </c>
      <c r="AA36" s="5" t="str">
        <f ca="1">IFERROR(_xll.qlRateHelperEarliestDate(W36,Trigger),"")</f>
        <v/>
      </c>
      <c r="AB36" s="5" t="str">
        <f ca="1">IFERROR(_xll.qlRateHelperPillarDate(W36,Trigger),"")</f>
        <v/>
      </c>
      <c r="AC36" s="84" t="e">
        <f ca="1"/>
        <v>#NAME?</v>
      </c>
    </row>
    <row r="37" spans="1:29" ht="11.25" customHeight="1" x14ac:dyDescent="0.2">
      <c r="A37" s="64" t="s">
        <v>160</v>
      </c>
      <c r="B37" s="65" t="s">
        <v>90</v>
      </c>
      <c r="C37" s="66" t="s">
        <v>6</v>
      </c>
      <c r="D37" s="66" t="s">
        <v>8</v>
      </c>
      <c r="E37" s="66" t="s">
        <v>7</v>
      </c>
      <c r="F37" s="66" t="s">
        <v>28</v>
      </c>
      <c r="G37" s="66" t="str">
        <f t="shared" si="11"/>
        <v>UsdLibor1M</v>
      </c>
      <c r="H37" s="64" t="str">
        <f t="shared" si="12"/>
        <v>USDAM3L12Y_Quote</v>
      </c>
      <c r="I37" s="171" t="str">
        <f t="shared" si="13"/>
        <v>USD3L1L12Y_Quote</v>
      </c>
      <c r="J37" s="70" t="str">
        <f>_xll.qlSwapRateHelper2(,H37,,B37,JoinCalendar,USD1M!D37,USD1M!E37,USD1M!F37,USD1M!G37,USD1M!I37,USD1M!C37,Discounting,PillarDate,,Permanent,Trigger,ObjectOverwrite)</f>
        <v>obj_00287#0004</v>
      </c>
      <c r="K37" s="53"/>
      <c r="L37" s="11" t="str">
        <f t="shared" si="9"/>
        <v>BasSw</v>
      </c>
      <c r="M37" s="106" t="str">
        <f t="shared" si="10"/>
        <v>--</v>
      </c>
      <c r="N37" s="160" t="str">
        <f>IFERROR(_xll.qlRateHelperQuoteName(M37,Trigger),"--")</f>
        <v>--</v>
      </c>
      <c r="O37" s="110" t="str">
        <f>IFERROR(_xll.qlRateHelperQuoteValue($M37,Trigger),"--")</f>
        <v>--</v>
      </c>
      <c r="P37" s="109" t="b">
        <v>0</v>
      </c>
      <c r="Q37" s="106">
        <v>40</v>
      </c>
      <c r="R37" s="106">
        <v>1</v>
      </c>
      <c r="S37" s="111" t="str">
        <f>IFERROR(_xll.qlRateHelperEarliestDate(M37,Trigger),"--")</f>
        <v>--</v>
      </c>
      <c r="T37" s="111" t="str">
        <f>IFERROR(_xll.qlRateHelperPillarDate(M37,Trigger),"--")</f>
        <v>--</v>
      </c>
      <c r="V37" s="4" t="str">
        <f t="shared" ca="1" si="3"/>
        <v/>
      </c>
      <c r="W37" s="4" t="e">
        <f ca="1"/>
        <v>#NAME?</v>
      </c>
      <c r="X37" s="4" t="str">
        <f ca="1">IFERROR(_xll.qlRateHelperQuoteName(W37,Trigger),"")</f>
        <v/>
      </c>
      <c r="Y37" s="76" t="str">
        <f ca="1">IFERROR(_xll.qlRateHelperRate(W37,Trigger),"")</f>
        <v/>
      </c>
      <c r="Z37" s="116" t="str">
        <f ca="1">IF(ISERROR(_xll.qlSwapRateHelperSpread($W37)),IF(ISERROR(_xll.qlFuturesRateHelperConvexityAdjustment($W37)),"",_xll.qlFuturesRateHelperConvexityAdjustment($W37)),_xll.qlSwapRateHelperSpread($W37))</f>
        <v/>
      </c>
      <c r="AA37" s="5" t="str">
        <f ca="1">IFERROR(_xll.qlRateHelperEarliestDate(W37,Trigger),"")</f>
        <v/>
      </c>
      <c r="AB37" s="5" t="str">
        <f ca="1">IFERROR(_xll.qlRateHelperPillarDate(W37,Trigger),"")</f>
        <v/>
      </c>
      <c r="AC37" s="84" t="e">
        <f ca="1"/>
        <v>#NAME?</v>
      </c>
    </row>
    <row r="38" spans="1:29" ht="11.25" customHeight="1" x14ac:dyDescent="0.2">
      <c r="A38" s="64" t="s">
        <v>160</v>
      </c>
      <c r="B38" s="65" t="s">
        <v>134</v>
      </c>
      <c r="C38" s="66" t="s">
        <v>6</v>
      </c>
      <c r="D38" s="66" t="s">
        <v>8</v>
      </c>
      <c r="E38" s="66" t="s">
        <v>7</v>
      </c>
      <c r="F38" s="66" t="s">
        <v>28</v>
      </c>
      <c r="G38" s="66" t="str">
        <f t="shared" si="11"/>
        <v>UsdLibor1M</v>
      </c>
      <c r="H38" s="64" t="str">
        <f t="shared" si="12"/>
        <v>USDAM3L13Y_Quote</v>
      </c>
      <c r="I38" s="171" t="str">
        <f t="shared" si="13"/>
        <v>USD3L1L13Y_Quote</v>
      </c>
      <c r="J38" s="70"/>
      <c r="K38" s="53"/>
      <c r="L38" s="11" t="str">
        <f t="shared" si="9"/>
        <v>BasSw</v>
      </c>
      <c r="M38" s="106" t="str">
        <f t="shared" si="10"/>
        <v>--</v>
      </c>
      <c r="N38" s="160" t="str">
        <f>IFERROR(_xll.qlRateHelperQuoteName(M38,Trigger),"--")</f>
        <v>--</v>
      </c>
      <c r="O38" s="110" t="str">
        <f>IFERROR(_xll.qlRateHelperQuoteValue($M38,Trigger),"--")</f>
        <v>--</v>
      </c>
      <c r="P38" s="109" t="b">
        <v>0</v>
      </c>
      <c r="Q38" s="106">
        <v>40</v>
      </c>
      <c r="R38" s="106">
        <v>1</v>
      </c>
      <c r="S38" s="111" t="str">
        <f>IFERROR(_xll.qlRateHelperEarliestDate(M38,Trigger),"--")</f>
        <v>--</v>
      </c>
      <c r="T38" s="111" t="str">
        <f>IFERROR(_xll.qlRateHelperPillarDate(M38,Trigger),"--")</f>
        <v>--</v>
      </c>
      <c r="V38" s="4" t="str">
        <f t="shared" ca="1" si="3"/>
        <v/>
      </c>
      <c r="W38" s="4" t="e">
        <f ca="1"/>
        <v>#NAME?</v>
      </c>
      <c r="X38" s="4" t="str">
        <f ca="1">IFERROR(_xll.qlRateHelperQuoteName(W38,Trigger),"")</f>
        <v/>
      </c>
      <c r="Y38" s="76" t="str">
        <f ca="1">IFERROR(_xll.qlRateHelperRate(W38,Trigger),"")</f>
        <v/>
      </c>
      <c r="Z38" s="116" t="str">
        <f ca="1">IF(ISERROR(_xll.qlSwapRateHelperSpread($W38)),IF(ISERROR(_xll.qlFuturesRateHelperConvexityAdjustment($W38)),"",_xll.qlFuturesRateHelperConvexityAdjustment($W38)),_xll.qlSwapRateHelperSpread($W38))</f>
        <v/>
      </c>
      <c r="AA38" s="5" t="str">
        <f ca="1">IFERROR(_xll.qlRateHelperEarliestDate(W38,Trigger),"")</f>
        <v/>
      </c>
      <c r="AB38" s="5" t="str">
        <f ca="1">IFERROR(_xll.qlRateHelperPillarDate(W38,Trigger),"")</f>
        <v/>
      </c>
      <c r="AC38" s="84" t="e">
        <f ca="1"/>
        <v>#NAME?</v>
      </c>
    </row>
    <row r="39" spans="1:29" ht="11.25" customHeight="1" x14ac:dyDescent="0.2">
      <c r="A39" s="64" t="s">
        <v>160</v>
      </c>
      <c r="B39" s="65" t="s">
        <v>135</v>
      </c>
      <c r="C39" s="66" t="s">
        <v>6</v>
      </c>
      <c r="D39" s="66" t="s">
        <v>8</v>
      </c>
      <c r="E39" s="66" t="s">
        <v>7</v>
      </c>
      <c r="F39" s="66" t="s">
        <v>28</v>
      </c>
      <c r="G39" s="66" t="str">
        <f t="shared" si="11"/>
        <v>UsdLibor1M</v>
      </c>
      <c r="H39" s="64" t="str">
        <f t="shared" si="12"/>
        <v>USDAM3L14Y_Quote</v>
      </c>
      <c r="I39" s="171" t="str">
        <f t="shared" si="13"/>
        <v>USD3L1L14Y_Quote</v>
      </c>
      <c r="J39" s="70"/>
      <c r="K39" s="53"/>
      <c r="L39" s="11" t="str">
        <f t="shared" si="9"/>
        <v>BasSw</v>
      </c>
      <c r="M39" s="106" t="str">
        <f t="shared" si="10"/>
        <v>--</v>
      </c>
      <c r="N39" s="160" t="str">
        <f>IFERROR(_xll.qlRateHelperQuoteName(M39,Trigger),"--")</f>
        <v>--</v>
      </c>
      <c r="O39" s="110" t="str">
        <f>IFERROR(_xll.qlRateHelperQuoteValue($M39,Trigger),"--")</f>
        <v>--</v>
      </c>
      <c r="P39" s="109" t="b">
        <v>0</v>
      </c>
      <c r="Q39" s="106">
        <v>40</v>
      </c>
      <c r="R39" s="106">
        <v>1</v>
      </c>
      <c r="S39" s="111" t="str">
        <f>IFERROR(_xll.qlRateHelperEarliestDate(M39,Trigger),"--")</f>
        <v>--</v>
      </c>
      <c r="T39" s="111" t="str">
        <f>IFERROR(_xll.qlRateHelperPillarDate(M39,Trigger),"--")</f>
        <v>--</v>
      </c>
      <c r="V39" s="4" t="str">
        <f t="shared" ca="1" si="3"/>
        <v/>
      </c>
      <c r="W39" s="4" t="e">
        <f ca="1"/>
        <v>#NAME?</v>
      </c>
      <c r="X39" s="4" t="str">
        <f ca="1">IFERROR(_xll.qlRateHelperQuoteName(W39,Trigger),"")</f>
        <v/>
      </c>
      <c r="Y39" s="76" t="str">
        <f ca="1">IFERROR(_xll.qlRateHelperRate(W39,Trigger),"")</f>
        <v/>
      </c>
      <c r="Z39" s="116" t="str">
        <f ca="1">IF(ISERROR(_xll.qlSwapRateHelperSpread($W39)),IF(ISERROR(_xll.qlFuturesRateHelperConvexityAdjustment($W39)),"",_xll.qlFuturesRateHelperConvexityAdjustment($W39)),_xll.qlSwapRateHelperSpread($W39))</f>
        <v/>
      </c>
      <c r="AA39" s="5" t="str">
        <f ca="1">IFERROR(_xll.qlRateHelperEarliestDate(W39,Trigger),"")</f>
        <v/>
      </c>
      <c r="AB39" s="5" t="str">
        <f ca="1">IFERROR(_xll.qlRateHelperPillarDate(W39,Trigger),"")</f>
        <v/>
      </c>
      <c r="AC39" s="84" t="e">
        <f ca="1"/>
        <v>#NAME?</v>
      </c>
    </row>
    <row r="40" spans="1:29" ht="11.25" customHeight="1" x14ac:dyDescent="0.2">
      <c r="A40" s="64" t="s">
        <v>160</v>
      </c>
      <c r="B40" s="65" t="s">
        <v>91</v>
      </c>
      <c r="C40" s="66" t="s">
        <v>6</v>
      </c>
      <c r="D40" s="66" t="s">
        <v>8</v>
      </c>
      <c r="E40" s="66" t="s">
        <v>7</v>
      </c>
      <c r="F40" s="66" t="s">
        <v>28</v>
      </c>
      <c r="G40" s="66" t="str">
        <f t="shared" si="11"/>
        <v>UsdLibor1M</v>
      </c>
      <c r="H40" s="64" t="str">
        <f t="shared" si="12"/>
        <v>USDAM3L15Y_Quote</v>
      </c>
      <c r="I40" s="171" t="str">
        <f t="shared" si="13"/>
        <v>USD3L1L15Y_Quote</v>
      </c>
      <c r="J40" s="70" t="str">
        <f>_xll.qlSwapRateHelper2(,H40,,B40,JoinCalendar,USD1M!D40,USD1M!E40,USD1M!F40,USD1M!G40,USD1M!I40,USD1M!C40,Discounting,PillarDate,,Permanent,Trigger,ObjectOverwrite)</f>
        <v>obj_002a0#0004</v>
      </c>
      <c r="K40" s="53"/>
      <c r="L40" s="11" t="str">
        <f t="shared" si="9"/>
        <v>BasSw</v>
      </c>
      <c r="M40" s="106" t="str">
        <f t="shared" si="10"/>
        <v>--</v>
      </c>
      <c r="N40" s="160" t="str">
        <f>IFERROR(_xll.qlRateHelperQuoteName(M40,Trigger),"--")</f>
        <v>--</v>
      </c>
      <c r="O40" s="110" t="str">
        <f>IFERROR(_xll.qlRateHelperQuoteValue($M40,Trigger),"--")</f>
        <v>--</v>
      </c>
      <c r="P40" s="109" t="b">
        <v>0</v>
      </c>
      <c r="Q40" s="106">
        <v>40</v>
      </c>
      <c r="R40" s="106">
        <v>1</v>
      </c>
      <c r="S40" s="111" t="str">
        <f>IFERROR(_xll.qlRateHelperEarliestDate(M40,Trigger),"--")</f>
        <v>--</v>
      </c>
      <c r="T40" s="111" t="str">
        <f>IFERROR(_xll.qlRateHelperPillarDate(M40,Trigger),"--")</f>
        <v>--</v>
      </c>
      <c r="V40" s="4" t="str">
        <f t="shared" ca="1" si="3"/>
        <v/>
      </c>
      <c r="W40" s="4" t="e">
        <f ca="1"/>
        <v>#NAME?</v>
      </c>
      <c r="X40" s="4" t="str">
        <f ca="1">IFERROR(_xll.qlRateHelperQuoteName(W40,Trigger),"")</f>
        <v/>
      </c>
      <c r="Y40" s="76" t="str">
        <f ca="1">IFERROR(_xll.qlRateHelperRate(W40,Trigger),"")</f>
        <v/>
      </c>
      <c r="Z40" s="116" t="str">
        <f ca="1">IF(ISERROR(_xll.qlSwapRateHelperSpread($W40)),IF(ISERROR(_xll.qlFuturesRateHelperConvexityAdjustment($W40)),"",_xll.qlFuturesRateHelperConvexityAdjustment($W40)),_xll.qlSwapRateHelperSpread($W40))</f>
        <v/>
      </c>
      <c r="AA40" s="5" t="str">
        <f ca="1">IFERROR(_xll.qlRateHelperEarliestDate(W40,Trigger),"")</f>
        <v/>
      </c>
      <c r="AB40" s="5" t="str">
        <f ca="1">IFERROR(_xll.qlRateHelperPillarDate(W40,Trigger),"")</f>
        <v/>
      </c>
      <c r="AC40" s="84" t="e">
        <f ca="1"/>
        <v>#NAME?</v>
      </c>
    </row>
    <row r="41" spans="1:29" ht="11.25" customHeight="1" x14ac:dyDescent="0.2">
      <c r="A41" s="64" t="s">
        <v>160</v>
      </c>
      <c r="B41" s="65" t="s">
        <v>136</v>
      </c>
      <c r="C41" s="66" t="s">
        <v>6</v>
      </c>
      <c r="D41" s="66" t="s">
        <v>8</v>
      </c>
      <c r="E41" s="66" t="s">
        <v>7</v>
      </c>
      <c r="F41" s="66" t="s">
        <v>28</v>
      </c>
      <c r="G41" s="66" t="str">
        <f t="shared" si="11"/>
        <v>UsdLibor1M</v>
      </c>
      <c r="H41" s="64" t="str">
        <f t="shared" si="12"/>
        <v>USDAM3L16Y_Quote</v>
      </c>
      <c r="I41" s="171" t="str">
        <f t="shared" si="13"/>
        <v>USD3L1L16Y_Quote</v>
      </c>
      <c r="J41" s="70"/>
      <c r="L41" s="11" t="str">
        <f t="shared" si="9"/>
        <v>BasSw</v>
      </c>
      <c r="M41" s="106" t="str">
        <f t="shared" si="10"/>
        <v>obj_0028f#0004</v>
      </c>
      <c r="N41" s="160" t="str">
        <f>IFERROR(_xll.qlRateHelperQuoteName(M41,Trigger),"--")</f>
        <v>USDAM3L20Y_Quote</v>
      </c>
      <c r="O41" s="110">
        <f>IFERROR(_xll.qlRateHelperQuoteValue($M41,Trigger),"--")</f>
        <v>2.5920000000000002E-2</v>
      </c>
      <c r="P41" s="109" t="b">
        <v>1</v>
      </c>
      <c r="Q41" s="106">
        <v>40</v>
      </c>
      <c r="R41" s="106">
        <v>1</v>
      </c>
      <c r="S41" s="111">
        <f>IFERROR(_xll.qlRateHelperEarliestDate(M41,Trigger),"--")</f>
        <v>42261</v>
      </c>
      <c r="T41" s="111">
        <f>IFERROR(_xll.qlRateHelperPillarDate(M41,Trigger),"--")</f>
        <v>49566</v>
      </c>
      <c r="V41" s="4" t="str">
        <f t="shared" ca="1" si="3"/>
        <v/>
      </c>
      <c r="W41" s="4" t="e">
        <f ca="1"/>
        <v>#NAME?</v>
      </c>
      <c r="X41" s="4" t="str">
        <f ca="1">IFERROR(_xll.qlRateHelperQuoteName(W41,Trigger),"")</f>
        <v/>
      </c>
      <c r="Y41" s="76" t="str">
        <f ca="1">IFERROR(_xll.qlRateHelperRate(W41,Trigger),"")</f>
        <v/>
      </c>
      <c r="Z41" s="116" t="str">
        <f ca="1">IF(ISERROR(_xll.qlSwapRateHelperSpread($W41)),IF(ISERROR(_xll.qlFuturesRateHelperConvexityAdjustment($W41)),"",_xll.qlFuturesRateHelperConvexityAdjustment($W41)),_xll.qlSwapRateHelperSpread($W41))</f>
        <v/>
      </c>
      <c r="AA41" s="5" t="str">
        <f ca="1">IFERROR(_xll.qlRateHelperEarliestDate(W41,Trigger),"")</f>
        <v/>
      </c>
      <c r="AB41" s="5" t="str">
        <f ca="1">IFERROR(_xll.qlRateHelperPillarDate(W41,Trigger),"")</f>
        <v/>
      </c>
      <c r="AC41" s="84" t="e">
        <f ca="1"/>
        <v>#NAME?</v>
      </c>
    </row>
    <row r="42" spans="1:29" ht="11.25" customHeight="1" x14ac:dyDescent="0.2">
      <c r="A42" s="64" t="s">
        <v>160</v>
      </c>
      <c r="B42" s="65" t="s">
        <v>137</v>
      </c>
      <c r="C42" s="66" t="s">
        <v>6</v>
      </c>
      <c r="D42" s="66" t="s">
        <v>8</v>
      </c>
      <c r="E42" s="66" t="s">
        <v>7</v>
      </c>
      <c r="F42" s="66" t="s">
        <v>28</v>
      </c>
      <c r="G42" s="66" t="str">
        <f t="shared" si="11"/>
        <v>UsdLibor1M</v>
      </c>
      <c r="H42" s="64" t="str">
        <f t="shared" si="12"/>
        <v>USDAM3L17Y_Quote</v>
      </c>
      <c r="I42" s="171" t="str">
        <f t="shared" si="13"/>
        <v>USD3L1L17Y_Quote</v>
      </c>
      <c r="J42" s="70"/>
      <c r="L42" s="11" t="str">
        <f t="shared" si="9"/>
        <v>BasSw</v>
      </c>
      <c r="M42" s="106" t="str">
        <f t="shared" si="10"/>
        <v>--</v>
      </c>
      <c r="N42" s="160" t="str">
        <f>IFERROR(_xll.qlRateHelperQuoteName(M42,Trigger),"--")</f>
        <v>--</v>
      </c>
      <c r="O42" s="110" t="str">
        <f>IFERROR(_xll.qlRateHelperQuoteValue($M42,Trigger),"--")</f>
        <v>--</v>
      </c>
      <c r="P42" s="109" t="b">
        <v>0</v>
      </c>
      <c r="Q42" s="106">
        <v>40</v>
      </c>
      <c r="R42" s="106">
        <v>1</v>
      </c>
      <c r="S42" s="111" t="str">
        <f>IFERROR(_xll.qlRateHelperEarliestDate(M42,Trigger),"--")</f>
        <v>--</v>
      </c>
      <c r="T42" s="111" t="str">
        <f>IFERROR(_xll.qlRateHelperPillarDate(M42,Trigger),"--")</f>
        <v>--</v>
      </c>
      <c r="V42" s="4" t="str">
        <f t="shared" ca="1" si="3"/>
        <v/>
      </c>
      <c r="W42" s="4" t="e">
        <f ca="1"/>
        <v>#NAME?</v>
      </c>
      <c r="X42" s="4" t="str">
        <f ca="1">IFERROR(_xll.qlRateHelperQuoteName(W42,Trigger),"")</f>
        <v/>
      </c>
      <c r="Y42" s="76" t="str">
        <f ca="1">IFERROR(_xll.qlRateHelperRate(W42,Trigger),"")</f>
        <v/>
      </c>
      <c r="Z42" s="116" t="str">
        <f ca="1">IF(ISERROR(_xll.qlSwapRateHelperSpread($W42)),IF(ISERROR(_xll.qlFuturesRateHelperConvexityAdjustment($W42)),"",_xll.qlFuturesRateHelperConvexityAdjustment($W42)),_xll.qlSwapRateHelperSpread($W42))</f>
        <v/>
      </c>
      <c r="AA42" s="5" t="str">
        <f ca="1">IFERROR(_xll.qlRateHelperEarliestDate(W42,Trigger),"")</f>
        <v/>
      </c>
      <c r="AB42" s="5" t="str">
        <f ca="1">IFERROR(_xll.qlRateHelperPillarDate(W42,Trigger),"")</f>
        <v/>
      </c>
      <c r="AC42" s="84" t="e">
        <f ca="1"/>
        <v>#NAME?</v>
      </c>
    </row>
    <row r="43" spans="1:29" ht="11.25" customHeight="1" x14ac:dyDescent="0.2">
      <c r="A43" s="64" t="s">
        <v>160</v>
      </c>
      <c r="B43" s="65" t="s">
        <v>138</v>
      </c>
      <c r="C43" s="66" t="s">
        <v>6</v>
      </c>
      <c r="D43" s="66" t="s">
        <v>8</v>
      </c>
      <c r="E43" s="66" t="s">
        <v>7</v>
      </c>
      <c r="F43" s="66" t="s">
        <v>28</v>
      </c>
      <c r="G43" s="66" t="str">
        <f t="shared" si="11"/>
        <v>UsdLibor1M</v>
      </c>
      <c r="H43" s="64" t="str">
        <f t="shared" si="12"/>
        <v>USDAM3L18Y_Quote</v>
      </c>
      <c r="I43" s="171" t="str">
        <f t="shared" si="13"/>
        <v>USD3L1L18Y_Quote</v>
      </c>
      <c r="J43" s="70"/>
      <c r="L43" s="11" t="str">
        <f t="shared" si="9"/>
        <v>BasSw</v>
      </c>
      <c r="M43" s="106" t="str">
        <f t="shared" si="10"/>
        <v>--</v>
      </c>
      <c r="N43" s="160" t="str">
        <f>IFERROR(_xll.qlRateHelperQuoteName(M43,Trigger),"--")</f>
        <v>--</v>
      </c>
      <c r="O43" s="110" t="str">
        <f>IFERROR(_xll.qlRateHelperQuoteValue($M43,Trigger),"--")</f>
        <v>--</v>
      </c>
      <c r="P43" s="109" t="b">
        <v>0</v>
      </c>
      <c r="Q43" s="106">
        <v>40</v>
      </c>
      <c r="R43" s="106">
        <v>1</v>
      </c>
      <c r="S43" s="111" t="str">
        <f>IFERROR(_xll.qlRateHelperEarliestDate(M43,Trigger),"--")</f>
        <v>--</v>
      </c>
      <c r="T43" s="111" t="str">
        <f>IFERROR(_xll.qlRateHelperPillarDate(M43,Trigger),"--")</f>
        <v>--</v>
      </c>
      <c r="V43" s="4" t="str">
        <f t="shared" ca="1" si="3"/>
        <v/>
      </c>
      <c r="W43" s="4" t="e">
        <f ca="1"/>
        <v>#NAME?</v>
      </c>
      <c r="X43" s="4" t="str">
        <f ca="1">IFERROR(_xll.qlRateHelperQuoteName(W43,Trigger),"")</f>
        <v/>
      </c>
      <c r="Y43" s="76" t="str">
        <f ca="1">IFERROR(_xll.qlRateHelperRate(W43,Trigger),"")</f>
        <v/>
      </c>
      <c r="Z43" s="116" t="str">
        <f ca="1">IF(ISERROR(_xll.qlSwapRateHelperSpread($W43)),IF(ISERROR(_xll.qlFuturesRateHelperConvexityAdjustment($W43)),"",_xll.qlFuturesRateHelperConvexityAdjustment($W43)),_xll.qlSwapRateHelperSpread($W43))</f>
        <v/>
      </c>
      <c r="AA43" s="5" t="str">
        <f ca="1">IFERROR(_xll.qlRateHelperEarliestDate(W43,Trigger),"")</f>
        <v/>
      </c>
      <c r="AB43" s="5" t="str">
        <f ca="1">IFERROR(_xll.qlRateHelperPillarDate(W43,Trigger),"")</f>
        <v/>
      </c>
      <c r="AC43" s="84" t="e">
        <f ca="1"/>
        <v>#NAME?</v>
      </c>
    </row>
    <row r="44" spans="1:29" ht="11.25" customHeight="1" x14ac:dyDescent="0.2">
      <c r="A44" s="64" t="s">
        <v>160</v>
      </c>
      <c r="B44" s="65" t="s">
        <v>139</v>
      </c>
      <c r="C44" s="66" t="s">
        <v>6</v>
      </c>
      <c r="D44" s="66" t="s">
        <v>8</v>
      </c>
      <c r="E44" s="66" t="s">
        <v>7</v>
      </c>
      <c r="F44" s="66" t="s">
        <v>28</v>
      </c>
      <c r="G44" s="66" t="str">
        <f t="shared" si="11"/>
        <v>UsdLibor1M</v>
      </c>
      <c r="H44" s="64" t="str">
        <f t="shared" si="12"/>
        <v>USDAM3L19Y_Quote</v>
      </c>
      <c r="I44" s="171" t="str">
        <f t="shared" si="13"/>
        <v>USD3L1L19Y_Quote</v>
      </c>
      <c r="J44" s="70"/>
      <c r="L44" s="11" t="str">
        <f t="shared" si="9"/>
        <v>BasSw</v>
      </c>
      <c r="M44" s="106" t="str">
        <f t="shared" si="10"/>
        <v>--</v>
      </c>
      <c r="N44" s="160" t="str">
        <f>IFERROR(_xll.qlRateHelperQuoteName(M44,Trigger),"--")</f>
        <v>--</v>
      </c>
      <c r="O44" s="110" t="str">
        <f>IFERROR(_xll.qlRateHelperQuoteValue($M44,Trigger),"--")</f>
        <v>--</v>
      </c>
      <c r="P44" s="109" t="b">
        <v>0</v>
      </c>
      <c r="Q44" s="106">
        <v>40</v>
      </c>
      <c r="R44" s="106">
        <v>1</v>
      </c>
      <c r="S44" s="111" t="str">
        <f>IFERROR(_xll.qlRateHelperEarliestDate(M44,Trigger),"--")</f>
        <v>--</v>
      </c>
      <c r="T44" s="111" t="str">
        <f>IFERROR(_xll.qlRateHelperPillarDate(M44,Trigger),"--")</f>
        <v>--</v>
      </c>
      <c r="V44" s="4" t="str">
        <f t="shared" ca="1" si="3"/>
        <v/>
      </c>
      <c r="W44" s="4" t="e">
        <f ca="1"/>
        <v>#NAME?</v>
      </c>
      <c r="X44" s="4" t="str">
        <f ca="1">IFERROR(_xll.qlRateHelperQuoteName(W44,Trigger),"")</f>
        <v/>
      </c>
      <c r="Y44" s="76" t="str">
        <f ca="1">IFERROR(_xll.qlRateHelperRate(W44,Trigger),"")</f>
        <v/>
      </c>
      <c r="Z44" s="116" t="str">
        <f ca="1">IF(ISERROR(_xll.qlSwapRateHelperSpread($W44)),IF(ISERROR(_xll.qlFuturesRateHelperConvexityAdjustment($W44)),"",_xll.qlFuturesRateHelperConvexityAdjustment($W44)),_xll.qlSwapRateHelperSpread($W44))</f>
        <v/>
      </c>
      <c r="AA44" s="5" t="str">
        <f ca="1">IFERROR(_xll.qlRateHelperEarliestDate(W44,Trigger),"")</f>
        <v/>
      </c>
      <c r="AB44" s="5" t="str">
        <f ca="1">IFERROR(_xll.qlRateHelperPillarDate(W44,Trigger),"")</f>
        <v/>
      </c>
      <c r="AC44" s="84" t="e">
        <f ca="1"/>
        <v>#NAME?</v>
      </c>
    </row>
    <row r="45" spans="1:29" ht="11.25" customHeight="1" x14ac:dyDescent="0.2">
      <c r="A45" s="64" t="s">
        <v>160</v>
      </c>
      <c r="B45" s="65" t="s">
        <v>92</v>
      </c>
      <c r="C45" s="66" t="s">
        <v>6</v>
      </c>
      <c r="D45" s="66" t="s">
        <v>8</v>
      </c>
      <c r="E45" s="66" t="s">
        <v>7</v>
      </c>
      <c r="F45" s="66" t="s">
        <v>28</v>
      </c>
      <c r="G45" s="66" t="str">
        <f t="shared" si="11"/>
        <v>UsdLibor1M</v>
      </c>
      <c r="H45" s="64" t="str">
        <f t="shared" si="12"/>
        <v>USDAM3L20Y_Quote</v>
      </c>
      <c r="I45" s="171" t="str">
        <f t="shared" si="13"/>
        <v>USD3L1L20Y_Quote</v>
      </c>
      <c r="J45" s="70" t="str">
        <f>_xll.qlSwapRateHelper2(,H45,,B45,JoinCalendar,USD1M!D45,USD1M!E45,USD1M!F45,USD1M!G45,USD1M!I45,USD1M!C45,Discounting,PillarDate,,Permanent,Trigger,ObjectOverwrite)</f>
        <v>obj_0028f#0004</v>
      </c>
      <c r="L45" s="11" t="str">
        <f t="shared" si="9"/>
        <v>BasSw</v>
      </c>
      <c r="M45" s="106" t="str">
        <f t="shared" si="10"/>
        <v>--</v>
      </c>
      <c r="N45" s="160" t="str">
        <f>IFERROR(_xll.qlRateHelperQuoteName(M45,Trigger),"--")</f>
        <v>--</v>
      </c>
      <c r="O45" s="110" t="str">
        <f>IFERROR(_xll.qlRateHelperQuoteValue($M45,Trigger),"--")</f>
        <v>--</v>
      </c>
      <c r="P45" s="109" t="b">
        <v>0</v>
      </c>
      <c r="Q45" s="106">
        <v>40</v>
      </c>
      <c r="R45" s="106">
        <v>1</v>
      </c>
      <c r="S45" s="111" t="str">
        <f>IFERROR(_xll.qlRateHelperEarliestDate(M45,Trigger),"--")</f>
        <v>--</v>
      </c>
      <c r="T45" s="111" t="str">
        <f>IFERROR(_xll.qlRateHelperPillarDate(M45,Trigger),"--")</f>
        <v>--</v>
      </c>
      <c r="V45" s="4" t="str">
        <f t="shared" ca="1" si="3"/>
        <v/>
      </c>
      <c r="W45" s="4" t="e">
        <f ca="1"/>
        <v>#NAME?</v>
      </c>
      <c r="X45" s="4" t="str">
        <f ca="1">IFERROR(_xll.qlRateHelperQuoteName(W45,Trigger),"")</f>
        <v/>
      </c>
      <c r="Y45" s="76" t="str">
        <f ca="1">IFERROR(_xll.qlRateHelperRate(W45,Trigger),"")</f>
        <v/>
      </c>
      <c r="Z45" s="116" t="str">
        <f ca="1">IF(ISERROR(_xll.qlSwapRateHelperSpread($W45)),IF(ISERROR(_xll.qlFuturesRateHelperConvexityAdjustment($W45)),"",_xll.qlFuturesRateHelperConvexityAdjustment($W45)),_xll.qlSwapRateHelperSpread($W45))</f>
        <v/>
      </c>
      <c r="AA45" s="5" t="str">
        <f ca="1">IFERROR(_xll.qlRateHelperEarliestDate(W45,Trigger),"")</f>
        <v/>
      </c>
      <c r="AB45" s="5" t="str">
        <f ca="1">IFERROR(_xll.qlRateHelperPillarDate(W45,Trigger),"")</f>
        <v/>
      </c>
      <c r="AC45" s="84" t="e">
        <f ca="1"/>
        <v>#NAME?</v>
      </c>
    </row>
    <row r="46" spans="1:29" ht="11.25" customHeight="1" x14ac:dyDescent="0.2">
      <c r="A46" s="64" t="s">
        <v>160</v>
      </c>
      <c r="B46" s="65" t="s">
        <v>140</v>
      </c>
      <c r="C46" s="66" t="s">
        <v>6</v>
      </c>
      <c r="D46" s="66" t="s">
        <v>8</v>
      </c>
      <c r="E46" s="66" t="s">
        <v>7</v>
      </c>
      <c r="F46" s="66" t="s">
        <v>28</v>
      </c>
      <c r="G46" s="66" t="str">
        <f t="shared" si="11"/>
        <v>UsdLibor1M</v>
      </c>
      <c r="H46" s="64" t="str">
        <f t="shared" si="12"/>
        <v>USDAM3L21Y_Quote</v>
      </c>
      <c r="I46" s="171" t="str">
        <f t="shared" si="13"/>
        <v>USD3L1L21Y_Quote</v>
      </c>
      <c r="J46" s="70"/>
      <c r="L46" s="11" t="str">
        <f t="shared" si="9"/>
        <v>BasSw</v>
      </c>
      <c r="M46" s="106" t="str">
        <f t="shared" si="10"/>
        <v>obj_0028a#0004</v>
      </c>
      <c r="N46" s="160" t="str">
        <f>IFERROR(_xll.qlRateHelperQuoteName(M46,Trigger),"--")</f>
        <v>USDAM3L25Y_Quote</v>
      </c>
      <c r="O46" s="110">
        <f>IFERROR(_xll.qlRateHelperQuoteValue($M46,Trigger),"--")</f>
        <v>2.6469999999999997E-2</v>
      </c>
      <c r="P46" s="109" t="b">
        <v>1</v>
      </c>
      <c r="Q46" s="106">
        <v>40</v>
      </c>
      <c r="R46" s="106">
        <v>1</v>
      </c>
      <c r="S46" s="111">
        <f>IFERROR(_xll.qlRateHelperEarliestDate(M46,Trigger),"--")</f>
        <v>42261</v>
      </c>
      <c r="T46" s="111">
        <f>IFERROR(_xll.qlRateHelperPillarDate(M46,Trigger),"--")</f>
        <v>51393</v>
      </c>
      <c r="V46" s="4" t="str">
        <f t="shared" ca="1" si="3"/>
        <v/>
      </c>
      <c r="W46" s="4" t="e">
        <f ca="1"/>
        <v>#NAME?</v>
      </c>
      <c r="X46" s="4" t="str">
        <f ca="1">IFERROR(_xll.qlRateHelperQuoteName(W46,Trigger),"")</f>
        <v/>
      </c>
      <c r="Y46" s="76" t="str">
        <f ca="1">IFERROR(_xll.qlRateHelperRate(W46,Trigger),"")</f>
        <v/>
      </c>
      <c r="Z46" s="116" t="str">
        <f ca="1">IF(ISERROR(_xll.qlSwapRateHelperSpread($W46)),IF(ISERROR(_xll.qlFuturesRateHelperConvexityAdjustment($W46)),"",_xll.qlFuturesRateHelperConvexityAdjustment($W46)),_xll.qlSwapRateHelperSpread($W46))</f>
        <v/>
      </c>
      <c r="AA46" s="5" t="str">
        <f ca="1">IFERROR(_xll.qlRateHelperEarliestDate(W46,Trigger),"")</f>
        <v/>
      </c>
      <c r="AB46" s="5" t="str">
        <f ca="1">IFERROR(_xll.qlRateHelperPillarDate(W46,Trigger),"")</f>
        <v/>
      </c>
      <c r="AC46" s="84" t="e">
        <f ca="1"/>
        <v>#NAME?</v>
      </c>
    </row>
    <row r="47" spans="1:29" ht="11.25" customHeight="1" x14ac:dyDescent="0.2">
      <c r="A47" s="64" t="s">
        <v>160</v>
      </c>
      <c r="B47" s="65" t="s">
        <v>141</v>
      </c>
      <c r="C47" s="66" t="s">
        <v>6</v>
      </c>
      <c r="D47" s="66" t="s">
        <v>8</v>
      </c>
      <c r="E47" s="66" t="s">
        <v>7</v>
      </c>
      <c r="F47" s="66" t="s">
        <v>28</v>
      </c>
      <c r="G47" s="66" t="str">
        <f t="shared" si="11"/>
        <v>UsdLibor1M</v>
      </c>
      <c r="H47" s="64" t="str">
        <f t="shared" si="12"/>
        <v>USDAM3L22Y_Quote</v>
      </c>
      <c r="I47" s="171" t="str">
        <f t="shared" si="13"/>
        <v>USD3L1L22Y_Quote</v>
      </c>
      <c r="J47" s="70"/>
      <c r="L47" s="11" t="str">
        <f t="shared" si="9"/>
        <v>BasSw</v>
      </c>
      <c r="M47" s="106" t="str">
        <f t="shared" si="10"/>
        <v>--</v>
      </c>
      <c r="N47" s="160" t="str">
        <f>IFERROR(_xll.qlRateHelperQuoteName(M47,Trigger),"--")</f>
        <v>--</v>
      </c>
      <c r="O47" s="110" t="str">
        <f>IFERROR(_xll.qlRateHelperQuoteValue($M47,Trigger),"--")</f>
        <v>--</v>
      </c>
      <c r="P47" s="109" t="b">
        <v>0</v>
      </c>
      <c r="Q47" s="106">
        <v>40</v>
      </c>
      <c r="R47" s="106">
        <v>1</v>
      </c>
      <c r="S47" s="111" t="str">
        <f>IFERROR(_xll.qlRateHelperEarliestDate(M47,Trigger),"--")</f>
        <v>--</v>
      </c>
      <c r="T47" s="111" t="str">
        <f>IFERROR(_xll.qlRateHelperPillarDate(M47,Trigger),"--")</f>
        <v>--</v>
      </c>
      <c r="V47" s="4" t="str">
        <f t="shared" ca="1" si="3"/>
        <v/>
      </c>
      <c r="W47" s="4" t="e">
        <f ca="1"/>
        <v>#NAME?</v>
      </c>
      <c r="X47" s="4" t="str">
        <f ca="1">IFERROR(_xll.qlRateHelperQuoteName(W47,Trigger),"")</f>
        <v/>
      </c>
      <c r="Y47" s="76" t="str">
        <f ca="1">IFERROR(_xll.qlRateHelperRate(W47,Trigger),"")</f>
        <v/>
      </c>
      <c r="Z47" s="116" t="str">
        <f ca="1">IF(ISERROR(_xll.qlSwapRateHelperSpread($W47)),IF(ISERROR(_xll.qlFuturesRateHelperConvexityAdjustment($W47)),"",_xll.qlFuturesRateHelperConvexityAdjustment($W47)),_xll.qlSwapRateHelperSpread($W47))</f>
        <v/>
      </c>
      <c r="AA47" s="5" t="str">
        <f ca="1">IFERROR(_xll.qlRateHelperEarliestDate(W47,Trigger),"")</f>
        <v/>
      </c>
      <c r="AB47" s="5" t="str">
        <f ca="1">IFERROR(_xll.qlRateHelperPillarDate(W47,Trigger),"")</f>
        <v/>
      </c>
      <c r="AC47" s="84" t="e">
        <f ca="1"/>
        <v>#NAME?</v>
      </c>
    </row>
    <row r="48" spans="1:29" ht="11.25" customHeight="1" x14ac:dyDescent="0.2">
      <c r="A48" s="64" t="s">
        <v>160</v>
      </c>
      <c r="B48" s="65" t="s">
        <v>142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 t="shared" si="11"/>
        <v>UsdLibor1M</v>
      </c>
      <c r="H48" s="64" t="str">
        <f t="shared" si="12"/>
        <v>USDAM3L23Y_Quote</v>
      </c>
      <c r="I48" s="171" t="str">
        <f t="shared" si="13"/>
        <v>USD3L1L23Y_Quote</v>
      </c>
      <c r="J48" s="70"/>
      <c r="L48" s="11" t="str">
        <f t="shared" si="9"/>
        <v>BasSw</v>
      </c>
      <c r="M48" s="106" t="str">
        <f t="shared" si="10"/>
        <v>--</v>
      </c>
      <c r="N48" s="160" t="str">
        <f>IFERROR(_xll.qlRateHelperQuoteName(M48,Trigger),"--")</f>
        <v>--</v>
      </c>
      <c r="O48" s="110" t="str">
        <f>IFERROR(_xll.qlRateHelperQuoteValue($M48,Trigger),"--")</f>
        <v>--</v>
      </c>
      <c r="P48" s="109" t="b">
        <v>0</v>
      </c>
      <c r="Q48" s="106">
        <v>40</v>
      </c>
      <c r="R48" s="106">
        <v>1</v>
      </c>
      <c r="S48" s="111" t="str">
        <f>IFERROR(_xll.qlRateHelperEarliestDate(M48,Trigger),"--")</f>
        <v>--</v>
      </c>
      <c r="T48" s="111" t="str">
        <f>IFERROR(_xll.qlRateHelperPillarDate(M48,Trigger),"--")</f>
        <v>--</v>
      </c>
      <c r="V48" s="4" t="str">
        <f t="shared" ca="1" si="3"/>
        <v/>
      </c>
      <c r="W48" s="4" t="e">
        <f ca="1"/>
        <v>#NAME?</v>
      </c>
      <c r="X48" s="4" t="str">
        <f ca="1">IFERROR(_xll.qlRateHelperQuoteName(W48,Trigger),"")</f>
        <v/>
      </c>
      <c r="Y48" s="76" t="str">
        <f ca="1">IFERROR(_xll.qlRateHelperRate(W48,Trigger),"")</f>
        <v/>
      </c>
      <c r="Z48" s="116" t="str">
        <f ca="1">IF(ISERROR(_xll.qlSwapRateHelperSpread($W48)),IF(ISERROR(_xll.qlFuturesRateHelperConvexityAdjustment($W48)),"",_xll.qlFuturesRateHelperConvexityAdjustment($W48)),_xll.qlSwapRateHelperSpread($W48))</f>
        <v/>
      </c>
      <c r="AA48" s="5" t="str">
        <f ca="1">IFERROR(_xll.qlRateHelperEarliestDate(W48,Trigger),"")</f>
        <v/>
      </c>
      <c r="AB48" s="5" t="str">
        <f ca="1">IFERROR(_xll.qlRateHelperPillarDate(W48,Trigger),"")</f>
        <v/>
      </c>
      <c r="AC48" s="84" t="e">
        <f ca="1"/>
        <v>#NAME?</v>
      </c>
    </row>
    <row r="49" spans="1:29" ht="11.25" customHeight="1" x14ac:dyDescent="0.2">
      <c r="A49" s="64" t="s">
        <v>160</v>
      </c>
      <c r="B49" s="65" t="s">
        <v>143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 t="shared" si="11"/>
        <v>UsdLibor1M</v>
      </c>
      <c r="H49" s="64" t="str">
        <f t="shared" si="12"/>
        <v>USDAM3L24Y_Quote</v>
      </c>
      <c r="I49" s="171" t="str">
        <f t="shared" si="13"/>
        <v>USD3L1L24Y_Quote</v>
      </c>
      <c r="J49" s="70"/>
      <c r="L49" s="11" t="str">
        <f t="shared" si="9"/>
        <v>BasSw</v>
      </c>
      <c r="M49" s="106" t="str">
        <f t="shared" si="10"/>
        <v>--</v>
      </c>
      <c r="N49" s="160" t="str">
        <f>IFERROR(_xll.qlRateHelperQuoteName(M49,Trigger),"--")</f>
        <v>--</v>
      </c>
      <c r="O49" s="110" t="str">
        <f>IFERROR(_xll.qlRateHelperQuoteValue($M49,Trigger),"--")</f>
        <v>--</v>
      </c>
      <c r="P49" s="109" t="b">
        <v>0</v>
      </c>
      <c r="Q49" s="106">
        <v>40</v>
      </c>
      <c r="R49" s="106">
        <v>1</v>
      </c>
      <c r="S49" s="111" t="str">
        <f>IFERROR(_xll.qlRateHelperEarliestDate(M49,Trigger),"--")</f>
        <v>--</v>
      </c>
      <c r="T49" s="111" t="str">
        <f>IFERROR(_xll.qlRateHelperPillarDate(M49,Trigger),"--")</f>
        <v>--</v>
      </c>
      <c r="V49" s="4" t="str">
        <f t="shared" ca="1" si="3"/>
        <v/>
      </c>
      <c r="W49" s="4" t="e">
        <f ca="1"/>
        <v>#NAME?</v>
      </c>
      <c r="X49" s="4" t="str">
        <f ca="1">IFERROR(_xll.qlRateHelperQuoteName(W49,Trigger),"")</f>
        <v/>
      </c>
      <c r="Y49" s="76" t="str">
        <f ca="1">IFERROR(_xll.qlRateHelperRate(W49,Trigger),"")</f>
        <v/>
      </c>
      <c r="Z49" s="116" t="str">
        <f ca="1">IF(ISERROR(_xll.qlSwapRateHelperSpread($W49)),IF(ISERROR(_xll.qlFuturesRateHelperConvexityAdjustment($W49)),"",_xll.qlFuturesRateHelperConvexityAdjustment($W49)),_xll.qlSwapRateHelperSpread($W49))</f>
        <v/>
      </c>
      <c r="AA49" s="5" t="str">
        <f ca="1">IFERROR(_xll.qlRateHelperEarliestDate(W49,Trigger),"")</f>
        <v/>
      </c>
      <c r="AB49" s="5" t="str">
        <f ca="1">IFERROR(_xll.qlRateHelperPillarDate(W49,Trigger),"")</f>
        <v/>
      </c>
      <c r="AC49" s="84" t="e">
        <f ca="1"/>
        <v>#NAME?</v>
      </c>
    </row>
    <row r="50" spans="1:29" ht="11.25" customHeight="1" x14ac:dyDescent="0.2">
      <c r="A50" s="64" t="s">
        <v>160</v>
      </c>
      <c r="B50" s="65" t="s">
        <v>93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 t="shared" si="11"/>
        <v>UsdLibor1M</v>
      </c>
      <c r="H50" s="64" t="str">
        <f t="shared" si="12"/>
        <v>USDAM3L25Y_Quote</v>
      </c>
      <c r="I50" s="171" t="str">
        <f t="shared" si="13"/>
        <v>USD3L1L25Y_Quote</v>
      </c>
      <c r="J50" s="70" t="str">
        <f>_xll.qlSwapRateHelper2(,H50,,B50,JoinCalendar,USD1M!D50,USD1M!E50,USD1M!F50,USD1M!G50,USD1M!I50,USD1M!C50,Discounting,PillarDate,,Permanent,Trigger,ObjectOverwrite)</f>
        <v>obj_0028a#0004</v>
      </c>
      <c r="L50" s="11" t="str">
        <f t="shared" si="9"/>
        <v>BasSw</v>
      </c>
      <c r="M50" s="106" t="str">
        <f t="shared" si="10"/>
        <v>--</v>
      </c>
      <c r="N50" s="160" t="str">
        <f>IFERROR(_xll.qlRateHelperQuoteName(M50,Trigger),"--")</f>
        <v>--</v>
      </c>
      <c r="O50" s="110" t="str">
        <f>IFERROR(_xll.qlRateHelperQuoteValue($M50,Trigger),"--")</f>
        <v>--</v>
      </c>
      <c r="P50" s="109" t="b">
        <v>0</v>
      </c>
      <c r="Q50" s="106">
        <v>40</v>
      </c>
      <c r="R50" s="106">
        <v>1</v>
      </c>
      <c r="S50" s="111" t="str">
        <f>IFERROR(_xll.qlRateHelperEarliestDate(M50,Trigger),"--")</f>
        <v>--</v>
      </c>
      <c r="T50" s="111" t="str">
        <f>IFERROR(_xll.qlRateHelperPillarDate(M50,Trigger),"--")</f>
        <v>--</v>
      </c>
      <c r="V50" s="4" t="str">
        <f t="shared" ca="1" si="3"/>
        <v/>
      </c>
      <c r="W50" s="4" t="e">
        <f ca="1"/>
        <v>#NAME?</v>
      </c>
      <c r="X50" s="4" t="str">
        <f ca="1">IFERROR(_xll.qlRateHelperQuoteName(W50,Trigger),"")</f>
        <v/>
      </c>
      <c r="Y50" s="76" t="str">
        <f ca="1">IFERROR(_xll.qlRateHelperRate(W50,Trigger),"")</f>
        <v/>
      </c>
      <c r="Z50" s="116" t="str">
        <f ca="1">IF(ISERROR(_xll.qlSwapRateHelperSpread($W50)),IF(ISERROR(_xll.qlFuturesRateHelperConvexityAdjustment($W50)),"",_xll.qlFuturesRateHelperConvexityAdjustment($W50)),_xll.qlSwapRateHelperSpread($W50))</f>
        <v/>
      </c>
      <c r="AA50" s="5" t="str">
        <f ca="1">IFERROR(_xll.qlRateHelperEarliestDate(W50,Trigger),"")</f>
        <v/>
      </c>
      <c r="AB50" s="5" t="str">
        <f ca="1">IFERROR(_xll.qlRateHelperPillarDate(W50,Trigger),"")</f>
        <v/>
      </c>
      <c r="AC50" s="84" t="e">
        <f ca="1"/>
        <v>#NAME?</v>
      </c>
    </row>
    <row r="51" spans="1:29" ht="11.25" customHeight="1" x14ac:dyDescent="0.2">
      <c r="A51" s="64" t="s">
        <v>160</v>
      </c>
      <c r="B51" s="65" t="s">
        <v>144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1"/>
        <v>UsdLibor1M</v>
      </c>
      <c r="H51" s="64" t="str">
        <f t="shared" si="12"/>
        <v>USDAM3L26Y_Quote</v>
      </c>
      <c r="I51" s="171" t="str">
        <f t="shared" si="13"/>
        <v>USD3L1L26Y_Quote</v>
      </c>
      <c r="J51" s="70"/>
      <c r="L51" s="11" t="str">
        <f t="shared" si="9"/>
        <v>BasSw</v>
      </c>
      <c r="M51" s="106" t="str">
        <f t="shared" si="10"/>
        <v>obj_0028e#0004</v>
      </c>
      <c r="N51" s="160" t="str">
        <f>IFERROR(_xll.qlRateHelperQuoteName(M51,Trigger),"--")</f>
        <v>USDAM3L30Y_Quote</v>
      </c>
      <c r="O51" s="110">
        <f>IFERROR(_xll.qlRateHelperQuoteValue($M51,Trigger),"--")</f>
        <v>2.6800000000000001E-2</v>
      </c>
      <c r="P51" s="109" t="b">
        <v>1</v>
      </c>
      <c r="Q51" s="106">
        <v>40</v>
      </c>
      <c r="R51" s="106">
        <v>1</v>
      </c>
      <c r="S51" s="111">
        <f>IFERROR(_xll.qlRateHelperEarliestDate(M51,Trigger),"--")</f>
        <v>42261</v>
      </c>
      <c r="T51" s="111">
        <f>IFERROR(_xll.qlRateHelperPillarDate(M51,Trigger),"--")</f>
        <v>53219</v>
      </c>
      <c r="V51" s="4" t="str">
        <f t="shared" ca="1" si="3"/>
        <v/>
      </c>
      <c r="W51" s="4" t="e">
        <f ca="1"/>
        <v>#NAME?</v>
      </c>
      <c r="X51" s="4" t="str">
        <f ca="1">IFERROR(_xll.qlRateHelperQuoteName(W51,Trigger),"")</f>
        <v/>
      </c>
      <c r="Y51" s="76" t="str">
        <f ca="1">IFERROR(_xll.qlRateHelperRate(W51,Trigger),"")</f>
        <v/>
      </c>
      <c r="Z51" s="116" t="str">
        <f ca="1">IF(ISERROR(_xll.qlSwapRateHelperSpread($W51)),IF(ISERROR(_xll.qlFuturesRateHelperConvexityAdjustment($W51)),"",_xll.qlFuturesRateHelperConvexityAdjustment($W51)),_xll.qlSwapRateHelperSpread($W51))</f>
        <v/>
      </c>
      <c r="AA51" s="5" t="str">
        <f ca="1">IFERROR(_xll.qlRateHelperEarliestDate(W51,Trigger),"")</f>
        <v/>
      </c>
      <c r="AB51" s="5" t="str">
        <f ca="1">IFERROR(_xll.qlRateHelperPillarDate(W51,Trigger),"")</f>
        <v/>
      </c>
      <c r="AC51" s="84" t="e">
        <f ca="1"/>
        <v>#NAME?</v>
      </c>
    </row>
    <row r="52" spans="1:29" ht="11.25" customHeight="1" x14ac:dyDescent="0.2">
      <c r="A52" s="64" t="s">
        <v>160</v>
      </c>
      <c r="B52" s="65" t="s">
        <v>94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1"/>
        <v>UsdLibor1M</v>
      </c>
      <c r="H52" s="64" t="str">
        <f t="shared" si="12"/>
        <v>USDAM3L27Y_Quote</v>
      </c>
      <c r="I52" s="171" t="str">
        <f t="shared" si="13"/>
        <v>USD3L1L27Y_Quote</v>
      </c>
      <c r="J52" s="70"/>
      <c r="L52" s="11" t="str">
        <f t="shared" si="9"/>
        <v>BasSw</v>
      </c>
      <c r="M52" s="106" t="str">
        <f t="shared" si="10"/>
        <v>--</v>
      </c>
      <c r="N52" s="160" t="str">
        <f>IFERROR(_xll.qlRateHelperQuoteName(M52,Trigger),"--")</f>
        <v>--</v>
      </c>
      <c r="O52" s="110" t="str">
        <f>IFERROR(_xll.qlRateHelperQuoteValue($M52,Trigger),"--")</f>
        <v>--</v>
      </c>
      <c r="P52" s="109" t="b">
        <v>0</v>
      </c>
      <c r="Q52" s="106">
        <v>40</v>
      </c>
      <c r="R52" s="106">
        <v>1</v>
      </c>
      <c r="S52" s="111" t="str">
        <f>IFERROR(_xll.qlRateHelperEarliestDate(M52,Trigger),"--")</f>
        <v>--</v>
      </c>
      <c r="T52" s="111" t="str">
        <f>IFERROR(_xll.qlRateHelperPillarDate(M52,Trigger),"--")</f>
        <v>--</v>
      </c>
      <c r="V52" s="4" t="str">
        <f t="shared" ca="1" si="3"/>
        <v/>
      </c>
      <c r="W52" s="4" t="e">
        <f ca="1"/>
        <v>#NAME?</v>
      </c>
      <c r="X52" s="4" t="str">
        <f ca="1">IFERROR(_xll.qlRateHelperQuoteName(W52,Trigger),"")</f>
        <v/>
      </c>
      <c r="Y52" s="76" t="str">
        <f ca="1">IFERROR(_xll.qlRateHelperRate(W52,Trigger),"")</f>
        <v/>
      </c>
      <c r="Z52" s="116" t="str">
        <f ca="1">IF(ISERROR(_xll.qlSwapRateHelperSpread($W52)),IF(ISERROR(_xll.qlFuturesRateHelperConvexityAdjustment($W52)),"",_xll.qlFuturesRateHelperConvexityAdjustment($W52)),_xll.qlSwapRateHelperSpread($W52))</f>
        <v/>
      </c>
      <c r="AA52" s="5" t="str">
        <f ca="1">IFERROR(_xll.qlRateHelperEarliestDate(W52,Trigger),"")</f>
        <v/>
      </c>
      <c r="AB52" s="5" t="str">
        <f ca="1">IFERROR(_xll.qlRateHelperPillarDate(W52,Trigger),"")</f>
        <v/>
      </c>
      <c r="AC52" s="84" t="e">
        <f ca="1"/>
        <v>#NAME?</v>
      </c>
    </row>
    <row r="53" spans="1:29" ht="11.25" customHeight="1" x14ac:dyDescent="0.2">
      <c r="A53" s="64" t="s">
        <v>160</v>
      </c>
      <c r="B53" s="65" t="s">
        <v>145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1"/>
        <v>UsdLibor1M</v>
      </c>
      <c r="H53" s="64" t="str">
        <f t="shared" si="12"/>
        <v>USDAM3L28Y_Quote</v>
      </c>
      <c r="I53" s="171" t="str">
        <f t="shared" si="13"/>
        <v>USD3L1L28Y_Quote</v>
      </c>
      <c r="J53" s="70"/>
      <c r="L53" s="11" t="str">
        <f t="shared" si="9"/>
        <v>BasSw</v>
      </c>
      <c r="M53" s="106" t="str">
        <f t="shared" si="10"/>
        <v>obj_0023d#0004</v>
      </c>
      <c r="N53" s="160" t="str">
        <f>IFERROR(_xll.qlRateHelperQuoteName(M53,Trigger),"--")</f>
        <v>USDAM3L40Y_Quote</v>
      </c>
      <c r="O53" s="110">
        <f>IFERROR(_xll.qlRateHelperQuoteValue($M53,Trigger),"--")</f>
        <v>2.6960000000000001E-2</v>
      </c>
      <c r="P53" s="176" t="b">
        <f>NOT(ISERROR(_xll.qlQuoteValue(N53)))</f>
        <v>1</v>
      </c>
      <c r="Q53" s="106">
        <v>40</v>
      </c>
      <c r="R53" s="106">
        <v>1</v>
      </c>
      <c r="S53" s="111">
        <f>IFERROR(_xll.qlRateHelperEarliestDate(M53,Trigger),"--")</f>
        <v>42261</v>
      </c>
      <c r="T53" s="111">
        <f>IFERROR(_xll.qlRateHelperPillarDate(M53,Trigger),"--")</f>
        <v>56871</v>
      </c>
      <c r="V53" s="4" t="str">
        <f t="shared" ca="1" si="3"/>
        <v/>
      </c>
      <c r="W53" s="4" t="e">
        <f ca="1"/>
        <v>#NAME?</v>
      </c>
      <c r="X53" s="4" t="str">
        <f ca="1">IFERROR(_xll.qlRateHelperQuoteName(W53,Trigger),"")</f>
        <v/>
      </c>
      <c r="Y53" s="76" t="str">
        <f ca="1">IFERROR(_xll.qlRateHelperRate(W53,Trigger),"")</f>
        <v/>
      </c>
      <c r="Z53" s="116" t="str">
        <f ca="1">IF(ISERROR(_xll.qlSwapRateHelperSpread($W53)),IF(ISERROR(_xll.qlFuturesRateHelperConvexityAdjustment($W53)),"",_xll.qlFuturesRateHelperConvexityAdjustment($W53)),_xll.qlSwapRateHelperSpread($W53))</f>
        <v/>
      </c>
      <c r="AA53" s="5" t="str">
        <f ca="1">IFERROR(_xll.qlRateHelperEarliestDate(W53,Trigger),"")</f>
        <v/>
      </c>
      <c r="AB53" s="5" t="str">
        <f ca="1">IFERROR(_xll.qlRateHelperPillarDate(W53,Trigger),"")</f>
        <v/>
      </c>
      <c r="AC53" s="84" t="e">
        <f ca="1"/>
        <v>#NAME?</v>
      </c>
    </row>
    <row r="54" spans="1:29" ht="11.25" customHeight="1" x14ac:dyDescent="0.2">
      <c r="A54" s="64" t="s">
        <v>160</v>
      </c>
      <c r="B54" s="65" t="s">
        <v>146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1"/>
        <v>UsdLibor1M</v>
      </c>
      <c r="H54" s="64" t="str">
        <f t="shared" si="12"/>
        <v>USDAM3L29Y_Quote</v>
      </c>
      <c r="I54" s="171" t="str">
        <f t="shared" si="13"/>
        <v>USD3L1L29Y_Quote</v>
      </c>
      <c r="J54" s="70"/>
      <c r="L54" s="11" t="str">
        <f t="shared" si="9"/>
        <v>BasSw</v>
      </c>
      <c r="M54" s="106" t="str">
        <f t="shared" si="10"/>
        <v>obj_002c1#0004</v>
      </c>
      <c r="N54" s="160" t="str">
        <f>IFERROR(_xll.qlRateHelperQuoteName(M54,Trigger),"--")</f>
        <v>USDAM3L50Y_Quote</v>
      </c>
      <c r="O54" s="110">
        <f>IFERROR(_xll.qlRateHelperQuoteValue($M54,Trigger),"--")</f>
        <v>2.682E-2</v>
      </c>
      <c r="P54" s="176" t="b">
        <f>NOT(ISERROR(_xll.qlQuoteValue(N54)))</f>
        <v>1</v>
      </c>
      <c r="Q54" s="106">
        <v>40</v>
      </c>
      <c r="R54" s="106">
        <v>1</v>
      </c>
      <c r="S54" s="111">
        <f>IFERROR(_xll.qlRateHelperEarliestDate(M54,Trigger),"--")</f>
        <v>42261</v>
      </c>
      <c r="T54" s="111">
        <f>IFERROR(_xll.qlRateHelperPillarDate(M54,Trigger),"--")</f>
        <v>60524</v>
      </c>
      <c r="V54" s="4" t="str">
        <f t="shared" ca="1" si="3"/>
        <v/>
      </c>
      <c r="W54" s="4" t="e">
        <f ca="1"/>
        <v>#NAME?</v>
      </c>
      <c r="X54" s="4" t="str">
        <f ca="1">IFERROR(_xll.qlRateHelperQuoteName(W54,Trigger),"")</f>
        <v/>
      </c>
      <c r="Y54" s="76" t="str">
        <f ca="1">IFERROR(_xll.qlRateHelperRate(W54,Trigger),"")</f>
        <v/>
      </c>
      <c r="Z54" s="116" t="str">
        <f ca="1">IF(ISERROR(_xll.qlSwapRateHelperSpread($W54)),IF(ISERROR(_xll.qlFuturesRateHelperConvexityAdjustment($W54)),"",_xll.qlFuturesRateHelperConvexityAdjustment($W54)),_xll.qlSwapRateHelperSpread($W54))</f>
        <v/>
      </c>
      <c r="AA54" s="5" t="str">
        <f ca="1">IFERROR(_xll.qlRateHelperEarliestDate(W54,Trigger),"")</f>
        <v/>
      </c>
      <c r="AB54" s="5" t="str">
        <f ca="1">IFERROR(_xll.qlRateHelperPillarDate(W54,Trigger),"")</f>
        <v/>
      </c>
      <c r="AC54" s="84" t="e">
        <f ca="1"/>
        <v>#NAME?</v>
      </c>
    </row>
    <row r="55" spans="1:29" ht="11.25" customHeight="1" x14ac:dyDescent="0.2">
      <c r="A55" s="64" t="s">
        <v>160</v>
      </c>
      <c r="B55" s="65" t="s">
        <v>95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1"/>
        <v>UsdLibor1M</v>
      </c>
      <c r="H55" s="64" t="str">
        <f t="shared" si="12"/>
        <v>USDAM3L30Y_Quote</v>
      </c>
      <c r="I55" s="171" t="str">
        <f t="shared" si="13"/>
        <v>USD3L1L30Y_Quote</v>
      </c>
      <c r="J55" s="70" t="str">
        <f>_xll.qlSwapRateHelper2(,H55,,B55,JoinCalendar,USD1M!D55,USD1M!E55,USD1M!F55,USD1M!G55,USD1M!I55,USD1M!C55,Discounting,PillarDate,,Permanent,Trigger,ObjectOverwrite)</f>
        <v>obj_0028e#0004</v>
      </c>
      <c r="L55" s="12" t="str">
        <f t="shared" si="9"/>
        <v>BasSw</v>
      </c>
      <c r="M55" s="107" t="str">
        <f t="shared" si="10"/>
        <v>--</v>
      </c>
      <c r="N55" s="161" t="str">
        <f>IFERROR(_xll.qlRateHelperQuoteName(M55,Trigger),"--")</f>
        <v>--</v>
      </c>
      <c r="O55" s="113" t="str">
        <f>IFERROR(_xll.qlRateHelperQuoteValue($M55,Trigger),"--")</f>
        <v>--</v>
      </c>
      <c r="P55" s="112" t="b">
        <v>0</v>
      </c>
      <c r="Q55" s="107">
        <v>40</v>
      </c>
      <c r="R55" s="107">
        <v>1</v>
      </c>
      <c r="S55" s="114" t="str">
        <f>IFERROR(_xll.qlRateHelperEarliestDate(M55,Trigger),"--")</f>
        <v>--</v>
      </c>
      <c r="T55" s="114" t="str">
        <f>IFERROR(_xll.qlRateHelperPillarDate(M55,Trigger),"--")</f>
        <v>--</v>
      </c>
      <c r="V55" s="6" t="str">
        <f t="shared" ca="1" si="3"/>
        <v/>
      </c>
      <c r="W55" s="6" t="e">
        <f ca="1"/>
        <v>#NAME?</v>
      </c>
      <c r="X55" s="6" t="str">
        <f ca="1">IFERROR(_xll.qlRateHelperQuoteName(W55,Trigger),"")</f>
        <v/>
      </c>
      <c r="Y55" s="86" t="str">
        <f ca="1">IFERROR(_xll.qlRateHelperRate(W55,Trigger),"")</f>
        <v/>
      </c>
      <c r="Z55" s="117" t="str">
        <f ca="1">IF(ISERROR(_xll.qlSwapRateHelperSpread($W55)),IF(ISERROR(_xll.qlFuturesRateHelperConvexityAdjustment($W55)),"",_xll.qlFuturesRateHelperConvexityAdjustment($W55)),_xll.qlSwapRateHelperSpread($W55))</f>
        <v/>
      </c>
      <c r="AA55" s="13" t="str">
        <f ca="1">IFERROR(_xll.qlRateHelperEarliestDate(W55,Trigger),"")</f>
        <v/>
      </c>
      <c r="AB55" s="13" t="str">
        <f ca="1">IFERROR(_xll.qlRateHelperPillarDate(W55,Trigger),"")</f>
        <v/>
      </c>
      <c r="AC55" s="85" t="e">
        <f ca="1"/>
        <v>#NAME?</v>
      </c>
    </row>
    <row r="56" spans="1:29" ht="11.25" customHeight="1" x14ac:dyDescent="0.2">
      <c r="A56" s="64" t="s">
        <v>160</v>
      </c>
      <c r="B56" s="65" t="s">
        <v>96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1"/>
        <v>UsdLibor1M</v>
      </c>
      <c r="H56" s="64" t="str">
        <f t="shared" si="12"/>
        <v>USDAM3L35Y_Quote</v>
      </c>
      <c r="I56" s="171" t="str">
        <f t="shared" si="13"/>
        <v>USD3L1L35Y_Quote</v>
      </c>
      <c r="J56" s="70"/>
    </row>
    <row r="57" spans="1:29" ht="11.25" customHeight="1" x14ac:dyDescent="0.2">
      <c r="A57" s="64" t="s">
        <v>160</v>
      </c>
      <c r="B57" s="65" t="s">
        <v>97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1"/>
        <v>UsdLibor1M</v>
      </c>
      <c r="H57" s="64" t="str">
        <f t="shared" si="12"/>
        <v>USDAM3L40Y_Quote</v>
      </c>
      <c r="I57" s="171" t="str">
        <f t="shared" si="13"/>
        <v>USD3L1L40Y_Quote</v>
      </c>
      <c r="J57" s="70" t="str">
        <f>_xll.qlSwapRateHelper2(,H57,,B57,JoinCalendar,USD1M!D57,USD1M!E57,USD1M!F57,USD1M!G57,USD1M!I57,USD1M!C57,Discounting,PillarDate,,Permanent,Trigger,ObjectOverwrite)</f>
        <v>obj_0023d#0004</v>
      </c>
    </row>
    <row r="58" spans="1:29" ht="11.25" customHeight="1" x14ac:dyDescent="0.2">
      <c r="A58" s="64" t="s">
        <v>160</v>
      </c>
      <c r="B58" s="65" t="s">
        <v>99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1"/>
        <v>UsdLibor1M</v>
      </c>
      <c r="H58" s="64" t="str">
        <f t="shared" si="12"/>
        <v>USDAM3L50Y_Quote</v>
      </c>
      <c r="I58" s="171" t="str">
        <f t="shared" si="13"/>
        <v>USD3L1L50Y_Quote</v>
      </c>
      <c r="J58" s="70" t="str">
        <f>_xll.qlSwapRateHelper2(,H58,,B58,JoinCalendar,USD1M!D58,USD1M!E58,USD1M!F58,USD1M!G58,USD1M!I58,USD1M!C58,Discounting,PillarDate,,Permanent,Trigger,ObjectOverwrite)</f>
        <v>obj_002c1#0004</v>
      </c>
    </row>
    <row r="59" spans="1:29" ht="11.25" customHeight="1" x14ac:dyDescent="0.2">
      <c r="A59" s="1" t="s">
        <v>160</v>
      </c>
      <c r="B59" s="9" t="s">
        <v>147</v>
      </c>
      <c r="C59" s="7" t="s">
        <v>6</v>
      </c>
      <c r="D59" s="7" t="s">
        <v>8</v>
      </c>
      <c r="E59" s="7" t="s">
        <v>7</v>
      </c>
      <c r="F59" s="7" t="s">
        <v>28</v>
      </c>
      <c r="G59" s="7" t="str">
        <f t="shared" si="11"/>
        <v>UsdLibor1M</v>
      </c>
      <c r="H59" s="1" t="str">
        <f t="shared" si="12"/>
        <v>USDAM3L60Y_Quote</v>
      </c>
      <c r="I59" s="172" t="str">
        <f t="shared" si="13"/>
        <v>USD3L1L60Y_Quote</v>
      </c>
      <c r="J59" s="3"/>
    </row>
    <row r="60" spans="1:29" ht="11.25" customHeight="1" x14ac:dyDescent="0.2"/>
    <row r="61" spans="1:29" ht="11.25" customHeight="1" x14ac:dyDescent="0.2"/>
    <row r="62" spans="1:29" ht="11.25" customHeight="1" x14ac:dyDescent="0.2"/>
    <row r="63" spans="1:29" ht="11.25" customHeight="1" x14ac:dyDescent="0.2"/>
    <row r="64" spans="1:29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1:11" x14ac:dyDescent="0.2">
      <c r="K90" s="51" t="s">
        <v>47</v>
      </c>
    </row>
  </sheetData>
  <mergeCells count="1">
    <mergeCell ref="AE2:AF2"/>
  </mergeCells>
  <dataValidations count="4"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D10:D20 D23:D59">
      <formula1>"Annual,Semiannual,EveryFourthMonth,Quarterly,Bimonthly,Monthly,Biweekly,Weekly,Daily,Once,NoFrequency"</formula1>
    </dataValidation>
    <dataValidation type="list" allowBlank="1" showInputMessage="1" showErrorMessage="1" sqref="E10:E20 E23:E59">
      <formula1>"Following,Modified Following,Preceding,Modified Preceding,Unadjusted,Half-Month Modified Following"</formula1>
    </dataValidation>
    <dataValidation type="list" allowBlank="1" showInputMessage="1" showErrorMessage="1" sqref="F10:F20 F23:F59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4.42578125" style="57" hidden="1" customWidth="1" outlineLevel="1"/>
    <col min="9" max="9" width="9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6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29</v>
      </c>
      <c r="H1" s="55" t="str">
        <f>"_SYNTH"&amp;Tenor</f>
        <v>_SYNTH1Y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USD1Y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78">_xll.qlPiecewiseYieldCurveData(YieldCurve_1Y,Trigger)</f>
        <v>1</v>
      </c>
      <c r="AE2" s="191" t="s">
        <v>118</v>
      </c>
      <c r="AF2" s="192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Currency&amp;"FedFunds"</f>
        <v>USDFedFunds</v>
      </c>
      <c r="H3" s="133" t="str">
        <f t="shared" ref="H3:H18" si="0">Currency&amp;$B3&amp;"D"&amp;$H$1&amp;QuoteSuffix</f>
        <v>USDSND_SYNTH1Y_Quote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78">_xll.qlRateHelperSelection(_xll.ohFilter(RateHelpers,IncludeFlag),_xll.ohFilter(Priority,IncludeFlag),$AF$3,$AF$4,$AF$5,$AF$6,_xll.ohFilter(MinDistance,IncludeFlag),Trigger)</f>
        <v>obj_0027c</v>
      </c>
      <c r="X3" s="4" t="str">
        <f>IFERROR(_xll.qlRateHelperQuoteName(W3,Trigger),"")</f>
        <v>USD1MD_SYNTH1Y_Quote</v>
      </c>
      <c r="Y3" s="76">
        <f>IFERROR(_xll.qlRateHelperRate(W3,Trigger),"")</f>
        <v>8.3949999999999997E-3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42261</v>
      </c>
      <c r="AB3" s="5">
        <f>IFERROR(_xll.qlRateHelperPillarDate(W3,Trigger),"")</f>
        <v>42291</v>
      </c>
      <c r="AC3" s="84">
        <v>0.99930090574135844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Currency&amp;FamilyName&amp;B4</f>
        <v>USDLiborSW</v>
      </c>
      <c r="H4" s="170" t="str">
        <f t="shared" si="0"/>
        <v>USDSWD_SYNTH1Y_Quote</v>
      </c>
      <c r="I4" s="143"/>
      <c r="J4" s="63"/>
      <c r="K4" s="53"/>
      <c r="L4" s="11" t="str">
        <f t="shared" ref="L4:L18" si="1">A4</f>
        <v>Dp</v>
      </c>
      <c r="M4" s="106" t="str">
        <f t="shared" ref="M4:M18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7" si="3">IFERROR(INDEX($L$3:$L$88,MATCH(X4,$N$3:$N$88,0),1),"")</f>
        <v>Dp</v>
      </c>
      <c r="W4" s="4" t="str">
        <v>obj_00281</v>
      </c>
      <c r="X4" s="4" t="str">
        <f>IFERROR(_xll.qlRateHelperQuoteName(W4,Trigger),"")</f>
        <v>USD2MD_SYNTH1Y_Quote</v>
      </c>
      <c r="Y4" s="76">
        <f>IFERROR(_xll.qlRateHelperRate(W4,Trigger),"")</f>
        <v>8.404E-3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42261</v>
      </c>
      <c r="AB4" s="5">
        <f>IFERROR(_xll.qlRateHelperPillarDate(W4,Trigger),"")</f>
        <v>42324</v>
      </c>
      <c r="AC4" s="84">
        <v>0.99853145978209101</v>
      </c>
      <c r="AE4" s="119" t="s">
        <v>120</v>
      </c>
      <c r="AF4" s="120">
        <v>0</v>
      </c>
    </row>
    <row r="5" spans="1:32" ht="11.25" customHeight="1" x14ac:dyDescent="0.2">
      <c r="A5" s="177" t="s">
        <v>27</v>
      </c>
      <c r="B5" s="178" t="s">
        <v>51</v>
      </c>
      <c r="C5" s="179" t="str">
        <f>B5</f>
        <v>2W</v>
      </c>
      <c r="D5" s="180"/>
      <c r="E5" s="180"/>
      <c r="F5" s="180"/>
      <c r="G5" s="181" t="str">
        <f>_xll.qlLibor(,Currency,C5,,Permanent,Trigger,ObjectOverwrite)</f>
        <v>obj_00283#0003</v>
      </c>
      <c r="H5" s="182" t="str">
        <f t="shared" si="0"/>
        <v>USD2WD_SYNTH1Y_Quote</v>
      </c>
      <c r="I5" s="180"/>
      <c r="J5" s="183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obj_00259</v>
      </c>
      <c r="X5" s="4" t="str">
        <f>IFERROR(_xll.qlRateHelperQuoteName(W5,Trigger),"")</f>
        <v>USD3MD_SYNTH1Y_Quote</v>
      </c>
      <c r="Y5" s="76">
        <f>IFERROR(_xll.qlRateHelperRate(W5,Trigger),"")</f>
        <v>8.3420000000000005E-3</v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42261</v>
      </c>
      <c r="AB5" s="5">
        <f>IFERROR(_xll.qlRateHelperPillarDate(W5,Trigger),"")</f>
        <v>42352</v>
      </c>
      <c r="AC5" s="84">
        <v>0.99789576491984044</v>
      </c>
      <c r="AD5" s="87"/>
      <c r="AE5" s="119" t="s">
        <v>121</v>
      </c>
      <c r="AF5" s="120">
        <v>0</v>
      </c>
    </row>
    <row r="6" spans="1:32" ht="11.25" customHeight="1" x14ac:dyDescent="0.2">
      <c r="A6" s="184" t="s">
        <v>27</v>
      </c>
      <c r="B6" s="185" t="s">
        <v>52</v>
      </c>
      <c r="C6" s="186" t="str">
        <f t="shared" ref="C6:C18" si="4">B6</f>
        <v>3W</v>
      </c>
      <c r="D6" s="187"/>
      <c r="E6" s="187"/>
      <c r="F6" s="187"/>
      <c r="G6" s="188" t="str">
        <f>_xll.qlLibor(,Currency,C6,,Permanent,Trigger,ObjectOverwrite)</f>
        <v>obj_0026b#0003</v>
      </c>
      <c r="H6" s="189" t="str">
        <f t="shared" si="0"/>
        <v>USD3WD_SYNTH1Y_Quote</v>
      </c>
      <c r="I6" s="187"/>
      <c r="J6" s="19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Dp</v>
      </c>
      <c r="W6" s="4" t="str">
        <v>obj_002ac</v>
      </c>
      <c r="X6" s="4" t="str">
        <f>IFERROR(_xll.qlRateHelperQuoteName(W6,Trigger),"")</f>
        <v>USD4MD_SYNTH1Y_Quote</v>
      </c>
      <c r="Y6" s="76">
        <f>IFERROR(_xll.qlRateHelperRate(W6,Trigger),"")</f>
        <v>8.4419999999999999E-3</v>
      </c>
      <c r="Z6" s="116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42261</v>
      </c>
      <c r="AB6" s="5">
        <f>IFERROR(_xll.qlRateHelperPillarDate(W6,Trigger),"")</f>
        <v>42383</v>
      </c>
      <c r="AC6" s="84">
        <v>0.9971472613998611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Currency&amp;FamilyName&amp;B7</f>
        <v>USDLibor1M</v>
      </c>
      <c r="H7" s="134" t="str">
        <f t="shared" si="0"/>
        <v>USD1MD_SYNTH1Y_Quote</v>
      </c>
      <c r="I7" s="137"/>
      <c r="J7" s="70" t="str">
        <f>_xll.qlDepositRateHelper(,H7,G7,Permanent,Trigger,ObjectOverwrite)</f>
        <v>obj_0027c#0005</v>
      </c>
      <c r="K7" s="53"/>
      <c r="L7" s="11" t="str">
        <f t="shared" si="1"/>
        <v>Dp</v>
      </c>
      <c r="M7" s="106" t="str">
        <f t="shared" si="2"/>
        <v>obj_0027c#0005</v>
      </c>
      <c r="N7" s="160" t="str">
        <f>IFERROR(_xll.qlRateHelperQuoteName(M7,Trigger),"--")</f>
        <v>USD1MD_SYNTH1Y_Quote</v>
      </c>
      <c r="O7" s="110">
        <f>IFERROR(_xll.qlRateHelperQuoteValue($M7,Trigger),"--")</f>
        <v>8.3949999999999997E-3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42261</v>
      </c>
      <c r="T7" s="111">
        <f>IFERROR(_xll.qlRateHelperPillarDate(M7,Trigger),"--")</f>
        <v>42291</v>
      </c>
      <c r="V7" s="4" t="str">
        <f t="shared" si="3"/>
        <v>Dp</v>
      </c>
      <c r="W7" s="4" t="str">
        <v>obj_0025b</v>
      </c>
      <c r="X7" s="4" t="str">
        <f>IFERROR(_xll.qlRateHelperQuoteName(W7,Trigger),"")</f>
        <v>USD5MD_SYNTH1Y_Quote</v>
      </c>
      <c r="Y7" s="76">
        <f>IFERROR(_xll.qlRateHelperRate(W7,Trigger),"")</f>
        <v>8.4220000000000007E-3</v>
      </c>
      <c r="Z7" s="116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42261</v>
      </c>
      <c r="AB7" s="5">
        <f>IFERROR(_xll.qlRateHelperPillarDate(W7,Trigger),"")</f>
        <v>42415</v>
      </c>
      <c r="AC7" s="84">
        <v>0.99641018872817189</v>
      </c>
    </row>
    <row r="8" spans="1:32" ht="11.25" customHeight="1" x14ac:dyDescent="0.25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Currency&amp;FamilyName&amp;B8</f>
        <v>USDLibor2M</v>
      </c>
      <c r="H8" s="134" t="str">
        <f t="shared" si="0"/>
        <v>USD2MD_SYNTH1Y_Quote</v>
      </c>
      <c r="I8" s="137"/>
      <c r="J8" s="70" t="str">
        <f>_xll.qlDepositRateHelper(,H8,G8,Permanent,Trigger,ObjectOverwrite)</f>
        <v>obj_00281#0005</v>
      </c>
      <c r="K8" s="53"/>
      <c r="L8" s="11" t="str">
        <f t="shared" si="1"/>
        <v>Dp</v>
      </c>
      <c r="M8" s="106" t="str">
        <f t="shared" si="2"/>
        <v>obj_00281#0005</v>
      </c>
      <c r="N8" s="160" t="str">
        <f>IFERROR(_xll.qlRateHelperQuoteName(M8,Trigger),"--")</f>
        <v>USD2MD_SYNTH1Y_Quote</v>
      </c>
      <c r="O8" s="110">
        <f>IFERROR(_xll.qlRateHelperQuoteValue($M8,Trigger),"--")</f>
        <v>8.404E-3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42261</v>
      </c>
      <c r="T8" s="111">
        <f>IFERROR(_xll.qlRateHelperPillarDate(M8,Trigger),"--")</f>
        <v>42324</v>
      </c>
      <c r="V8" s="4" t="str">
        <f t="shared" si="3"/>
        <v>Dp</v>
      </c>
      <c r="W8" s="4" t="str">
        <v>obj_0025f</v>
      </c>
      <c r="X8" s="4" t="str">
        <f>IFERROR(_xll.qlRateHelperQuoteName(W8,Trigger),"")</f>
        <v>USD6MD_SYNTH1Y_Quote</v>
      </c>
      <c r="Y8" s="76">
        <f>IFERROR(_xll.qlRateHelperRate(W8,Trigger),"")</f>
        <v>8.3940000000000004E-3</v>
      </c>
      <c r="Z8" s="116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42261</v>
      </c>
      <c r="AB8" s="5">
        <f>IFERROR(_xll.qlRateHelperPillarDate(W8,Trigger),"")</f>
        <v>42443</v>
      </c>
      <c r="AC8" s="84">
        <v>0.99577429899231962</v>
      </c>
    </row>
    <row r="9" spans="1:32" ht="11.25" customHeight="1" x14ac:dyDescent="0.25">
      <c r="A9" s="64" t="s">
        <v>27</v>
      </c>
      <c r="B9" s="65" t="s">
        <v>0</v>
      </c>
      <c r="C9" s="68" t="str">
        <f t="shared" si="4"/>
        <v>3M</v>
      </c>
      <c r="D9" s="137"/>
      <c r="E9" s="137"/>
      <c r="F9" s="137"/>
      <c r="G9" s="66" t="str">
        <f>Currency&amp;FamilyName&amp;B9</f>
        <v>USDLibor3M</v>
      </c>
      <c r="H9" s="134" t="str">
        <f t="shared" si="0"/>
        <v>USD3MD_SYNTH1Y_Quote</v>
      </c>
      <c r="I9" s="137"/>
      <c r="J9" s="70" t="str">
        <f>_xll.qlDepositRateHelper(,H9,G9,Permanent,Trigger,ObjectOverwrite)</f>
        <v>obj_00259#0005</v>
      </c>
      <c r="K9" s="53"/>
      <c r="L9" s="11" t="str">
        <f t="shared" si="1"/>
        <v>Dp</v>
      </c>
      <c r="M9" s="106" t="str">
        <f t="shared" si="2"/>
        <v>obj_00259#0005</v>
      </c>
      <c r="N9" s="160" t="str">
        <f>IFERROR(_xll.qlRateHelperQuoteName(M9,Trigger),"--")</f>
        <v>USD3MD_SYNTH1Y_Quote</v>
      </c>
      <c r="O9" s="110">
        <f>IFERROR(_xll.qlRateHelperQuoteValue($M9,Trigger),"--")</f>
        <v>8.3420000000000005E-3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42261</v>
      </c>
      <c r="T9" s="111">
        <f>IFERROR(_xll.qlRateHelperPillarDate(M9,Trigger),"--")</f>
        <v>42352</v>
      </c>
      <c r="V9" s="4" t="str">
        <f t="shared" si="3"/>
        <v>Dp</v>
      </c>
      <c r="W9" s="4" t="str">
        <v>obj_002c0</v>
      </c>
      <c r="X9" s="4" t="str">
        <f>IFERROR(_xll.qlRateHelperQuoteName(W9,Trigger),"")</f>
        <v>USD9MD_SYNTH1Y_Quote</v>
      </c>
      <c r="Y9" s="76">
        <f>IFERROR(_xll.qlRateHelperRate(W9,Trigger),"")</f>
        <v>8.4600000000000005E-3</v>
      </c>
      <c r="Z9" s="116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42261</v>
      </c>
      <c r="AB9" s="5">
        <f>IFERROR(_xll.qlRateHelperPillarDate(W9,Trigger),"")</f>
        <v>42535</v>
      </c>
      <c r="AC9" s="84">
        <v>0.99360219546341189</v>
      </c>
    </row>
    <row r="10" spans="1:32" ht="11.25" customHeight="1" x14ac:dyDescent="0.25">
      <c r="A10" s="177" t="s">
        <v>27</v>
      </c>
      <c r="B10" s="178" t="s">
        <v>54</v>
      </c>
      <c r="C10" s="179" t="str">
        <f t="shared" si="4"/>
        <v>4M</v>
      </c>
      <c r="D10" s="180"/>
      <c r="E10" s="180"/>
      <c r="F10" s="180"/>
      <c r="G10" s="181" t="str">
        <f>_xll.qlLibor(,Currency,C10,,Permanent,Trigger,ObjectOverwrite)</f>
        <v>obj_0027e#0003</v>
      </c>
      <c r="H10" s="182" t="str">
        <f t="shared" si="0"/>
        <v>USD4MD_SYNTH1Y_Quote</v>
      </c>
      <c r="I10" s="180"/>
      <c r="J10" s="183" t="str">
        <f>_xll.qlDepositRateHelper(,H10,G10,Permanent,Trigger,ObjectOverwrite)</f>
        <v>obj_002ac#0004</v>
      </c>
      <c r="K10" s="53"/>
      <c r="L10" s="11" t="str">
        <f t="shared" si="1"/>
        <v>Dp</v>
      </c>
      <c r="M10" s="106" t="str">
        <f t="shared" si="2"/>
        <v>obj_002ac#0004</v>
      </c>
      <c r="N10" s="160" t="str">
        <f>IFERROR(_xll.qlRateHelperQuoteName(M10,Trigger),"--")</f>
        <v>USD4MD_SYNTH1Y_Quote</v>
      </c>
      <c r="O10" s="110">
        <f>IFERROR(_xll.qlRateHelperQuoteValue($M10,Trigger),"--")</f>
        <v>8.4419999999999999E-3</v>
      </c>
      <c r="P10" s="109" t="b">
        <v>1</v>
      </c>
      <c r="Q10" s="106">
        <v>10</v>
      </c>
      <c r="R10" s="106">
        <v>1</v>
      </c>
      <c r="S10" s="111">
        <f>IFERROR(_xll.qlRateHelperEarliestDate(M10,Trigger),"--")</f>
        <v>42261</v>
      </c>
      <c r="T10" s="111">
        <f>IFERROR(_xll.qlRateHelperPillarDate(M10,Trigger),"--")</f>
        <v>42383</v>
      </c>
      <c r="V10" s="4" t="str">
        <f t="shared" si="3"/>
        <v>Dp</v>
      </c>
      <c r="W10" s="4" t="str">
        <v>obj_00277</v>
      </c>
      <c r="X10" s="4" t="str">
        <f>IFERROR(_xll.qlRateHelperQuoteName(W10,Trigger),"")</f>
        <v>USD1YD_SYNTH1Y_Quote</v>
      </c>
      <c r="Y10" s="76">
        <f>IFERROR(_xll.qlRateHelperRate(W10,Trigger),"")</f>
        <v>8.5459999999999998E-3</v>
      </c>
      <c r="Z10" s="116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42261</v>
      </c>
      <c r="AB10" s="5">
        <f>IFERROR(_xll.qlRateHelperPillarDate(W10,Trigger),"")</f>
        <v>42627</v>
      </c>
      <c r="AC10" s="84">
        <v>0.99138640530989697</v>
      </c>
    </row>
    <row r="11" spans="1:32" ht="11.25" customHeight="1" x14ac:dyDescent="0.25">
      <c r="A11" s="184" t="s">
        <v>27</v>
      </c>
      <c r="B11" s="185" t="s">
        <v>55</v>
      </c>
      <c r="C11" s="186" t="str">
        <f t="shared" si="4"/>
        <v>5M</v>
      </c>
      <c r="D11" s="187"/>
      <c r="E11" s="187"/>
      <c r="F11" s="187"/>
      <c r="G11" s="188" t="str">
        <f>_xll.qlLibor(,Currency,C11,,Permanent,Trigger,ObjectOverwrite)</f>
        <v>obj_00245#0003</v>
      </c>
      <c r="H11" s="189" t="str">
        <f t="shared" si="0"/>
        <v>USD5MD_SYNTH1Y_Quote</v>
      </c>
      <c r="I11" s="187"/>
      <c r="J11" s="190" t="str">
        <f>_xll.qlDepositRateHelper(,H11,G11,Permanent,Trigger,ObjectOverwrite)</f>
        <v>obj_0025b#0004</v>
      </c>
      <c r="K11" s="53"/>
      <c r="L11" s="11" t="str">
        <f t="shared" si="1"/>
        <v>Dp</v>
      </c>
      <c r="M11" s="106" t="str">
        <f t="shared" si="2"/>
        <v>obj_0025b#0004</v>
      </c>
      <c r="N11" s="160" t="str">
        <f>IFERROR(_xll.qlRateHelperQuoteName(M11,Trigger),"--")</f>
        <v>USD5MD_SYNTH1Y_Quote</v>
      </c>
      <c r="O11" s="110">
        <f>IFERROR(_xll.qlRateHelperQuoteValue($M11,Trigger),"--")</f>
        <v>8.4220000000000007E-3</v>
      </c>
      <c r="P11" s="109" t="b">
        <v>1</v>
      </c>
      <c r="Q11" s="106">
        <v>10</v>
      </c>
      <c r="R11" s="106">
        <v>1</v>
      </c>
      <c r="S11" s="111">
        <f>IFERROR(_xll.qlRateHelperEarliestDate(M11,Trigger),"--")</f>
        <v>42261</v>
      </c>
      <c r="T11" s="111">
        <f>IFERROR(_xll.qlRateHelperPillarDate(M11,Trigger),"--")</f>
        <v>42415</v>
      </c>
      <c r="V11" s="4" t="str">
        <f t="shared" si="3"/>
        <v>FRA</v>
      </c>
      <c r="W11" s="4" t="str">
        <v>obj_00262</v>
      </c>
      <c r="X11" s="4" t="str">
        <f>IFERROR(_xll.qlRateHelperQuoteName(W11,Trigger),"")</f>
        <v>USD1x13F_Quote</v>
      </c>
      <c r="Y11" s="76">
        <f>IFERROR(_xll.qlRateHelperRate(W11,Trigger),"")</f>
        <v>8.6000000000000017E-3</v>
      </c>
      <c r="Z11" s="116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42291</v>
      </c>
      <c r="AB11" s="5">
        <f>IFERROR(_xll.qlRateHelperPillarDate(W11,Trigger),"")</f>
        <v>42657</v>
      </c>
      <c r="AC11" s="84">
        <v>0.99063941512181009</v>
      </c>
    </row>
    <row r="12" spans="1:32" ht="11.25" customHeight="1" x14ac:dyDescent="0.25">
      <c r="A12" s="64" t="s">
        <v>27</v>
      </c>
      <c r="B12" s="65" t="s">
        <v>3</v>
      </c>
      <c r="C12" s="68" t="str">
        <f t="shared" si="4"/>
        <v>6M</v>
      </c>
      <c r="D12" s="137"/>
      <c r="E12" s="137"/>
      <c r="F12" s="137"/>
      <c r="G12" s="66" t="str">
        <f>Currency&amp;FamilyName&amp;B12</f>
        <v>USDLibor6M</v>
      </c>
      <c r="H12" s="134" t="str">
        <f t="shared" si="0"/>
        <v>USD6MD_SYNTH1Y_Quote</v>
      </c>
      <c r="I12" s="137"/>
      <c r="J12" s="70" t="str">
        <f>_xll.qlDepositRateHelper(,H12,G12,Permanent,Trigger,ObjectOverwrite)</f>
        <v>obj_0025f#0007</v>
      </c>
      <c r="K12" s="53" t="s">
        <v>47</v>
      </c>
      <c r="L12" s="11" t="str">
        <f t="shared" si="1"/>
        <v>Dp</v>
      </c>
      <c r="M12" s="106" t="str">
        <f t="shared" si="2"/>
        <v>obj_0025f#0007</v>
      </c>
      <c r="N12" s="160" t="str">
        <f>IFERROR(_xll.qlRateHelperQuoteName(M12,Trigger),"--")</f>
        <v>USD6MD_SYNTH1Y_Quote</v>
      </c>
      <c r="O12" s="110">
        <f>IFERROR(_xll.qlRateHelperQuoteValue($M12,Trigger),"--")</f>
        <v>8.3940000000000004E-3</v>
      </c>
      <c r="P12" s="109" t="b">
        <v>1</v>
      </c>
      <c r="Q12" s="106">
        <v>10</v>
      </c>
      <c r="R12" s="106">
        <v>1</v>
      </c>
      <c r="S12" s="111">
        <f>IFERROR(_xll.qlRateHelperEarliestDate(M12,Trigger),"--")</f>
        <v>42261</v>
      </c>
      <c r="T12" s="111">
        <f>IFERROR(_xll.qlRateHelperPillarDate(M12,Trigger),"--")</f>
        <v>42443</v>
      </c>
      <c r="V12" s="4" t="str">
        <f t="shared" si="3"/>
        <v>FRA</v>
      </c>
      <c r="W12" s="4" t="str">
        <v>obj_0026c</v>
      </c>
      <c r="X12" s="4" t="str">
        <f>IFERROR(_xll.qlRateHelperQuoteName(W12,Trigger),"")</f>
        <v>USD2x14F_Quote</v>
      </c>
      <c r="Y12" s="76">
        <f>IFERROR(_xll.qlRateHelperRate(W12,Trigger),"")</f>
        <v>8.6199999999999992E-3</v>
      </c>
      <c r="Z12" s="116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42324</v>
      </c>
      <c r="AB12" s="5">
        <f>IFERROR(_xll.qlRateHelperPillarDate(W12,Trigger),"")</f>
        <v>42688</v>
      </c>
      <c r="AC12" s="84">
        <v>0.98990085658104521</v>
      </c>
    </row>
    <row r="13" spans="1:32" ht="11.25" customHeight="1" x14ac:dyDescent="0.2">
      <c r="A13" s="177" t="s">
        <v>27</v>
      </c>
      <c r="B13" s="178" t="s">
        <v>56</v>
      </c>
      <c r="C13" s="179" t="str">
        <f t="shared" si="4"/>
        <v>7M</v>
      </c>
      <c r="D13" s="180"/>
      <c r="E13" s="180"/>
      <c r="F13" s="180"/>
      <c r="G13" s="181" t="str">
        <f>_xll.qlLibor(,Currency,C13,,Permanent,Trigger,ObjectOverwrite)</f>
        <v>obj_00264#0003</v>
      </c>
      <c r="H13" s="182" t="str">
        <f t="shared" si="0"/>
        <v>USD7MD_SYNTH1Y_Quote</v>
      </c>
      <c r="I13" s="180"/>
      <c r="J13" s="183"/>
      <c r="K13" s="53"/>
      <c r="L13" s="11" t="str">
        <f t="shared" si="1"/>
        <v>Dp</v>
      </c>
      <c r="M13" s="106" t="str">
        <f t="shared" si="2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10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FRA</v>
      </c>
      <c r="W13" s="4" t="str">
        <v>obj_0024f</v>
      </c>
      <c r="X13" s="4" t="str">
        <f>IFERROR(_xll.qlRateHelperQuoteName(W13,Trigger),"")</f>
        <v>USD3x15F_Quote</v>
      </c>
      <c r="Y13" s="76">
        <f>IFERROR(_xll.qlRateHelperRate(W13,Trigger),"")</f>
        <v>8.6899999999999998E-3</v>
      </c>
      <c r="Z13" s="116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42352</v>
      </c>
      <c r="AB13" s="5">
        <f>IFERROR(_xll.qlRateHelperPillarDate(W13,Trigger),"")</f>
        <v>42718</v>
      </c>
      <c r="AC13" s="84">
        <v>0.98915673006913474</v>
      </c>
    </row>
    <row r="14" spans="1:32" ht="11.25" customHeight="1" x14ac:dyDescent="0.2">
      <c r="A14" s="64" t="s">
        <v>27</v>
      </c>
      <c r="B14" s="65" t="s">
        <v>57</v>
      </c>
      <c r="C14" s="68" t="str">
        <f t="shared" si="4"/>
        <v>8M</v>
      </c>
      <c r="D14" s="137"/>
      <c r="E14" s="137"/>
      <c r="F14" s="137"/>
      <c r="G14" s="66" t="str">
        <f>_xll.qlLibor(,Currency,C14,,Permanent,Trigger,ObjectOverwrite)</f>
        <v>obj_0025d#0003</v>
      </c>
      <c r="H14" s="134" t="str">
        <f t="shared" si="0"/>
        <v>USD8MD_SYNTH1Y_Quote</v>
      </c>
      <c r="I14" s="137"/>
      <c r="J14" s="70"/>
      <c r="K14" s="53"/>
      <c r="L14" s="11" t="str">
        <f t="shared" si="1"/>
        <v>Dp</v>
      </c>
      <c r="M14" s="106" t="str">
        <f t="shared" si="2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10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FRA</v>
      </c>
      <c r="W14" s="4" t="str">
        <v>obj_00253</v>
      </c>
      <c r="X14" s="4" t="str">
        <f>IFERROR(_xll.qlRateHelperQuoteName(W14,Trigger),"")</f>
        <v>USD4x16F_Quote</v>
      </c>
      <c r="Y14" s="76">
        <f>IFERROR(_xll.qlRateHelperRate(W14,Trigger),"")</f>
        <v>9.2399999999999999E-3</v>
      </c>
      <c r="Z14" s="116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42383</v>
      </c>
      <c r="AB14" s="5">
        <f>IFERROR(_xll.qlRateHelperPillarDate(W14,Trigger),"")</f>
        <v>42751</v>
      </c>
      <c r="AC14" s="84">
        <v>0.98783433746181315</v>
      </c>
    </row>
    <row r="15" spans="1:32" ht="11.25" customHeight="1" x14ac:dyDescent="0.2">
      <c r="A15" s="64" t="s">
        <v>27</v>
      </c>
      <c r="B15" s="65" t="s">
        <v>58</v>
      </c>
      <c r="C15" s="68" t="str">
        <f t="shared" si="4"/>
        <v>9M</v>
      </c>
      <c r="D15" s="137"/>
      <c r="E15" s="137"/>
      <c r="F15" s="137"/>
      <c r="G15" s="66" t="str">
        <f>_xll.qlLibor(,Currency,C15,,Permanent,Trigger,ObjectOverwrite)</f>
        <v>obj_00243#0003</v>
      </c>
      <c r="H15" s="134" t="str">
        <f t="shared" si="0"/>
        <v>USD9MD_SYNTH1Y_Quote</v>
      </c>
      <c r="I15" s="137"/>
      <c r="J15" s="70" t="str">
        <f>_xll.qlDepositRateHelper(,H15,G15,Permanent,Trigger,ObjectOverwrite)</f>
        <v>obj_002c0#0004</v>
      </c>
      <c r="K15" s="53"/>
      <c r="L15" s="11" t="str">
        <f t="shared" si="1"/>
        <v>Dp</v>
      </c>
      <c r="M15" s="106" t="str">
        <f t="shared" si="2"/>
        <v>obj_002c0#0004</v>
      </c>
      <c r="N15" s="160" t="str">
        <f>IFERROR(_xll.qlRateHelperQuoteName(M15,Trigger),"--")</f>
        <v>USD9MD_SYNTH1Y_Quote</v>
      </c>
      <c r="O15" s="110">
        <f>IFERROR(_xll.qlRateHelperQuoteValue($M15,Trigger),"--")</f>
        <v>8.4600000000000005E-3</v>
      </c>
      <c r="P15" s="109" t="b">
        <v>1</v>
      </c>
      <c r="Q15" s="106">
        <v>10</v>
      </c>
      <c r="R15" s="106">
        <v>1</v>
      </c>
      <c r="S15" s="111">
        <f>IFERROR(_xll.qlRateHelperEarliestDate(M15,Trigger),"--")</f>
        <v>42261</v>
      </c>
      <c r="T15" s="111">
        <f>IFERROR(_xll.qlRateHelperPillarDate(M15,Trigger),"--")</f>
        <v>42535</v>
      </c>
      <c r="V15" s="4" t="str">
        <f t="shared" si="3"/>
        <v>FRA</v>
      </c>
      <c r="W15" s="4" t="str">
        <v>obj_00254</v>
      </c>
      <c r="X15" s="4" t="str">
        <f>IFERROR(_xll.qlRateHelperQuoteName(W15,Trigger),"")</f>
        <v>USD5x17F_Quote</v>
      </c>
      <c r="Y15" s="76">
        <f>IFERROR(_xll.qlRateHelperRate(W15,Trigger),"")</f>
        <v>9.7999999999999997E-3</v>
      </c>
      <c r="Z15" s="116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42415</v>
      </c>
      <c r="AB15" s="5">
        <f>IFERROR(_xll.qlRateHelperPillarDate(W15,Trigger),"")</f>
        <v>42780</v>
      </c>
      <c r="AC15" s="84">
        <v>0.98664037824869311</v>
      </c>
    </row>
    <row r="16" spans="1:32" ht="11.25" customHeight="1" x14ac:dyDescent="0.2">
      <c r="A16" s="64" t="s">
        <v>27</v>
      </c>
      <c r="B16" s="65" t="s">
        <v>59</v>
      </c>
      <c r="C16" s="68" t="str">
        <f t="shared" si="4"/>
        <v>10M</v>
      </c>
      <c r="D16" s="137"/>
      <c r="E16" s="137"/>
      <c r="F16" s="137"/>
      <c r="G16" s="66" t="str">
        <f>_xll.qlLibor(,Currency,C16,,Permanent,Trigger,ObjectOverwrite)</f>
        <v>obj_00279#0003</v>
      </c>
      <c r="H16" s="134" t="str">
        <f t="shared" si="0"/>
        <v>USD10MD_SYNTH1Y_Quote</v>
      </c>
      <c r="I16" s="137"/>
      <c r="J16" s="70"/>
      <c r="K16" s="53"/>
      <c r="L16" s="11" t="str">
        <f t="shared" si="1"/>
        <v>Dp</v>
      </c>
      <c r="M16" s="106" t="str">
        <f t="shared" si="2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10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FRA</v>
      </c>
      <c r="W16" s="4" t="str">
        <v>obj_00265</v>
      </c>
      <c r="X16" s="4" t="str">
        <f>IFERROR(_xll.qlRateHelperQuoteName(W16,Trigger),"")</f>
        <v>USD6x18F_Quote</v>
      </c>
      <c r="Y16" s="76">
        <f>IFERROR(_xll.qlRateHelperRate(W16,Trigger),"")</f>
        <v>1.03E-2</v>
      </c>
      <c r="Z16" s="116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42443</v>
      </c>
      <c r="AB16" s="5">
        <f>IFERROR(_xll.qlRateHelperPillarDate(W16,Trigger),"")</f>
        <v>42808</v>
      </c>
      <c r="AC16" s="84">
        <v>0.98548284687340792</v>
      </c>
    </row>
    <row r="17" spans="1:29" ht="11.25" customHeight="1" x14ac:dyDescent="0.2">
      <c r="A17" s="184" t="s">
        <v>27</v>
      </c>
      <c r="B17" s="185" t="s">
        <v>60</v>
      </c>
      <c r="C17" s="186" t="str">
        <f t="shared" si="4"/>
        <v>11M</v>
      </c>
      <c r="D17" s="187"/>
      <c r="E17" s="187"/>
      <c r="F17" s="187"/>
      <c r="G17" s="188" t="str">
        <f>_xll.qlLibor(,Currency,C17,,Permanent,Trigger,ObjectOverwrite)</f>
        <v>obj_0024e#0003</v>
      </c>
      <c r="H17" s="189" t="str">
        <f t="shared" si="0"/>
        <v>USD11MD_SYNTH1Y_Quote</v>
      </c>
      <c r="I17" s="187"/>
      <c r="J17" s="190"/>
      <c r="K17" s="53"/>
      <c r="L17" s="11" t="str">
        <f t="shared" si="1"/>
        <v>Dp</v>
      </c>
      <c r="M17" s="106" t="str">
        <f t="shared" si="2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10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FRA</v>
      </c>
      <c r="W17" s="4" t="str">
        <v>obj_0027b</v>
      </c>
      <c r="X17" s="4" t="str">
        <f>IFERROR(_xll.qlRateHelperQuoteName(W17,Trigger),"")</f>
        <v>USD9x21F_Quote</v>
      </c>
      <c r="Y17" s="76">
        <f>IFERROR(_xll.qlRateHelperRate(W17,Trigger),"")</f>
        <v>1.1930000000000001E-2</v>
      </c>
      <c r="Z17" s="116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42535</v>
      </c>
      <c r="AB17" s="5">
        <f>IFERROR(_xll.qlRateHelperPillarDate(W17,Trigger),"")</f>
        <v>42900</v>
      </c>
      <c r="AC17" s="84">
        <v>0.9817275193615127</v>
      </c>
    </row>
    <row r="18" spans="1:29" ht="11.25" customHeight="1" x14ac:dyDescent="0.2">
      <c r="A18" s="1" t="s">
        <v>27</v>
      </c>
      <c r="B18" s="9" t="s">
        <v>29</v>
      </c>
      <c r="C18" s="10" t="str">
        <f t="shared" si="4"/>
        <v>1Y</v>
      </c>
      <c r="D18" s="138"/>
      <c r="E18" s="138"/>
      <c r="F18" s="138"/>
      <c r="G18" s="7" t="str">
        <f>Currency&amp;FamilyName&amp;B18</f>
        <v>USDLibor1Y</v>
      </c>
      <c r="H18" s="135" t="str">
        <f t="shared" si="0"/>
        <v>USD1YD_SYNTH1Y_Quote</v>
      </c>
      <c r="I18" s="138"/>
      <c r="J18" s="3" t="str">
        <f>_xll.qlDepositRateHelper(,H18,G18,Permanent,Trigger,ObjectOverwrite)</f>
        <v>obj_00277#0005</v>
      </c>
      <c r="K18" s="53"/>
      <c r="L18" s="12" t="str">
        <f t="shared" si="1"/>
        <v>Dp</v>
      </c>
      <c r="M18" s="107" t="str">
        <f t="shared" si="2"/>
        <v>obj_00277#0005</v>
      </c>
      <c r="N18" s="161" t="str">
        <f>IFERROR(_xll.qlRateHelperQuoteName(M18,Trigger),"--")</f>
        <v>USD1YD_SYNTH1Y_Quote</v>
      </c>
      <c r="O18" s="113">
        <f>IFERROR(_xll.qlRateHelperQuoteValue($M18,Trigger),"--")</f>
        <v>8.5459999999999998E-3</v>
      </c>
      <c r="P18" s="112" t="b">
        <v>1</v>
      </c>
      <c r="Q18" s="107">
        <v>10</v>
      </c>
      <c r="R18" s="107">
        <v>1</v>
      </c>
      <c r="S18" s="114">
        <f>IFERROR(_xll.qlRateHelperEarliestDate(M18,Trigger),"--")</f>
        <v>42261</v>
      </c>
      <c r="T18" s="114">
        <f>IFERROR(_xll.qlRateHelperPillarDate(M18,Trigger),"--")</f>
        <v>42627</v>
      </c>
      <c r="V18" s="4" t="str">
        <f t="shared" si="3"/>
        <v>BasSw</v>
      </c>
      <c r="W18" s="4" t="str">
        <v>obj_002d4</v>
      </c>
      <c r="X18" s="4" t="str">
        <f>IFERROR(_xll.qlRateHelperQuoteName(W18,Trigger),"")</f>
        <v>USDAM3L2Y_S12L3L_Quote</v>
      </c>
      <c r="Y18" s="76">
        <f>IFERROR(_xll.qlRateHelperRate(W18,Trigger),"")</f>
        <v>1.1400906316446751E-2</v>
      </c>
      <c r="Z18" s="116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42261</v>
      </c>
      <c r="AB18" s="5">
        <f>IFERROR(_xll.qlRateHelperPillarDate(W18,Trigger),"")</f>
        <v>42992</v>
      </c>
      <c r="AC18" s="84">
        <v>0.97722724679897977</v>
      </c>
    </row>
    <row r="19" spans="1:29" ht="11.25" customHeight="1" x14ac:dyDescent="0.2">
      <c r="B19" s="51"/>
      <c r="C19" s="51">
        <v>12</v>
      </c>
      <c r="D19" s="51"/>
      <c r="E19" s="51"/>
      <c r="F19" s="51"/>
      <c r="G19" s="51"/>
      <c r="H19" s="51"/>
      <c r="K19" s="53"/>
      <c r="L19" s="74" t="str">
        <f>A21</f>
        <v>FRA</v>
      </c>
      <c r="M19" s="145" t="str">
        <f>IF(ISBLANK(J21),"--",J21)</f>
        <v>obj_00262#0010</v>
      </c>
      <c r="N19" s="159" t="str">
        <f>IFERROR(_xll.qlRateHelperQuoteName(M19,Trigger),"--")</f>
        <v>USD1x13F_Quote</v>
      </c>
      <c r="O19" s="147">
        <f>IFERROR(_xll.qlRateHelperQuoteValue($M19,Trigger),"--")</f>
        <v>8.6000000000000017E-3</v>
      </c>
      <c r="P19" s="146" t="b">
        <v>1</v>
      </c>
      <c r="Q19" s="145">
        <v>20</v>
      </c>
      <c r="R19" s="145">
        <v>1</v>
      </c>
      <c r="S19" s="148">
        <f>IFERROR(_xll.qlRateHelperEarliestDate(M19,Trigger),"--")</f>
        <v>42291</v>
      </c>
      <c r="T19" s="148">
        <f>IFERROR(_xll.qlRateHelperPillarDate(M19,Trigger),"--")</f>
        <v>42657</v>
      </c>
      <c r="V19" s="4" t="str">
        <f t="shared" si="3"/>
        <v>BasSw</v>
      </c>
      <c r="W19" s="4" t="str">
        <v>obj_0029a</v>
      </c>
      <c r="X19" s="4" t="str">
        <f>IFERROR(_xll.qlRateHelperQuoteName(W19,Trigger),"")</f>
        <v>USDAM3L3Y_S12L3L_Quote</v>
      </c>
      <c r="Y19" s="76">
        <f>IFERROR(_xll.qlRateHelperRate(W19,Trigger),"")</f>
        <v>1.3915041003941378E-2</v>
      </c>
      <c r="Z19" s="116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42261</v>
      </c>
      <c r="AB19" s="5">
        <f>IFERROR(_xll.qlRateHelperPillarDate(W19,Trigger),"")</f>
        <v>43357</v>
      </c>
      <c r="AC19" s="84">
        <v>0.95870879912416074</v>
      </c>
    </row>
    <row r="20" spans="1:29" ht="11.25" customHeight="1" x14ac:dyDescent="0.2">
      <c r="A20" s="71" t="s">
        <v>9</v>
      </c>
      <c r="B20" s="71" t="s">
        <v>126</v>
      </c>
      <c r="C20" s="71" t="s">
        <v>127</v>
      </c>
      <c r="D20" s="71"/>
      <c r="E20" s="71"/>
      <c r="F20" s="71"/>
      <c r="G20" s="71" t="s">
        <v>4</v>
      </c>
      <c r="H20" s="71" t="s">
        <v>1</v>
      </c>
      <c r="I20" s="71"/>
      <c r="J20" s="71" t="s">
        <v>25</v>
      </c>
      <c r="K20" s="53"/>
      <c r="L20" s="11" t="str">
        <f t="shared" ref="L20:L42" si="5">A22</f>
        <v>FRA</v>
      </c>
      <c r="M20" s="106" t="str">
        <f t="shared" ref="M20:M42" si="6">IF(ISBLANK(J22),"--",J22)</f>
        <v>obj_0026c#0006</v>
      </c>
      <c r="N20" s="160" t="str">
        <f>IFERROR(_xll.qlRateHelperQuoteName(M20,Trigger),"--")</f>
        <v>USD2x14F_Quote</v>
      </c>
      <c r="O20" s="110">
        <f>IFERROR(_xll.qlRateHelperQuoteValue($M20,Trigger),"--")</f>
        <v>8.6199999999999992E-3</v>
      </c>
      <c r="P20" s="109" t="b">
        <v>1</v>
      </c>
      <c r="Q20" s="106">
        <v>20</v>
      </c>
      <c r="R20" s="106">
        <v>1</v>
      </c>
      <c r="S20" s="111">
        <f>IFERROR(_xll.qlRateHelperEarliestDate(M20,Trigger),"--")</f>
        <v>42324</v>
      </c>
      <c r="T20" s="111">
        <f>IFERROR(_xll.qlRateHelperPillarDate(M20,Trigger),"--")</f>
        <v>42688</v>
      </c>
      <c r="V20" s="4" t="str">
        <f t="shared" si="3"/>
        <v>BasSw</v>
      </c>
      <c r="W20" s="4" t="str">
        <v>obj_002a1</v>
      </c>
      <c r="X20" s="4" t="str">
        <f>IFERROR(_xll.qlRateHelperQuoteName(W20,Trigger),"")</f>
        <v>USDAM3L4Y_S12L3L_Quote</v>
      </c>
      <c r="Y20" s="76">
        <f>IFERROR(_xll.qlRateHelperRate(W20,Trigger),"")</f>
        <v>1.6274300771919804E-2</v>
      </c>
      <c r="Z20" s="116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42261</v>
      </c>
      <c r="AB20" s="5">
        <f>IFERROR(_xll.qlRateHelperPillarDate(W20,Trigger),"")</f>
        <v>43724</v>
      </c>
      <c r="AC20" s="84">
        <v>0.93623208744696629</v>
      </c>
    </row>
    <row r="21" spans="1:29" ht="11.25" customHeight="1" x14ac:dyDescent="0.2">
      <c r="A21" s="58" t="s">
        <v>128</v>
      </c>
      <c r="B21" s="127">
        <v>1</v>
      </c>
      <c r="C21" s="61" t="str">
        <f>"x"&amp;B21+$C$19&amp;"F"</f>
        <v>x13F</v>
      </c>
      <c r="D21" s="143"/>
      <c r="E21" s="143"/>
      <c r="F21" s="143"/>
      <c r="G21" s="60" t="str">
        <f t="shared" ref="G21:G44" si="7">PROPER(Currency)&amp;FamilyName&amp;Tenor</f>
        <v>UsdLibor1Y</v>
      </c>
      <c r="H21" s="130" t="str">
        <f t="shared" ref="H21:H29" si="8">Currency&amp;B21&amp;C21&amp;QuoteSuffix</f>
        <v>USD1x13F_Quote</v>
      </c>
      <c r="I21" s="143"/>
      <c r="J21" s="63" t="str">
        <f>_xll.qlFraRateHelper(,H21,B21&amp;"M",G21,PillarDate,,Permanent,Trigger,ObjectOverwrite)</f>
        <v>obj_00262#0010</v>
      </c>
      <c r="K21" s="53"/>
      <c r="L21" s="11" t="str">
        <f t="shared" si="5"/>
        <v>FRA</v>
      </c>
      <c r="M21" s="106" t="str">
        <f t="shared" si="6"/>
        <v>obj_0024f#0006</v>
      </c>
      <c r="N21" s="160" t="str">
        <f>IFERROR(_xll.qlRateHelperQuoteName(M21,Trigger),"--")</f>
        <v>USD3x15F_Quote</v>
      </c>
      <c r="O21" s="110">
        <f>IFERROR(_xll.qlRateHelperQuoteValue($M21,Trigger),"--")</f>
        <v>8.6899999999999998E-3</v>
      </c>
      <c r="P21" s="109" t="b">
        <v>1</v>
      </c>
      <c r="Q21" s="106">
        <v>20</v>
      </c>
      <c r="R21" s="106">
        <v>1</v>
      </c>
      <c r="S21" s="111">
        <f>IFERROR(_xll.qlRateHelperEarliestDate(M21,Trigger),"--")</f>
        <v>42352</v>
      </c>
      <c r="T21" s="111">
        <f>IFERROR(_xll.qlRateHelperPillarDate(M21,Trigger),"--")</f>
        <v>42718</v>
      </c>
      <c r="V21" s="4" t="str">
        <f t="shared" si="3"/>
        <v>BasSw</v>
      </c>
      <c r="W21" s="4" t="str">
        <v>obj_00295</v>
      </c>
      <c r="X21" s="4" t="str">
        <f>IFERROR(_xll.qlRateHelperQuoteName(W21,Trigger),"")</f>
        <v>USDAM3L5Y_S12L3L_Quote</v>
      </c>
      <c r="Y21" s="76">
        <f>IFERROR(_xll.qlRateHelperRate(W21,Trigger),"")</f>
        <v>1.8300907714167008E-2</v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42261</v>
      </c>
      <c r="AB21" s="5">
        <f>IFERROR(_xll.qlRateHelperPillarDate(W21,Trigger),"")</f>
        <v>44088</v>
      </c>
      <c r="AC21" s="84">
        <v>0.91150412588890295</v>
      </c>
    </row>
    <row r="22" spans="1:29" ht="11.25" customHeight="1" x14ac:dyDescent="0.2">
      <c r="A22" s="64" t="s">
        <v>128</v>
      </c>
      <c r="B22" s="128">
        <v>2</v>
      </c>
      <c r="C22" s="68" t="str">
        <f t="shared" ref="C22:C44" si="9">"x"&amp;B22+$C$19&amp;"F"</f>
        <v>x14F</v>
      </c>
      <c r="D22" s="137"/>
      <c r="E22" s="137"/>
      <c r="F22" s="137"/>
      <c r="G22" s="66" t="str">
        <f t="shared" si="7"/>
        <v>UsdLibor1Y</v>
      </c>
      <c r="H22" s="131" t="str">
        <f t="shared" si="8"/>
        <v>USD2x14F_Quote</v>
      </c>
      <c r="I22" s="137"/>
      <c r="J22" s="70" t="str">
        <f>_xll.qlFraRateHelper(,H22,B22&amp;"M",G22,PillarDate,,Permanent,Trigger,ObjectOverwrite)</f>
        <v>obj_0026c#0006</v>
      </c>
      <c r="K22" s="53"/>
      <c r="L22" s="11" t="str">
        <f t="shared" si="5"/>
        <v>FRA</v>
      </c>
      <c r="M22" s="106" t="str">
        <f t="shared" si="6"/>
        <v>obj_00253#0006</v>
      </c>
      <c r="N22" s="160" t="str">
        <f>IFERROR(_xll.qlRateHelperQuoteName(M22,Trigger),"--")</f>
        <v>USD4x16F_Quote</v>
      </c>
      <c r="O22" s="110">
        <f>IFERROR(_xll.qlRateHelperQuoteValue($M22,Trigger),"--")</f>
        <v>9.2399999999999999E-3</v>
      </c>
      <c r="P22" s="109" t="b">
        <v>1</v>
      </c>
      <c r="Q22" s="106">
        <v>20</v>
      </c>
      <c r="R22" s="106">
        <v>1</v>
      </c>
      <c r="S22" s="111">
        <f>IFERROR(_xll.qlRateHelperEarliestDate(M22,Trigger),"--")</f>
        <v>42383</v>
      </c>
      <c r="T22" s="111">
        <f>IFERROR(_xll.qlRateHelperPillarDate(M22,Trigger),"--")</f>
        <v>42751</v>
      </c>
      <c r="V22" s="4" t="str">
        <f t="shared" si="3"/>
        <v>BasSw</v>
      </c>
      <c r="W22" s="4" t="str">
        <v>obj_002b8</v>
      </c>
      <c r="X22" s="4" t="str">
        <f>IFERROR(_xll.qlRateHelperQuoteName(W22,Trigger),"")</f>
        <v>USDAM3L6Y_S12L3L_Quote</v>
      </c>
      <c r="Y22" s="76">
        <f>IFERROR(_xll.qlRateHelperRate(W22,Trigger),"")</f>
        <v>2.0057193728346596E-2</v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42261</v>
      </c>
      <c r="AB22" s="5">
        <f>IFERROR(_xll.qlRateHelperPillarDate(W22,Trigger),"")</f>
        <v>44453</v>
      </c>
      <c r="AC22" s="84">
        <v>0.88511965953298299</v>
      </c>
    </row>
    <row r="23" spans="1:29" ht="11.25" customHeight="1" x14ac:dyDescent="0.2">
      <c r="A23" s="64" t="s">
        <v>128</v>
      </c>
      <c r="B23" s="128">
        <v>3</v>
      </c>
      <c r="C23" s="68" t="str">
        <f t="shared" si="9"/>
        <v>x15F</v>
      </c>
      <c r="D23" s="137"/>
      <c r="E23" s="137"/>
      <c r="F23" s="137"/>
      <c r="G23" s="66" t="str">
        <f t="shared" si="7"/>
        <v>UsdLibor1Y</v>
      </c>
      <c r="H23" s="131" t="str">
        <f t="shared" si="8"/>
        <v>USD3x15F_Quote</v>
      </c>
      <c r="I23" s="137"/>
      <c r="J23" s="70" t="str">
        <f>_xll.qlFraRateHelper(,H23,B23&amp;"M",G23,PillarDate,,Permanent,Trigger,ObjectOverwrite)</f>
        <v>obj_0024f#0006</v>
      </c>
      <c r="K23" s="53"/>
      <c r="L23" s="11" t="str">
        <f t="shared" si="5"/>
        <v>FRA</v>
      </c>
      <c r="M23" s="106" t="str">
        <f t="shared" si="6"/>
        <v>obj_00254#0006</v>
      </c>
      <c r="N23" s="160" t="str">
        <f>IFERROR(_xll.qlRateHelperQuoteName(M23,Trigger),"--")</f>
        <v>USD5x17F_Quote</v>
      </c>
      <c r="O23" s="110">
        <f>IFERROR(_xll.qlRateHelperQuoteValue($M23,Trigger),"--")</f>
        <v>9.7999999999999997E-3</v>
      </c>
      <c r="P23" s="109" t="b">
        <v>1</v>
      </c>
      <c r="Q23" s="106">
        <v>20</v>
      </c>
      <c r="R23" s="106">
        <v>1</v>
      </c>
      <c r="S23" s="111">
        <f>IFERROR(_xll.qlRateHelperEarliestDate(M23,Trigger),"--")</f>
        <v>42415</v>
      </c>
      <c r="T23" s="111">
        <f>IFERROR(_xll.qlRateHelperPillarDate(M23,Trigger),"--")</f>
        <v>42780</v>
      </c>
      <c r="V23" s="4" t="str">
        <f t="shared" si="3"/>
        <v>BasSw</v>
      </c>
      <c r="W23" s="4" t="str">
        <v>obj_002c9</v>
      </c>
      <c r="X23" s="4" t="str">
        <f>IFERROR(_xll.qlRateHelperQuoteName(W23,Trigger),"")</f>
        <v>USDAM3L7Y_S12L3L_Quote</v>
      </c>
      <c r="Y23" s="76">
        <f>IFERROR(_xll.qlRateHelperRate(W23,Trigger),"")</f>
        <v>2.152344165145709E-2</v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42261</v>
      </c>
      <c r="AB23" s="5">
        <f>IFERROR(_xll.qlRateHelperPillarDate(W23,Trigger),"")</f>
        <v>44818</v>
      </c>
      <c r="AC23" s="84">
        <v>0.8581082591027217</v>
      </c>
    </row>
    <row r="24" spans="1:29" ht="11.25" customHeight="1" x14ac:dyDescent="0.2">
      <c r="A24" s="64" t="s">
        <v>128</v>
      </c>
      <c r="B24" s="128">
        <v>4</v>
      </c>
      <c r="C24" s="68" t="str">
        <f t="shared" si="9"/>
        <v>x16F</v>
      </c>
      <c r="D24" s="137"/>
      <c r="E24" s="137"/>
      <c r="F24" s="137"/>
      <c r="G24" s="66" t="str">
        <f t="shared" si="7"/>
        <v>UsdLibor1Y</v>
      </c>
      <c r="H24" s="131" t="str">
        <f t="shared" si="8"/>
        <v>USD4x16F_Quote</v>
      </c>
      <c r="I24" s="137"/>
      <c r="J24" s="70" t="str">
        <f>_xll.qlFraRateHelper(,H24,B24&amp;"M",G24,PillarDate,,Permanent,Trigger,ObjectOverwrite)</f>
        <v>obj_00253#0006</v>
      </c>
      <c r="K24" s="53"/>
      <c r="L24" s="11" t="str">
        <f t="shared" si="5"/>
        <v>FRA</v>
      </c>
      <c r="M24" s="106" t="str">
        <f t="shared" si="6"/>
        <v>obj_00265#0006</v>
      </c>
      <c r="N24" s="160" t="str">
        <f>IFERROR(_xll.qlRateHelperQuoteName(M24,Trigger),"--")</f>
        <v>USD6x18F_Quote</v>
      </c>
      <c r="O24" s="110">
        <f>IFERROR(_xll.qlRateHelperQuoteValue($M24,Trigger),"--")</f>
        <v>1.03E-2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42443</v>
      </c>
      <c r="T24" s="111">
        <f>IFERROR(_xll.qlRateHelperPillarDate(M24,Trigger),"--")</f>
        <v>42808</v>
      </c>
      <c r="V24" s="4" t="str">
        <f t="shared" si="3"/>
        <v>BasSw</v>
      </c>
      <c r="W24" s="4" t="str">
        <v>obj_0029e</v>
      </c>
      <c r="X24" s="4" t="str">
        <f>IFERROR(_xll.qlRateHelperQuoteName(W24,Trigger),"")</f>
        <v>USDAM3L8Y_S12L3L_Quote</v>
      </c>
      <c r="Y24" s="76">
        <f>IFERROR(_xll.qlRateHelperRate(W24,Trigger),"")</f>
        <v>2.2741864929251274E-2</v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42261</v>
      </c>
      <c r="AB24" s="5">
        <f>IFERROR(_xll.qlRateHelperPillarDate(W24,Trigger),"")</f>
        <v>45183</v>
      </c>
      <c r="AC24" s="84">
        <v>0.83103767708817167</v>
      </c>
    </row>
    <row r="25" spans="1:29" ht="11.25" customHeight="1" x14ac:dyDescent="0.2">
      <c r="A25" s="64" t="s">
        <v>128</v>
      </c>
      <c r="B25" s="128">
        <v>5</v>
      </c>
      <c r="C25" s="68" t="str">
        <f t="shared" si="9"/>
        <v>x17F</v>
      </c>
      <c r="D25" s="137"/>
      <c r="E25" s="137"/>
      <c r="F25" s="137"/>
      <c r="G25" s="66" t="str">
        <f t="shared" si="7"/>
        <v>UsdLibor1Y</v>
      </c>
      <c r="H25" s="131" t="str">
        <f t="shared" si="8"/>
        <v>USD5x17F_Quote</v>
      </c>
      <c r="I25" s="137"/>
      <c r="J25" s="70" t="str">
        <f>_xll.qlFraRateHelper(,H25,B25&amp;"M",G25,PillarDate,,Permanent,Trigger,ObjectOverwrite)</f>
        <v>obj_00254#0006</v>
      </c>
      <c r="K25" s="53"/>
      <c r="L25" s="11" t="str">
        <f t="shared" si="5"/>
        <v>FRA</v>
      </c>
      <c r="M25" s="106" t="str">
        <f t="shared" si="6"/>
        <v>--</v>
      </c>
      <c r="N25" s="160" t="str">
        <f>IFERROR(_xll.qlRateHelperQuoteName(M25,Trigger),"--")</f>
        <v>--</v>
      </c>
      <c r="O25" s="110" t="str">
        <f>IFERROR(_xll.qlRateHelperQuoteValue($M25,Trigger),"--")</f>
        <v>--</v>
      </c>
      <c r="P25" s="109" t="b">
        <v>0</v>
      </c>
      <c r="Q25" s="106">
        <v>20</v>
      </c>
      <c r="R25" s="106">
        <v>1</v>
      </c>
      <c r="S25" s="111" t="str">
        <f>IFERROR(_xll.qlRateHelperEarliestDate(M25,Trigger),"--")</f>
        <v>--</v>
      </c>
      <c r="T25" s="111" t="str">
        <f>IFERROR(_xll.qlRateHelperPillarDate(M25,Trigger),"--")</f>
        <v>--</v>
      </c>
      <c r="V25" s="4" t="str">
        <f t="shared" si="3"/>
        <v>BasSw</v>
      </c>
      <c r="W25" s="4" t="str">
        <v>obj_002b5</v>
      </c>
      <c r="X25" s="4" t="str">
        <f>IFERROR(_xll.qlRateHelperQuoteName(W25,Trigger),"")</f>
        <v>USDAM3L9Y_S12L3L_Quote</v>
      </c>
      <c r="Y25" s="76">
        <f>IFERROR(_xll.qlRateHelperRate(W25,Trigger),"")</f>
        <v>2.3730138304417184E-2</v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42261</v>
      </c>
      <c r="AB25" s="5">
        <f>IFERROR(_xll.qlRateHelperPillarDate(W25,Trigger),"")</f>
        <v>45551</v>
      </c>
      <c r="AC25" s="84">
        <v>0.8043122136548756</v>
      </c>
    </row>
    <row r="26" spans="1:29" ht="11.25" customHeight="1" x14ac:dyDescent="0.2">
      <c r="A26" s="64" t="s">
        <v>128</v>
      </c>
      <c r="B26" s="128">
        <v>6</v>
      </c>
      <c r="C26" s="68" t="str">
        <f t="shared" si="9"/>
        <v>x18F</v>
      </c>
      <c r="D26" s="137"/>
      <c r="E26" s="137"/>
      <c r="F26" s="137"/>
      <c r="G26" s="66" t="str">
        <f t="shared" si="7"/>
        <v>UsdLibor1Y</v>
      </c>
      <c r="H26" s="131" t="str">
        <f t="shared" si="8"/>
        <v>USD6x18F_Quote</v>
      </c>
      <c r="I26" s="137"/>
      <c r="J26" s="70" t="str">
        <f>_xll.qlFraRateHelper(,H26,B26&amp;"M",G26,PillarDate,,Permanent,Trigger,ObjectOverwrite)</f>
        <v>obj_00265#0006</v>
      </c>
      <c r="K26" s="53"/>
      <c r="L26" s="11" t="str">
        <f t="shared" si="5"/>
        <v>FRA</v>
      </c>
      <c r="M26" s="106" t="str">
        <f t="shared" si="6"/>
        <v>--</v>
      </c>
      <c r="N26" s="160" t="str">
        <f>IFERROR(_xll.qlRateHelperQuoteName(M26,Trigger),"--")</f>
        <v>--</v>
      </c>
      <c r="O26" s="110" t="str">
        <f>IFERROR(_xll.qlRateHelperQuoteValue($M26,Trigger),"--")</f>
        <v>--</v>
      </c>
      <c r="P26" s="109" t="b">
        <v>0</v>
      </c>
      <c r="Q26" s="106">
        <v>20</v>
      </c>
      <c r="R26" s="106">
        <v>1</v>
      </c>
      <c r="S26" s="111" t="str">
        <f>IFERROR(_xll.qlRateHelperEarliestDate(M26,Trigger),"--")</f>
        <v>--</v>
      </c>
      <c r="T26" s="111" t="str">
        <f>IFERROR(_xll.qlRateHelperPillarDate(M26,Trigger),"--")</f>
        <v>--</v>
      </c>
      <c r="V26" s="4" t="str">
        <f t="shared" si="3"/>
        <v>BasSw</v>
      </c>
      <c r="W26" s="4" t="str">
        <v>obj_0029c</v>
      </c>
      <c r="X26" s="4" t="str">
        <f>IFERROR(_xll.qlRateHelperQuoteName(W26,Trigger),"")</f>
        <v>USDAM3L10Y_S12L3L_Quote</v>
      </c>
      <c r="Y26" s="76">
        <f>IFERROR(_xll.qlRateHelperRate(W26,Trigger),"")</f>
        <v>2.4573420286252975E-2</v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42261</v>
      </c>
      <c r="AB26" s="5">
        <f>IFERROR(_xll.qlRateHelperPillarDate(W26,Trigger),"")</f>
        <v>45915</v>
      </c>
      <c r="AC26" s="84">
        <v>0.77816021123742762</v>
      </c>
    </row>
    <row r="27" spans="1:29" ht="11.25" customHeight="1" x14ac:dyDescent="0.2">
      <c r="A27" s="64" t="s">
        <v>128</v>
      </c>
      <c r="B27" s="128">
        <v>7</v>
      </c>
      <c r="C27" s="68" t="str">
        <f t="shared" si="9"/>
        <v>x19F</v>
      </c>
      <c r="D27" s="137"/>
      <c r="E27" s="137"/>
      <c r="F27" s="137"/>
      <c r="G27" s="66" t="str">
        <f t="shared" si="7"/>
        <v>UsdLibor1Y</v>
      </c>
      <c r="H27" s="131" t="str">
        <f t="shared" si="8"/>
        <v>USD7x19F_Quote</v>
      </c>
      <c r="I27" s="137"/>
      <c r="J27" s="70"/>
      <c r="K27" s="53"/>
      <c r="L27" s="11" t="str">
        <f t="shared" si="5"/>
        <v>FRA</v>
      </c>
      <c r="M27" s="106" t="str">
        <f t="shared" si="6"/>
        <v>obj_0027b#0006</v>
      </c>
      <c r="N27" s="160" t="str">
        <f>IFERROR(_xll.qlRateHelperQuoteName(M27,Trigger),"--")</f>
        <v>USD9x21F_Quote</v>
      </c>
      <c r="O27" s="110">
        <f>IFERROR(_xll.qlRateHelperQuoteValue($M27,Trigger),"--")</f>
        <v>1.1930000000000001E-2</v>
      </c>
      <c r="P27" s="109" t="b">
        <v>1</v>
      </c>
      <c r="Q27" s="106">
        <v>20</v>
      </c>
      <c r="R27" s="106">
        <v>1</v>
      </c>
      <c r="S27" s="111">
        <f>IFERROR(_xll.qlRateHelperEarliestDate(M27,Trigger),"--")</f>
        <v>42535</v>
      </c>
      <c r="T27" s="111">
        <f>IFERROR(_xll.qlRateHelperPillarDate(M27,Trigger),"--")</f>
        <v>42900</v>
      </c>
      <c r="V27" s="4" t="str">
        <f t="shared" si="3"/>
        <v>BasSw</v>
      </c>
      <c r="W27" s="4" t="str">
        <v>obj_0029d</v>
      </c>
      <c r="X27" s="4" t="str">
        <f>IFERROR(_xll.qlRateHelperQuoteName(W27,Trigger),"")</f>
        <v>USDAM3L11Y_S12L3L_Quote</v>
      </c>
      <c r="Y27" s="76">
        <f>IFERROR(_xll.qlRateHelperRate(W27,Trigger),"")</f>
        <v>2.529635296111173E-2</v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42261</v>
      </c>
      <c r="AB27" s="5">
        <f>IFERROR(_xll.qlRateHelperPillarDate(W27,Trigger),"")</f>
        <v>46279</v>
      </c>
      <c r="AC27" s="84">
        <v>0.75253105440977264</v>
      </c>
    </row>
    <row r="28" spans="1:29" ht="11.25" customHeight="1" x14ac:dyDescent="0.2">
      <c r="A28" s="64" t="s">
        <v>128</v>
      </c>
      <c r="B28" s="128">
        <v>8</v>
      </c>
      <c r="C28" s="68" t="str">
        <f t="shared" si="9"/>
        <v>x20F</v>
      </c>
      <c r="D28" s="137"/>
      <c r="E28" s="137"/>
      <c r="F28" s="137"/>
      <c r="G28" s="66" t="str">
        <f t="shared" si="7"/>
        <v>UsdLibor1Y</v>
      </c>
      <c r="H28" s="131" t="str">
        <f t="shared" si="8"/>
        <v>USD8x20F_Quote</v>
      </c>
      <c r="I28" s="137"/>
      <c r="J28" s="70"/>
      <c r="K28" s="53"/>
      <c r="L28" s="11" t="str">
        <f t="shared" si="5"/>
        <v>FRA</v>
      </c>
      <c r="M28" s="106" t="str">
        <f t="shared" si="6"/>
        <v>--</v>
      </c>
      <c r="N28" s="160" t="str">
        <f>IFERROR(_xll.qlRateHelperQuoteName(M28,Trigger),"--")</f>
        <v>--</v>
      </c>
      <c r="O28" s="110" t="str">
        <f>IFERROR(_xll.qlRateHelperQuoteValue($M28,Trigger),"--")</f>
        <v>--</v>
      </c>
      <c r="P28" s="109" t="b">
        <v>0</v>
      </c>
      <c r="Q28" s="106">
        <v>20</v>
      </c>
      <c r="R28" s="106">
        <v>1</v>
      </c>
      <c r="S28" s="111" t="str">
        <f>IFERROR(_xll.qlRateHelperEarliestDate(M28,Trigger),"--")</f>
        <v>--</v>
      </c>
      <c r="T28" s="111" t="str">
        <f>IFERROR(_xll.qlRateHelperPillarDate(M28,Trigger),"--")</f>
        <v>--</v>
      </c>
      <c r="V28" s="4" t="str">
        <f t="shared" si="3"/>
        <v>BasSw</v>
      </c>
      <c r="W28" s="4" t="str">
        <v>obj_002bb</v>
      </c>
      <c r="X28" s="4" t="str">
        <f>IFERROR(_xll.qlRateHelperQuoteName(W28,Trigger),"")</f>
        <v>USDAM3L12Y_S12L3L_Quote</v>
      </c>
      <c r="Y28" s="76">
        <f>IFERROR(_xll.qlRateHelperRate(W28,Trigger),"")</f>
        <v>2.5922284085619814E-2</v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42261</v>
      </c>
      <c r="AB28" s="5">
        <f>IFERROR(_xll.qlRateHelperPillarDate(W28,Trigger),"")</f>
        <v>46644</v>
      </c>
      <c r="AC28" s="84">
        <v>0.72744219016842648</v>
      </c>
    </row>
    <row r="29" spans="1:29" ht="11.25" customHeight="1" x14ac:dyDescent="0.2">
      <c r="A29" s="64" t="s">
        <v>128</v>
      </c>
      <c r="B29" s="128">
        <v>9</v>
      </c>
      <c r="C29" s="68" t="str">
        <f t="shared" si="9"/>
        <v>x21F</v>
      </c>
      <c r="D29" s="137"/>
      <c r="E29" s="137"/>
      <c r="F29" s="137"/>
      <c r="G29" s="66" t="str">
        <f t="shared" si="7"/>
        <v>UsdLibor1Y</v>
      </c>
      <c r="H29" s="131" t="str">
        <f t="shared" si="8"/>
        <v>USD9x21F_Quote</v>
      </c>
      <c r="I29" s="137"/>
      <c r="J29" s="70" t="str">
        <f>_xll.qlFraRateHelper(,H29,B29&amp;"M",G29,PillarDate,,Permanent,Trigger,ObjectOverwrite)</f>
        <v>obj_0027b#0006</v>
      </c>
      <c r="K29" s="53"/>
      <c r="L29" s="11" t="str">
        <f t="shared" si="5"/>
        <v>FRA</v>
      </c>
      <c r="M29" s="106" t="str">
        <f t="shared" si="6"/>
        <v>--</v>
      </c>
      <c r="N29" s="160" t="str">
        <f>IFERROR(_xll.qlRateHelperQuoteName(M29,Trigger),"--")</f>
        <v>--</v>
      </c>
      <c r="O29" s="110" t="str">
        <f>IFERROR(_xll.qlRateHelperQuoteValue($M29,Trigger),"--")</f>
        <v>--</v>
      </c>
      <c r="P29" s="109" t="b">
        <v>0</v>
      </c>
      <c r="Q29" s="106">
        <v>20</v>
      </c>
      <c r="R29" s="106">
        <v>1</v>
      </c>
      <c r="S29" s="111" t="str">
        <f>IFERROR(_xll.qlRateHelperEarliestDate(M29,Trigger),"--")</f>
        <v>--</v>
      </c>
      <c r="T29" s="111" t="str">
        <f>IFERROR(_xll.qlRateHelperPillarDate(M29,Trigger),"--")</f>
        <v>--</v>
      </c>
      <c r="V29" s="4" t="str">
        <f t="shared" si="3"/>
        <v>BasSw</v>
      </c>
      <c r="W29" s="4" t="str">
        <v>obj_002ce</v>
      </c>
      <c r="X29" s="4" t="str">
        <f>IFERROR(_xll.qlRateHelperQuoteName(W29,Trigger),"")</f>
        <v>USDAM3L13Y_S12L3L_Quote</v>
      </c>
      <c r="Y29" s="76">
        <f>IFERROR(_xll.qlRateHelperRate(W29,Trigger),"")</f>
        <v>2.6439989674391078E-2</v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42261</v>
      </c>
      <c r="AB29" s="5">
        <f>IFERROR(_xll.qlRateHelperPillarDate(W29,Trigger),"")</f>
        <v>47010</v>
      </c>
      <c r="AC29" s="84">
        <v>0.70324545468598687</v>
      </c>
    </row>
    <row r="30" spans="1:29" ht="11.25" customHeight="1" x14ac:dyDescent="0.2">
      <c r="A30" s="64" t="s">
        <v>128</v>
      </c>
      <c r="B30" s="128">
        <v>10</v>
      </c>
      <c r="C30" s="68" t="str">
        <f t="shared" si="9"/>
        <v>x22F</v>
      </c>
      <c r="D30" s="137"/>
      <c r="E30" s="137"/>
      <c r="F30" s="137"/>
      <c r="G30" s="66" t="str">
        <f t="shared" si="7"/>
        <v>UsdLibor1Y</v>
      </c>
      <c r="H30" s="131" t="str">
        <f t="shared" ref="H30:H44" si="10">Currency&amp;B30&amp;C30&amp;QuoteSuffix</f>
        <v>USD10x22F_Quote</v>
      </c>
      <c r="I30" s="137"/>
      <c r="J30" s="70"/>
      <c r="K30" s="53"/>
      <c r="L30" s="11" t="str">
        <f t="shared" si="5"/>
        <v>FRA</v>
      </c>
      <c r="M30" s="106" t="str">
        <f t="shared" si="6"/>
        <v>obj_00252#0006</v>
      </c>
      <c r="N30" s="160" t="str">
        <f>IFERROR(_xll.qlRateHelperQuoteName(M30,Trigger),"--")</f>
        <v>USD12x24F_Quote</v>
      </c>
      <c r="O30" s="110">
        <f>IFERROR(_xll.qlRateHelperQuoteValue($M30,Trigger),"--")</f>
        <v>1.3519999999999999E-2</v>
      </c>
      <c r="P30" s="109" t="b">
        <v>1</v>
      </c>
      <c r="Q30" s="106">
        <v>20</v>
      </c>
      <c r="R30" s="106">
        <v>1</v>
      </c>
      <c r="S30" s="111">
        <f>IFERROR(_xll.qlRateHelperEarliestDate(M30,Trigger),"--")</f>
        <v>42627</v>
      </c>
      <c r="T30" s="111">
        <f>IFERROR(_xll.qlRateHelperPillarDate(M30,Trigger),"--")</f>
        <v>42992</v>
      </c>
      <c r="V30" s="4" t="str">
        <f t="shared" si="3"/>
        <v>BasSw</v>
      </c>
      <c r="W30" s="4" t="str">
        <v>obj_002a5</v>
      </c>
      <c r="X30" s="4" t="str">
        <f>IFERROR(_xll.qlRateHelperQuoteName(W30,Trigger),"")</f>
        <v>USDAM3L14Y_S12L3L_Quote</v>
      </c>
      <c r="Y30" s="76">
        <f>IFERROR(_xll.qlRateHelperRate(W30,Trigger),"")</f>
        <v>2.686351685148684E-2</v>
      </c>
      <c r="Z30" s="116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42261</v>
      </c>
      <c r="AB30" s="5">
        <f>IFERROR(_xll.qlRateHelperPillarDate(W30,Trigger),"")</f>
        <v>47375</v>
      </c>
      <c r="AC30" s="84">
        <v>0.680110352365079</v>
      </c>
    </row>
    <row r="31" spans="1:29" ht="11.25" customHeight="1" x14ac:dyDescent="0.2">
      <c r="A31" s="64" t="s">
        <v>128</v>
      </c>
      <c r="B31" s="128">
        <v>11</v>
      </c>
      <c r="C31" s="68" t="str">
        <f t="shared" si="9"/>
        <v>x23F</v>
      </c>
      <c r="D31" s="137"/>
      <c r="E31" s="137"/>
      <c r="F31" s="137"/>
      <c r="G31" s="66" t="str">
        <f t="shared" si="7"/>
        <v>UsdLibor1Y</v>
      </c>
      <c r="H31" s="131" t="str">
        <f t="shared" si="10"/>
        <v>USD11x23F_Quote</v>
      </c>
      <c r="I31" s="137"/>
      <c r="J31" s="70"/>
      <c r="K31" s="53"/>
      <c r="L31" s="11" t="str">
        <f t="shared" si="5"/>
        <v>FRA</v>
      </c>
      <c r="M31" s="106" t="str">
        <f t="shared" si="6"/>
        <v>--</v>
      </c>
      <c r="N31" s="160" t="str">
        <f>IFERROR(_xll.qlRateHelperQuoteName(M31,Trigger),"--")</f>
        <v>--</v>
      </c>
      <c r="O31" s="110" t="str">
        <f>IFERROR(_xll.qlRateHelperQuoteValue($M31,Trigger),"--")</f>
        <v>--</v>
      </c>
      <c r="P31" s="109" t="b">
        <v>0</v>
      </c>
      <c r="Q31" s="106">
        <v>40</v>
      </c>
      <c r="R31" s="106">
        <v>1</v>
      </c>
      <c r="S31" s="111" t="str">
        <f>IFERROR(_xll.qlRateHelperEarliestDate(M31,Trigger),"--")</f>
        <v>--</v>
      </c>
      <c r="T31" s="111" t="str">
        <f>IFERROR(_xll.qlRateHelperPillarDate(M31,Trigger),"--")</f>
        <v>--</v>
      </c>
      <c r="V31" s="4" t="str">
        <f t="shared" si="3"/>
        <v>BasSw</v>
      </c>
      <c r="W31" s="4" t="str">
        <v>obj_002c8</v>
      </c>
      <c r="X31" s="4" t="str">
        <f>IFERROR(_xll.qlRateHelperQuoteName(W31,Trigger),"")</f>
        <v>USDAM3L15Y_S12L3L_Quote</v>
      </c>
      <c r="Y31" s="76">
        <f>IFERROR(_xll.qlRateHelperRate(W31,Trigger),"")</f>
        <v>2.7218596156985908E-2</v>
      </c>
      <c r="Z31" s="116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42261</v>
      </c>
      <c r="AB31" s="5">
        <f>IFERROR(_xll.qlRateHelperPillarDate(W31,Trigger),"")</f>
        <v>47742</v>
      </c>
      <c r="AC31" s="84">
        <v>0.65776682716493584</v>
      </c>
    </row>
    <row r="32" spans="1:29" ht="11.25" customHeight="1" x14ac:dyDescent="0.2">
      <c r="A32" s="64" t="s">
        <v>128</v>
      </c>
      <c r="B32" s="128">
        <v>12</v>
      </c>
      <c r="C32" s="68" t="str">
        <f t="shared" si="9"/>
        <v>x24F</v>
      </c>
      <c r="D32" s="137"/>
      <c r="E32" s="137"/>
      <c r="F32" s="137"/>
      <c r="G32" s="66" t="str">
        <f t="shared" si="7"/>
        <v>UsdLibor1Y</v>
      </c>
      <c r="H32" s="131" t="str">
        <f t="shared" si="10"/>
        <v>USD12x24F_Quote</v>
      </c>
      <c r="I32" s="137"/>
      <c r="J32" s="70" t="str">
        <f>_xll.qlFraRateHelper(,H32,B32&amp;"M",G32,PillarDate,,Permanent,Trigger,ObjectOverwrite)</f>
        <v>obj_00252#0006</v>
      </c>
      <c r="K32" s="53"/>
      <c r="L32" s="11" t="str">
        <f t="shared" si="5"/>
        <v>FRA</v>
      </c>
      <c r="M32" s="106" t="str">
        <f t="shared" si="6"/>
        <v>--</v>
      </c>
      <c r="N32" s="160" t="str">
        <f>IFERROR(_xll.qlRateHelperQuoteName(M32,Trigger),"--")</f>
        <v>--</v>
      </c>
      <c r="O32" s="110" t="str">
        <f>IFERROR(_xll.qlRateHelperQuoteValue($M32,Trigger),"--")</f>
        <v>--</v>
      </c>
      <c r="P32" s="109" t="b">
        <v>0</v>
      </c>
      <c r="Q32" s="106">
        <v>40</v>
      </c>
      <c r="R32" s="106">
        <v>1</v>
      </c>
      <c r="S32" s="111" t="str">
        <f>IFERROR(_xll.qlRateHelperEarliestDate(M32,Trigger),"--")</f>
        <v>--</v>
      </c>
      <c r="T32" s="111" t="str">
        <f>IFERROR(_xll.qlRateHelperPillarDate(M32,Trigger),"--")</f>
        <v>--</v>
      </c>
      <c r="V32" s="4" t="str">
        <f t="shared" si="3"/>
        <v>BasSw</v>
      </c>
      <c r="W32" s="4" t="str">
        <v>obj_002b9</v>
      </c>
      <c r="X32" s="4" t="str">
        <f>IFERROR(_xll.qlRateHelperQuoteName(W32,Trigger),"")</f>
        <v>USDAM3L20Y_S12L3L_Quote</v>
      </c>
      <c r="Y32" s="76">
        <f>IFERROR(_xll.qlRateHelperRate(W32,Trigger),"")</f>
        <v>2.8291272134642619E-2</v>
      </c>
      <c r="Z32" s="116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42261</v>
      </c>
      <c r="AB32" s="5">
        <f>IFERROR(_xll.qlRateHelperPillarDate(W32,Trigger),"")</f>
        <v>49566</v>
      </c>
      <c r="AC32" s="84">
        <v>0.55926333280829144</v>
      </c>
    </row>
    <row r="33" spans="1:29" ht="11.25" customHeight="1" x14ac:dyDescent="0.2">
      <c r="A33" s="64" t="s">
        <v>128</v>
      </c>
      <c r="B33" s="128">
        <v>13</v>
      </c>
      <c r="C33" s="68" t="str">
        <f t="shared" si="9"/>
        <v>x25F</v>
      </c>
      <c r="D33" s="137"/>
      <c r="E33" s="137"/>
      <c r="F33" s="137"/>
      <c r="G33" s="66" t="str">
        <f t="shared" si="7"/>
        <v>UsdLibor1Y</v>
      </c>
      <c r="H33" s="131" t="str">
        <f t="shared" si="10"/>
        <v>USD13x25F_Quote</v>
      </c>
      <c r="I33" s="137"/>
      <c r="J33" s="70"/>
      <c r="K33" s="53"/>
      <c r="L33" s="11" t="str">
        <f t="shared" si="5"/>
        <v>FRA</v>
      </c>
      <c r="M33" s="106" t="str">
        <f t="shared" si="6"/>
        <v>--</v>
      </c>
      <c r="N33" s="160" t="str">
        <f>IFERROR(_xll.qlRateHelperQuoteName(M33,Trigger),"--")</f>
        <v>--</v>
      </c>
      <c r="O33" s="110" t="str">
        <f>IFERROR(_xll.qlRateHelperQuoteValue($M33,Trigger),"--")</f>
        <v>--</v>
      </c>
      <c r="P33" s="109" t="b">
        <v>0</v>
      </c>
      <c r="Q33" s="106">
        <v>40</v>
      </c>
      <c r="R33" s="106">
        <v>1</v>
      </c>
      <c r="S33" s="111" t="str">
        <f>IFERROR(_xll.qlRateHelperEarliestDate(M33,Trigger),"--")</f>
        <v>--</v>
      </c>
      <c r="T33" s="111" t="str">
        <f>IFERROR(_xll.qlRateHelperPillarDate(M33,Trigger),"--")</f>
        <v>--</v>
      </c>
      <c r="V33" s="4" t="str">
        <f t="shared" si="3"/>
        <v>BasSw</v>
      </c>
      <c r="W33" s="4" t="str">
        <v>obj_002b0</v>
      </c>
      <c r="X33" s="4" t="str">
        <f>IFERROR(_xll.qlRateHelperQuoteName(W33,Trigger),"")</f>
        <v>USDAM3L25Y_S12L3L_Quote</v>
      </c>
      <c r="Y33" s="76">
        <f>IFERROR(_xll.qlRateHelperRate(W33,Trigger),"")</f>
        <v>2.8766065978369882E-2</v>
      </c>
      <c r="Z33" s="116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42261</v>
      </c>
      <c r="AB33" s="5">
        <f>IFERROR(_xll.qlRateHelperPillarDate(W33,Trigger),"")</f>
        <v>51393</v>
      </c>
      <c r="AC33" s="84">
        <v>0.47788752583964128</v>
      </c>
    </row>
    <row r="34" spans="1:29" ht="11.25" customHeight="1" x14ac:dyDescent="0.2">
      <c r="A34" s="64" t="s">
        <v>128</v>
      </c>
      <c r="B34" s="128">
        <v>14</v>
      </c>
      <c r="C34" s="68" t="str">
        <f t="shared" si="9"/>
        <v>x26F</v>
      </c>
      <c r="D34" s="137"/>
      <c r="E34" s="137"/>
      <c r="F34" s="137"/>
      <c r="G34" s="66" t="str">
        <f t="shared" si="7"/>
        <v>UsdLibor1Y</v>
      </c>
      <c r="H34" s="131" t="str">
        <f t="shared" si="10"/>
        <v>USD14x26F_Quote</v>
      </c>
      <c r="I34" s="137"/>
      <c r="J34" s="70"/>
      <c r="K34" s="53"/>
      <c r="L34" s="11" t="str">
        <f t="shared" si="5"/>
        <v>FRA</v>
      </c>
      <c r="M34" s="106" t="str">
        <f t="shared" si="6"/>
        <v>--</v>
      </c>
      <c r="N34" s="160" t="str">
        <f>IFERROR(_xll.qlRateHelperQuoteName(M34,Trigger),"--")</f>
        <v>--</v>
      </c>
      <c r="O34" s="110" t="str">
        <f>IFERROR(_xll.qlRateHelperQuoteValue($M34,Trigger),"--")</f>
        <v>--</v>
      </c>
      <c r="P34" s="109" t="b">
        <v>0</v>
      </c>
      <c r="Q34" s="106">
        <v>40</v>
      </c>
      <c r="R34" s="106">
        <v>1</v>
      </c>
      <c r="S34" s="111" t="str">
        <f>IFERROR(_xll.qlRateHelperEarliestDate(M34,Trigger),"--")</f>
        <v>--</v>
      </c>
      <c r="T34" s="111" t="str">
        <f>IFERROR(_xll.qlRateHelperPillarDate(M34,Trigger),"--")</f>
        <v>--</v>
      </c>
      <c r="V34" s="4" t="str">
        <f t="shared" si="3"/>
        <v>BasSw</v>
      </c>
      <c r="W34" s="4" t="str">
        <v>obj_0029f</v>
      </c>
      <c r="X34" s="4" t="str">
        <f>IFERROR(_xll.qlRateHelperQuoteName(W34,Trigger),"")</f>
        <v>USDAM3L30Y_S12L3L_Quote</v>
      </c>
      <c r="Y34" s="76">
        <f>IFERROR(_xll.qlRateHelperRate(W34,Trigger),"")</f>
        <v>2.9108908652132583E-2</v>
      </c>
      <c r="Z34" s="116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42261</v>
      </c>
      <c r="AB34" s="5">
        <f>IFERROR(_xll.qlRateHelperPillarDate(W34,Trigger),"")</f>
        <v>53219</v>
      </c>
      <c r="AC34" s="84">
        <v>0.40784764931110923</v>
      </c>
    </row>
    <row r="35" spans="1:29" ht="11.25" customHeight="1" x14ac:dyDescent="0.2">
      <c r="A35" s="64" t="s">
        <v>128</v>
      </c>
      <c r="B35" s="128">
        <v>15</v>
      </c>
      <c r="C35" s="68" t="str">
        <f t="shared" si="9"/>
        <v>x27F</v>
      </c>
      <c r="D35" s="137"/>
      <c r="E35" s="137"/>
      <c r="F35" s="137"/>
      <c r="G35" s="66" t="str">
        <f t="shared" si="7"/>
        <v>UsdLibor1Y</v>
      </c>
      <c r="H35" s="131" t="str">
        <f t="shared" si="10"/>
        <v>USD15x27F_Quote</v>
      </c>
      <c r="I35" s="137"/>
      <c r="J35" s="70"/>
      <c r="K35" s="53"/>
      <c r="L35" s="11" t="str">
        <f t="shared" si="5"/>
        <v>FRA</v>
      </c>
      <c r="M35" s="106" t="str">
        <f t="shared" si="6"/>
        <v>--</v>
      </c>
      <c r="N35" s="160" t="str">
        <f>IFERROR(_xll.qlRateHelperQuoteName(M35,Trigger),"--")</f>
        <v>--</v>
      </c>
      <c r="O35" s="110" t="str">
        <f>IFERROR(_xll.qlRateHelperQuoteValue($M35,Trigger),"--")</f>
        <v>--</v>
      </c>
      <c r="P35" s="109" t="b">
        <v>0</v>
      </c>
      <c r="Q35" s="106">
        <v>40</v>
      </c>
      <c r="R35" s="106">
        <v>1</v>
      </c>
      <c r="S35" s="111" t="str">
        <f>IFERROR(_xll.qlRateHelperEarliestDate(M35,Trigger),"--")</f>
        <v>--</v>
      </c>
      <c r="T35" s="111" t="str">
        <f>IFERROR(_xll.qlRateHelperPillarDate(M35,Trigger),"--")</f>
        <v>--</v>
      </c>
      <c r="V35" s="4" t="str">
        <f t="shared" si="3"/>
        <v>BasSw</v>
      </c>
      <c r="W35" s="4" t="str">
        <v>obj_00289</v>
      </c>
      <c r="X35" s="4" t="str">
        <f>IFERROR(_xll.qlRateHelperQuoteName(W35,Trigger),"")</f>
        <v>USDAM3L35Y_S12L3L_Quote</v>
      </c>
      <c r="Y35" s="76">
        <f>IFERROR(_xll.qlRateHelperRate(W35,Trigger),"")</f>
        <v>2.9253825871167389E-2</v>
      </c>
      <c r="Z35" s="116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42261</v>
      </c>
      <c r="AB35" s="5">
        <f>IFERROR(_xll.qlRateHelperPillarDate(W35,Trigger),"")</f>
        <v>55045</v>
      </c>
      <c r="AC35" s="84">
        <v>0.34990947424083479</v>
      </c>
    </row>
    <row r="36" spans="1:29" ht="11.25" customHeight="1" x14ac:dyDescent="0.2">
      <c r="A36" s="64" t="s">
        <v>128</v>
      </c>
      <c r="B36" s="128">
        <v>16</v>
      </c>
      <c r="C36" s="68" t="str">
        <f t="shared" si="9"/>
        <v>x28F</v>
      </c>
      <c r="D36" s="137"/>
      <c r="E36" s="137"/>
      <c r="F36" s="137"/>
      <c r="G36" s="66" t="str">
        <f t="shared" si="7"/>
        <v>UsdLibor1Y</v>
      </c>
      <c r="H36" s="131" t="str">
        <f t="shared" si="10"/>
        <v>USD16x28F_Quote</v>
      </c>
      <c r="I36" s="137"/>
      <c r="J36" s="70"/>
      <c r="K36" s="53"/>
      <c r="L36" s="11" t="str">
        <f t="shared" si="5"/>
        <v>FRA</v>
      </c>
      <c r="M36" s="106" t="str">
        <f t="shared" si="6"/>
        <v>--</v>
      </c>
      <c r="N36" s="160" t="str">
        <f>IFERROR(_xll.qlRateHelperQuoteName(M36,Trigger),"--")</f>
        <v>--</v>
      </c>
      <c r="O36" s="110" t="str">
        <f>IFERROR(_xll.qlRateHelperQuoteValue($M36,Trigger),"--")</f>
        <v>--</v>
      </c>
      <c r="P36" s="109" t="b">
        <v>0</v>
      </c>
      <c r="Q36" s="106">
        <v>40</v>
      </c>
      <c r="R36" s="106">
        <v>1</v>
      </c>
      <c r="S36" s="111" t="str">
        <f>IFERROR(_xll.qlRateHelperEarliestDate(M36,Trigger),"--")</f>
        <v>--</v>
      </c>
      <c r="T36" s="111" t="str">
        <f>IFERROR(_xll.qlRateHelperPillarDate(M36,Trigger),"--")</f>
        <v>--</v>
      </c>
      <c r="V36" s="4" t="str">
        <f t="shared" si="3"/>
        <v>BasSw</v>
      </c>
      <c r="W36" s="4" t="str">
        <v>obj_002d3</v>
      </c>
      <c r="X36" s="4" t="str">
        <f>IFERROR(_xll.qlRateHelperQuoteName(W36,Trigger),"")</f>
        <v>USDAM3L40Y_S12L3L_Quote</v>
      </c>
      <c r="Y36" s="76">
        <f>IFERROR(_xll.qlRateHelperRate(W36,Trigger),"")</f>
        <v>2.9268968783904496E-2</v>
      </c>
      <c r="Z36" s="116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42261</v>
      </c>
      <c r="AB36" s="5">
        <f>IFERROR(_xll.qlRateHelperPillarDate(W36,Trigger),"")</f>
        <v>56871</v>
      </c>
      <c r="AC36" s="84">
        <v>0.30202649341664406</v>
      </c>
    </row>
    <row r="37" spans="1:29" ht="11.25" customHeight="1" x14ac:dyDescent="0.2">
      <c r="A37" s="64" t="s">
        <v>128</v>
      </c>
      <c r="B37" s="128">
        <v>17</v>
      </c>
      <c r="C37" s="68" t="str">
        <f t="shared" si="9"/>
        <v>x29F</v>
      </c>
      <c r="D37" s="137"/>
      <c r="E37" s="137"/>
      <c r="F37" s="137"/>
      <c r="G37" s="66" t="str">
        <f t="shared" si="7"/>
        <v>UsdLibor1Y</v>
      </c>
      <c r="H37" s="131" t="str">
        <f t="shared" si="10"/>
        <v>USD17x29F_Quote</v>
      </c>
      <c r="I37" s="137"/>
      <c r="J37" s="70"/>
      <c r="K37" s="53"/>
      <c r="L37" s="11" t="str">
        <f t="shared" si="5"/>
        <v>FRA</v>
      </c>
      <c r="M37" s="106" t="str">
        <f t="shared" si="6"/>
        <v>--</v>
      </c>
      <c r="N37" s="160" t="str">
        <f>IFERROR(_xll.qlRateHelperQuoteName(M37,Trigger),"--")</f>
        <v>--</v>
      </c>
      <c r="O37" s="110" t="str">
        <f>IFERROR(_xll.qlRateHelperQuoteValue($M37,Trigger),"--")</f>
        <v>--</v>
      </c>
      <c r="P37" s="109" t="b">
        <v>0</v>
      </c>
      <c r="Q37" s="106">
        <v>40</v>
      </c>
      <c r="R37" s="106">
        <v>1</v>
      </c>
      <c r="S37" s="111" t="str">
        <f>IFERROR(_xll.qlRateHelperEarliestDate(M37,Trigger),"--")</f>
        <v>--</v>
      </c>
      <c r="T37" s="111" t="str">
        <f>IFERROR(_xll.qlRateHelperPillarDate(M37,Trigger),"--")</f>
        <v>--</v>
      </c>
      <c r="V37" s="4" t="str">
        <f t="shared" si="3"/>
        <v>BasSw</v>
      </c>
      <c r="W37" s="4" t="str">
        <v>obj_00297</v>
      </c>
      <c r="X37" s="4" t="str">
        <f>IFERROR(_xll.qlRateHelperQuoteName(W37,Trigger),"")</f>
        <v>USDAM3L50Y_S12L3L_Quote</v>
      </c>
      <c r="Y37" s="76">
        <f>IFERROR(_xll.qlRateHelperRate(W37,Trigger),"")</f>
        <v>2.9129047810765848E-2</v>
      </c>
      <c r="Z37" s="116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42261</v>
      </c>
      <c r="AB37" s="5">
        <f>IFERROR(_xll.qlRateHelperPillarDate(W37,Trigger),"")</f>
        <v>60524</v>
      </c>
      <c r="AC37" s="84">
        <v>0.22828985523534637</v>
      </c>
    </row>
    <row r="38" spans="1:29" ht="11.25" customHeight="1" x14ac:dyDescent="0.2">
      <c r="A38" s="64" t="s">
        <v>128</v>
      </c>
      <c r="B38" s="128">
        <v>18</v>
      </c>
      <c r="C38" s="68" t="str">
        <f t="shared" si="9"/>
        <v>x30F</v>
      </c>
      <c r="D38" s="137"/>
      <c r="E38" s="137"/>
      <c r="F38" s="137"/>
      <c r="G38" s="66" t="str">
        <f t="shared" si="7"/>
        <v>UsdLibor1Y</v>
      </c>
      <c r="H38" s="131" t="str">
        <f t="shared" si="10"/>
        <v>USD18x30F_Quote</v>
      </c>
      <c r="I38" s="137"/>
      <c r="J38" s="70"/>
      <c r="K38" s="53"/>
      <c r="L38" s="11" t="str">
        <f t="shared" si="5"/>
        <v>FRA</v>
      </c>
      <c r="M38" s="106" t="str">
        <f t="shared" si="6"/>
        <v>--</v>
      </c>
      <c r="N38" s="160" t="str">
        <f>IFERROR(_xll.qlRateHelperQuoteName(M38,Trigger),"--")</f>
        <v>--</v>
      </c>
      <c r="O38" s="110" t="str">
        <f>IFERROR(_xll.qlRateHelperQuoteValue($M38,Trigger),"--")</f>
        <v>--</v>
      </c>
      <c r="P38" s="109" t="b">
        <v>0</v>
      </c>
      <c r="Q38" s="106">
        <v>40</v>
      </c>
      <c r="R38" s="106">
        <v>1</v>
      </c>
      <c r="S38" s="111" t="str">
        <f>IFERROR(_xll.qlRateHelperEarliestDate(M38,Trigger),"--")</f>
        <v>--</v>
      </c>
      <c r="T38" s="111" t="str">
        <f>IFERROR(_xll.qlRateHelperPillarDate(M38,Trigger),"--")</f>
        <v>--</v>
      </c>
      <c r="V38" s="4" t="str">
        <f t="shared" si="3"/>
        <v>BasSw</v>
      </c>
      <c r="W38" s="4" t="str">
        <v>obj_002aa</v>
      </c>
      <c r="X38" s="4" t="str">
        <f>IFERROR(_xll.qlRateHelperQuoteName(W38,Trigger),"")</f>
        <v>USDAM3L60Y_S12L3L_Quote</v>
      </c>
      <c r="Y38" s="76">
        <f>IFERROR(_xll.qlRateHelperRate(W38,Trigger),"")</f>
        <v>2.900522110951163E-2</v>
      </c>
      <c r="Z38" s="116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42261</v>
      </c>
      <c r="AB38" s="5">
        <f>IFERROR(_xll.qlRateHelperPillarDate(W38,Trigger),"")</f>
        <v>64178</v>
      </c>
      <c r="AC38" s="84">
        <v>0.17326135342610399</v>
      </c>
    </row>
    <row r="39" spans="1:29" ht="11.25" customHeight="1" x14ac:dyDescent="0.2">
      <c r="A39" s="64" t="s">
        <v>128</v>
      </c>
      <c r="B39" s="128">
        <v>19</v>
      </c>
      <c r="C39" s="68" t="str">
        <f t="shared" si="9"/>
        <v>x31F</v>
      </c>
      <c r="D39" s="137"/>
      <c r="E39" s="137"/>
      <c r="F39" s="137"/>
      <c r="G39" s="66" t="str">
        <f t="shared" si="7"/>
        <v>UsdLibor1Y</v>
      </c>
      <c r="H39" s="131" t="str">
        <f t="shared" si="10"/>
        <v>USD19x31F_Quote</v>
      </c>
      <c r="I39" s="137"/>
      <c r="J39" s="70"/>
      <c r="K39" s="53"/>
      <c r="L39" s="11" t="str">
        <f t="shared" si="5"/>
        <v>FRA</v>
      </c>
      <c r="M39" s="106" t="str">
        <f t="shared" si="6"/>
        <v>--</v>
      </c>
      <c r="N39" s="160" t="str">
        <f>IFERROR(_xll.qlRateHelperQuoteName(M39,Trigger),"--")</f>
        <v>--</v>
      </c>
      <c r="O39" s="110" t="str">
        <f>IFERROR(_xll.qlRateHelperQuoteValue($M39,Trigger),"--")</f>
        <v>--</v>
      </c>
      <c r="P39" s="109" t="b">
        <v>0</v>
      </c>
      <c r="Q39" s="106">
        <v>40</v>
      </c>
      <c r="R39" s="106">
        <v>1</v>
      </c>
      <c r="S39" s="111" t="str">
        <f>IFERROR(_xll.qlRateHelperEarliestDate(M39,Trigger),"--")</f>
        <v>--</v>
      </c>
      <c r="T39" s="111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128</v>
      </c>
      <c r="B40" s="128">
        <v>20</v>
      </c>
      <c r="C40" s="68" t="str">
        <f t="shared" si="9"/>
        <v>x32F</v>
      </c>
      <c r="D40" s="137"/>
      <c r="E40" s="137"/>
      <c r="F40" s="137"/>
      <c r="G40" s="66" t="str">
        <f t="shared" si="7"/>
        <v>UsdLibor1Y</v>
      </c>
      <c r="H40" s="131" t="str">
        <f t="shared" si="10"/>
        <v>USD20x32F_Quote</v>
      </c>
      <c r="I40" s="137"/>
      <c r="J40" s="70"/>
      <c r="K40" s="53"/>
      <c r="L40" s="11" t="str">
        <f t="shared" si="5"/>
        <v>FRA</v>
      </c>
      <c r="M40" s="106" t="str">
        <f t="shared" si="6"/>
        <v>--</v>
      </c>
      <c r="N40" s="160" t="str">
        <f>IFERROR(_xll.qlRateHelperQuoteName(M40,Trigger),"--")</f>
        <v>--</v>
      </c>
      <c r="O40" s="110" t="str">
        <f>IFERROR(_xll.qlRateHelperQuoteValue($M40,Trigger),"--")</f>
        <v>--</v>
      </c>
      <c r="P40" s="109" t="b">
        <v>0</v>
      </c>
      <c r="Q40" s="106">
        <v>40</v>
      </c>
      <c r="R40" s="106">
        <v>1</v>
      </c>
      <c r="S40" s="111" t="str">
        <f>IFERROR(_xll.qlRateHelperEarliestDate(M40,Trigger),"--")</f>
        <v>--</v>
      </c>
      <c r="T40" s="111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128</v>
      </c>
      <c r="B41" s="128">
        <v>21</v>
      </c>
      <c r="C41" s="68" t="str">
        <f t="shared" si="9"/>
        <v>x33F</v>
      </c>
      <c r="D41" s="137"/>
      <c r="E41" s="137"/>
      <c r="F41" s="137"/>
      <c r="G41" s="66" t="str">
        <f t="shared" si="7"/>
        <v>UsdLibor1Y</v>
      </c>
      <c r="H41" s="131" t="str">
        <f t="shared" si="10"/>
        <v>USD21x33F_Quote</v>
      </c>
      <c r="I41" s="137"/>
      <c r="J41" s="70"/>
      <c r="L41" s="11" t="str">
        <f t="shared" si="5"/>
        <v>FRA</v>
      </c>
      <c r="M41" s="106" t="str">
        <f t="shared" si="6"/>
        <v>--</v>
      </c>
      <c r="N41" s="160" t="str">
        <f>IFERROR(_xll.qlRateHelperQuoteName(M41,Trigger),"--")</f>
        <v>--</v>
      </c>
      <c r="O41" s="110" t="str">
        <f>IFERROR(_xll.qlRateHelperQuoteValue($M41,Trigger),"--")</f>
        <v>--</v>
      </c>
      <c r="P41" s="109" t="b">
        <v>0</v>
      </c>
      <c r="Q41" s="106">
        <v>40</v>
      </c>
      <c r="R41" s="106">
        <v>1</v>
      </c>
      <c r="S41" s="111" t="str">
        <f>IFERROR(_xll.qlRateHelperEarliestDate(M41,Trigger),"--")</f>
        <v>--</v>
      </c>
      <c r="T41" s="111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128</v>
      </c>
      <c r="B42" s="128">
        <v>22</v>
      </c>
      <c r="C42" s="68" t="str">
        <f t="shared" si="9"/>
        <v>x34F</v>
      </c>
      <c r="D42" s="137"/>
      <c r="E42" s="137"/>
      <c r="F42" s="137"/>
      <c r="G42" s="66" t="str">
        <f t="shared" si="7"/>
        <v>UsdLibor1Y</v>
      </c>
      <c r="H42" s="131" t="str">
        <f t="shared" si="10"/>
        <v>USD22x34F_Quote</v>
      </c>
      <c r="I42" s="137"/>
      <c r="J42" s="70"/>
      <c r="L42" s="12" t="str">
        <f t="shared" si="5"/>
        <v>FRA</v>
      </c>
      <c r="M42" s="107" t="str">
        <f t="shared" si="6"/>
        <v>--</v>
      </c>
      <c r="N42" s="161" t="str">
        <f>IFERROR(_xll.qlRateHelperQuoteName(M42,Trigger),"--")</f>
        <v>--</v>
      </c>
      <c r="O42" s="113" t="str">
        <f>IFERROR(_xll.qlRateHelperQuoteValue($M42,Trigger),"--")</f>
        <v>--</v>
      </c>
      <c r="P42" s="112" t="b">
        <v>0</v>
      </c>
      <c r="Q42" s="107">
        <v>40</v>
      </c>
      <c r="R42" s="107">
        <v>1</v>
      </c>
      <c r="S42" s="114" t="str">
        <f>IFERROR(_xll.qlRateHelperEarliestDate(M42,Trigger),"--")</f>
        <v>--</v>
      </c>
      <c r="T42" s="114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128</v>
      </c>
      <c r="B43" s="128">
        <v>23</v>
      </c>
      <c r="C43" s="68" t="str">
        <f t="shared" si="9"/>
        <v>x35F</v>
      </c>
      <c r="D43" s="137"/>
      <c r="E43" s="137"/>
      <c r="F43" s="137"/>
      <c r="G43" s="66" t="str">
        <f t="shared" si="7"/>
        <v>UsdLibor1Y</v>
      </c>
      <c r="H43" s="131" t="str">
        <f t="shared" si="10"/>
        <v>USD23x35F_Quote</v>
      </c>
      <c r="I43" s="137"/>
      <c r="J43" s="70"/>
      <c r="L43" s="74" t="str">
        <f>A47</f>
        <v>BasSw</v>
      </c>
      <c r="M43" s="145" t="str">
        <f>IF(ISBLANK(J47),"--",J47)</f>
        <v>--</v>
      </c>
      <c r="N43" s="159" t="str">
        <f>IFERROR(_xll.qlRateHelperQuoteName(M43,Trigger),"--")</f>
        <v>--</v>
      </c>
      <c r="O43" s="147" t="str">
        <f>IFERROR(_xll.qlRateHelperQuoteValue($M43,Trigger),"--")</f>
        <v>--</v>
      </c>
      <c r="P43" s="146" t="b">
        <v>0</v>
      </c>
      <c r="Q43" s="145">
        <v>40</v>
      </c>
      <c r="R43" s="145">
        <v>1</v>
      </c>
      <c r="S43" s="148" t="str">
        <f>IFERROR(_xll.qlRateHelperEarliestDate(M43,Trigger),"--")</f>
        <v>--</v>
      </c>
      <c r="T43" s="148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1" t="s">
        <v>128</v>
      </c>
      <c r="B44" s="129">
        <v>24</v>
      </c>
      <c r="C44" s="10" t="str">
        <f t="shared" si="9"/>
        <v>x36F</v>
      </c>
      <c r="D44" s="138"/>
      <c r="E44" s="138"/>
      <c r="F44" s="138"/>
      <c r="G44" s="7" t="str">
        <f t="shared" si="7"/>
        <v>UsdLibor1Y</v>
      </c>
      <c r="H44" s="132" t="str">
        <f t="shared" si="10"/>
        <v>USD24x36F_Quote</v>
      </c>
      <c r="I44" s="138"/>
      <c r="J44" s="3"/>
      <c r="L44" s="11" t="str">
        <f t="shared" ref="L44:L78" si="11">A48</f>
        <v>BasSw</v>
      </c>
      <c r="M44" s="106" t="str">
        <f t="shared" ref="M44:M78" si="12">IF(ISBLANK(J48),"--",J48)</f>
        <v>obj_002d4#0004</v>
      </c>
      <c r="N44" s="160" t="str">
        <f>IFERROR(_xll.qlRateHelperQuoteName(M44,Trigger),"--")</f>
        <v>USDAM3L2Y_S12L3L_Quote</v>
      </c>
      <c r="O44" s="110">
        <f>IFERROR(_xll.qlRateHelperQuoteValue($M44,Trigger),"--")</f>
        <v>1.1400906316446751E-2</v>
      </c>
      <c r="P44" s="109" t="b">
        <v>1</v>
      </c>
      <c r="Q44" s="106">
        <v>40</v>
      </c>
      <c r="R44" s="106">
        <v>7</v>
      </c>
      <c r="S44" s="111">
        <f>IFERROR(_xll.qlRateHelperEarliestDate(M44,Trigger),"--")</f>
        <v>42261</v>
      </c>
      <c r="T44" s="111">
        <f>IFERROR(_xll.qlRateHelperPillarDate(M44,Trigger),"--")</f>
        <v>42992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B45" s="51"/>
      <c r="C45" s="51"/>
      <c r="D45" s="51"/>
      <c r="E45" s="51"/>
      <c r="F45" s="51" t="s">
        <v>150</v>
      </c>
      <c r="G45" s="51" t="s">
        <v>149</v>
      </c>
      <c r="H45" s="51" t="s">
        <v>161</v>
      </c>
      <c r="L45" s="11" t="str">
        <f t="shared" si="11"/>
        <v>BasSw</v>
      </c>
      <c r="M45" s="106" t="str">
        <f t="shared" si="12"/>
        <v>obj_0029a#0004</v>
      </c>
      <c r="N45" s="160" t="str">
        <f>IFERROR(_xll.qlRateHelperQuoteName(M45,Trigger),"--")</f>
        <v>USDAM3L3Y_S12L3L_Quote</v>
      </c>
      <c r="O45" s="110">
        <f>IFERROR(_xll.qlRateHelperQuoteValue($M45,Trigger),"--")</f>
        <v>1.3915041003941378E-2</v>
      </c>
      <c r="P45" s="109" t="b">
        <v>1</v>
      </c>
      <c r="Q45" s="106">
        <v>40</v>
      </c>
      <c r="R45" s="106">
        <v>1</v>
      </c>
      <c r="S45" s="111">
        <f>IFERROR(_xll.qlRateHelperEarliestDate(M45,Trigger),"--")</f>
        <v>42261</v>
      </c>
      <c r="T45" s="111">
        <f>IFERROR(_xll.qlRateHelperPillarDate(M45,Trigger),"--")</f>
        <v>43357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71" t="s">
        <v>9</v>
      </c>
      <c r="B46" s="71" t="s">
        <v>30</v>
      </c>
      <c r="C46" s="71" t="s">
        <v>151</v>
      </c>
      <c r="D46" s="71" t="s">
        <v>5</v>
      </c>
      <c r="E46" s="71" t="s">
        <v>35</v>
      </c>
      <c r="F46" s="71" t="s">
        <v>152</v>
      </c>
      <c r="G46" s="71" t="s">
        <v>4</v>
      </c>
      <c r="H46" s="71" t="s">
        <v>1</v>
      </c>
      <c r="I46" s="71" t="s">
        <v>148</v>
      </c>
      <c r="J46" s="71" t="s">
        <v>25</v>
      </c>
      <c r="L46" s="11" t="str">
        <f t="shared" si="11"/>
        <v>BasSw</v>
      </c>
      <c r="M46" s="106" t="str">
        <f t="shared" si="12"/>
        <v>obj_002a1#0004</v>
      </c>
      <c r="N46" s="160" t="str">
        <f>IFERROR(_xll.qlRateHelperQuoteName(M46,Trigger),"--")</f>
        <v>USDAM3L4Y_S12L3L_Quote</v>
      </c>
      <c r="O46" s="110">
        <f>IFERROR(_xll.qlRateHelperQuoteValue($M46,Trigger),"--")</f>
        <v>1.6274300771919804E-2</v>
      </c>
      <c r="P46" s="109" t="b">
        <v>1</v>
      </c>
      <c r="Q46" s="106">
        <v>40</v>
      </c>
      <c r="R46" s="106">
        <v>1</v>
      </c>
      <c r="S46" s="111">
        <f>IFERROR(_xll.qlRateHelperEarliestDate(M46,Trigger),"--")</f>
        <v>42261</v>
      </c>
      <c r="T46" s="111">
        <f>IFERROR(_xll.qlRateHelperPillarDate(M46,Trigger),"--")</f>
        <v>43724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58" t="s">
        <v>160</v>
      </c>
      <c r="B47" s="59" t="s">
        <v>29</v>
      </c>
      <c r="C47" s="60" t="s">
        <v>6</v>
      </c>
      <c r="D47" s="60" t="s">
        <v>8</v>
      </c>
      <c r="E47" s="60" t="s">
        <v>7</v>
      </c>
      <c r="F47" s="60" t="s">
        <v>28</v>
      </c>
      <c r="G47" s="60" t="str">
        <f t="shared" ref="G47:G82" si="13">PROPER(Currency)&amp;FamilyName&amp;Tenor</f>
        <v>UsdLibor1Y</v>
      </c>
      <c r="H47" s="58" t="str">
        <f t="shared" ref="H47:H82" si="14">Currency&amp;$G$45&amp;$F$45&amp;$B47&amp;"_S"&amp;$H$45&amp;$F$45&amp;QuoteSuffix</f>
        <v>USDAM3L1Y_S12L3L_Quote</v>
      </c>
      <c r="I47" s="140">
        <v>0</v>
      </c>
      <c r="J47" s="70"/>
      <c r="L47" s="11" t="str">
        <f t="shared" si="11"/>
        <v>BasSw</v>
      </c>
      <c r="M47" s="106" t="str">
        <f t="shared" si="12"/>
        <v>obj_00295#0004</v>
      </c>
      <c r="N47" s="160" t="str">
        <f>IFERROR(_xll.qlRateHelperQuoteName(M47,Trigger),"--")</f>
        <v>USDAM3L5Y_S12L3L_Quote</v>
      </c>
      <c r="O47" s="110">
        <f>IFERROR(_xll.qlRateHelperQuoteValue($M47,Trigger),"--")</f>
        <v>1.8300907714167008E-2</v>
      </c>
      <c r="P47" s="109" t="b">
        <v>1</v>
      </c>
      <c r="Q47" s="106">
        <v>40</v>
      </c>
      <c r="R47" s="106">
        <v>1</v>
      </c>
      <c r="S47" s="111">
        <f>IFERROR(_xll.qlRateHelperEarliestDate(M47,Trigger),"--")</f>
        <v>42261</v>
      </c>
      <c r="T47" s="111">
        <f>IFERROR(_xll.qlRateHelperPillarDate(M47,Trigger),"--")</f>
        <v>44088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160</v>
      </c>
      <c r="B48" s="65" t="s">
        <v>72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 t="shared" si="13"/>
        <v>UsdLibor1Y</v>
      </c>
      <c r="H48" s="64" t="str">
        <f t="shared" si="14"/>
        <v>USDAM3L2Y_S12L3L_Quote</v>
      </c>
      <c r="I48" s="141">
        <v>0</v>
      </c>
      <c r="J48" s="70" t="str">
        <f>_xll.qlSwapRateHelper2(,H48,,B48,JoinCalendar,USD1Y!D48,USD1Y!E48,USD1Y!F48,USD1Y!G48,USD1Y!I48,USD1Y!C48,Discounting,PillarDate,,Permanent,Trigger,ObjectOverwrite)</f>
        <v>obj_002d4#0004</v>
      </c>
      <c r="L48" s="11" t="str">
        <f t="shared" si="11"/>
        <v>BasSw</v>
      </c>
      <c r="M48" s="106" t="str">
        <f t="shared" si="12"/>
        <v>obj_002b8#0004</v>
      </c>
      <c r="N48" s="160" t="str">
        <f>IFERROR(_xll.qlRateHelperQuoteName(M48,Trigger),"--")</f>
        <v>USDAM3L6Y_S12L3L_Quote</v>
      </c>
      <c r="O48" s="110">
        <f>IFERROR(_xll.qlRateHelperQuoteValue($M48,Trigger),"--")</f>
        <v>2.0057193728346596E-2</v>
      </c>
      <c r="P48" s="109" t="b">
        <v>1</v>
      </c>
      <c r="Q48" s="106">
        <v>40</v>
      </c>
      <c r="R48" s="106">
        <v>1</v>
      </c>
      <c r="S48" s="111">
        <f>IFERROR(_xll.qlRateHelperEarliestDate(M48,Trigger),"--")</f>
        <v>42261</v>
      </c>
      <c r="T48" s="111">
        <f>IFERROR(_xll.qlRateHelperPillarDate(M48,Trigger),"--")</f>
        <v>44453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160</v>
      </c>
      <c r="B49" s="65" t="s">
        <v>76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 t="shared" si="13"/>
        <v>UsdLibor1Y</v>
      </c>
      <c r="H49" s="64" t="str">
        <f t="shared" si="14"/>
        <v>USDAM3L3Y_S12L3L_Quote</v>
      </c>
      <c r="I49" s="141">
        <v>0</v>
      </c>
      <c r="J49" s="70" t="str">
        <f>_xll.qlSwapRateHelper2(,H49,,B49,JoinCalendar,USD1Y!D49,USD1Y!E49,USD1Y!F49,USD1Y!G49,USD1Y!I49,USD1Y!C49,Discounting,PillarDate,,Permanent,Trigger,ObjectOverwrite)</f>
        <v>obj_0029a#0004</v>
      </c>
      <c r="L49" s="11" t="str">
        <f t="shared" si="11"/>
        <v>BasSw</v>
      </c>
      <c r="M49" s="106" t="str">
        <f t="shared" si="12"/>
        <v>obj_002c9#0004</v>
      </c>
      <c r="N49" s="160" t="str">
        <f>IFERROR(_xll.qlRateHelperQuoteName(M49,Trigger),"--")</f>
        <v>USDAM3L7Y_S12L3L_Quote</v>
      </c>
      <c r="O49" s="110">
        <f>IFERROR(_xll.qlRateHelperQuoteValue($M49,Trigger),"--")</f>
        <v>2.152344165145709E-2</v>
      </c>
      <c r="P49" s="109" t="b">
        <v>1</v>
      </c>
      <c r="Q49" s="106">
        <v>40</v>
      </c>
      <c r="R49" s="106">
        <v>1</v>
      </c>
      <c r="S49" s="111">
        <f>IFERROR(_xll.qlRateHelperEarliestDate(M49,Trigger),"--")</f>
        <v>42261</v>
      </c>
      <c r="T49" s="111">
        <f>IFERROR(_xll.qlRateHelperPillarDate(M49,Trigger),"--")</f>
        <v>44818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160</v>
      </c>
      <c r="B50" s="65" t="s">
        <v>80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 t="shared" si="13"/>
        <v>UsdLibor1Y</v>
      </c>
      <c r="H50" s="64" t="str">
        <f t="shared" si="14"/>
        <v>USDAM3L4Y_S12L3L_Quote</v>
      </c>
      <c r="I50" s="141">
        <v>0</v>
      </c>
      <c r="J50" s="70" t="str">
        <f>_xll.qlSwapRateHelper2(,H50,,B50,JoinCalendar,USD1Y!D50,USD1Y!E50,USD1Y!F50,USD1Y!G50,USD1Y!I50,USD1Y!C50,Discounting,PillarDate,,Permanent,Trigger,ObjectOverwrite)</f>
        <v>obj_002a1#0004</v>
      </c>
      <c r="L50" s="11" t="str">
        <f t="shared" si="11"/>
        <v>BasSw</v>
      </c>
      <c r="M50" s="106" t="str">
        <f t="shared" si="12"/>
        <v>obj_0029e#0004</v>
      </c>
      <c r="N50" s="160" t="str">
        <f>IFERROR(_xll.qlRateHelperQuoteName(M50,Trigger),"--")</f>
        <v>USDAM3L8Y_S12L3L_Quote</v>
      </c>
      <c r="O50" s="110">
        <f>IFERROR(_xll.qlRateHelperQuoteValue($M50,Trigger),"--")</f>
        <v>2.2741864929251274E-2</v>
      </c>
      <c r="P50" s="109" t="b">
        <v>1</v>
      </c>
      <c r="Q50" s="106">
        <v>40</v>
      </c>
      <c r="R50" s="106">
        <v>1</v>
      </c>
      <c r="S50" s="111">
        <f>IFERROR(_xll.qlRateHelperEarliestDate(M50,Trigger),"--")</f>
        <v>42261</v>
      </c>
      <c r="T50" s="111">
        <f>IFERROR(_xll.qlRateHelperPillarDate(M50,Trigger),"--")</f>
        <v>45183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160</v>
      </c>
      <c r="B51" s="65" t="s">
        <v>84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3"/>
        <v>UsdLibor1Y</v>
      </c>
      <c r="H51" s="64" t="str">
        <f t="shared" si="14"/>
        <v>USDAM3L5Y_S12L3L_Quote</v>
      </c>
      <c r="I51" s="141">
        <v>0</v>
      </c>
      <c r="J51" s="70" t="str">
        <f>_xll.qlSwapRateHelper2(,H51,,B51,JoinCalendar,USD1Y!D51,USD1Y!E51,USD1Y!F51,USD1Y!G51,USD1Y!I51,USD1Y!C51,Discounting,PillarDate,,Permanent,Trigger,ObjectOverwrite)</f>
        <v>obj_00295#0004</v>
      </c>
      <c r="L51" s="11" t="str">
        <f t="shared" si="11"/>
        <v>BasSw</v>
      </c>
      <c r="M51" s="106" t="str">
        <f t="shared" si="12"/>
        <v>obj_002b5#0004</v>
      </c>
      <c r="N51" s="160" t="str">
        <f>IFERROR(_xll.qlRateHelperQuoteName(M51,Trigger),"--")</f>
        <v>USDAM3L9Y_S12L3L_Quote</v>
      </c>
      <c r="O51" s="110">
        <f>IFERROR(_xll.qlRateHelperQuoteValue($M51,Trigger),"--")</f>
        <v>2.3730138304417184E-2</v>
      </c>
      <c r="P51" s="109" t="b">
        <v>1</v>
      </c>
      <c r="Q51" s="106">
        <v>40</v>
      </c>
      <c r="R51" s="106">
        <v>1</v>
      </c>
      <c r="S51" s="111">
        <f>IFERROR(_xll.qlRateHelperEarliestDate(M51,Trigger),"--")</f>
        <v>42261</v>
      </c>
      <c r="T51" s="111">
        <f>IFERROR(_xll.qlRateHelperPillarDate(M51,Trigger),"--")</f>
        <v>45551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160</v>
      </c>
      <c r="B52" s="65" t="s">
        <v>85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3"/>
        <v>UsdLibor1Y</v>
      </c>
      <c r="H52" s="64" t="str">
        <f t="shared" si="14"/>
        <v>USDAM3L6Y_S12L3L_Quote</v>
      </c>
      <c r="I52" s="141">
        <v>0</v>
      </c>
      <c r="J52" s="70" t="str">
        <f>_xll.qlSwapRateHelper2(,H52,,B52,JoinCalendar,USD1Y!D52,USD1Y!E52,USD1Y!F52,USD1Y!G52,USD1Y!I52,USD1Y!C52,Discounting,PillarDate,,Permanent,Trigger,ObjectOverwrite)</f>
        <v>obj_002b8#0004</v>
      </c>
      <c r="L52" s="11" t="str">
        <f t="shared" si="11"/>
        <v>BasSw</v>
      </c>
      <c r="M52" s="106" t="str">
        <f t="shared" si="12"/>
        <v>obj_0029c#0004</v>
      </c>
      <c r="N52" s="160" t="str">
        <f>IFERROR(_xll.qlRateHelperQuoteName(M52,Trigger),"--")</f>
        <v>USDAM3L10Y_S12L3L_Quote</v>
      </c>
      <c r="O52" s="110">
        <f>IFERROR(_xll.qlRateHelperQuoteValue($M52,Trigger),"--")</f>
        <v>2.4573420286252975E-2</v>
      </c>
      <c r="P52" s="109" t="b">
        <v>1</v>
      </c>
      <c r="Q52" s="106">
        <v>40</v>
      </c>
      <c r="R52" s="106">
        <v>1</v>
      </c>
      <c r="S52" s="111">
        <f>IFERROR(_xll.qlRateHelperEarliestDate(M52,Trigger),"--")</f>
        <v>42261</v>
      </c>
      <c r="T52" s="111">
        <f>IFERROR(_xll.qlRateHelperPillarDate(M52,Trigger),"--")</f>
        <v>45915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160</v>
      </c>
      <c r="B53" s="65" t="s">
        <v>86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3"/>
        <v>UsdLibor1Y</v>
      </c>
      <c r="H53" s="64" t="str">
        <f t="shared" si="14"/>
        <v>USDAM3L7Y_S12L3L_Quote</v>
      </c>
      <c r="I53" s="141">
        <v>0</v>
      </c>
      <c r="J53" s="70" t="str">
        <f>_xll.qlSwapRateHelper2(,H53,,B53,JoinCalendar,USD1Y!D53,USD1Y!E53,USD1Y!F53,USD1Y!G53,USD1Y!I53,USD1Y!C53,Discounting,PillarDate,,Permanent,Trigger,ObjectOverwrite)</f>
        <v>obj_002c9#0004</v>
      </c>
      <c r="L53" s="11" t="str">
        <f t="shared" si="11"/>
        <v>BasSw</v>
      </c>
      <c r="M53" s="106" t="str">
        <f t="shared" si="12"/>
        <v>obj_0029d#0004</v>
      </c>
      <c r="N53" s="160" t="str">
        <f>IFERROR(_xll.qlRateHelperQuoteName(M53,Trigger),"--")</f>
        <v>USDAM3L11Y_S12L3L_Quote</v>
      </c>
      <c r="O53" s="110">
        <f>IFERROR(_xll.qlRateHelperQuoteValue($M53,Trigger),"--")</f>
        <v>2.529635296111173E-2</v>
      </c>
      <c r="P53" s="109" t="b">
        <v>1</v>
      </c>
      <c r="Q53" s="106">
        <v>40</v>
      </c>
      <c r="R53" s="106">
        <v>1</v>
      </c>
      <c r="S53" s="111">
        <f>IFERROR(_xll.qlRateHelperEarliestDate(M53,Trigger),"--")</f>
        <v>42261</v>
      </c>
      <c r="T53" s="111">
        <f>IFERROR(_xll.qlRateHelperPillarDate(M53,Trigger),"--")</f>
        <v>46279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160</v>
      </c>
      <c r="B54" s="65" t="s">
        <v>87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3"/>
        <v>UsdLibor1Y</v>
      </c>
      <c r="H54" s="64" t="str">
        <f t="shared" si="14"/>
        <v>USDAM3L8Y_S12L3L_Quote</v>
      </c>
      <c r="I54" s="141">
        <v>0</v>
      </c>
      <c r="J54" s="70" t="str">
        <f>_xll.qlSwapRateHelper2(,H54,,B54,JoinCalendar,USD1Y!D54,USD1Y!E54,USD1Y!F54,USD1Y!G54,USD1Y!I54,USD1Y!C54,Discounting,PillarDate,,Permanent,Trigger,ObjectOverwrite)</f>
        <v>obj_0029e#0004</v>
      </c>
      <c r="L54" s="11" t="str">
        <f t="shared" si="11"/>
        <v>BasSw</v>
      </c>
      <c r="M54" s="106" t="str">
        <f t="shared" si="12"/>
        <v>obj_002bb#0004</v>
      </c>
      <c r="N54" s="160" t="str">
        <f>IFERROR(_xll.qlRateHelperQuoteName(M54,Trigger),"--")</f>
        <v>USDAM3L12Y_S12L3L_Quote</v>
      </c>
      <c r="O54" s="110">
        <f>IFERROR(_xll.qlRateHelperQuoteValue($M54,Trigger),"--")</f>
        <v>2.5922284085619814E-2</v>
      </c>
      <c r="P54" s="109" t="b">
        <v>1</v>
      </c>
      <c r="Q54" s="106">
        <v>40</v>
      </c>
      <c r="R54" s="106">
        <v>1</v>
      </c>
      <c r="S54" s="111">
        <f>IFERROR(_xll.qlRateHelperEarliestDate(M54,Trigger),"--")</f>
        <v>42261</v>
      </c>
      <c r="T54" s="111">
        <f>IFERROR(_xll.qlRateHelperPillarDate(M54,Trigger),"--")</f>
        <v>46644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160</v>
      </c>
      <c r="B55" s="65" t="s">
        <v>88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3"/>
        <v>UsdLibor1Y</v>
      </c>
      <c r="H55" s="64" t="str">
        <f t="shared" si="14"/>
        <v>USDAM3L9Y_S12L3L_Quote</v>
      </c>
      <c r="I55" s="141">
        <v>0</v>
      </c>
      <c r="J55" s="70" t="str">
        <f>_xll.qlSwapRateHelper2(,H55,,B55,JoinCalendar,USD1Y!D55,USD1Y!E55,USD1Y!F55,USD1Y!G55,USD1Y!I55,USD1Y!C55,Discounting,PillarDate,,Permanent,Trigger,ObjectOverwrite)</f>
        <v>obj_002b5#0004</v>
      </c>
      <c r="L55" s="11" t="str">
        <f t="shared" si="11"/>
        <v>BasSw</v>
      </c>
      <c r="M55" s="106" t="str">
        <f t="shared" si="12"/>
        <v>obj_002ce#0004</v>
      </c>
      <c r="N55" s="160" t="str">
        <f>IFERROR(_xll.qlRateHelperQuoteName(M55,Trigger),"--")</f>
        <v>USDAM3L13Y_S12L3L_Quote</v>
      </c>
      <c r="O55" s="110">
        <f>IFERROR(_xll.qlRateHelperQuoteValue($M55,Trigger),"--")</f>
        <v>2.6439989674391078E-2</v>
      </c>
      <c r="P55" s="109" t="b">
        <v>1</v>
      </c>
      <c r="Q55" s="106">
        <v>40</v>
      </c>
      <c r="R55" s="106">
        <v>1</v>
      </c>
      <c r="S55" s="111">
        <f>IFERROR(_xll.qlRateHelperEarliestDate(M55,Trigger),"--")</f>
        <v>42261</v>
      </c>
      <c r="T55" s="111">
        <f>IFERROR(_xll.qlRateHelperPillarDate(M55,Trigger),"--")</f>
        <v>47010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160</v>
      </c>
      <c r="B56" s="65" t="s">
        <v>89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3"/>
        <v>UsdLibor1Y</v>
      </c>
      <c r="H56" s="64" t="str">
        <f t="shared" si="14"/>
        <v>USDAM3L10Y_S12L3L_Quote</v>
      </c>
      <c r="I56" s="141">
        <v>0</v>
      </c>
      <c r="J56" s="70" t="str">
        <f>_xll.qlSwapRateHelper2(,H56,,B56,JoinCalendar,USD1Y!D56,USD1Y!E56,USD1Y!F56,USD1Y!G56,USD1Y!I56,USD1Y!C56,Discounting,PillarDate,,Permanent,Trigger,ObjectOverwrite)</f>
        <v>obj_0029c#0004</v>
      </c>
      <c r="L56" s="11" t="str">
        <f t="shared" si="11"/>
        <v>BasSw</v>
      </c>
      <c r="M56" s="106" t="str">
        <f t="shared" si="12"/>
        <v>obj_002a5#0004</v>
      </c>
      <c r="N56" s="160" t="str">
        <f>IFERROR(_xll.qlRateHelperQuoteName(M56,Trigger),"--")</f>
        <v>USDAM3L14Y_S12L3L_Quote</v>
      </c>
      <c r="O56" s="110">
        <f>IFERROR(_xll.qlRateHelperQuoteValue($M56,Trigger),"--")</f>
        <v>2.686351685148684E-2</v>
      </c>
      <c r="P56" s="109" t="b">
        <v>1</v>
      </c>
      <c r="Q56" s="106">
        <v>40</v>
      </c>
      <c r="R56" s="106">
        <v>1</v>
      </c>
      <c r="S56" s="111">
        <f>IFERROR(_xll.qlRateHelperEarliestDate(M56,Trigger),"--")</f>
        <v>42261</v>
      </c>
      <c r="T56" s="111">
        <f>IFERROR(_xll.qlRateHelperPillarDate(M56,Trigger),"--")</f>
        <v>47375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160</v>
      </c>
      <c r="B57" s="65" t="s">
        <v>133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3"/>
        <v>UsdLibor1Y</v>
      </c>
      <c r="H57" s="64" t="str">
        <f t="shared" si="14"/>
        <v>USDAM3L11Y_S12L3L_Quote</v>
      </c>
      <c r="I57" s="141">
        <v>0</v>
      </c>
      <c r="J57" s="70" t="str">
        <f>_xll.qlSwapRateHelper2(,H57,,B57,JoinCalendar,USD1Y!D57,USD1Y!E57,USD1Y!F57,USD1Y!G57,USD1Y!I57,USD1Y!C57,Discounting,PillarDate,,Permanent,Trigger,ObjectOverwrite)</f>
        <v>obj_0029d#0004</v>
      </c>
      <c r="L57" s="11" t="str">
        <f t="shared" si="11"/>
        <v>BasSw</v>
      </c>
      <c r="M57" s="106" t="str">
        <f t="shared" si="12"/>
        <v>obj_002c8#0004</v>
      </c>
      <c r="N57" s="160" t="str">
        <f>IFERROR(_xll.qlRateHelperQuoteName(M57,Trigger),"--")</f>
        <v>USDAM3L15Y_S12L3L_Quote</v>
      </c>
      <c r="O57" s="110">
        <f>IFERROR(_xll.qlRateHelperQuoteValue($M57,Trigger),"--")</f>
        <v>2.7218596156985908E-2</v>
      </c>
      <c r="P57" s="109" t="b">
        <v>1</v>
      </c>
      <c r="Q57" s="106">
        <v>40</v>
      </c>
      <c r="R57" s="106">
        <v>1</v>
      </c>
      <c r="S57" s="111">
        <f>IFERROR(_xll.qlRateHelperEarliestDate(M57,Trigger),"--")</f>
        <v>42261</v>
      </c>
      <c r="T57" s="111">
        <f>IFERROR(_xll.qlRateHelperPillarDate(M57,Trigger),"--")</f>
        <v>47742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160</v>
      </c>
      <c r="B58" s="65" t="s">
        <v>90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3"/>
        <v>UsdLibor1Y</v>
      </c>
      <c r="H58" s="64" t="str">
        <f t="shared" si="14"/>
        <v>USDAM3L12Y_S12L3L_Quote</v>
      </c>
      <c r="I58" s="141">
        <v>0</v>
      </c>
      <c r="J58" s="70" t="str">
        <f>_xll.qlSwapRateHelper2(,H58,,B58,JoinCalendar,USD1Y!D58,USD1Y!E58,USD1Y!F58,USD1Y!G58,USD1Y!I58,USD1Y!C58,Discounting,PillarDate,,Permanent,Trigger,ObjectOverwrite)</f>
        <v>obj_002bb#0004</v>
      </c>
      <c r="L58" s="11" t="str">
        <f t="shared" si="11"/>
        <v>BasSw</v>
      </c>
      <c r="M58" s="106" t="str">
        <f t="shared" si="12"/>
        <v>--</v>
      </c>
      <c r="N58" s="160" t="str">
        <f>IFERROR(_xll.qlRateHelperQuoteName(M58,Trigger),"--")</f>
        <v>--</v>
      </c>
      <c r="O58" s="110" t="str">
        <f>IFERROR(_xll.qlRateHelperQuoteValue($M58,Trigger),"--")</f>
        <v>--</v>
      </c>
      <c r="P58" s="109" t="b">
        <v>0</v>
      </c>
      <c r="Q58" s="106">
        <v>40</v>
      </c>
      <c r="R58" s="106">
        <v>1</v>
      </c>
      <c r="S58" s="111" t="str">
        <f>IFERROR(_xll.qlRateHelperEarliestDate(M58,Trigger),"--")</f>
        <v>--</v>
      </c>
      <c r="T58" s="111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160</v>
      </c>
      <c r="B59" s="65" t="s">
        <v>134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 t="shared" si="13"/>
        <v>UsdLibor1Y</v>
      </c>
      <c r="H59" s="64" t="str">
        <f t="shared" si="14"/>
        <v>USDAM3L13Y_S12L3L_Quote</v>
      </c>
      <c r="I59" s="141">
        <v>0</v>
      </c>
      <c r="J59" s="70" t="str">
        <f>_xll.qlSwapRateHelper2(,H59,,B59,JoinCalendar,USD1Y!D59,USD1Y!E59,USD1Y!F59,USD1Y!G59,USD1Y!I59,USD1Y!C59,Discounting,PillarDate,,Permanent,Trigger,ObjectOverwrite)</f>
        <v>obj_002ce#0004</v>
      </c>
      <c r="L59" s="11" t="str">
        <f t="shared" si="11"/>
        <v>BasSw</v>
      </c>
      <c r="M59" s="106" t="str">
        <f t="shared" si="12"/>
        <v>--</v>
      </c>
      <c r="N59" s="160" t="str">
        <f>IFERROR(_xll.qlRateHelperQuoteName(M59,Trigger),"--")</f>
        <v>--</v>
      </c>
      <c r="O59" s="110" t="str">
        <f>IFERROR(_xll.qlRateHelperQuoteValue($M59,Trigger),"--")</f>
        <v>--</v>
      </c>
      <c r="P59" s="109" t="b">
        <v>0</v>
      </c>
      <c r="Q59" s="106">
        <v>40</v>
      </c>
      <c r="R59" s="106">
        <v>1</v>
      </c>
      <c r="S59" s="111" t="str">
        <f>IFERROR(_xll.qlRateHelperEarliestDate(M59,Trigger),"--")</f>
        <v>--</v>
      </c>
      <c r="T59" s="111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160</v>
      </c>
      <c r="B60" s="65" t="s">
        <v>135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 t="shared" si="13"/>
        <v>UsdLibor1Y</v>
      </c>
      <c r="H60" s="64" t="str">
        <f t="shared" si="14"/>
        <v>USDAM3L14Y_S12L3L_Quote</v>
      </c>
      <c r="I60" s="141">
        <v>0</v>
      </c>
      <c r="J60" s="70" t="str">
        <f>_xll.qlSwapRateHelper2(,H60,,B60,JoinCalendar,USD1Y!D60,USD1Y!E60,USD1Y!F60,USD1Y!G60,USD1Y!I60,USD1Y!C60,Discounting,PillarDate,,Permanent,Trigger,ObjectOverwrite)</f>
        <v>obj_002a5#0004</v>
      </c>
      <c r="L60" s="11" t="str">
        <f t="shared" si="11"/>
        <v>BasSw</v>
      </c>
      <c r="M60" s="106" t="str">
        <f t="shared" si="12"/>
        <v>--</v>
      </c>
      <c r="N60" s="160" t="str">
        <f>IFERROR(_xll.qlRateHelperQuoteName(M60,Trigger),"--")</f>
        <v>--</v>
      </c>
      <c r="O60" s="110" t="str">
        <f>IFERROR(_xll.qlRateHelperQuoteValue($M60,Trigger),"--")</f>
        <v>--</v>
      </c>
      <c r="P60" s="109" t="b">
        <v>0</v>
      </c>
      <c r="Q60" s="106">
        <v>40</v>
      </c>
      <c r="R60" s="106">
        <v>1</v>
      </c>
      <c r="S60" s="111" t="str">
        <f>IFERROR(_xll.qlRateHelperEarliestDate(M60,Trigger),"--")</f>
        <v>--</v>
      </c>
      <c r="T60" s="111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160</v>
      </c>
      <c r="B61" s="65" t="s">
        <v>91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 t="shared" si="13"/>
        <v>UsdLibor1Y</v>
      </c>
      <c r="H61" s="64" t="str">
        <f t="shared" si="14"/>
        <v>USDAM3L15Y_S12L3L_Quote</v>
      </c>
      <c r="I61" s="141">
        <v>0</v>
      </c>
      <c r="J61" s="70" t="str">
        <f>_xll.qlSwapRateHelper2(,H61,,B61,JoinCalendar,USD1Y!D61,USD1Y!E61,USD1Y!F61,USD1Y!G61,USD1Y!I61,USD1Y!C61,Discounting,PillarDate,,Permanent,Trigger,ObjectOverwrite)</f>
        <v>obj_002c8#0004</v>
      </c>
      <c r="L61" s="11" t="str">
        <f t="shared" si="11"/>
        <v>BasSw</v>
      </c>
      <c r="M61" s="106" t="str">
        <f t="shared" si="12"/>
        <v>--</v>
      </c>
      <c r="N61" s="160" t="str">
        <f>IFERROR(_xll.qlRateHelperQuoteName(M61,Trigger),"--")</f>
        <v>--</v>
      </c>
      <c r="O61" s="110" t="str">
        <f>IFERROR(_xll.qlRateHelperQuoteValue($M61,Trigger),"--")</f>
        <v>--</v>
      </c>
      <c r="P61" s="109" t="b">
        <v>0</v>
      </c>
      <c r="Q61" s="106">
        <v>40</v>
      </c>
      <c r="R61" s="106">
        <v>1</v>
      </c>
      <c r="S61" s="111" t="str">
        <f>IFERROR(_xll.qlRateHelperEarliestDate(M61,Trigger),"--")</f>
        <v>--</v>
      </c>
      <c r="T61" s="111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160</v>
      </c>
      <c r="B62" s="65" t="s">
        <v>136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 t="shared" si="13"/>
        <v>UsdLibor1Y</v>
      </c>
      <c r="H62" s="64" t="str">
        <f t="shared" si="14"/>
        <v>USDAM3L16Y_S12L3L_Quote</v>
      </c>
      <c r="I62" s="141">
        <v>0</v>
      </c>
      <c r="J62" s="70"/>
      <c r="L62" s="11" t="str">
        <f t="shared" si="11"/>
        <v>BasSw</v>
      </c>
      <c r="M62" s="106" t="str">
        <f t="shared" si="12"/>
        <v>obj_002b9#0004</v>
      </c>
      <c r="N62" s="160" t="str">
        <f>IFERROR(_xll.qlRateHelperQuoteName(M62,Trigger),"--")</f>
        <v>USDAM3L20Y_S12L3L_Quote</v>
      </c>
      <c r="O62" s="110">
        <f>IFERROR(_xll.qlRateHelperQuoteValue($M62,Trigger),"--")</f>
        <v>2.8291272134642619E-2</v>
      </c>
      <c r="P62" s="109" t="b">
        <v>1</v>
      </c>
      <c r="Q62" s="106">
        <v>40</v>
      </c>
      <c r="R62" s="106">
        <v>1</v>
      </c>
      <c r="S62" s="111">
        <f>IFERROR(_xll.qlRateHelperEarliestDate(M62,Trigger),"--")</f>
        <v>42261</v>
      </c>
      <c r="T62" s="111">
        <f>IFERROR(_xll.qlRateHelperPillarDate(M62,Trigger),"--")</f>
        <v>49566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160</v>
      </c>
      <c r="B63" s="65" t="s">
        <v>137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 t="shared" si="13"/>
        <v>UsdLibor1Y</v>
      </c>
      <c r="H63" s="64" t="str">
        <f t="shared" si="14"/>
        <v>USDAM3L17Y_S12L3L_Quote</v>
      </c>
      <c r="I63" s="141">
        <v>0</v>
      </c>
      <c r="J63" s="70"/>
      <c r="L63" s="11" t="str">
        <f t="shared" si="11"/>
        <v>BasSw</v>
      </c>
      <c r="M63" s="106" t="str">
        <f t="shared" si="12"/>
        <v>--</v>
      </c>
      <c r="N63" s="160" t="str">
        <f>IFERROR(_xll.qlRateHelperQuoteName(M63,Trigger),"--")</f>
        <v>--</v>
      </c>
      <c r="O63" s="110" t="str">
        <f>IFERROR(_xll.qlRateHelperQuoteValue($M63,Trigger),"--")</f>
        <v>--</v>
      </c>
      <c r="P63" s="109" t="b">
        <v>0</v>
      </c>
      <c r="Q63" s="106">
        <v>40</v>
      </c>
      <c r="R63" s="106">
        <v>1</v>
      </c>
      <c r="S63" s="111" t="str">
        <f>IFERROR(_xll.qlRateHelperEarliestDate(M63,Trigger),"--")</f>
        <v>--</v>
      </c>
      <c r="T63" s="111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160</v>
      </c>
      <c r="B64" s="65" t="s">
        <v>138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 t="shared" si="13"/>
        <v>UsdLibor1Y</v>
      </c>
      <c r="H64" s="64" t="str">
        <f t="shared" si="14"/>
        <v>USDAM3L18Y_S12L3L_Quote</v>
      </c>
      <c r="I64" s="141">
        <v>0</v>
      </c>
      <c r="J64" s="70"/>
      <c r="L64" s="11" t="str">
        <f t="shared" si="11"/>
        <v>BasSw</v>
      </c>
      <c r="M64" s="106" t="str">
        <f t="shared" si="12"/>
        <v>--</v>
      </c>
      <c r="N64" s="160" t="str">
        <f>IFERROR(_xll.qlRateHelperQuoteName(M64,Trigger),"--")</f>
        <v>--</v>
      </c>
      <c r="O64" s="110" t="str">
        <f>IFERROR(_xll.qlRateHelperQuoteValue($M64,Trigger),"--")</f>
        <v>--</v>
      </c>
      <c r="P64" s="109" t="b">
        <v>0</v>
      </c>
      <c r="Q64" s="106">
        <v>40</v>
      </c>
      <c r="R64" s="106">
        <v>1</v>
      </c>
      <c r="S64" s="111" t="str">
        <f>IFERROR(_xll.qlRateHelperEarliestDate(M64,Trigger),"--")</f>
        <v>--</v>
      </c>
      <c r="T64" s="111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160</v>
      </c>
      <c r="B65" s="65" t="s">
        <v>139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 t="shared" si="13"/>
        <v>UsdLibor1Y</v>
      </c>
      <c r="H65" s="64" t="str">
        <f t="shared" si="14"/>
        <v>USDAM3L19Y_S12L3L_Quote</v>
      </c>
      <c r="I65" s="141">
        <v>0</v>
      </c>
      <c r="J65" s="70"/>
      <c r="L65" s="11" t="str">
        <f t="shared" si="11"/>
        <v>BasSw</v>
      </c>
      <c r="M65" s="106" t="str">
        <f t="shared" si="12"/>
        <v>--</v>
      </c>
      <c r="N65" s="160" t="str">
        <f>IFERROR(_xll.qlRateHelperQuoteName(M65,Trigger),"--")</f>
        <v>--</v>
      </c>
      <c r="O65" s="110" t="str">
        <f>IFERROR(_xll.qlRateHelperQuoteValue($M65,Trigger),"--")</f>
        <v>--</v>
      </c>
      <c r="P65" s="109" t="b">
        <v>0</v>
      </c>
      <c r="Q65" s="106">
        <v>40</v>
      </c>
      <c r="R65" s="106">
        <v>1</v>
      </c>
      <c r="S65" s="111" t="str">
        <f>IFERROR(_xll.qlRateHelperEarliestDate(M65,Trigger),"--")</f>
        <v>--</v>
      </c>
      <c r="T65" s="111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160</v>
      </c>
      <c r="B66" s="65" t="s">
        <v>92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 t="shared" si="13"/>
        <v>UsdLibor1Y</v>
      </c>
      <c r="H66" s="64" t="str">
        <f t="shared" si="14"/>
        <v>USDAM3L20Y_S12L3L_Quote</v>
      </c>
      <c r="I66" s="141">
        <v>0</v>
      </c>
      <c r="J66" s="70" t="str">
        <f>_xll.qlSwapRateHelper2(,H66,,B66,JoinCalendar,USD1Y!D66,USD1Y!E66,USD1Y!F66,USD1Y!G66,USD1Y!I66,USD1Y!C66,Discounting,PillarDate,,Permanent,Trigger,ObjectOverwrite)</f>
        <v>obj_002b9#0004</v>
      </c>
      <c r="L66" s="11" t="str">
        <f t="shared" si="11"/>
        <v>BasSw</v>
      </c>
      <c r="M66" s="106" t="str">
        <f t="shared" si="12"/>
        <v>--</v>
      </c>
      <c r="N66" s="160" t="str">
        <f>IFERROR(_xll.qlRateHelperQuoteName(M66,Trigger),"--")</f>
        <v>--</v>
      </c>
      <c r="O66" s="110" t="str">
        <f>IFERROR(_xll.qlRateHelperQuoteValue($M66,Trigger),"--")</f>
        <v>--</v>
      </c>
      <c r="P66" s="109" t="b">
        <v>0</v>
      </c>
      <c r="Q66" s="106">
        <v>40</v>
      </c>
      <c r="R66" s="106">
        <v>1</v>
      </c>
      <c r="S66" s="111" t="str">
        <f>IFERROR(_xll.qlRateHelperEarliestDate(M66,Trigger),"--")</f>
        <v>--</v>
      </c>
      <c r="T66" s="111" t="str">
        <f>IFERROR(_xll.qlRateHelperPillarDate(M66,Trigger),"--")</f>
        <v>--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6" t="str">
        <f>IFERROR(_xll.qlRateHelperRate(W66,Trigger),"")</f>
        <v/>
      </c>
      <c r="Z66" s="116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4" t="e">
        <v>#N/A</v>
      </c>
    </row>
    <row r="67" spans="1:29" ht="11.25" customHeight="1" x14ac:dyDescent="0.2">
      <c r="A67" s="64" t="s">
        <v>160</v>
      </c>
      <c r="B67" s="65" t="s">
        <v>140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 t="shared" si="13"/>
        <v>UsdLibor1Y</v>
      </c>
      <c r="H67" s="64" t="str">
        <f t="shared" si="14"/>
        <v>USDAM3L21Y_S12L3L_Quote</v>
      </c>
      <c r="I67" s="141">
        <v>0</v>
      </c>
      <c r="J67" s="70"/>
      <c r="L67" s="11" t="str">
        <f t="shared" si="11"/>
        <v>BasSw</v>
      </c>
      <c r="M67" s="106" t="str">
        <f t="shared" si="12"/>
        <v>obj_002b0#0004</v>
      </c>
      <c r="N67" s="160" t="str">
        <f>IFERROR(_xll.qlRateHelperQuoteName(M67,Trigger),"--")</f>
        <v>USDAM3L25Y_S12L3L_Quote</v>
      </c>
      <c r="O67" s="110">
        <f>IFERROR(_xll.qlRateHelperQuoteValue($M67,Trigger),"--")</f>
        <v>2.8766065978369882E-2</v>
      </c>
      <c r="P67" s="109" t="b">
        <v>1</v>
      </c>
      <c r="Q67" s="106">
        <v>40</v>
      </c>
      <c r="R67" s="106">
        <v>1</v>
      </c>
      <c r="S67" s="111">
        <f>IFERROR(_xll.qlRateHelperEarliestDate(M67,Trigger),"--")</f>
        <v>42261</v>
      </c>
      <c r="T67" s="111">
        <f>IFERROR(_xll.qlRateHelperPillarDate(M67,Trigger),"--")</f>
        <v>51393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6" t="str">
        <f>IFERROR(_xll.qlRateHelperRate(W67,Trigger),"")</f>
        <v/>
      </c>
      <c r="Z67" s="116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4" t="e">
        <v>#N/A</v>
      </c>
    </row>
    <row r="68" spans="1:29" ht="11.25" customHeight="1" x14ac:dyDescent="0.2">
      <c r="A68" s="64" t="s">
        <v>160</v>
      </c>
      <c r="B68" s="65" t="s">
        <v>141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 t="shared" si="13"/>
        <v>UsdLibor1Y</v>
      </c>
      <c r="H68" s="64" t="str">
        <f t="shared" si="14"/>
        <v>USDAM3L22Y_S12L3L_Quote</v>
      </c>
      <c r="I68" s="141">
        <v>0</v>
      </c>
      <c r="J68" s="70"/>
      <c r="L68" s="11" t="str">
        <f t="shared" si="11"/>
        <v>BasSw</v>
      </c>
      <c r="M68" s="106" t="str">
        <f t="shared" si="12"/>
        <v>--</v>
      </c>
      <c r="N68" s="160" t="str">
        <f>IFERROR(_xll.qlRateHelperQuoteName(M68,Trigger),"--")</f>
        <v>--</v>
      </c>
      <c r="O68" s="110" t="str">
        <f>IFERROR(_xll.qlRateHelperQuoteValue($M68,Trigger),"--")</f>
        <v>--</v>
      </c>
      <c r="P68" s="109" t="b">
        <v>0</v>
      </c>
      <c r="Q68" s="106">
        <v>40</v>
      </c>
      <c r="R68" s="106">
        <v>1</v>
      </c>
      <c r="S68" s="111" t="str">
        <f>IFERROR(_xll.qlRateHelperEarliestDate(M68,Trigger),"--")</f>
        <v>--</v>
      </c>
      <c r="T68" s="111" t="str">
        <f>IFERROR(_xll.qlRateHelperPillarDate(M68,Trigger),"--")</f>
        <v>--</v>
      </c>
      <c r="V68" s="4" t="str">
        <f t="shared" ref="V68:V78" si="15">IFERROR(INDEX($L$3:$L$88,MATCH(X68,$N$3:$N$88,0),1),"")</f>
        <v/>
      </c>
      <c r="W68" s="4" t="e">
        <v>#N/A</v>
      </c>
      <c r="X68" s="4" t="str">
        <f>IFERROR(_xll.qlRateHelperQuoteName(W68,Trigger),"")</f>
        <v/>
      </c>
      <c r="Y68" s="76" t="str">
        <f>IFERROR(_xll.qlRateHelperRate(W68,Trigger),"")</f>
        <v/>
      </c>
      <c r="Z68" s="116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4" t="e">
        <v>#N/A</v>
      </c>
    </row>
    <row r="69" spans="1:29" ht="11.25" customHeight="1" x14ac:dyDescent="0.2">
      <c r="A69" s="64" t="s">
        <v>160</v>
      </c>
      <c r="B69" s="65" t="s">
        <v>142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 t="shared" si="13"/>
        <v>UsdLibor1Y</v>
      </c>
      <c r="H69" s="64" t="str">
        <f t="shared" si="14"/>
        <v>USDAM3L23Y_S12L3L_Quote</v>
      </c>
      <c r="I69" s="141">
        <v>0</v>
      </c>
      <c r="J69" s="70"/>
      <c r="L69" s="11" t="str">
        <f t="shared" si="11"/>
        <v>BasSw</v>
      </c>
      <c r="M69" s="106" t="str">
        <f t="shared" si="12"/>
        <v>--</v>
      </c>
      <c r="N69" s="160" t="str">
        <f>IFERROR(_xll.qlRateHelperQuoteName(M69,Trigger),"--")</f>
        <v>--</v>
      </c>
      <c r="O69" s="110" t="str">
        <f>IFERROR(_xll.qlRateHelperQuoteValue($M69,Trigger),"--")</f>
        <v>--</v>
      </c>
      <c r="P69" s="109" t="b">
        <v>0</v>
      </c>
      <c r="Q69" s="106">
        <v>40</v>
      </c>
      <c r="R69" s="106">
        <v>1</v>
      </c>
      <c r="S69" s="111" t="str">
        <f>IFERROR(_xll.qlRateHelperEarliestDate(M69,Trigger),"--")</f>
        <v>--</v>
      </c>
      <c r="T69" s="111" t="str">
        <f>IFERROR(_xll.qlRateHelperPillarDate(M69,Trigger),"--")</f>
        <v>--</v>
      </c>
      <c r="V69" s="4" t="str">
        <f t="shared" si="15"/>
        <v/>
      </c>
      <c r="W69" s="4" t="e">
        <v>#N/A</v>
      </c>
      <c r="X69" s="4" t="str">
        <f>IFERROR(_xll.qlRateHelperQuoteName(W69,Trigger),"")</f>
        <v/>
      </c>
      <c r="Y69" s="76" t="str">
        <f>IFERROR(_xll.qlRateHelperRate(W69,Trigger),"")</f>
        <v/>
      </c>
      <c r="Z69" s="116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4" t="e">
        <v>#N/A</v>
      </c>
    </row>
    <row r="70" spans="1:29" ht="11.25" customHeight="1" x14ac:dyDescent="0.2">
      <c r="A70" s="64" t="s">
        <v>160</v>
      </c>
      <c r="B70" s="65" t="s">
        <v>143</v>
      </c>
      <c r="C70" s="66" t="s">
        <v>6</v>
      </c>
      <c r="D70" s="66" t="s">
        <v>8</v>
      </c>
      <c r="E70" s="66" t="s">
        <v>7</v>
      </c>
      <c r="F70" s="66" t="s">
        <v>28</v>
      </c>
      <c r="G70" s="66" t="str">
        <f t="shared" si="13"/>
        <v>UsdLibor1Y</v>
      </c>
      <c r="H70" s="64" t="str">
        <f t="shared" si="14"/>
        <v>USDAM3L24Y_S12L3L_Quote</v>
      </c>
      <c r="I70" s="141">
        <v>0</v>
      </c>
      <c r="J70" s="70"/>
      <c r="L70" s="11" t="str">
        <f t="shared" si="11"/>
        <v>BasSw</v>
      </c>
      <c r="M70" s="106" t="str">
        <f t="shared" si="12"/>
        <v>--</v>
      </c>
      <c r="N70" s="160" t="str">
        <f>IFERROR(_xll.qlRateHelperQuoteName(M70,Trigger),"--")</f>
        <v>--</v>
      </c>
      <c r="O70" s="110" t="str">
        <f>IFERROR(_xll.qlRateHelperQuoteValue($M70,Trigger),"--")</f>
        <v>--</v>
      </c>
      <c r="P70" s="109" t="b">
        <v>0</v>
      </c>
      <c r="Q70" s="106">
        <v>40</v>
      </c>
      <c r="R70" s="106">
        <v>1</v>
      </c>
      <c r="S70" s="111" t="str">
        <f>IFERROR(_xll.qlRateHelperEarliestDate(M70,Trigger),"--")</f>
        <v>--</v>
      </c>
      <c r="T70" s="111" t="str">
        <f>IFERROR(_xll.qlRateHelperPillarDate(M70,Trigger),"--")</f>
        <v>--</v>
      </c>
      <c r="V70" s="4" t="str">
        <f t="shared" si="15"/>
        <v/>
      </c>
      <c r="W70" s="4" t="e">
        <v>#N/A</v>
      </c>
      <c r="X70" s="4" t="str">
        <f>IFERROR(_xll.qlRateHelperQuoteName(W70,Trigger),"")</f>
        <v/>
      </c>
      <c r="Y70" s="76" t="str">
        <f>IFERROR(_xll.qlRateHelperRate(W70,Trigger),"")</f>
        <v/>
      </c>
      <c r="Z70" s="116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4" t="e">
        <v>#N/A</v>
      </c>
    </row>
    <row r="71" spans="1:29" ht="11.25" customHeight="1" x14ac:dyDescent="0.2">
      <c r="A71" s="64" t="s">
        <v>160</v>
      </c>
      <c r="B71" s="65" t="s">
        <v>93</v>
      </c>
      <c r="C71" s="66" t="s">
        <v>6</v>
      </c>
      <c r="D71" s="66" t="s">
        <v>8</v>
      </c>
      <c r="E71" s="66" t="s">
        <v>7</v>
      </c>
      <c r="F71" s="66" t="s">
        <v>28</v>
      </c>
      <c r="G71" s="66" t="str">
        <f t="shared" si="13"/>
        <v>UsdLibor1Y</v>
      </c>
      <c r="H71" s="64" t="str">
        <f t="shared" si="14"/>
        <v>USDAM3L25Y_S12L3L_Quote</v>
      </c>
      <c r="I71" s="141">
        <v>0</v>
      </c>
      <c r="J71" s="70" t="str">
        <f>_xll.qlSwapRateHelper2(,H71,,B71,JoinCalendar,USD1Y!D71,USD1Y!E71,USD1Y!F71,USD1Y!G71,USD1Y!I71,USD1Y!C71,Discounting,PillarDate,,Permanent,Trigger,ObjectOverwrite)</f>
        <v>obj_002b0#0004</v>
      </c>
      <c r="L71" s="11" t="str">
        <f t="shared" si="11"/>
        <v>BasSw</v>
      </c>
      <c r="M71" s="106" t="str">
        <f t="shared" si="12"/>
        <v>--</v>
      </c>
      <c r="N71" s="160" t="str">
        <f>IFERROR(_xll.qlRateHelperQuoteName(M71,Trigger),"--")</f>
        <v>--</v>
      </c>
      <c r="O71" s="110" t="str">
        <f>IFERROR(_xll.qlRateHelperQuoteValue($M71,Trigger),"--")</f>
        <v>--</v>
      </c>
      <c r="P71" s="109" t="b">
        <v>0</v>
      </c>
      <c r="Q71" s="106">
        <v>40</v>
      </c>
      <c r="R71" s="106">
        <v>1</v>
      </c>
      <c r="S71" s="111" t="str">
        <f>IFERROR(_xll.qlRateHelperEarliestDate(M71,Trigger),"--")</f>
        <v>--</v>
      </c>
      <c r="T71" s="111" t="str">
        <f>IFERROR(_xll.qlRateHelperPillarDate(M71,Trigger),"--")</f>
        <v>--</v>
      </c>
      <c r="V71" s="4" t="str">
        <f t="shared" si="15"/>
        <v/>
      </c>
      <c r="W71" s="4" t="e">
        <v>#N/A</v>
      </c>
      <c r="X71" s="4" t="str">
        <f>IFERROR(_xll.qlRateHelperQuoteName(W71,Trigger),"")</f>
        <v/>
      </c>
      <c r="Y71" s="76" t="str">
        <f>IFERROR(_xll.qlRateHelperRate(W71,Trigger),"")</f>
        <v/>
      </c>
      <c r="Z71" s="116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4" t="e">
        <v>#N/A</v>
      </c>
    </row>
    <row r="72" spans="1:29" ht="11.25" customHeight="1" x14ac:dyDescent="0.2">
      <c r="A72" s="64" t="s">
        <v>160</v>
      </c>
      <c r="B72" s="65" t="s">
        <v>144</v>
      </c>
      <c r="C72" s="66" t="s">
        <v>6</v>
      </c>
      <c r="D72" s="66" t="s">
        <v>8</v>
      </c>
      <c r="E72" s="66" t="s">
        <v>7</v>
      </c>
      <c r="F72" s="66" t="s">
        <v>28</v>
      </c>
      <c r="G72" s="66" t="str">
        <f t="shared" si="13"/>
        <v>UsdLibor1Y</v>
      </c>
      <c r="H72" s="64" t="str">
        <f t="shared" si="14"/>
        <v>USDAM3L26Y_S12L3L_Quote</v>
      </c>
      <c r="I72" s="141">
        <v>0</v>
      </c>
      <c r="J72" s="70"/>
      <c r="L72" s="11" t="str">
        <f t="shared" si="11"/>
        <v>BasSw</v>
      </c>
      <c r="M72" s="106" t="str">
        <f t="shared" si="12"/>
        <v>obj_0029f#0004</v>
      </c>
      <c r="N72" s="160" t="str">
        <f>IFERROR(_xll.qlRateHelperQuoteName(M72,Trigger),"--")</f>
        <v>USDAM3L30Y_S12L3L_Quote</v>
      </c>
      <c r="O72" s="110">
        <f>IFERROR(_xll.qlRateHelperQuoteValue($M72,Trigger),"--")</f>
        <v>2.9108908652132583E-2</v>
      </c>
      <c r="P72" s="109" t="b">
        <v>1</v>
      </c>
      <c r="Q72" s="106">
        <v>40</v>
      </c>
      <c r="R72" s="106">
        <v>1</v>
      </c>
      <c r="S72" s="111">
        <f>IFERROR(_xll.qlRateHelperEarliestDate(M72,Trigger),"--")</f>
        <v>42261</v>
      </c>
      <c r="T72" s="111">
        <f>IFERROR(_xll.qlRateHelperPillarDate(M72,Trigger),"--")</f>
        <v>53219</v>
      </c>
      <c r="V72" s="4" t="str">
        <f t="shared" si="15"/>
        <v/>
      </c>
      <c r="W72" s="4" t="e">
        <v>#N/A</v>
      </c>
      <c r="X72" s="4" t="str">
        <f>IFERROR(_xll.qlRateHelperQuoteName(W72,Trigger),"")</f>
        <v/>
      </c>
      <c r="Y72" s="76" t="str">
        <f>IFERROR(_xll.qlRateHelperRate(W72,Trigger),"")</f>
        <v/>
      </c>
      <c r="Z72" s="116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4" t="e">
        <v>#N/A</v>
      </c>
    </row>
    <row r="73" spans="1:29" ht="11.25" customHeight="1" x14ac:dyDescent="0.2">
      <c r="A73" s="64" t="s">
        <v>160</v>
      </c>
      <c r="B73" s="65" t="s">
        <v>94</v>
      </c>
      <c r="C73" s="66" t="s">
        <v>6</v>
      </c>
      <c r="D73" s="66" t="s">
        <v>8</v>
      </c>
      <c r="E73" s="66" t="s">
        <v>7</v>
      </c>
      <c r="F73" s="66" t="s">
        <v>28</v>
      </c>
      <c r="G73" s="66" t="str">
        <f t="shared" si="13"/>
        <v>UsdLibor1Y</v>
      </c>
      <c r="H73" s="64" t="str">
        <f t="shared" si="14"/>
        <v>USDAM3L27Y_S12L3L_Quote</v>
      </c>
      <c r="I73" s="141">
        <v>0</v>
      </c>
      <c r="J73" s="70"/>
      <c r="L73" s="11" t="str">
        <f t="shared" si="11"/>
        <v>BasSw</v>
      </c>
      <c r="M73" s="106" t="str">
        <f t="shared" si="12"/>
        <v>obj_00289#0004</v>
      </c>
      <c r="N73" s="160" t="str">
        <f>IFERROR(_xll.qlRateHelperQuoteName(M73,Trigger),"--")</f>
        <v>USDAM3L35Y_S12L3L_Quote</v>
      </c>
      <c r="O73" s="110">
        <f>IFERROR(_xll.qlRateHelperQuoteValue($M73,Trigger),"--")</f>
        <v>2.9253825871167389E-2</v>
      </c>
      <c r="P73" s="109" t="b">
        <v>1</v>
      </c>
      <c r="Q73" s="106">
        <v>40</v>
      </c>
      <c r="R73" s="106">
        <v>1</v>
      </c>
      <c r="S73" s="111">
        <f>IFERROR(_xll.qlRateHelperEarliestDate(M73,Trigger),"--")</f>
        <v>42261</v>
      </c>
      <c r="T73" s="111">
        <f>IFERROR(_xll.qlRateHelperPillarDate(M73,Trigger),"--")</f>
        <v>55045</v>
      </c>
      <c r="V73" s="4" t="str">
        <f t="shared" si="15"/>
        <v/>
      </c>
      <c r="W73" s="4" t="e">
        <v>#N/A</v>
      </c>
      <c r="X73" s="4" t="str">
        <f>IFERROR(_xll.qlRateHelperQuoteName(W73,Trigger),"")</f>
        <v/>
      </c>
      <c r="Y73" s="76" t="str">
        <f>IFERROR(_xll.qlRateHelperRate(W73,Trigger),"")</f>
        <v/>
      </c>
      <c r="Z73" s="116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4" t="e">
        <v>#N/A</v>
      </c>
    </row>
    <row r="74" spans="1:29" ht="11.25" customHeight="1" x14ac:dyDescent="0.2">
      <c r="A74" s="64" t="s">
        <v>160</v>
      </c>
      <c r="B74" s="65" t="s">
        <v>145</v>
      </c>
      <c r="C74" s="66" t="s">
        <v>6</v>
      </c>
      <c r="D74" s="66" t="s">
        <v>8</v>
      </c>
      <c r="E74" s="66" t="s">
        <v>7</v>
      </c>
      <c r="F74" s="66" t="s">
        <v>28</v>
      </c>
      <c r="G74" s="66" t="str">
        <f t="shared" si="13"/>
        <v>UsdLibor1Y</v>
      </c>
      <c r="H74" s="64" t="str">
        <f t="shared" si="14"/>
        <v>USDAM3L28Y_S12L3L_Quote</v>
      </c>
      <c r="I74" s="141">
        <v>0</v>
      </c>
      <c r="J74" s="70"/>
      <c r="L74" s="11" t="str">
        <f t="shared" si="11"/>
        <v>BasSw</v>
      </c>
      <c r="M74" s="106" t="str">
        <f t="shared" si="12"/>
        <v>obj_002d3#0004</v>
      </c>
      <c r="N74" s="160" t="str">
        <f>IFERROR(_xll.qlRateHelperQuoteName(M74,Trigger),"--")</f>
        <v>USDAM3L40Y_S12L3L_Quote</v>
      </c>
      <c r="O74" s="110">
        <f>IFERROR(_xll.qlRateHelperQuoteValue($M74,Trigger),"--")</f>
        <v>2.9268968783904496E-2</v>
      </c>
      <c r="P74" s="109" t="b">
        <v>1</v>
      </c>
      <c r="Q74" s="106">
        <v>40</v>
      </c>
      <c r="R74" s="106">
        <v>1</v>
      </c>
      <c r="S74" s="111">
        <f>IFERROR(_xll.qlRateHelperEarliestDate(M74,Trigger),"--")</f>
        <v>42261</v>
      </c>
      <c r="T74" s="111">
        <f>IFERROR(_xll.qlRateHelperPillarDate(M74,Trigger),"--")</f>
        <v>56871</v>
      </c>
      <c r="V74" s="4" t="str">
        <f t="shared" si="15"/>
        <v/>
      </c>
      <c r="W74" s="4" t="e">
        <v>#N/A</v>
      </c>
      <c r="X74" s="4" t="str">
        <f>IFERROR(_xll.qlRateHelperQuoteName(W74,Trigger),"")</f>
        <v/>
      </c>
      <c r="Y74" s="76" t="str">
        <f>IFERROR(_xll.qlRateHelperRate(W74,Trigger),"")</f>
        <v/>
      </c>
      <c r="Z74" s="116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4" t="e">
        <v>#N/A</v>
      </c>
    </row>
    <row r="75" spans="1:29" ht="11.25" customHeight="1" x14ac:dyDescent="0.2">
      <c r="A75" s="64" t="s">
        <v>160</v>
      </c>
      <c r="B75" s="65" t="s">
        <v>146</v>
      </c>
      <c r="C75" s="66" t="s">
        <v>6</v>
      </c>
      <c r="D75" s="66" t="s">
        <v>8</v>
      </c>
      <c r="E75" s="66" t="s">
        <v>7</v>
      </c>
      <c r="F75" s="66" t="s">
        <v>28</v>
      </c>
      <c r="G75" s="66" t="str">
        <f t="shared" si="13"/>
        <v>UsdLibor1Y</v>
      </c>
      <c r="H75" s="64" t="str">
        <f t="shared" si="14"/>
        <v>USDAM3L29Y_S12L3L_Quote</v>
      </c>
      <c r="I75" s="141">
        <v>0</v>
      </c>
      <c r="J75" s="70"/>
      <c r="L75" s="11" t="str">
        <f t="shared" si="11"/>
        <v>BasSw</v>
      </c>
      <c r="M75" s="106" t="str">
        <f t="shared" si="12"/>
        <v>--</v>
      </c>
      <c r="N75" s="160" t="str">
        <f>IFERROR(_xll.qlRateHelperQuoteName(M75,Trigger),"--")</f>
        <v>--</v>
      </c>
      <c r="O75" s="110" t="str">
        <f>IFERROR(_xll.qlRateHelperQuoteValue($M75,Trigger),"--")</f>
        <v>--</v>
      </c>
      <c r="P75" s="109" t="b">
        <v>0</v>
      </c>
      <c r="Q75" s="106">
        <v>40</v>
      </c>
      <c r="R75" s="106">
        <v>1</v>
      </c>
      <c r="S75" s="111" t="str">
        <f>IFERROR(_xll.qlRateHelperEarliestDate(M75,Trigger),"--")</f>
        <v>--</v>
      </c>
      <c r="T75" s="111" t="str">
        <f>IFERROR(_xll.qlRateHelperPillarDate(M75,Trigger),"--")</f>
        <v>--</v>
      </c>
      <c r="V75" s="4" t="str">
        <f t="shared" si="15"/>
        <v/>
      </c>
      <c r="W75" s="4" t="e">
        <v>#N/A</v>
      </c>
      <c r="X75" s="4" t="str">
        <f>IFERROR(_xll.qlRateHelperQuoteName(W75,Trigger),"")</f>
        <v/>
      </c>
      <c r="Y75" s="76" t="str">
        <f>IFERROR(_xll.qlRateHelperRate(W75,Trigger),"")</f>
        <v/>
      </c>
      <c r="Z75" s="116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4" t="e">
        <v>#N/A</v>
      </c>
    </row>
    <row r="76" spans="1:29" ht="11.25" customHeight="1" x14ac:dyDescent="0.2">
      <c r="A76" s="64" t="s">
        <v>160</v>
      </c>
      <c r="B76" s="65" t="s">
        <v>95</v>
      </c>
      <c r="C76" s="66" t="s">
        <v>6</v>
      </c>
      <c r="D76" s="66" t="s">
        <v>8</v>
      </c>
      <c r="E76" s="66" t="s">
        <v>7</v>
      </c>
      <c r="F76" s="66" t="s">
        <v>28</v>
      </c>
      <c r="G76" s="66" t="str">
        <f t="shared" si="13"/>
        <v>UsdLibor1Y</v>
      </c>
      <c r="H76" s="64" t="str">
        <f t="shared" si="14"/>
        <v>USDAM3L30Y_S12L3L_Quote</v>
      </c>
      <c r="I76" s="141">
        <v>0</v>
      </c>
      <c r="J76" s="70" t="str">
        <f>_xll.qlSwapRateHelper2(,H76,,B76,JoinCalendar,USD1Y!D76,USD1Y!E76,USD1Y!F76,USD1Y!G76,USD1Y!I76,USD1Y!C76,Discounting,PillarDate,,Permanent,Trigger,ObjectOverwrite)</f>
        <v>obj_0029f#0004</v>
      </c>
      <c r="L76" s="11" t="str">
        <f>A80</f>
        <v>BasSw</v>
      </c>
      <c r="M76" s="106" t="str">
        <f t="shared" si="12"/>
        <v>obj_00297#0004</v>
      </c>
      <c r="N76" s="160" t="str">
        <f>IFERROR(_xll.qlRateHelperQuoteName(M76,Trigger),"--")</f>
        <v>USDAM3L50Y_S12L3L_Quote</v>
      </c>
      <c r="O76" s="110">
        <f>IFERROR(_xll.qlRateHelperQuoteValue($M76,Trigger),"--")</f>
        <v>2.9129047810765848E-2</v>
      </c>
      <c r="P76" s="109" t="b">
        <v>1</v>
      </c>
      <c r="Q76" s="106">
        <v>40</v>
      </c>
      <c r="R76" s="106">
        <v>1</v>
      </c>
      <c r="S76" s="111">
        <f>IFERROR(_xll.qlRateHelperEarliestDate(M76,Trigger),"--")</f>
        <v>42261</v>
      </c>
      <c r="T76" s="111">
        <f>IFERROR(_xll.qlRateHelperPillarDate(M76,Trigger),"--")</f>
        <v>60524</v>
      </c>
      <c r="V76" s="4" t="str">
        <f t="shared" si="15"/>
        <v/>
      </c>
      <c r="W76" s="4" t="e">
        <v>#N/A</v>
      </c>
      <c r="X76" s="4" t="str">
        <f>IFERROR(_xll.qlRateHelperQuoteName(W76,Trigger),"")</f>
        <v/>
      </c>
      <c r="Y76" s="76" t="str">
        <f>IFERROR(_xll.qlRateHelperRate(W76,Trigger),"")</f>
        <v/>
      </c>
      <c r="Z76" s="116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4" t="e">
        <v>#N/A</v>
      </c>
    </row>
    <row r="77" spans="1:29" ht="11.25" customHeight="1" x14ac:dyDescent="0.2">
      <c r="A77" s="64" t="s">
        <v>160</v>
      </c>
      <c r="B77" s="65" t="s">
        <v>96</v>
      </c>
      <c r="C77" s="66" t="s">
        <v>6</v>
      </c>
      <c r="D77" s="66" t="s">
        <v>8</v>
      </c>
      <c r="E77" s="66" t="s">
        <v>7</v>
      </c>
      <c r="F77" s="66" t="s">
        <v>28</v>
      </c>
      <c r="G77" s="66" t="str">
        <f t="shared" si="13"/>
        <v>UsdLibor1Y</v>
      </c>
      <c r="H77" s="64" t="str">
        <f t="shared" si="14"/>
        <v>USDAM3L35Y_S12L3L_Quote</v>
      </c>
      <c r="I77" s="141">
        <v>0</v>
      </c>
      <c r="J77" s="70" t="str">
        <f>_xll.qlSwapRateHelper2(,H77,,B77,JoinCalendar,USD1Y!D77,USD1Y!E77,USD1Y!F77,USD1Y!G77,USD1Y!I77,USD1Y!C77,Discounting,PillarDate,,Permanent,Trigger,ObjectOverwrite)</f>
        <v>obj_00289#0004</v>
      </c>
      <c r="L77" s="11" t="str">
        <f t="shared" si="11"/>
        <v>BasSw</v>
      </c>
      <c r="M77" s="106" t="str">
        <f t="shared" si="12"/>
        <v>--</v>
      </c>
      <c r="N77" s="160" t="str">
        <f>IFERROR(_xll.qlRateHelperQuoteName(M77,Trigger),"--")</f>
        <v>--</v>
      </c>
      <c r="O77" s="110" t="str">
        <f>IFERROR(_xll.qlRateHelperQuoteValue($M77,Trigger),"--")</f>
        <v>--</v>
      </c>
      <c r="P77" s="109" t="b">
        <v>0</v>
      </c>
      <c r="Q77" s="106">
        <v>40</v>
      </c>
      <c r="R77" s="106">
        <v>1</v>
      </c>
      <c r="S77" s="111" t="str">
        <f>IFERROR(_xll.qlRateHelperEarliestDate(M77,Trigger),"--")</f>
        <v>--</v>
      </c>
      <c r="T77" s="111" t="str">
        <f>IFERROR(_xll.qlRateHelperPillarDate(M77,Trigger),"--")</f>
        <v>--</v>
      </c>
      <c r="V77" s="4" t="str">
        <f t="shared" si="15"/>
        <v/>
      </c>
      <c r="W77" s="4" t="e">
        <v>#N/A</v>
      </c>
      <c r="X77" s="4" t="str">
        <f>IFERROR(_xll.qlRateHelperQuoteName(W77,Trigger),"")</f>
        <v/>
      </c>
      <c r="Y77" s="76" t="str">
        <f>IFERROR(_xll.qlRateHelperRate(W77,Trigger),"")</f>
        <v/>
      </c>
      <c r="Z77" s="116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4" t="e">
        <v>#N/A</v>
      </c>
    </row>
    <row r="78" spans="1:29" ht="11.25" customHeight="1" x14ac:dyDescent="0.2">
      <c r="A78" s="64" t="s">
        <v>160</v>
      </c>
      <c r="B78" s="65" t="s">
        <v>97</v>
      </c>
      <c r="C78" s="66" t="s">
        <v>6</v>
      </c>
      <c r="D78" s="66" t="s">
        <v>8</v>
      </c>
      <c r="E78" s="66" t="s">
        <v>7</v>
      </c>
      <c r="F78" s="66" t="s">
        <v>28</v>
      </c>
      <c r="G78" s="66" t="str">
        <f t="shared" si="13"/>
        <v>UsdLibor1Y</v>
      </c>
      <c r="H78" s="64" t="str">
        <f t="shared" si="14"/>
        <v>USDAM3L40Y_S12L3L_Quote</v>
      </c>
      <c r="I78" s="141">
        <v>0</v>
      </c>
      <c r="J78" s="70" t="str">
        <f>_xll.qlSwapRateHelper2(,H78,,B78,JoinCalendar,USD1Y!D78,USD1Y!E78,USD1Y!F78,USD1Y!G78,USD1Y!I78,USD1Y!C78,Discounting,PillarDate,,Permanent,Trigger,ObjectOverwrite)</f>
        <v>obj_002d3#0004</v>
      </c>
      <c r="L78" s="12" t="str">
        <f t="shared" si="11"/>
        <v>BasSw</v>
      </c>
      <c r="M78" s="107" t="str">
        <f t="shared" si="12"/>
        <v>obj_002aa#0004</v>
      </c>
      <c r="N78" s="161" t="str">
        <f>IFERROR(_xll.qlRateHelperQuoteName(M78,Trigger),"--")</f>
        <v>USDAM3L60Y_S12L3L_Quote</v>
      </c>
      <c r="O78" s="113">
        <f>IFERROR(_xll.qlRateHelperQuoteValue($M78,Trigger),"--")</f>
        <v>2.900522110951163E-2</v>
      </c>
      <c r="P78" s="112" t="b">
        <v>1</v>
      </c>
      <c r="Q78" s="107">
        <v>40</v>
      </c>
      <c r="R78" s="107">
        <v>1</v>
      </c>
      <c r="S78" s="114">
        <f>IFERROR(_xll.qlRateHelperEarliestDate(M78,Trigger),"--")</f>
        <v>42261</v>
      </c>
      <c r="T78" s="114">
        <f>IFERROR(_xll.qlRateHelperPillarDate(M78,Trigger),"--")</f>
        <v>64178</v>
      </c>
      <c r="V78" s="6" t="str">
        <f t="shared" si="15"/>
        <v/>
      </c>
      <c r="W78" s="6" t="e">
        <v>#N/A</v>
      </c>
      <c r="X78" s="6" t="str">
        <f>IFERROR(_xll.qlRateHelperQuoteName(W78,Trigger),"")</f>
        <v/>
      </c>
      <c r="Y78" s="86" t="str">
        <f>IFERROR(_xll.qlRateHelperRate(W78,Trigger),"")</f>
        <v/>
      </c>
      <c r="Z78" s="117" t="str">
        <f>IF(ISERROR(_xll.qlSwapRateHelperSpread($W78)),IF(ISERROR(_xll.qlFuturesRateHelperConvexityAdjustment($W78)),"",_xll.qlFuturesRateHelperConvexityAdjustment($W78)),_xll.qlSwapRateHelperSpread($W78))</f>
        <v/>
      </c>
      <c r="AA78" s="13" t="str">
        <f>IFERROR(_xll.qlRateHelperEarliestDate(W78,Trigger),"")</f>
        <v/>
      </c>
      <c r="AB78" s="13" t="str">
        <f>IFERROR(_xll.qlRateHelperPillarDate(W78,Trigger),"")</f>
        <v/>
      </c>
      <c r="AC78" s="85" t="e">
        <v>#N/A</v>
      </c>
    </row>
    <row r="79" spans="1:29" ht="11.25" customHeight="1" x14ac:dyDescent="0.2">
      <c r="A79" s="64" t="s">
        <v>160</v>
      </c>
      <c r="B79" s="65" t="s">
        <v>98</v>
      </c>
      <c r="C79" s="66" t="s">
        <v>6</v>
      </c>
      <c r="D79" s="66" t="s">
        <v>8</v>
      </c>
      <c r="E79" s="66" t="s">
        <v>7</v>
      </c>
      <c r="F79" s="66" t="s">
        <v>28</v>
      </c>
      <c r="G79" s="66" t="str">
        <f t="shared" si="13"/>
        <v>UsdLibor1Y</v>
      </c>
      <c r="H79" s="64" t="str">
        <f t="shared" si="14"/>
        <v>USDAM3L45Y_S12L3L_Quote</v>
      </c>
      <c r="I79" s="141">
        <v>0</v>
      </c>
      <c r="J79" s="70"/>
    </row>
    <row r="80" spans="1:29" ht="11.25" customHeight="1" x14ac:dyDescent="0.2">
      <c r="A80" s="64" t="s">
        <v>160</v>
      </c>
      <c r="B80" s="65" t="s">
        <v>99</v>
      </c>
      <c r="C80" s="66" t="s">
        <v>6</v>
      </c>
      <c r="D80" s="66" t="s">
        <v>8</v>
      </c>
      <c r="E80" s="66" t="s">
        <v>7</v>
      </c>
      <c r="F80" s="66" t="s">
        <v>28</v>
      </c>
      <c r="G80" s="66" t="str">
        <f t="shared" si="13"/>
        <v>UsdLibor1Y</v>
      </c>
      <c r="H80" s="64" t="str">
        <f t="shared" si="14"/>
        <v>USDAM3L50Y_S12L3L_Quote</v>
      </c>
      <c r="I80" s="141">
        <v>0</v>
      </c>
      <c r="J80" s="70" t="str">
        <f>_xll.qlSwapRateHelper2(,H80,,B80,JoinCalendar,USD1Y!D80,USD1Y!E80,USD1Y!F80,USD1Y!G80,USD1Y!I80,USD1Y!C80,Discounting,PillarDate,,Permanent,Trigger,ObjectOverwrite)</f>
        <v>obj_00297#0004</v>
      </c>
    </row>
    <row r="81" spans="1:11" x14ac:dyDescent="0.2">
      <c r="A81" s="64" t="s">
        <v>160</v>
      </c>
      <c r="B81" s="65" t="s">
        <v>155</v>
      </c>
      <c r="C81" s="66" t="s">
        <v>6</v>
      </c>
      <c r="D81" s="66" t="s">
        <v>8</v>
      </c>
      <c r="E81" s="66" t="s">
        <v>7</v>
      </c>
      <c r="F81" s="66" t="s">
        <v>28</v>
      </c>
      <c r="G81" s="66" t="str">
        <f t="shared" si="13"/>
        <v>UsdLibor1Y</v>
      </c>
      <c r="H81" s="64" t="str">
        <f t="shared" si="14"/>
        <v>USDAM3L55Y_S12L3L_Quote</v>
      </c>
      <c r="I81" s="139">
        <v>0</v>
      </c>
      <c r="J81" s="70"/>
    </row>
    <row r="82" spans="1:11" x14ac:dyDescent="0.2">
      <c r="A82" s="1" t="s">
        <v>160</v>
      </c>
      <c r="B82" s="9" t="s">
        <v>147</v>
      </c>
      <c r="C82" s="7" t="s">
        <v>6</v>
      </c>
      <c r="D82" s="7" t="s">
        <v>8</v>
      </c>
      <c r="E82" s="7" t="s">
        <v>7</v>
      </c>
      <c r="F82" s="7" t="s">
        <v>28</v>
      </c>
      <c r="G82" s="7" t="str">
        <f t="shared" si="13"/>
        <v>UsdLibor1Y</v>
      </c>
      <c r="H82" s="1" t="str">
        <f t="shared" si="14"/>
        <v>USDAM3L60Y_S12L3L_Quote</v>
      </c>
      <c r="I82" s="142">
        <v>0</v>
      </c>
      <c r="J82" s="3" t="str">
        <f>_xll.qlSwapRateHelper2(,H82,,B82,JoinCalendar,USD1Y!D82,USD1Y!E82,USD1Y!F82,USD1Y!G82,USD1Y!I82,USD1Y!C82,Discounting,PillarDate,,Permanent,Trigger,ObjectOverwrite)</f>
        <v>obj_002aa#0004</v>
      </c>
    </row>
    <row r="90" spans="1:11" x14ac:dyDescent="0.2">
      <c r="K90" s="51" t="s">
        <v>47</v>
      </c>
    </row>
  </sheetData>
  <mergeCells count="1">
    <mergeCell ref="AE2:AF2"/>
  </mergeCells>
  <dataValidations disablePrompts="1" count="4">
    <dataValidation type="list" allowBlank="1" showInputMessage="1" showErrorMessage="1" sqref="D47:D82">
      <formula1>"Annual,Semiannual,EveryFourthMonth,Quarterly,Bimonthly,Monthly,Biweekly,Weekly,Daily,Once,NoFrequency"</formula1>
    </dataValidation>
    <dataValidation type="list" allowBlank="1" showInputMessage="1" showErrorMessage="1" sqref="E47:E82">
      <formula1>"Following,Modified Following,Preceding,Modified Preceding,Unadjusted,Half-Month Modified Following"</formula1>
    </dataValidation>
    <dataValidation type="list" allowBlank="1" showInputMessage="1" showErrorMessage="1" sqref="F47:F8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46</vt:i4>
      </vt:variant>
    </vt:vector>
  </HeadingPairs>
  <TitlesOfParts>
    <vt:vector size="52" baseType="lpstr">
      <vt:lpstr>GeneralSettings</vt:lpstr>
      <vt:lpstr>USDON</vt:lpstr>
      <vt:lpstr>USD3M</vt:lpstr>
      <vt:lpstr>USD6M</vt:lpstr>
      <vt:lpstr>USD1M</vt:lpstr>
      <vt:lpstr>USD1Y</vt:lpstr>
      <vt:lpstr>Calendar</vt:lpstr>
      <vt:lpstr>Currency</vt:lpstr>
      <vt:lpstr>Discounting</vt:lpstr>
      <vt:lpstr>Evaluationdate</vt:lpstr>
      <vt:lpstr>FamilyName</vt:lpstr>
      <vt:lpstr>HolidayCheck</vt:lpstr>
      <vt:lpstr>USD1M!IncludeFlag</vt:lpstr>
      <vt:lpstr>USD1Y!IncludeFlag</vt:lpstr>
      <vt:lpstr>USD3M!IncludeFlag</vt:lpstr>
      <vt:lpstr>USD6M!IncludeFlag</vt:lpstr>
      <vt:lpstr>USDON!IncludeFlag</vt:lpstr>
      <vt:lpstr>JoinCalendar</vt:lpstr>
      <vt:lpstr>LiborCalendar</vt:lpstr>
      <vt:lpstr>LocalCalendar</vt:lpstr>
      <vt:lpstr>USD1M!MinDistance</vt:lpstr>
      <vt:lpstr>USD1Y!MinDistance</vt:lpstr>
      <vt:lpstr>USD3M!MinDistance</vt:lpstr>
      <vt:lpstr>USD6M!MinDistance</vt:lpstr>
      <vt:lpstr>USDON!MinDistance</vt:lpstr>
      <vt:lpstr>ObjectOverwrite</vt:lpstr>
      <vt:lpstr>Permanent</vt:lpstr>
      <vt:lpstr>PillarDate</vt:lpstr>
      <vt:lpstr>USD1M!Priority</vt:lpstr>
      <vt:lpstr>USD1Y!Priority</vt:lpstr>
      <vt:lpstr>USD3M!Priority</vt:lpstr>
      <vt:lpstr>USD6M!Priority</vt:lpstr>
      <vt:lpstr>USDON!Priority</vt:lpstr>
      <vt:lpstr>QuoteSuffix</vt:lpstr>
      <vt:lpstr>USD1M!RateHelpers</vt:lpstr>
      <vt:lpstr>USD1Y!RateHelpers</vt:lpstr>
      <vt:lpstr>USD3M!RateHelpers</vt:lpstr>
      <vt:lpstr>USD6M!RateHelpers</vt:lpstr>
      <vt:lpstr>USDON!RateHelpers</vt:lpstr>
      <vt:lpstr>Settlementdate</vt:lpstr>
      <vt:lpstr>USD1M!Tenor</vt:lpstr>
      <vt:lpstr>USD1Y!Tenor</vt:lpstr>
      <vt:lpstr>USD3M!Tenor</vt:lpstr>
      <vt:lpstr>USD6M!Tenor</vt:lpstr>
      <vt:lpstr>USDON!Tenor</vt:lpstr>
      <vt:lpstr>Trigger</vt:lpstr>
      <vt:lpstr>YieldCurve_1M</vt:lpstr>
      <vt:lpstr>YieldCurve_1Y</vt:lpstr>
      <vt:lpstr>YieldCurve_3M</vt:lpstr>
      <vt:lpstr>YieldCurve_6M</vt:lpstr>
      <vt:lpstr>YieldCurve_ON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2014-09-18T08:07:51Z</dcterms:created>
  <dcterms:modified xsi:type="dcterms:W3CDTF">2015-10-05T09:14:32Z</dcterms:modified>
</cp:coreProperties>
</file>