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Pricing'!$O$35:$O$50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2">'Contribution (2)'!$F$2:$G$2</definedName>
    <definedName name="Fileds" localSheetId="1">Contribution!$F$2:$G$2</definedName>
    <definedName name="FixedLegBDC" localSheetId="3">'1M Pricing'!$P$33</definedName>
    <definedName name="FixedLegBDC" localSheetId="6">'1Y Pricing'!$P$33</definedName>
    <definedName name="FixedLegBDC" localSheetId="4">'3M Pricing'!$P$33</definedName>
    <definedName name="FixedLegBDC" localSheetId="5">'6M Pricing'!$P$33</definedName>
    <definedName name="FixedLegBDC" localSheetId="8">'STD Pricing'!$N$33</definedName>
    <definedName name="FixedLegDayCounter" localSheetId="3">'1M Pricing'!$Q$33</definedName>
    <definedName name="FixedLegDayCounter" localSheetId="6">'1Y Pricing'!$Q$33</definedName>
    <definedName name="FixedLegDayCounter" localSheetId="4">'3M Pricing'!$Q$33</definedName>
    <definedName name="FixedLegDayCounter" localSheetId="5">'6M Pricing'!$Q$33</definedName>
    <definedName name="FixedLegDayCounter" localSheetId="8">'STD Pricing'!$O$33</definedName>
    <definedName name="FixedLegTenor" localSheetId="3">'1M Pricing'!$O$33</definedName>
    <definedName name="FixedLegTenor" localSheetId="6">'1Y Pricing'!$O$33</definedName>
    <definedName name="FixedLegTenor" localSheetId="4">'3M Pricing'!$O$33</definedName>
    <definedName name="FixedLegTenor" localSheetId="5">'6M Pricing'!$O$33</definedName>
    <definedName name="FixedLegTenor" localSheetId="8">'STD Pricing'!$M$33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AN36" i="23" l="1"/>
  <c r="AM36" i="23"/>
  <c r="AN35" i="23"/>
  <c r="AM35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5" i="23"/>
  <c r="AM25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3" i="7" a="1"/>
  <c r="H34" i="7"/>
  <c r="H35" i="7"/>
  <c r="H36" i="7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3" i="23"/>
  <c r="H37" i="23"/>
  <c r="Z36" i="23"/>
  <c r="AA36" i="23" s="1"/>
  <c r="Z35" i="23"/>
  <c r="AA35" i="23" s="1"/>
  <c r="Z34" i="23"/>
  <c r="AA34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6" i="23"/>
  <c r="AA26" i="23" s="1"/>
  <c r="Z25" i="23"/>
  <c r="AA25" i="23" s="1"/>
  <c r="Z24" i="23"/>
  <c r="AA24" i="23" s="1"/>
  <c r="Z23" i="23"/>
  <c r="AA23" i="23" s="1"/>
  <c r="Z22" i="23"/>
  <c r="AA22" i="23" s="1"/>
  <c r="Z21" i="23"/>
  <c r="AA21" i="23" s="1"/>
  <c r="Z20" i="23"/>
  <c r="AA20" i="23" s="1"/>
  <c r="Z19" i="23"/>
  <c r="AA19" i="23" s="1"/>
  <c r="Z18" i="23"/>
  <c r="AA18" i="23" s="1"/>
  <c r="Z17" i="23"/>
  <c r="AA17" i="23" s="1"/>
  <c r="Z16" i="23"/>
  <c r="AA16" i="23" s="1"/>
  <c r="Z15" i="23"/>
  <c r="AA15" i="23" s="1"/>
  <c r="Z14" i="23"/>
  <c r="AA14" i="23" s="1"/>
  <c r="Z13" i="23"/>
  <c r="AA13" i="23" s="1"/>
  <c r="Z12" i="23"/>
  <c r="AA12" i="23" s="1"/>
  <c r="Z11" i="23"/>
  <c r="AA11" i="23" s="1"/>
  <c r="Z10" i="23"/>
  <c r="AA10" i="23" s="1"/>
  <c r="Z9" i="23"/>
  <c r="AA9" i="23" s="1"/>
  <c r="Z8" i="23"/>
  <c r="AA8" i="23" s="1"/>
  <c r="Z7" i="23"/>
  <c r="AA7" i="23" s="1"/>
  <c r="Z6" i="23"/>
  <c r="AA6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AA29" i="7"/>
  <c r="AA28" i="7"/>
  <c r="AA21" i="7"/>
  <c r="AA20" i="7"/>
  <c r="AA13" i="7"/>
  <c r="AA12" i="7"/>
  <c r="Z36" i="7"/>
  <c r="AA36" i="7" s="1"/>
  <c r="Z35" i="7"/>
  <c r="AA35" i="7" s="1"/>
  <c r="Z34" i="7"/>
  <c r="AA34" i="7" s="1"/>
  <c r="Z32" i="7"/>
  <c r="AA32" i="7" s="1"/>
  <c r="Z31" i="7"/>
  <c r="AA31" i="7" s="1"/>
  <c r="Z30" i="7"/>
  <c r="AA30" i="7" s="1"/>
  <c r="Z29" i="7"/>
  <c r="Z28" i="7"/>
  <c r="Z27" i="7"/>
  <c r="AA27" i="7" s="1"/>
  <c r="Z26" i="7"/>
  <c r="AA26" i="7" s="1"/>
  <c r="Z25" i="7"/>
  <c r="AA25" i="7" s="1"/>
  <c r="Z24" i="7"/>
  <c r="AA24" i="7" s="1"/>
  <c r="Z23" i="7"/>
  <c r="AA23" i="7" s="1"/>
  <c r="Z22" i="7"/>
  <c r="AA22" i="7" s="1"/>
  <c r="Z21" i="7"/>
  <c r="Z20" i="7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Z12" i="7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3" i="24"/>
  <c r="D2" i="24"/>
  <c r="K68" i="19"/>
  <c r="K16" i="19"/>
  <c r="K17" i="19"/>
  <c r="K20" i="19"/>
  <c r="K23" i="19"/>
  <c r="K65" i="19"/>
  <c r="K51" i="19"/>
  <c r="K56" i="19"/>
  <c r="K50" i="19"/>
  <c r="D21" i="2"/>
  <c r="K41" i="19"/>
  <c r="K47" i="19"/>
  <c r="F17" i="19"/>
  <c r="K62" i="19"/>
  <c r="K64" i="19"/>
  <c r="K48" i="19"/>
  <c r="K46" i="19"/>
  <c r="K54" i="19"/>
  <c r="K45" i="19"/>
  <c r="K53" i="19"/>
  <c r="K49" i="19"/>
  <c r="K60" i="19"/>
  <c r="K9" i="19"/>
  <c r="K44" i="19"/>
  <c r="K13" i="19"/>
  <c r="K43" i="19"/>
  <c r="K39" i="19"/>
  <c r="K11" i="19"/>
  <c r="E20" i="19"/>
  <c r="K10" i="19"/>
  <c r="E9" i="19"/>
  <c r="K15" i="19"/>
  <c r="F15" i="19"/>
  <c r="K57" i="19"/>
  <c r="K22" i="19"/>
  <c r="K55" i="19"/>
  <c r="K36" i="19"/>
  <c r="K66" i="19"/>
  <c r="K12" i="19"/>
  <c r="F12" i="19" s="1"/>
  <c r="K52" i="19"/>
  <c r="K38" i="19"/>
  <c r="K35" i="19"/>
  <c r="K34" i="19"/>
  <c r="K18" i="19"/>
  <c r="F18" i="19" s="1"/>
  <c r="F22" i="19"/>
  <c r="E15" i="19"/>
  <c r="K42" i="19"/>
  <c r="K63" i="19"/>
  <c r="E12" i="19"/>
  <c r="F23" i="19"/>
  <c r="K40" i="19"/>
  <c r="K61" i="19"/>
  <c r="K58" i="19"/>
  <c r="E18" i="19"/>
  <c r="D3" i="24"/>
  <c r="K37" i="19"/>
  <c r="K21" i="19"/>
  <c r="K67" i="19"/>
  <c r="K19" i="19"/>
  <c r="K59" i="19"/>
  <c r="K14" i="19"/>
  <c r="E14" i="19" s="1"/>
  <c r="F19" i="19"/>
  <c r="E19" i="19"/>
  <c r="F2" i="14" l="1"/>
  <c r="E22" i="19"/>
  <c r="F10" i="19"/>
  <c r="F11" i="19"/>
  <c r="M9" i="14"/>
  <c r="F20" i="19"/>
  <c r="E13" i="19"/>
  <c r="E10" i="19"/>
  <c r="F14" i="19"/>
  <c r="E17" i="19"/>
  <c r="E16" i="19"/>
  <c r="E21" i="19"/>
  <c r="F9" i="19"/>
  <c r="E11" i="19"/>
  <c r="F21" i="19"/>
  <c r="F13" i="19"/>
  <c r="M25" i="14"/>
  <c r="E23" i="19"/>
  <c r="F16" i="19"/>
  <c r="C2" i="23" l="1"/>
  <c r="AJ36" i="23" l="1"/>
  <c r="AI36" i="23"/>
  <c r="AH36" i="23"/>
  <c r="AG36" i="23"/>
  <c r="AF36" i="23"/>
  <c r="AE36" i="23"/>
  <c r="AD36" i="23"/>
  <c r="AC36" i="23"/>
  <c r="AJ35" i="23"/>
  <c r="AI35" i="23"/>
  <c r="AH35" i="23"/>
  <c r="AG35" i="23"/>
  <c r="AF35" i="23"/>
  <c r="AE35" i="23"/>
  <c r="AD35" i="23"/>
  <c r="AC35" i="23"/>
  <c r="AJ34" i="23"/>
  <c r="AI34" i="23"/>
  <c r="AH34" i="23"/>
  <c r="AG34" i="23"/>
  <c r="AF34" i="23"/>
  <c r="AE34" i="23"/>
  <c r="AD34" i="23"/>
  <c r="AC34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5" i="23"/>
  <c r="AK25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3" i="21"/>
  <c r="J20" i="21"/>
  <c r="J19" i="21"/>
  <c r="J18" i="21"/>
  <c r="J17" i="21"/>
  <c r="J16" i="21"/>
  <c r="J15" i="21"/>
  <c r="J14" i="21"/>
  <c r="J13" i="21"/>
  <c r="J12" i="21"/>
  <c r="J11" i="21"/>
  <c r="J10" i="21"/>
  <c r="G34" i="7" l="1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D37" i="7"/>
  <c r="H37" i="7" s="1"/>
  <c r="D38" i="7"/>
  <c r="H38" i="7" s="1"/>
  <c r="D39" i="7"/>
  <c r="H39" i="7" s="1"/>
  <c r="D40" i="7"/>
  <c r="H40" i="7" s="1"/>
  <c r="D41" i="7"/>
  <c r="H41" i="7" s="1"/>
  <c r="D42" i="7"/>
  <c r="H42" i="7" s="1"/>
  <c r="D43" i="7"/>
  <c r="H43" i="7" s="1"/>
  <c r="D44" i="7"/>
  <c r="H44" i="7" s="1"/>
  <c r="D45" i="7"/>
  <c r="H45" i="7" s="1"/>
  <c r="D46" i="7"/>
  <c r="H46" i="7" s="1"/>
  <c r="D47" i="7"/>
  <c r="H47" i="7" s="1"/>
  <c r="D48" i="7"/>
  <c r="H48" i="7" s="1"/>
  <c r="D49" i="7"/>
  <c r="H49" i="7" s="1"/>
  <c r="D50" i="7"/>
  <c r="H50" i="7" s="1"/>
  <c r="D51" i="7"/>
  <c r="H51" i="7" s="1"/>
  <c r="D52" i="7"/>
  <c r="H52" i="7" s="1"/>
  <c r="D53" i="7"/>
  <c r="H53" i="7" s="1"/>
  <c r="D54" i="7"/>
  <c r="H54" i="7" s="1"/>
  <c r="D55" i="7"/>
  <c r="H55" i="7" s="1"/>
  <c r="D56" i="7"/>
  <c r="H56" i="7" s="1"/>
  <c r="D57" i="7"/>
  <c r="H57" i="7" s="1"/>
  <c r="D58" i="7"/>
  <c r="H58" i="7" s="1"/>
  <c r="D59" i="7"/>
  <c r="H59" i="7" s="1"/>
  <c r="D60" i="7"/>
  <c r="H60" i="7" s="1"/>
  <c r="D61" i="7"/>
  <c r="H61" i="7" s="1"/>
  <c r="D62" i="7"/>
  <c r="H62" i="7" s="1"/>
  <c r="D63" i="7"/>
  <c r="H63" i="7" s="1"/>
  <c r="D64" i="7"/>
  <c r="H64" i="7" s="1"/>
  <c r="D65" i="7"/>
  <c r="H65" i="7" s="1"/>
  <c r="D66" i="7"/>
  <c r="H66" i="7" s="1"/>
  <c r="D67" i="7"/>
  <c r="H67" i="7" s="1"/>
  <c r="D68" i="7"/>
  <c r="H68" i="7" s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F33" i="7"/>
  <c r="E33" i="7"/>
  <c r="D33" i="7"/>
  <c r="H33" i="7" s="1"/>
  <c r="C33" i="7"/>
  <c r="D31" i="7"/>
  <c r="D32" i="7"/>
  <c r="C32" i="7"/>
  <c r="C31" i="7"/>
  <c r="C30" i="7"/>
  <c r="C29" i="7"/>
  <c r="C28" i="7"/>
  <c r="C27" i="7"/>
  <c r="C26" i="7"/>
  <c r="C25" i="7"/>
  <c r="C2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E18" i="7"/>
  <c r="E19" i="7"/>
  <c r="E20" i="7"/>
  <c r="D15" i="7"/>
  <c r="D16" i="7"/>
  <c r="D17" i="7"/>
  <c r="D18" i="7"/>
  <c r="D19" i="7"/>
  <c r="D20" i="7"/>
  <c r="C13" i="7"/>
  <c r="C14" i="7"/>
  <c r="C15" i="7"/>
  <c r="C16" i="7"/>
  <c r="C17" i="7"/>
  <c r="C18" i="7"/>
  <c r="C19" i="7"/>
  <c r="C20" i="7"/>
  <c r="C12" i="7"/>
  <c r="H34" i="19" l="1"/>
  <c r="H35" i="19"/>
  <c r="H36" i="19"/>
  <c r="H68" i="19" l="1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3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3" i="17"/>
  <c r="E34" i="19"/>
  <c r="F35" i="19"/>
  <c r="F42" i="19"/>
  <c r="F44" i="19"/>
  <c r="F52" i="19"/>
  <c r="E36" i="19"/>
  <c r="F34" i="19"/>
  <c r="E52" i="19"/>
  <c r="F36" i="19"/>
  <c r="E35" i="19"/>
  <c r="V6" i="23" l="1" a="1"/>
  <c r="V6" i="7" a="1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1" i="14"/>
  <c r="J40" i="14"/>
  <c r="J39" i="14"/>
  <c r="J38" i="14"/>
  <c r="J37" i="14"/>
  <c r="J33" i="14"/>
  <c r="J42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F56" i="19"/>
  <c r="E68" i="19"/>
  <c r="F47" i="19"/>
  <c r="E60" i="19"/>
  <c r="E59" i="19"/>
  <c r="E67" i="19"/>
  <c r="F66" i="19"/>
  <c r="E43" i="19"/>
  <c r="E65" i="19"/>
  <c r="E54" i="19"/>
  <c r="F58" i="19"/>
  <c r="F45" i="19"/>
  <c r="E63" i="19"/>
  <c r="E47" i="19"/>
  <c r="F46" i="19"/>
  <c r="E41" i="19"/>
  <c r="F51" i="19"/>
  <c r="E62" i="19"/>
  <c r="E37" i="19"/>
  <c r="E61" i="19"/>
  <c r="F54" i="19"/>
  <c r="E39" i="19"/>
  <c r="E51" i="19"/>
  <c r="F43" i="19"/>
  <c r="F38" i="19"/>
  <c r="E46" i="19"/>
  <c r="F63" i="19"/>
  <c r="F41" i="19"/>
  <c r="F49" i="19"/>
  <c r="F55" i="19"/>
  <c r="E45" i="19"/>
  <c r="F37" i="19"/>
  <c r="E56" i="19"/>
  <c r="F67" i="19"/>
  <c r="F65" i="19"/>
  <c r="E48" i="19"/>
  <c r="E38" i="19"/>
  <c r="F68" i="19"/>
  <c r="E64" i="19"/>
  <c r="F57" i="19"/>
  <c r="E49" i="19"/>
  <c r="E57" i="19"/>
  <c r="E40" i="19"/>
  <c r="F40" i="19"/>
  <c r="F53" i="19"/>
  <c r="E55" i="19"/>
  <c r="F48" i="19"/>
  <c r="F64" i="19"/>
  <c r="F39" i="19"/>
  <c r="E42" i="19"/>
  <c r="F59" i="19"/>
  <c r="F62" i="19"/>
  <c r="F60" i="19"/>
  <c r="E50" i="19"/>
  <c r="E53" i="19"/>
  <c r="E58" i="19"/>
  <c r="E66" i="19"/>
  <c r="E44" i="19"/>
  <c r="F61" i="19"/>
  <c r="F50" i="19"/>
  <c r="V62" i="7" l="1"/>
  <c r="V67" i="7"/>
  <c r="V60" i="7"/>
  <c r="V59" i="7"/>
  <c r="V49" i="7"/>
  <c r="V47" i="7"/>
  <c r="V46" i="7"/>
  <c r="V45" i="7"/>
  <c r="V40" i="7"/>
  <c r="V58" i="7"/>
  <c r="V52" i="7"/>
  <c r="V51" i="7"/>
  <c r="V41" i="7"/>
  <c r="V39" i="7"/>
  <c r="V38" i="7"/>
  <c r="V37" i="7"/>
  <c r="V32" i="7"/>
  <c r="V50" i="7"/>
  <c r="V44" i="7"/>
  <c r="V43" i="7"/>
  <c r="V33" i="7"/>
  <c r="V31" i="7"/>
  <c r="W31" i="7" s="1"/>
  <c r="V30" i="7"/>
  <c r="W30" i="7" s="1"/>
  <c r="V29" i="7"/>
  <c r="W29" i="7" s="1"/>
  <c r="V24" i="7"/>
  <c r="V42" i="7"/>
  <c r="V36" i="7"/>
  <c r="V35" i="7"/>
  <c r="V25" i="7"/>
  <c r="W25" i="7" s="1"/>
  <c r="V23" i="7"/>
  <c r="V22" i="7"/>
  <c r="V21" i="7"/>
  <c r="V16" i="7"/>
  <c r="V34" i="7"/>
  <c r="V28" i="7"/>
  <c r="W28" i="7" s="1"/>
  <c r="V27" i="7"/>
  <c r="W27" i="7" s="1"/>
  <c r="V17" i="7"/>
  <c r="V15" i="7"/>
  <c r="V14" i="7"/>
  <c r="V13" i="7"/>
  <c r="V8" i="7"/>
  <c r="V26" i="7"/>
  <c r="W26" i="7" s="1"/>
  <c r="V20" i="7"/>
  <c r="V19" i="7"/>
  <c r="V18" i="7"/>
  <c r="V53" i="7"/>
  <c r="V10" i="7"/>
  <c r="V68" i="7"/>
  <c r="V63" i="7"/>
  <c r="V65" i="7"/>
  <c r="V11" i="7"/>
  <c r="V54" i="7"/>
  <c r="V56" i="7"/>
  <c r="V64" i="7"/>
  <c r="V6" i="7"/>
  <c r="V48" i="7"/>
  <c r="V55" i="7"/>
  <c r="V66" i="7"/>
  <c r="V7" i="7"/>
  <c r="W7" i="7" s="1"/>
  <c r="V12" i="7"/>
  <c r="V57" i="7"/>
  <c r="V9" i="7"/>
  <c r="V61" i="7"/>
  <c r="V10" i="23"/>
  <c r="V68" i="23"/>
  <c r="V63" i="23"/>
  <c r="V54" i="23"/>
  <c r="V53" i="23"/>
  <c r="V51" i="23"/>
  <c r="V49" i="23"/>
  <c r="V48" i="23"/>
  <c r="V42" i="23"/>
  <c r="V60" i="23"/>
  <c r="V55" i="23"/>
  <c r="V46" i="23"/>
  <c r="V45" i="23"/>
  <c r="V43" i="23"/>
  <c r="V41" i="23"/>
  <c r="V40" i="23"/>
  <c r="V34" i="23"/>
  <c r="V52" i="23"/>
  <c r="V47" i="23"/>
  <c r="V38" i="23"/>
  <c r="V37" i="23"/>
  <c r="V35" i="23"/>
  <c r="V33" i="23"/>
  <c r="V32" i="23"/>
  <c r="V26" i="23"/>
  <c r="W26" i="23" s="1"/>
  <c r="X26" i="23" s="1"/>
  <c r="V44" i="23"/>
  <c r="V39" i="23"/>
  <c r="V30" i="23"/>
  <c r="W30" i="23" s="1"/>
  <c r="X30" i="23" s="1"/>
  <c r="V29" i="23"/>
  <c r="W29" i="23" s="1"/>
  <c r="X29" i="23" s="1"/>
  <c r="V27" i="23"/>
  <c r="W27" i="23" s="1"/>
  <c r="X27" i="23" s="1"/>
  <c r="V25" i="23"/>
  <c r="W25" i="23" s="1"/>
  <c r="X25" i="23" s="1"/>
  <c r="V24" i="23"/>
  <c r="V18" i="23"/>
  <c r="V36" i="23"/>
  <c r="V31" i="23"/>
  <c r="V22" i="23"/>
  <c r="V21" i="23"/>
  <c r="V19" i="23"/>
  <c r="V17" i="23"/>
  <c r="V16" i="23"/>
  <c r="V28" i="23"/>
  <c r="W28" i="23" s="1"/>
  <c r="X28" i="23" s="1"/>
  <c r="V23" i="23"/>
  <c r="V14" i="23"/>
  <c r="V6" i="23"/>
  <c r="W6" i="23" s="1"/>
  <c r="X6" i="23" s="1"/>
  <c r="V67" i="23"/>
  <c r="V9" i="23"/>
  <c r="V59" i="23"/>
  <c r="V20" i="23"/>
  <c r="V11" i="23"/>
  <c r="V12" i="23"/>
  <c r="V61" i="23"/>
  <c r="V15" i="23"/>
  <c r="V13" i="23"/>
  <c r="V64" i="23"/>
  <c r="V66" i="23"/>
  <c r="V7" i="23"/>
  <c r="W7" i="23" s="1"/>
  <c r="X7" i="23" s="1"/>
  <c r="V56" i="23"/>
  <c r="V58" i="23"/>
  <c r="V65" i="23"/>
  <c r="V8" i="23"/>
  <c r="V50" i="23"/>
  <c r="V62" i="23"/>
  <c r="V57" i="23"/>
  <c r="W31" i="23"/>
  <c r="X31" i="23" s="1"/>
  <c r="W24" i="23"/>
  <c r="X24" i="23" s="1"/>
  <c r="W8" i="7"/>
  <c r="W24" i="7"/>
  <c r="W32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6" i="7"/>
  <c r="AI36" i="7"/>
  <c r="AJ35" i="7"/>
  <c r="AI35" i="7"/>
  <c r="AJ34" i="7"/>
  <c r="AI34" i="7"/>
  <c r="AG35" i="7"/>
  <c r="AH36" i="7"/>
  <c r="AG36" i="7"/>
  <c r="AG34" i="7"/>
  <c r="AH35" i="7"/>
  <c r="AH34" i="7"/>
  <c r="AE36" i="7"/>
  <c r="AE35" i="7"/>
  <c r="AE34" i="7"/>
  <c r="AF36" i="7"/>
  <c r="AF35" i="7"/>
  <c r="AF34" i="7"/>
  <c r="AC34" i="7"/>
  <c r="AD34" i="7"/>
  <c r="AC35" i="7"/>
  <c r="AD35" i="7"/>
  <c r="AL27" i="7"/>
  <c r="AK30" i="7"/>
  <c r="AL26" i="7"/>
  <c r="AK29" i="7"/>
  <c r="AK28" i="7"/>
  <c r="AL32" i="7"/>
  <c r="AK27" i="7"/>
  <c r="AK26" i="7"/>
  <c r="AL30" i="7"/>
  <c r="AL29" i="7"/>
  <c r="AK32" i="7"/>
  <c r="AL28" i="7"/>
  <c r="AK31" i="7"/>
  <c r="AL31" i="7"/>
  <c r="AK25" i="7"/>
  <c r="AL25" i="7"/>
  <c r="W8" i="23" l="1"/>
  <c r="F2" i="21"/>
  <c r="AK35" i="23"/>
  <c r="AK34" i="23"/>
  <c r="AK36" i="23"/>
  <c r="M17" i="21"/>
  <c r="M12" i="21"/>
  <c r="M18" i="21"/>
  <c r="M15" i="21"/>
  <c r="M19" i="21"/>
  <c r="M10" i="21"/>
  <c r="M13" i="21"/>
  <c r="M9" i="21"/>
  <c r="M16" i="21"/>
  <c r="M11" i="21"/>
  <c r="M20" i="21"/>
  <c r="M14" i="21"/>
  <c r="M25" i="21"/>
  <c r="X8" i="23" l="1"/>
  <c r="F3" i="21"/>
  <c r="D2" i="19"/>
  <c r="F2" i="18"/>
  <c r="F2" i="17"/>
  <c r="AL36" i="23"/>
  <c r="AL34" i="23"/>
  <c r="AL35" i="23"/>
  <c r="B1" i="2"/>
  <c r="M12" i="18"/>
  <c r="M12" i="17"/>
  <c r="M15" i="17"/>
  <c r="M17" i="17"/>
  <c r="M9" i="17"/>
  <c r="M14" i="18"/>
  <c r="M20" i="18"/>
  <c r="M18" i="17"/>
  <c r="M10" i="18"/>
  <c r="M13" i="17"/>
  <c r="M14" i="17"/>
  <c r="D5" i="2"/>
  <c r="D25" i="21" s="1" a="1"/>
  <c r="M15" i="18"/>
  <c r="D25" i="14" a="1"/>
  <c r="M17" i="18"/>
  <c r="M11" i="17"/>
  <c r="M11" i="18"/>
  <c r="M9" i="18"/>
  <c r="M16" i="17"/>
  <c r="M16" i="18"/>
  <c r="M19" i="17"/>
  <c r="M19" i="18"/>
  <c r="M25" i="18"/>
  <c r="D25" i="18" a="1"/>
  <c r="M20" i="17"/>
  <c r="M10" i="17"/>
  <c r="M13" i="18"/>
  <c r="M18" i="18"/>
  <c r="D68" i="19" l="1"/>
  <c r="D60" i="19"/>
  <c r="D52" i="19"/>
  <c r="D44" i="19"/>
  <c r="D36" i="19"/>
  <c r="D18" i="19"/>
  <c r="D10" i="19"/>
  <c r="D67" i="19"/>
  <c r="D59" i="19"/>
  <c r="D51" i="19"/>
  <c r="D43" i="19"/>
  <c r="D35" i="19"/>
  <c r="D17" i="19"/>
  <c r="D9" i="19"/>
  <c r="D66" i="19"/>
  <c r="D58" i="19"/>
  <c r="D50" i="19"/>
  <c r="D42" i="19"/>
  <c r="D34" i="19"/>
  <c r="D16" i="19"/>
  <c r="D65" i="19"/>
  <c r="D49" i="19"/>
  <c r="D41" i="19"/>
  <c r="D23" i="19"/>
  <c r="D15" i="19"/>
  <c r="D48" i="19"/>
  <c r="D57" i="19"/>
  <c r="D64" i="19"/>
  <c r="D56" i="19"/>
  <c r="D63" i="19"/>
  <c r="D45" i="19"/>
  <c r="D19" i="19"/>
  <c r="D62" i="19"/>
  <c r="D40" i="19"/>
  <c r="D14" i="19"/>
  <c r="D61" i="19"/>
  <c r="D39" i="19"/>
  <c r="D13" i="19"/>
  <c r="D55" i="19"/>
  <c r="D38" i="19"/>
  <c r="D12" i="19"/>
  <c r="D54" i="19"/>
  <c r="D37" i="19"/>
  <c r="D11" i="19"/>
  <c r="D53" i="19"/>
  <c r="D22" i="19"/>
  <c r="D21" i="19"/>
  <c r="D20" i="19"/>
  <c r="D47" i="19"/>
  <c r="D46" i="19"/>
  <c r="D29" i="14"/>
  <c r="D30" i="14"/>
  <c r="D31" i="14"/>
  <c r="D26" i="14"/>
  <c r="D32" i="14"/>
  <c r="D25" i="14"/>
  <c r="D27" i="14"/>
  <c r="D28" i="14"/>
  <c r="D31" i="21"/>
  <c r="J31" i="21" s="1"/>
  <c r="D25" i="21"/>
  <c r="J25" i="21" s="1"/>
  <c r="D26" i="21"/>
  <c r="J26" i="21" s="1"/>
  <c r="D28" i="21"/>
  <c r="J28" i="21" s="1"/>
  <c r="D29" i="21"/>
  <c r="J29" i="21" s="1"/>
  <c r="D27" i="21"/>
  <c r="J27" i="21" s="1"/>
  <c r="D30" i="21"/>
  <c r="J30" i="21" s="1"/>
  <c r="D32" i="21"/>
  <c r="J32" i="21" s="1"/>
  <c r="D30" i="18"/>
  <c r="J30" i="18" s="1"/>
  <c r="D31" i="18"/>
  <c r="J31" i="18" s="1"/>
  <c r="D32" i="18"/>
  <c r="J32" i="18" s="1"/>
  <c r="D25" i="18"/>
  <c r="J25" i="18" s="1"/>
  <c r="D26" i="18"/>
  <c r="J26" i="18" s="1"/>
  <c r="D27" i="18"/>
  <c r="J27" i="18" s="1"/>
  <c r="D28" i="18"/>
  <c r="J28" i="18" s="1"/>
  <c r="D29" i="18"/>
  <c r="J29" i="18" s="1"/>
  <c r="F3" i="18"/>
  <c r="F3" i="17"/>
  <c r="F3" i="14"/>
  <c r="D25" i="17" a="1"/>
  <c r="G25" i="21"/>
  <c r="G26" i="21"/>
  <c r="G28" i="21"/>
  <c r="G30" i="18"/>
  <c r="G27" i="21"/>
  <c r="G29" i="21"/>
  <c r="G31" i="21"/>
  <c r="C24" i="17"/>
  <c r="C24" i="18"/>
  <c r="C24" i="21"/>
  <c r="G28" i="18"/>
  <c r="G31" i="18"/>
  <c r="G27" i="18"/>
  <c r="G30" i="21"/>
  <c r="G25" i="18"/>
  <c r="G32" i="18"/>
  <c r="G32" i="21"/>
  <c r="H32" i="21" s="1"/>
  <c r="G26" i="18"/>
  <c r="G29" i="18"/>
  <c r="C24" i="14"/>
  <c r="D18" i="2"/>
  <c r="D27" i="17" l="1"/>
  <c r="K27" i="17" s="1"/>
  <c r="D28" i="17"/>
  <c r="J28" i="17" s="1"/>
  <c r="D31" i="17"/>
  <c r="J31" i="17" s="1"/>
  <c r="D32" i="17"/>
  <c r="J32" i="17" s="1"/>
  <c r="D25" i="17"/>
  <c r="J25" i="17" s="1"/>
  <c r="D30" i="17"/>
  <c r="D29" i="17"/>
  <c r="D26" i="17"/>
  <c r="J26" i="17" s="1"/>
  <c r="J27" i="17"/>
  <c r="B25" i="7" a="1"/>
  <c r="B25" i="7" s="1"/>
  <c r="D24" i="14"/>
  <c r="J24" i="14" s="1"/>
  <c r="D24" i="17"/>
  <c r="J24" i="17" s="1"/>
  <c r="D24" i="18"/>
  <c r="J24" i="18" s="1"/>
  <c r="D24" i="21"/>
  <c r="J24" i="21" s="1"/>
  <c r="D19" i="2"/>
  <c r="G27" i="17"/>
  <c r="F30" i="21"/>
  <c r="F27" i="18"/>
  <c r="F28" i="21"/>
  <c r="G32" i="17"/>
  <c r="F30" i="18"/>
  <c r="F32" i="18"/>
  <c r="G30" i="17"/>
  <c r="F25" i="21"/>
  <c r="H28" i="21"/>
  <c r="H25" i="18"/>
  <c r="H25" i="21"/>
  <c r="G28" i="17"/>
  <c r="G29" i="17"/>
  <c r="F27" i="21"/>
  <c r="G31" i="17"/>
  <c r="H27" i="18"/>
  <c r="H31" i="21"/>
  <c r="M48" i="14"/>
  <c r="M40" i="14"/>
  <c r="K48" i="24"/>
  <c r="K37" i="24"/>
  <c r="M33" i="14"/>
  <c r="M67" i="14"/>
  <c r="M56" i="14"/>
  <c r="K41" i="24"/>
  <c r="K53" i="24"/>
  <c r="M45" i="14"/>
  <c r="M37" i="14"/>
  <c r="K33" i="24"/>
  <c r="K64" i="24"/>
  <c r="K46" i="24"/>
  <c r="M61" i="14"/>
  <c r="M53" i="14"/>
  <c r="K54" i="24"/>
  <c r="K57" i="24"/>
  <c r="M46" i="14"/>
  <c r="M50" i="14"/>
  <c r="M38" i="14"/>
  <c r="M42" i="14"/>
  <c r="K65" i="24"/>
  <c r="K58" i="24"/>
  <c r="K43" i="24"/>
  <c r="K40" i="24"/>
  <c r="M62" i="14"/>
  <c r="M66" i="14"/>
  <c r="M54" i="14"/>
  <c r="M58" i="14"/>
  <c r="K61" i="24"/>
  <c r="K66" i="24"/>
  <c r="K51" i="24"/>
  <c r="K56" i="24"/>
  <c r="M59" i="14"/>
  <c r="M60" i="14"/>
  <c r="K39" i="24"/>
  <c r="K52" i="24"/>
  <c r="M64" i="14"/>
  <c r="M68" i="14"/>
  <c r="K55" i="24"/>
  <c r="K60" i="24"/>
  <c r="M49" i="14"/>
  <c r="M41" i="14"/>
  <c r="K42" i="24"/>
  <c r="K68" i="24"/>
  <c r="M65" i="14"/>
  <c r="M57" i="14"/>
  <c r="K50" i="24"/>
  <c r="K47" i="24"/>
  <c r="M47" i="14"/>
  <c r="M43" i="14"/>
  <c r="M39" i="14"/>
  <c r="M44" i="14"/>
  <c r="K62" i="24"/>
  <c r="K45" i="24"/>
  <c r="K59" i="24"/>
  <c r="K49" i="24"/>
  <c r="M63" i="14"/>
  <c r="M51" i="14"/>
  <c r="M55" i="14"/>
  <c r="M52" i="14"/>
  <c r="K63" i="24"/>
  <c r="K38" i="24"/>
  <c r="K67" i="24"/>
  <c r="K44" i="24"/>
  <c r="H26" i="18"/>
  <c r="F31" i="18"/>
  <c r="H30" i="18"/>
  <c r="F29" i="18"/>
  <c r="F26" i="21"/>
  <c r="H32" i="18"/>
  <c r="F25" i="18"/>
  <c r="F26" i="18"/>
  <c r="F31" i="17"/>
  <c r="H29" i="21"/>
  <c r="F28" i="18"/>
  <c r="F29" i="21"/>
  <c r="H29" i="18"/>
  <c r="H26" i="21"/>
  <c r="G25" i="17"/>
  <c r="H30" i="21"/>
  <c r="F32" i="21"/>
  <c r="G26" i="17"/>
  <c r="F31" i="21"/>
  <c r="H27" i="21"/>
  <c r="H31" i="18"/>
  <c r="H28" i="18"/>
  <c r="K31" i="17" l="1"/>
  <c r="K26" i="17"/>
  <c r="K29" i="17"/>
  <c r="J29" i="17"/>
  <c r="K25" i="17"/>
  <c r="K30" i="17"/>
  <c r="J30" i="17"/>
  <c r="K28" i="17"/>
  <c r="K32" i="17"/>
  <c r="B27" i="7"/>
  <c r="B28" i="7"/>
  <c r="B30" i="7"/>
  <c r="B32" i="7"/>
  <c r="B31" i="7"/>
  <c r="B26" i="7"/>
  <c r="B29" i="7"/>
  <c r="S6" i="23" a="1"/>
  <c r="S6" i="7" a="1"/>
  <c r="P6" i="23" a="1"/>
  <c r="P6" i="7" a="1"/>
  <c r="X26" i="7"/>
  <c r="X30" i="7"/>
  <c r="X31" i="7"/>
  <c r="X29" i="7"/>
  <c r="X28" i="7"/>
  <c r="X32" i="7"/>
  <c r="X25" i="7"/>
  <c r="X27" i="7"/>
  <c r="D12" i="2"/>
  <c r="AK24" i="7"/>
  <c r="H30" i="17"/>
  <c r="H25" i="17"/>
  <c r="M11" i="14"/>
  <c r="M18" i="14"/>
  <c r="M48" i="18"/>
  <c r="M33" i="21"/>
  <c r="M39" i="21"/>
  <c r="M16" i="14"/>
  <c r="H28" i="17"/>
  <c r="M55" i="17"/>
  <c r="M45" i="17"/>
  <c r="M50" i="17"/>
  <c r="M51" i="21"/>
  <c r="M39" i="18"/>
  <c r="M40" i="21"/>
  <c r="M54" i="18"/>
  <c r="M57" i="21"/>
  <c r="M52" i="18"/>
  <c r="M68" i="17"/>
  <c r="M52" i="21"/>
  <c r="M49" i="17"/>
  <c r="M66" i="17"/>
  <c r="M68" i="18"/>
  <c r="M37" i="17"/>
  <c r="M61" i="17"/>
  <c r="M53" i="17"/>
  <c r="M43" i="21"/>
  <c r="M47" i="21"/>
  <c r="F27" i="17"/>
  <c r="M38" i="17"/>
  <c r="M10" i="14"/>
  <c r="M52" i="17"/>
  <c r="M50" i="18"/>
  <c r="M56" i="18"/>
  <c r="M64" i="17"/>
  <c r="F28" i="17"/>
  <c r="M58" i="17"/>
  <c r="H32" i="17"/>
  <c r="M42" i="18"/>
  <c r="M56" i="17"/>
  <c r="M40" i="17"/>
  <c r="M59" i="21"/>
  <c r="M60" i="18"/>
  <c r="M41" i="21"/>
  <c r="M62" i="17"/>
  <c r="M20" i="14"/>
  <c r="F32" i="17"/>
  <c r="H27" i="17"/>
  <c r="M43" i="17"/>
  <c r="M40" i="18"/>
  <c r="D20" i="2"/>
  <c r="M42" i="17"/>
  <c r="M42" i="21"/>
  <c r="M38" i="21"/>
  <c r="M63" i="17"/>
  <c r="M63" i="21"/>
  <c r="M58" i="18"/>
  <c r="H29" i="17"/>
  <c r="M66" i="21"/>
  <c r="M43" i="18"/>
  <c r="M46" i="17"/>
  <c r="M44" i="21"/>
  <c r="M44" i="17"/>
  <c r="M61" i="18"/>
  <c r="M48" i="21"/>
  <c r="M61" i="21"/>
  <c r="M60" i="21"/>
  <c r="M37" i="18"/>
  <c r="M57" i="17"/>
  <c r="M56" i="21"/>
  <c r="M45" i="21"/>
  <c r="M15" i="14"/>
  <c r="M54" i="21"/>
  <c r="M67" i="21"/>
  <c r="M41" i="17"/>
  <c r="F29" i="17"/>
  <c r="M17" i="14"/>
  <c r="M46" i="21"/>
  <c r="M59" i="18"/>
  <c r="M45" i="18"/>
  <c r="M47" i="18"/>
  <c r="M13" i="14"/>
  <c r="M54" i="17"/>
  <c r="M64" i="21"/>
  <c r="M14" i="14"/>
  <c r="M67" i="17"/>
  <c r="M33" i="17"/>
  <c r="M38" i="18"/>
  <c r="M49" i="18"/>
  <c r="M37" i="21"/>
  <c r="F25" i="17"/>
  <c r="F30" i="17"/>
  <c r="M53" i="21"/>
  <c r="M65" i="17"/>
  <c r="M19" i="14"/>
  <c r="M50" i="21"/>
  <c r="M51" i="18"/>
  <c r="M44" i="18"/>
  <c r="M46" i="18"/>
  <c r="M58" i="21"/>
  <c r="M48" i="17"/>
  <c r="M57" i="18"/>
  <c r="M49" i="21"/>
  <c r="M55" i="21"/>
  <c r="M39" i="17"/>
  <c r="M47" i="17"/>
  <c r="M12" i="14"/>
  <c r="M33" i="18"/>
  <c r="H31" i="17"/>
  <c r="M68" i="21"/>
  <c r="M67" i="18"/>
  <c r="M64" i="18"/>
  <c r="M60" i="17"/>
  <c r="H26" i="17"/>
  <c r="M62" i="18"/>
  <c r="M65" i="18"/>
  <c r="M66" i="18"/>
  <c r="M65" i="21"/>
  <c r="M63" i="18"/>
  <c r="M41" i="18"/>
  <c r="M51" i="17"/>
  <c r="F26" i="17"/>
  <c r="M53" i="18"/>
  <c r="M62" i="21"/>
  <c r="M59" i="17"/>
  <c r="M55" i="18"/>
  <c r="M6" i="7" l="1" a="1"/>
  <c r="M33" i="7" s="1"/>
  <c r="M6" i="23" a="1"/>
  <c r="M60" i="23" s="1"/>
  <c r="M18" i="7"/>
  <c r="M59" i="7"/>
  <c r="P12" i="23"/>
  <c r="P20" i="23"/>
  <c r="P28" i="23"/>
  <c r="P36" i="23"/>
  <c r="Q36" i="23" s="1"/>
  <c r="R36" i="23" s="1"/>
  <c r="P44" i="23"/>
  <c r="P52" i="23"/>
  <c r="P60" i="23"/>
  <c r="P68" i="23"/>
  <c r="P13" i="23"/>
  <c r="P21" i="23"/>
  <c r="Q21" i="23" s="1"/>
  <c r="R21" i="23" s="1"/>
  <c r="P29" i="23"/>
  <c r="P37" i="23"/>
  <c r="P45" i="23"/>
  <c r="P53" i="23"/>
  <c r="P61" i="23"/>
  <c r="P15" i="23"/>
  <c r="P25" i="23"/>
  <c r="P35" i="23"/>
  <c r="Q35" i="23" s="1"/>
  <c r="R35" i="23" s="1"/>
  <c r="P47" i="23"/>
  <c r="P57" i="23"/>
  <c r="P67" i="23"/>
  <c r="P6" i="23"/>
  <c r="Q6" i="23" s="1"/>
  <c r="R6" i="23" s="1"/>
  <c r="P16" i="23"/>
  <c r="P26" i="23"/>
  <c r="P38" i="23"/>
  <c r="P48" i="23"/>
  <c r="P58" i="23"/>
  <c r="P7" i="23"/>
  <c r="Q7" i="23" s="1"/>
  <c r="R7" i="23" s="1"/>
  <c r="P17" i="23"/>
  <c r="P27" i="23"/>
  <c r="P39" i="23"/>
  <c r="P49" i="23"/>
  <c r="P59" i="23"/>
  <c r="P8" i="23"/>
  <c r="Q8" i="23" s="1"/>
  <c r="R8" i="23" s="1"/>
  <c r="P18" i="23"/>
  <c r="P30" i="23"/>
  <c r="P40" i="23"/>
  <c r="P50" i="23"/>
  <c r="P62" i="23"/>
  <c r="P9" i="23"/>
  <c r="P19" i="23"/>
  <c r="P31" i="23"/>
  <c r="P41" i="23"/>
  <c r="P51" i="23"/>
  <c r="P63" i="23"/>
  <c r="P10" i="23"/>
  <c r="P22" i="23"/>
  <c r="Q22" i="23" s="1"/>
  <c r="R22" i="23" s="1"/>
  <c r="P32" i="23"/>
  <c r="P42" i="23"/>
  <c r="P54" i="23"/>
  <c r="P64" i="23"/>
  <c r="P24" i="23"/>
  <c r="P66" i="23"/>
  <c r="P33" i="23"/>
  <c r="P34" i="23"/>
  <c r="Q34" i="23" s="1"/>
  <c r="R34" i="23" s="1"/>
  <c r="P43" i="23"/>
  <c r="P46" i="23"/>
  <c r="P11" i="23"/>
  <c r="P55" i="23"/>
  <c r="P14" i="23"/>
  <c r="P56" i="23"/>
  <c r="P23" i="23"/>
  <c r="Q23" i="23" s="1"/>
  <c r="R23" i="23" s="1"/>
  <c r="P65" i="23"/>
  <c r="P9" i="7"/>
  <c r="P17" i="7"/>
  <c r="P25" i="7"/>
  <c r="P33" i="7"/>
  <c r="P41" i="7"/>
  <c r="P49" i="7"/>
  <c r="P57" i="7"/>
  <c r="P65" i="7"/>
  <c r="P7" i="7"/>
  <c r="Q7" i="7" s="1"/>
  <c r="R7" i="7" s="1"/>
  <c r="P16" i="7"/>
  <c r="P26" i="7"/>
  <c r="P35" i="7"/>
  <c r="Q35" i="7" s="1"/>
  <c r="P44" i="7"/>
  <c r="P53" i="7"/>
  <c r="P62" i="7"/>
  <c r="P8" i="7"/>
  <c r="Q8" i="7" s="1"/>
  <c r="P18" i="7"/>
  <c r="P27" i="7"/>
  <c r="P36" i="7"/>
  <c r="Q36" i="7" s="1"/>
  <c r="P45" i="7"/>
  <c r="P54" i="7"/>
  <c r="P63" i="7"/>
  <c r="P10" i="7"/>
  <c r="P19" i="7"/>
  <c r="P28" i="7"/>
  <c r="P37" i="7"/>
  <c r="P46" i="7"/>
  <c r="P55" i="7"/>
  <c r="P64" i="7"/>
  <c r="P11" i="7"/>
  <c r="P20" i="7"/>
  <c r="P29" i="7"/>
  <c r="P38" i="7"/>
  <c r="P47" i="7"/>
  <c r="P56" i="7"/>
  <c r="P66" i="7"/>
  <c r="P12" i="7"/>
  <c r="P21" i="7"/>
  <c r="P30" i="7"/>
  <c r="P39" i="7"/>
  <c r="P48" i="7"/>
  <c r="P58" i="7"/>
  <c r="P67" i="7"/>
  <c r="P13" i="7"/>
  <c r="P34" i="7"/>
  <c r="P60" i="7"/>
  <c r="P14" i="7"/>
  <c r="P40" i="7"/>
  <c r="P61" i="7"/>
  <c r="P15" i="7"/>
  <c r="P42" i="7"/>
  <c r="P68" i="7"/>
  <c r="P22" i="7"/>
  <c r="P43" i="7"/>
  <c r="P23" i="7"/>
  <c r="P50" i="7"/>
  <c r="P24" i="7"/>
  <c r="P51" i="7"/>
  <c r="P52" i="7"/>
  <c r="P32" i="7"/>
  <c r="P31" i="7"/>
  <c r="P6" i="7"/>
  <c r="Q6" i="7" s="1"/>
  <c r="P59" i="7"/>
  <c r="S9" i="7"/>
  <c r="S17" i="7"/>
  <c r="S25" i="7"/>
  <c r="S33" i="7"/>
  <c r="S41" i="7"/>
  <c r="S49" i="7"/>
  <c r="S57" i="7"/>
  <c r="S65" i="7"/>
  <c r="S10" i="7"/>
  <c r="S18" i="7"/>
  <c r="S26" i="7"/>
  <c r="S34" i="7"/>
  <c r="S42" i="7"/>
  <c r="S12" i="7"/>
  <c r="S22" i="7"/>
  <c r="T22" i="7" s="1"/>
  <c r="S32" i="7"/>
  <c r="S44" i="7"/>
  <c r="S53" i="7"/>
  <c r="S62" i="7"/>
  <c r="S13" i="7"/>
  <c r="S23" i="7"/>
  <c r="T23" i="7" s="1"/>
  <c r="S35" i="7"/>
  <c r="T35" i="7" s="1"/>
  <c r="S45" i="7"/>
  <c r="S54" i="7"/>
  <c r="S63" i="7"/>
  <c r="S14" i="7"/>
  <c r="S24" i="7"/>
  <c r="S36" i="7"/>
  <c r="T36" i="7" s="1"/>
  <c r="S46" i="7"/>
  <c r="S55" i="7"/>
  <c r="S64" i="7"/>
  <c r="S15" i="7"/>
  <c r="S27" i="7"/>
  <c r="S37" i="7"/>
  <c r="S47" i="7"/>
  <c r="S56" i="7"/>
  <c r="S66" i="7"/>
  <c r="S6" i="7"/>
  <c r="T6" i="7" s="1"/>
  <c r="U6" i="7" s="1"/>
  <c r="S16" i="7"/>
  <c r="S28" i="7"/>
  <c r="S38" i="7"/>
  <c r="S48" i="7"/>
  <c r="S58" i="7"/>
  <c r="S67" i="7"/>
  <c r="S21" i="7"/>
  <c r="T21" i="7" s="1"/>
  <c r="S51" i="7"/>
  <c r="S29" i="7"/>
  <c r="S52" i="7"/>
  <c r="S30" i="7"/>
  <c r="S59" i="7"/>
  <c r="S7" i="7"/>
  <c r="S31" i="7"/>
  <c r="S60" i="7"/>
  <c r="S8" i="7"/>
  <c r="T8" i="7" s="1"/>
  <c r="S39" i="7"/>
  <c r="S61" i="7"/>
  <c r="S11" i="7"/>
  <c r="S40" i="7"/>
  <c r="S68" i="7"/>
  <c r="S19" i="7"/>
  <c r="S43" i="7"/>
  <c r="S50" i="7"/>
  <c r="S20" i="7"/>
  <c r="S12" i="23"/>
  <c r="S20" i="23"/>
  <c r="S28" i="23"/>
  <c r="S36" i="23"/>
  <c r="T36" i="23" s="1"/>
  <c r="U36" i="23" s="1"/>
  <c r="S44" i="23"/>
  <c r="S52" i="23"/>
  <c r="S60" i="23"/>
  <c r="S68" i="23"/>
  <c r="S13" i="23"/>
  <c r="S21" i="23"/>
  <c r="T21" i="23" s="1"/>
  <c r="U21" i="23" s="1"/>
  <c r="S29" i="23"/>
  <c r="S37" i="23"/>
  <c r="S45" i="23"/>
  <c r="S53" i="23"/>
  <c r="S61" i="23"/>
  <c r="S15" i="23"/>
  <c r="S25" i="23"/>
  <c r="S35" i="23"/>
  <c r="T35" i="23" s="1"/>
  <c r="U35" i="23" s="1"/>
  <c r="S47" i="23"/>
  <c r="S57" i="23"/>
  <c r="S67" i="23"/>
  <c r="S6" i="23"/>
  <c r="T6" i="23" s="1"/>
  <c r="U6" i="23" s="1"/>
  <c r="S16" i="23"/>
  <c r="S26" i="23"/>
  <c r="S38" i="23"/>
  <c r="S48" i="23"/>
  <c r="S58" i="23"/>
  <c r="S7" i="23"/>
  <c r="T7" i="23" s="1"/>
  <c r="U7" i="23" s="1"/>
  <c r="S17" i="23"/>
  <c r="S27" i="23"/>
  <c r="S39" i="23"/>
  <c r="S49" i="23"/>
  <c r="S59" i="23"/>
  <c r="S8" i="23"/>
  <c r="T8" i="23" s="1"/>
  <c r="U8" i="23" s="1"/>
  <c r="S18" i="23"/>
  <c r="S30" i="23"/>
  <c r="S40" i="23"/>
  <c r="S50" i="23"/>
  <c r="S62" i="23"/>
  <c r="S22" i="23"/>
  <c r="T22" i="23" s="1"/>
  <c r="U22" i="23" s="1"/>
  <c r="S9" i="23"/>
  <c r="S19" i="23"/>
  <c r="S31" i="23"/>
  <c r="S41" i="23"/>
  <c r="S51" i="23"/>
  <c r="S63" i="23"/>
  <c r="S10" i="23"/>
  <c r="S32" i="23"/>
  <c r="S42" i="23"/>
  <c r="S54" i="23"/>
  <c r="S64" i="23"/>
  <c r="S46" i="23"/>
  <c r="S11" i="23"/>
  <c r="S55" i="23"/>
  <c r="S14" i="23"/>
  <c r="S56" i="23"/>
  <c r="S23" i="23"/>
  <c r="T23" i="23" s="1"/>
  <c r="U23" i="23" s="1"/>
  <c r="S65" i="23"/>
  <c r="S24" i="23"/>
  <c r="S66" i="23"/>
  <c r="S33" i="23"/>
  <c r="S34" i="23"/>
  <c r="T34" i="23" s="1"/>
  <c r="U34" i="23" s="1"/>
  <c r="S43" i="23"/>
  <c r="X24" i="7"/>
  <c r="AL24" i="7"/>
  <c r="AE28" i="23"/>
  <c r="AE9" i="23"/>
  <c r="AG29" i="23"/>
  <c r="AI28" i="23"/>
  <c r="AI29" i="23"/>
  <c r="AG31" i="23"/>
  <c r="AG26" i="23"/>
  <c r="AI27" i="23"/>
  <c r="AE25" i="23"/>
  <c r="AG28" i="23"/>
  <c r="AE27" i="23"/>
  <c r="AG25" i="23"/>
  <c r="AE26" i="23"/>
  <c r="AG30" i="23"/>
  <c r="AE30" i="23"/>
  <c r="AI26" i="23"/>
  <c r="AI30" i="23"/>
  <c r="AE29" i="23"/>
  <c r="AE31" i="23"/>
  <c r="AI25" i="23"/>
  <c r="AI31" i="23"/>
  <c r="AG27" i="23"/>
  <c r="M46" i="7" l="1"/>
  <c r="M11" i="7"/>
  <c r="M35" i="7"/>
  <c r="N35" i="7" s="1"/>
  <c r="M54" i="7"/>
  <c r="M32" i="7"/>
  <c r="M24" i="7"/>
  <c r="M62" i="7"/>
  <c r="M51" i="7"/>
  <c r="M58" i="7"/>
  <c r="M26" i="7"/>
  <c r="M7" i="7"/>
  <c r="N7" i="7" s="1"/>
  <c r="O7" i="7" s="1"/>
  <c r="M42" i="7"/>
  <c r="M23" i="7"/>
  <c r="N23" i="7" s="1"/>
  <c r="O23" i="7" s="1"/>
  <c r="M47" i="7"/>
  <c r="M16" i="7"/>
  <c r="M15" i="7"/>
  <c r="M43" i="7"/>
  <c r="M37" i="7"/>
  <c r="M34" i="7"/>
  <c r="N34" i="7" s="1"/>
  <c r="O34" i="7" s="1"/>
  <c r="M30" i="7"/>
  <c r="M45" i="7"/>
  <c r="M25" i="7"/>
  <c r="M13" i="7"/>
  <c r="M21" i="7"/>
  <c r="N21" i="7" s="1"/>
  <c r="O21" i="7" s="1"/>
  <c r="M36" i="7"/>
  <c r="N36" i="7" s="1"/>
  <c r="M17" i="7"/>
  <c r="M65" i="7"/>
  <c r="M12" i="7"/>
  <c r="M27" i="7"/>
  <c r="M9" i="7"/>
  <c r="M67" i="7"/>
  <c r="M6" i="7"/>
  <c r="N6" i="7" s="1"/>
  <c r="O6" i="7" s="1"/>
  <c r="M22" i="7"/>
  <c r="N22" i="7" s="1"/>
  <c r="O22" i="7" s="1"/>
  <c r="M48" i="7"/>
  <c r="M28" i="7"/>
  <c r="M8" i="7"/>
  <c r="N8" i="7" s="1"/>
  <c r="M60" i="7"/>
  <c r="M55" i="7"/>
  <c r="M40" i="7"/>
  <c r="M53" i="7"/>
  <c r="M61" i="7"/>
  <c r="M38" i="7"/>
  <c r="M19" i="7"/>
  <c r="M68" i="7"/>
  <c r="M50" i="7"/>
  <c r="M63" i="7"/>
  <c r="M14" i="7"/>
  <c r="M31" i="7"/>
  <c r="M49" i="7"/>
  <c r="M29" i="7"/>
  <c r="M10" i="7"/>
  <c r="M56" i="7"/>
  <c r="M41" i="7"/>
  <c r="M64" i="7"/>
  <c r="M66" i="7"/>
  <c r="M52" i="7"/>
  <c r="M39" i="7"/>
  <c r="M20" i="7"/>
  <c r="M57" i="7"/>
  <c r="M44" i="7"/>
  <c r="M11" i="23"/>
  <c r="M46" i="23"/>
  <c r="M41" i="23"/>
  <c r="M31" i="23"/>
  <c r="M19" i="23"/>
  <c r="M58" i="23"/>
  <c r="M48" i="23"/>
  <c r="M38" i="23"/>
  <c r="M26" i="23"/>
  <c r="M15" i="23"/>
  <c r="M9" i="23"/>
  <c r="M24" i="23"/>
  <c r="M30" i="23"/>
  <c r="M45" i="23"/>
  <c r="M53" i="23"/>
  <c r="M55" i="23"/>
  <c r="M49" i="23"/>
  <c r="M13" i="23"/>
  <c r="M64" i="23"/>
  <c r="M68" i="23"/>
  <c r="M34" i="23"/>
  <c r="N34" i="23" s="1"/>
  <c r="O34" i="23" s="1"/>
  <c r="M54" i="23"/>
  <c r="M18" i="23"/>
  <c r="M6" i="23"/>
  <c r="N6" i="23" s="1"/>
  <c r="O6" i="23" s="1"/>
  <c r="M52" i="23"/>
  <c r="M33" i="23"/>
  <c r="M63" i="23"/>
  <c r="M8" i="23"/>
  <c r="N8" i="23" s="1"/>
  <c r="O8" i="23" s="1"/>
  <c r="M35" i="23"/>
  <c r="N35" i="23" s="1"/>
  <c r="O35" i="23" s="1"/>
  <c r="M44" i="23"/>
  <c r="M66" i="23"/>
  <c r="M51" i="23"/>
  <c r="M59" i="23"/>
  <c r="M25" i="23"/>
  <c r="M36" i="23"/>
  <c r="N36" i="23" s="1"/>
  <c r="O36" i="23" s="1"/>
  <c r="M65" i="23"/>
  <c r="M42" i="23"/>
  <c r="M27" i="23"/>
  <c r="M67" i="23"/>
  <c r="M37" i="23"/>
  <c r="M23" i="23"/>
  <c r="N23" i="23" s="1"/>
  <c r="O23" i="23" s="1"/>
  <c r="M32" i="23"/>
  <c r="M50" i="23"/>
  <c r="M17" i="23"/>
  <c r="M57" i="23"/>
  <c r="M29" i="23"/>
  <c r="M20" i="23"/>
  <c r="M28" i="23"/>
  <c r="M56" i="23"/>
  <c r="M10" i="23"/>
  <c r="M40" i="23"/>
  <c r="M7" i="23"/>
  <c r="N7" i="23" s="1"/>
  <c r="O7" i="23" s="1"/>
  <c r="M47" i="23"/>
  <c r="M21" i="23"/>
  <c r="N21" i="23" s="1"/>
  <c r="O21" i="23" s="1"/>
  <c r="M12" i="23"/>
  <c r="M43" i="23"/>
  <c r="M14" i="23"/>
  <c r="M22" i="23"/>
  <c r="N22" i="23" s="1"/>
  <c r="O22" i="23" s="1"/>
  <c r="M62" i="23"/>
  <c r="M39" i="23"/>
  <c r="M16" i="23"/>
  <c r="M61" i="23"/>
  <c r="Q22" i="7"/>
  <c r="R22" i="7" s="1"/>
  <c r="Q21" i="7"/>
  <c r="R21" i="7" s="1"/>
  <c r="T34" i="7"/>
  <c r="U34" i="7" s="1"/>
  <c r="T7" i="7"/>
  <c r="U7" i="7" s="1"/>
  <c r="Q23" i="7"/>
  <c r="R23" i="7" s="1"/>
  <c r="Q34" i="7"/>
  <c r="R34" i="7" s="1"/>
  <c r="R6" i="7"/>
  <c r="AH27" i="23"/>
  <c r="AH30" i="23"/>
  <c r="AF25" i="23"/>
  <c r="AH29" i="23"/>
  <c r="AJ31" i="23"/>
  <c r="AJ27" i="23"/>
  <c r="AF9" i="23"/>
  <c r="AF28" i="23"/>
  <c r="AJ25" i="23"/>
  <c r="AF29" i="23"/>
  <c r="AJ26" i="23"/>
  <c r="AF30" i="23"/>
  <c r="AH25" i="23"/>
  <c r="AH26" i="23"/>
  <c r="AJ29" i="23"/>
  <c r="AF31" i="23"/>
  <c r="AH28" i="23"/>
  <c r="AF26" i="23"/>
  <c r="AH31" i="23"/>
  <c r="AJ28" i="23"/>
  <c r="AF27" i="23"/>
  <c r="AJ30" i="23"/>
  <c r="B24" i="14"/>
  <c r="D22" i="2"/>
  <c r="F48" i="14"/>
  <c r="F16" i="17"/>
  <c r="F44" i="18"/>
  <c r="G44" i="18" s="1"/>
  <c r="F49" i="14"/>
  <c r="F65" i="18"/>
  <c r="G65" i="18" s="1"/>
  <c r="H65" i="18" s="1"/>
  <c r="F13" i="18"/>
  <c r="G13" i="18" s="1"/>
  <c r="F57" i="14"/>
  <c r="F55" i="17"/>
  <c r="F67" i="18"/>
  <c r="F68" i="14"/>
  <c r="G68" i="14" s="1"/>
  <c r="H68" i="14" s="1"/>
  <c r="F15" i="14"/>
  <c r="G15" i="14" s="1"/>
  <c r="D68" i="24"/>
  <c r="E68" i="24" s="1"/>
  <c r="F39" i="18"/>
  <c r="G39" i="18" s="1"/>
  <c r="H39" i="18" s="1"/>
  <c r="F19" i="21"/>
  <c r="G19" i="21" s="1"/>
  <c r="F65" i="14"/>
  <c r="F54" i="18"/>
  <c r="G54" i="18" s="1"/>
  <c r="F68" i="17"/>
  <c r="F63" i="18"/>
  <c r="G63" i="18" s="1"/>
  <c r="H63" i="18" s="1"/>
  <c r="F61" i="21"/>
  <c r="F57" i="21"/>
  <c r="F67" i="17"/>
  <c r="F49" i="21"/>
  <c r="G16" i="17"/>
  <c r="D49" i="24"/>
  <c r="E49" i="24" s="1"/>
  <c r="F14" i="14"/>
  <c r="G14" i="14" s="1"/>
  <c r="F17" i="17"/>
  <c r="G17" i="17" s="1"/>
  <c r="F54" i="17"/>
  <c r="G54" i="17" s="1"/>
  <c r="F65" i="17"/>
  <c r="D47" i="24"/>
  <c r="E47" i="24" s="1"/>
  <c r="F43" i="18"/>
  <c r="F48" i="17"/>
  <c r="G48" i="17" s="1"/>
  <c r="H48" i="17" s="1"/>
  <c r="D61" i="24"/>
  <c r="E61" i="24" s="1"/>
  <c r="F50" i="18"/>
  <c r="G50" i="18" s="1"/>
  <c r="F10" i="17"/>
  <c r="G10" i="17" s="1"/>
  <c r="F19" i="17"/>
  <c r="D44" i="24"/>
  <c r="E44" i="24" s="1"/>
  <c r="F12" i="21"/>
  <c r="G12" i="21" s="1"/>
  <c r="B24" i="17"/>
  <c r="F19" i="14"/>
  <c r="D55" i="24"/>
  <c r="E55" i="24" s="1"/>
  <c r="F52" i="17"/>
  <c r="F67" i="14"/>
  <c r="G67" i="14" s="1"/>
  <c r="H67" i="14" s="1"/>
  <c r="F16" i="21"/>
  <c r="G16" i="21" s="1"/>
  <c r="G19" i="14"/>
  <c r="G19" i="17"/>
  <c r="F66" i="18"/>
  <c r="F61" i="18"/>
  <c r="D45" i="24"/>
  <c r="E45" i="24" s="1"/>
  <c r="F18" i="21"/>
  <c r="G18" i="21" s="1"/>
  <c r="F44" i="17"/>
  <c r="G44" i="17" s="1"/>
  <c r="F67" i="21"/>
  <c r="G67" i="21" s="1"/>
  <c r="F15" i="17"/>
  <c r="G15" i="17" s="1"/>
  <c r="F47" i="21"/>
  <c r="G47" i="21" s="1"/>
  <c r="H47" i="21" s="1"/>
  <c r="F12" i="18"/>
  <c r="G12" i="18" s="1"/>
  <c r="F16" i="14"/>
  <c r="G16" i="14" s="1"/>
  <c r="D64" i="24"/>
  <c r="E64" i="24" s="1"/>
  <c r="F20" i="17"/>
  <c r="G20" i="17" s="1"/>
  <c r="F38" i="21"/>
  <c r="F52" i="21"/>
  <c r="G52" i="21" s="1"/>
  <c r="H52" i="21" s="1"/>
  <c r="F18" i="14"/>
  <c r="G18" i="14" s="1"/>
  <c r="F55" i="21"/>
  <c r="F55" i="18"/>
  <c r="G55" i="18" s="1"/>
  <c r="H55" i="18" s="1"/>
  <c r="F40" i="14"/>
  <c r="G40" i="14" s="1"/>
  <c r="H40" i="14" s="1"/>
  <c r="F40" i="18"/>
  <c r="F39" i="21"/>
  <c r="G39" i="21" s="1"/>
  <c r="H39" i="21" s="1"/>
  <c r="F48" i="18"/>
  <c r="D65" i="24"/>
  <c r="E65" i="24" s="1"/>
  <c r="F41" i="14"/>
  <c r="D37" i="24"/>
  <c r="E37" i="24" s="1"/>
  <c r="F68" i="18"/>
  <c r="D48" i="24"/>
  <c r="E48" i="24" s="1"/>
  <c r="D56" i="24"/>
  <c r="E56" i="24" s="1"/>
  <c r="F56" i="18"/>
  <c r="F13" i="14"/>
  <c r="G13" i="14" s="1"/>
  <c r="D67" i="24"/>
  <c r="E67" i="24" s="1"/>
  <c r="F46" i="18"/>
  <c r="F41" i="21"/>
  <c r="F62" i="18"/>
  <c r="F53" i="18"/>
  <c r="G53" i="18" s="1"/>
  <c r="D57" i="24"/>
  <c r="E57" i="24" s="1"/>
  <c r="F51" i="14"/>
  <c r="F38" i="14"/>
  <c r="F63" i="14"/>
  <c r="G63" i="14" s="1"/>
  <c r="H63" i="14" s="1"/>
  <c r="F51" i="17"/>
  <c r="F64" i="21"/>
  <c r="G64" i="21" s="1"/>
  <c r="H64" i="21" s="1"/>
  <c r="F53" i="21"/>
  <c r="G53" i="21" s="1"/>
  <c r="H53" i="21" s="1"/>
  <c r="F39" i="14"/>
  <c r="G39" i="14" s="1"/>
  <c r="H39" i="14" s="1"/>
  <c r="F10" i="14"/>
  <c r="G10" i="14" s="1"/>
  <c r="F62" i="17"/>
  <c r="G62" i="17" s="1"/>
  <c r="H62" i="17" s="1"/>
  <c r="F50" i="14"/>
  <c r="G50" i="14" s="1"/>
  <c r="H50" i="14" s="1"/>
  <c r="F58" i="18"/>
  <c r="F44" i="14"/>
  <c r="F60" i="17"/>
  <c r="G60" i="17" s="1"/>
  <c r="H60" i="17" s="1"/>
  <c r="D50" i="24"/>
  <c r="E50" i="24" s="1"/>
  <c r="F47" i="17"/>
  <c r="G47" i="17" s="1"/>
  <c r="H47" i="17" s="1"/>
  <c r="F17" i="14"/>
  <c r="G17" i="14" s="1"/>
  <c r="F58" i="14"/>
  <c r="F54" i="14"/>
  <c r="D62" i="24"/>
  <c r="E62" i="24" s="1"/>
  <c r="F56" i="21"/>
  <c r="F20" i="21"/>
  <c r="G20" i="21" s="1"/>
  <c r="F53" i="14"/>
  <c r="G53" i="14" s="1"/>
  <c r="F42" i="14"/>
  <c r="D40" i="24"/>
  <c r="E40" i="24" s="1"/>
  <c r="F45" i="14"/>
  <c r="F11" i="14"/>
  <c r="G11" i="14" s="1"/>
  <c r="H11" i="14" s="1"/>
  <c r="D51" i="24"/>
  <c r="E51" i="24" s="1"/>
  <c r="F11" i="18"/>
  <c r="G11" i="18" s="1"/>
  <c r="D33" i="24"/>
  <c r="E33" i="24" s="1"/>
  <c r="F9" i="21"/>
  <c r="G9" i="21" s="1"/>
  <c r="D42" i="24"/>
  <c r="E42" i="24" s="1"/>
  <c r="F46" i="14"/>
  <c r="G46" i="14" s="1"/>
  <c r="H46" i="14" s="1"/>
  <c r="F46" i="21"/>
  <c r="F18" i="17"/>
  <c r="G18" i="17" s="1"/>
  <c r="F60" i="21"/>
  <c r="F59" i="17"/>
  <c r="F56" i="14"/>
  <c r="F40" i="17"/>
  <c r="F52" i="18"/>
  <c r="G52" i="18" s="1"/>
  <c r="F58" i="17"/>
  <c r="F42" i="21"/>
  <c r="F33" i="17"/>
  <c r="G33" i="17" s="1"/>
  <c r="H33" i="17" s="1"/>
  <c r="F55" i="14"/>
  <c r="F33" i="21"/>
  <c r="G33" i="21" s="1"/>
  <c r="H33" i="21" s="1"/>
  <c r="F66" i="17"/>
  <c r="G66" i="17" s="1"/>
  <c r="H66" i="17" s="1"/>
  <c r="F15" i="18"/>
  <c r="G15" i="18" s="1"/>
  <c r="F40" i="21"/>
  <c r="F38" i="18"/>
  <c r="G38" i="18" s="1"/>
  <c r="H38" i="18" s="1"/>
  <c r="D38" i="24"/>
  <c r="E38" i="24" s="1"/>
  <c r="D46" i="24"/>
  <c r="E46" i="24" s="1"/>
  <c r="D59" i="24"/>
  <c r="E59" i="24" s="1"/>
  <c r="F51" i="21"/>
  <c r="G51" i="21" s="1"/>
  <c r="F14" i="18"/>
  <c r="G14" i="18" s="1"/>
  <c r="F64" i="17"/>
  <c r="F57" i="17"/>
  <c r="G57" i="17" s="1"/>
  <c r="H57" i="17" s="1"/>
  <c r="F49" i="17"/>
  <c r="G49" i="17" s="1"/>
  <c r="H49" i="17" s="1"/>
  <c r="F17" i="21"/>
  <c r="G17" i="21" s="1"/>
  <c r="D54" i="24"/>
  <c r="E54" i="24" s="1"/>
  <c r="F51" i="18"/>
  <c r="G51" i="18" s="1"/>
  <c r="H51" i="18" s="1"/>
  <c r="F53" i="17"/>
  <c r="F65" i="21"/>
  <c r="F59" i="18"/>
  <c r="G59" i="18" s="1"/>
  <c r="H59" i="18" s="1"/>
  <c r="D53" i="24"/>
  <c r="E53" i="24" s="1"/>
  <c r="F12" i="17"/>
  <c r="G12" i="17" s="1"/>
  <c r="F37" i="21"/>
  <c r="F47" i="18"/>
  <c r="G47" i="18" s="1"/>
  <c r="H47" i="18" s="1"/>
  <c r="F42" i="17"/>
  <c r="G42" i="17" s="1"/>
  <c r="H42" i="17" s="1"/>
  <c r="D39" i="24"/>
  <c r="E39" i="24" s="1"/>
  <c r="F62" i="21"/>
  <c r="G62" i="21" s="1"/>
  <c r="H62" i="21" s="1"/>
  <c r="F54" i="21"/>
  <c r="F9" i="17"/>
  <c r="G9" i="17" s="1"/>
  <c r="D41" i="24"/>
  <c r="E41" i="24" s="1"/>
  <c r="F46" i="17"/>
  <c r="F9" i="14"/>
  <c r="G9" i="14" s="1"/>
  <c r="F64" i="18"/>
  <c r="G64" i="18" s="1"/>
  <c r="H64" i="18" s="1"/>
  <c r="F15" i="21"/>
  <c r="G15" i="21" s="1"/>
  <c r="F41" i="18"/>
  <c r="F64" i="14"/>
  <c r="G64" i="14" s="1"/>
  <c r="H64" i="14" s="1"/>
  <c r="F20" i="14"/>
  <c r="G20" i="14" s="1"/>
  <c r="F33" i="18"/>
  <c r="F50" i="21"/>
  <c r="F37" i="18"/>
  <c r="D60" i="24"/>
  <c r="E60" i="24" s="1"/>
  <c r="F43" i="21"/>
  <c r="F66" i="21"/>
  <c r="G66" i="21" s="1"/>
  <c r="H66" i="21" s="1"/>
  <c r="F61" i="14"/>
  <c r="G61" i="14" s="1"/>
  <c r="H61" i="14" s="1"/>
  <c r="F12" i="14"/>
  <c r="G12" i="14" s="1"/>
  <c r="F14" i="17"/>
  <c r="G14" i="17" s="1"/>
  <c r="F10" i="18"/>
  <c r="G10" i="18" s="1"/>
  <c r="F37" i="17"/>
  <c r="F59" i="14"/>
  <c r="F57" i="18"/>
  <c r="G57" i="18" s="1"/>
  <c r="H57" i="18" s="1"/>
  <c r="F18" i="18"/>
  <c r="G18" i="18" s="1"/>
  <c r="F33" i="14"/>
  <c r="F9" i="18"/>
  <c r="G9" i="18" s="1"/>
  <c r="F11" i="21"/>
  <c r="G11" i="21" s="1"/>
  <c r="F20" i="18"/>
  <c r="G20" i="18" s="1"/>
  <c r="F42" i="18"/>
  <c r="F60" i="14"/>
  <c r="F41" i="17"/>
  <c r="F68" i="21"/>
  <c r="D58" i="24"/>
  <c r="E58" i="24" s="1"/>
  <c r="F63" i="17"/>
  <c r="G63" i="17" s="1"/>
  <c r="H63" i="17" s="1"/>
  <c r="F19" i="18"/>
  <c r="G19" i="18" s="1"/>
  <c r="F52" i="14"/>
  <c r="G52" i="14" s="1"/>
  <c r="H52" i="14" s="1"/>
  <c r="F11" i="17"/>
  <c r="G11" i="17" s="1"/>
  <c r="F13" i="21"/>
  <c r="G13" i="21" s="1"/>
  <c r="F49" i="18"/>
  <c r="F45" i="17"/>
  <c r="F60" i="18"/>
  <c r="F47" i="14"/>
  <c r="D66" i="24"/>
  <c r="E66" i="24" s="1"/>
  <c r="F44" i="21"/>
  <c r="F16" i="18"/>
  <c r="G16" i="18" s="1"/>
  <c r="D43" i="24"/>
  <c r="E43" i="24" s="1"/>
  <c r="F43" i="17"/>
  <c r="F61" i="17"/>
  <c r="G61" i="17" s="1"/>
  <c r="H61" i="17" s="1"/>
  <c r="F14" i="21"/>
  <c r="G14" i="21" s="1"/>
  <c r="F59" i="21"/>
  <c r="G59" i="21" s="1"/>
  <c r="H59" i="21" s="1"/>
  <c r="F48" i="21"/>
  <c r="G48" i="21" s="1"/>
  <c r="H48" i="21" s="1"/>
  <c r="F43" i="14"/>
  <c r="D52" i="24"/>
  <c r="E52" i="24" s="1"/>
  <c r="F63" i="21"/>
  <c r="F45" i="21"/>
  <c r="F17" i="18"/>
  <c r="G17" i="18" s="1"/>
  <c r="F38" i="17"/>
  <c r="F39" i="17"/>
  <c r="G39" i="17" s="1"/>
  <c r="F62" i="14"/>
  <c r="F56" i="17"/>
  <c r="G56" i="17" s="1"/>
  <c r="H56" i="17" s="1"/>
  <c r="F10" i="21"/>
  <c r="G10" i="21" s="1"/>
  <c r="F13" i="17"/>
  <c r="G13" i="17" s="1"/>
  <c r="D63" i="24"/>
  <c r="E63" i="24" s="1"/>
  <c r="F37" i="14"/>
  <c r="F66" i="14"/>
  <c r="F45" i="18"/>
  <c r="F58" i="21"/>
  <c r="G58" i="21" s="1"/>
  <c r="H58" i="21" s="1"/>
  <c r="F50" i="17"/>
  <c r="G50" i="17" s="1"/>
  <c r="H50" i="17" s="1"/>
  <c r="D29" i="7" l="1"/>
  <c r="E30" i="7"/>
  <c r="C11" i="7"/>
  <c r="E24" i="7"/>
  <c r="D25" i="7"/>
  <c r="E16" i="7"/>
  <c r="F30" i="7"/>
  <c r="F19" i="7"/>
  <c r="F29" i="7"/>
  <c r="E25" i="7"/>
  <c r="E14" i="7"/>
  <c r="F27" i="7"/>
  <c r="E17" i="7"/>
  <c r="F14" i="7"/>
  <c r="F25" i="7"/>
  <c r="F20" i="7"/>
  <c r="E26" i="7"/>
  <c r="F17" i="7"/>
  <c r="D12" i="7"/>
  <c r="F13" i="7"/>
  <c r="D28" i="7"/>
  <c r="F11" i="7"/>
  <c r="C10" i="7"/>
  <c r="D27" i="7"/>
  <c r="F10" i="7"/>
  <c r="D26" i="7"/>
  <c r="D9" i="7"/>
  <c r="E32" i="7"/>
  <c r="E9" i="7"/>
  <c r="E29" i="7"/>
  <c r="E13" i="7"/>
  <c r="F15" i="7"/>
  <c r="F24" i="7"/>
  <c r="E28" i="7"/>
  <c r="E15" i="7"/>
  <c r="E27" i="7"/>
  <c r="F32" i="7"/>
  <c r="F9" i="7"/>
  <c r="D13" i="7"/>
  <c r="D14" i="7"/>
  <c r="C9" i="7"/>
  <c r="F16" i="7"/>
  <c r="D11" i="7"/>
  <c r="E11" i="7"/>
  <c r="F12" i="7"/>
  <c r="E12" i="7"/>
  <c r="F26" i="7"/>
  <c r="F18" i="7"/>
  <c r="D24" i="7"/>
  <c r="D10" i="7"/>
  <c r="F28" i="7"/>
  <c r="E31" i="7"/>
  <c r="E10" i="7"/>
  <c r="D30" i="7"/>
  <c r="F31" i="7"/>
  <c r="H39" i="17"/>
  <c r="G37" i="17"/>
  <c r="H37" i="17" s="1"/>
  <c r="G58" i="14"/>
  <c r="H58" i="14" s="1"/>
  <c r="H44" i="17"/>
  <c r="G55" i="17"/>
  <c r="H55" i="17" s="1"/>
  <c r="G48" i="14"/>
  <c r="F65" i="24"/>
  <c r="G66" i="14"/>
  <c r="H12" i="21"/>
  <c r="G54" i="14"/>
  <c r="H15" i="18"/>
  <c r="G53" i="17"/>
  <c r="G37" i="21"/>
  <c r="G62" i="18"/>
  <c r="G68" i="21"/>
  <c r="H15" i="17"/>
  <c r="H12" i="17"/>
  <c r="H17" i="14"/>
  <c r="H11" i="21"/>
  <c r="H19" i="21"/>
  <c r="G57" i="21"/>
  <c r="G45" i="21"/>
  <c r="H45" i="21" s="1"/>
  <c r="G43" i="21"/>
  <c r="H43" i="21" s="1"/>
  <c r="G38" i="14"/>
  <c r="H38" i="14" s="1"/>
  <c r="G66" i="18"/>
  <c r="H66" i="18" s="1"/>
  <c r="G49" i="14"/>
  <c r="H49" i="14" s="1"/>
  <c r="H54" i="18"/>
  <c r="F41" i="24"/>
  <c r="H19" i="17"/>
  <c r="G37" i="14"/>
  <c r="H16" i="18"/>
  <c r="F42" i="24"/>
  <c r="H13" i="17"/>
  <c r="G55" i="21"/>
  <c r="G33" i="18"/>
  <c r="F60" i="24"/>
  <c r="H11" i="18"/>
  <c r="H52" i="18"/>
  <c r="H17" i="17"/>
  <c r="H10" i="17"/>
  <c r="F45" i="24"/>
  <c r="G44" i="21"/>
  <c r="H44" i="21" s="1"/>
  <c r="H51" i="21"/>
  <c r="H19" i="14"/>
  <c r="H14" i="21"/>
  <c r="H9" i="14"/>
  <c r="G58" i="18"/>
  <c r="H16" i="14"/>
  <c r="H19" i="18"/>
  <c r="H13" i="21"/>
  <c r="H50" i="18"/>
  <c r="G54" i="21"/>
  <c r="G47" i="14"/>
  <c r="H47" i="14" s="1"/>
  <c r="G41" i="21"/>
  <c r="H41" i="21" s="1"/>
  <c r="H14" i="18"/>
  <c r="F33" i="24"/>
  <c r="H18" i="17"/>
  <c r="H14" i="17"/>
  <c r="H17" i="18"/>
  <c r="G49" i="21"/>
  <c r="G56" i="18"/>
  <c r="G62" i="14"/>
  <c r="G38" i="17"/>
  <c r="F46" i="24"/>
  <c r="H53" i="18"/>
  <c r="G46" i="21"/>
  <c r="H10" i="14"/>
  <c r="F53" i="24"/>
  <c r="F68" i="24"/>
  <c r="F61" i="24"/>
  <c r="F57" i="24"/>
  <c r="G41" i="18"/>
  <c r="F54" i="24"/>
  <c r="F44" i="24"/>
  <c r="G55" i="14"/>
  <c r="H55" i="14" s="1"/>
  <c r="G43" i="18"/>
  <c r="H43" i="18" s="1"/>
  <c r="G56" i="14"/>
  <c r="G50" i="21"/>
  <c r="H11" i="17"/>
  <c r="F50" i="24"/>
  <c r="H13" i="14"/>
  <c r="F52" i="24"/>
  <c r="G45" i="14"/>
  <c r="G45" i="17"/>
  <c r="G61" i="18"/>
  <c r="G60" i="18"/>
  <c r="H60" i="18" s="1"/>
  <c r="H15" i="14"/>
  <c r="F62" i="24"/>
  <c r="H13" i="18"/>
  <c r="F43" i="24"/>
  <c r="G42" i="21"/>
  <c r="G56" i="21"/>
  <c r="G51" i="17"/>
  <c r="G43" i="14"/>
  <c r="F58" i="24"/>
  <c r="H18" i="21"/>
  <c r="G44" i="14"/>
  <c r="G65" i="21"/>
  <c r="F55" i="24"/>
  <c r="H20" i="17"/>
  <c r="H67" i="21"/>
  <c r="H20" i="14"/>
  <c r="H20" i="18"/>
  <c r="H14" i="14"/>
  <c r="F64" i="24"/>
  <c r="G58" i="17"/>
  <c r="H58" i="17" s="1"/>
  <c r="G46" i="18"/>
  <c r="H46" i="18" s="1"/>
  <c r="G67" i="17"/>
  <c r="H67" i="17" s="1"/>
  <c r="G48" i="18"/>
  <c r="G40" i="17"/>
  <c r="F66" i="24"/>
  <c r="H54" i="17"/>
  <c r="F49" i="24"/>
  <c r="H44" i="18"/>
  <c r="H20" i="21"/>
  <c r="F47" i="24"/>
  <c r="G57" i="14"/>
  <c r="G67" i="18"/>
  <c r="F63" i="24"/>
  <c r="F38" i="24"/>
  <c r="G42" i="18"/>
  <c r="G45" i="18"/>
  <c r="G64" i="17"/>
  <c r="F67" i="24"/>
  <c r="F59" i="24"/>
  <c r="F48" i="24"/>
  <c r="H53" i="14"/>
  <c r="H16" i="21"/>
  <c r="G40" i="18"/>
  <c r="G40" i="21"/>
  <c r="H15" i="21"/>
  <c r="G41" i="17"/>
  <c r="H41" i="17" s="1"/>
  <c r="G59" i="17"/>
  <c r="H59" i="17" s="1"/>
  <c r="G41" i="14"/>
  <c r="H41" i="14" s="1"/>
  <c r="G61" i="21"/>
  <c r="H61" i="21" s="1"/>
  <c r="G46" i="17"/>
  <c r="H16" i="17"/>
  <c r="G43" i="17"/>
  <c r="H18" i="18"/>
  <c r="G49" i="18"/>
  <c r="F39" i="24"/>
  <c r="G42" i="14"/>
  <c r="H10" i="18"/>
  <c r="F40" i="24"/>
  <c r="F56" i="24"/>
  <c r="G51" i="14"/>
  <c r="G68" i="17"/>
  <c r="F51" i="24"/>
  <c r="F37" i="24"/>
  <c r="G59" i="14"/>
  <c r="H59" i="14" s="1"/>
  <c r="G68" i="18"/>
  <c r="G60" i="14"/>
  <c r="G63" i="21"/>
  <c r="H12" i="14"/>
  <c r="G33" i="14"/>
  <c r="H33" i="14" s="1"/>
  <c r="G60" i="21"/>
  <c r="H60" i="21" s="1"/>
  <c r="H18" i="14"/>
  <c r="G65" i="14"/>
  <c r="H65" i="14" s="1"/>
  <c r="H9" i="21"/>
  <c r="G52" i="17"/>
  <c r="H9" i="17"/>
  <c r="H10" i="21"/>
  <c r="G38" i="21"/>
  <c r="H38" i="21" s="1"/>
  <c r="H17" i="21"/>
  <c r="G65" i="17"/>
  <c r="G37" i="18"/>
  <c r="H12" i="18"/>
  <c r="H9" i="18"/>
  <c r="W6" i="7" l="1"/>
  <c r="AI21" i="7"/>
  <c r="AK7" i="7"/>
  <c r="AE8" i="7"/>
  <c r="AI23" i="7"/>
  <c r="AK6" i="7"/>
  <c r="AI8" i="7"/>
  <c r="AI22" i="7"/>
  <c r="AK8" i="7"/>
  <c r="H37" i="18"/>
  <c r="H42" i="14"/>
  <c r="H42" i="18"/>
  <c r="H51" i="17"/>
  <c r="H41" i="18"/>
  <c r="H33" i="18"/>
  <c r="H54" i="14"/>
  <c r="H65" i="17"/>
  <c r="H49" i="18"/>
  <c r="H67" i="18"/>
  <c r="H56" i="21"/>
  <c r="H46" i="21"/>
  <c r="H55" i="21"/>
  <c r="H66" i="14"/>
  <c r="H52" i="17"/>
  <c r="H43" i="17"/>
  <c r="H57" i="14"/>
  <c r="H42" i="21"/>
  <c r="H38" i="17"/>
  <c r="H37" i="14"/>
  <c r="H48" i="14"/>
  <c r="H63" i="21"/>
  <c r="H40" i="17"/>
  <c r="H61" i="18"/>
  <c r="H62" i="14"/>
  <c r="H57" i="21"/>
  <c r="H60" i="14"/>
  <c r="H40" i="21"/>
  <c r="H48" i="18"/>
  <c r="H56" i="18"/>
  <c r="H40" i="18"/>
  <c r="H45" i="14"/>
  <c r="H62" i="18"/>
  <c r="H64" i="17"/>
  <c r="H50" i="21"/>
  <c r="H54" i="21"/>
  <c r="H45" i="18"/>
  <c r="H58" i="18"/>
  <c r="H53" i="17"/>
  <c r="H46" i="17"/>
  <c r="H45" i="17"/>
  <c r="H68" i="21"/>
  <c r="H68" i="18"/>
  <c r="H65" i="21"/>
  <c r="H49" i="21"/>
  <c r="H68" i="17"/>
  <c r="H44" i="14"/>
  <c r="H37" i="21"/>
  <c r="H51" i="14"/>
  <c r="H43" i="14"/>
  <c r="H56" i="14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O36" i="7" l="1"/>
  <c r="O35" i="7"/>
  <c r="R36" i="7"/>
  <c r="R35" i="7"/>
  <c r="U36" i="7"/>
  <c r="U35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G32" i="14"/>
  <c r="G30" i="14"/>
  <c r="G28" i="14"/>
  <c r="G29" i="14"/>
  <c r="G25" i="14"/>
  <c r="G26" i="14"/>
  <c r="G31" i="14"/>
  <c r="G27" i="14"/>
  <c r="J26" i="14" l="1"/>
  <c r="J32" i="14"/>
  <c r="J31" i="14"/>
  <c r="J25" i="14"/>
  <c r="J28" i="14"/>
  <c r="J29" i="14"/>
  <c r="J30" i="14"/>
  <c r="J27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29" i="14"/>
  <c r="F30" i="14"/>
  <c r="H29" i="14"/>
  <c r="H26" i="14"/>
  <c r="F26" i="14"/>
  <c r="H25" i="14"/>
  <c r="F28" i="14"/>
  <c r="H28" i="14"/>
  <c r="F32" i="14"/>
  <c r="F25" i="14"/>
  <c r="H32" i="14"/>
  <c r="H27" i="14"/>
  <c r="H30" i="14"/>
  <c r="F31" i="14"/>
  <c r="H31" i="14"/>
  <c r="F27" i="14"/>
  <c r="J6" i="7" l="1" a="1"/>
  <c r="J6" i="23" a="1"/>
  <c r="AJ24" i="23"/>
  <c r="AH24" i="23"/>
  <c r="J11" i="23" l="1"/>
  <c r="J19" i="23"/>
  <c r="J27" i="23"/>
  <c r="J35" i="23"/>
  <c r="K35" i="23" s="1"/>
  <c r="L35" i="23" s="1"/>
  <c r="J43" i="23"/>
  <c r="J51" i="23"/>
  <c r="J59" i="23"/>
  <c r="J67" i="23"/>
  <c r="J12" i="23"/>
  <c r="J20" i="23"/>
  <c r="J28" i="23"/>
  <c r="J36" i="23"/>
  <c r="K36" i="23" s="1"/>
  <c r="L36" i="23" s="1"/>
  <c r="J44" i="23"/>
  <c r="J52" i="23"/>
  <c r="J60" i="23"/>
  <c r="J68" i="23"/>
  <c r="J14" i="23"/>
  <c r="J24" i="23"/>
  <c r="J34" i="23"/>
  <c r="K34" i="23" s="1"/>
  <c r="L34" i="23" s="1"/>
  <c r="J46" i="23"/>
  <c r="J56" i="23"/>
  <c r="J66" i="23"/>
  <c r="J15" i="23"/>
  <c r="J25" i="23"/>
  <c r="J37" i="23"/>
  <c r="J47" i="23"/>
  <c r="J57" i="23"/>
  <c r="J6" i="23"/>
  <c r="K6" i="23" s="1"/>
  <c r="L6" i="23" s="1"/>
  <c r="J16" i="23"/>
  <c r="J26" i="23"/>
  <c r="J38" i="23"/>
  <c r="J48" i="23"/>
  <c r="J58" i="23"/>
  <c r="J7" i="23"/>
  <c r="K7" i="23" s="1"/>
  <c r="L7" i="23" s="1"/>
  <c r="J17" i="23"/>
  <c r="J29" i="23"/>
  <c r="J39" i="23"/>
  <c r="J49" i="23"/>
  <c r="J61" i="23"/>
  <c r="J8" i="23"/>
  <c r="K8" i="23" s="1"/>
  <c r="L8" i="23" s="1"/>
  <c r="J18" i="23"/>
  <c r="J30" i="23"/>
  <c r="J40" i="23"/>
  <c r="J50" i="23"/>
  <c r="J62" i="23"/>
  <c r="J9" i="23"/>
  <c r="J21" i="23"/>
  <c r="K21" i="23" s="1"/>
  <c r="L21" i="23" s="1"/>
  <c r="J31" i="23"/>
  <c r="J41" i="23"/>
  <c r="J63" i="23"/>
  <c r="J23" i="23"/>
  <c r="K23" i="23" s="1"/>
  <c r="L23" i="23" s="1"/>
  <c r="J64" i="23"/>
  <c r="J32" i="23"/>
  <c r="J65" i="23"/>
  <c r="J33" i="23"/>
  <c r="J42" i="23"/>
  <c r="J45" i="23"/>
  <c r="J10" i="23"/>
  <c r="J53" i="23"/>
  <c r="J13" i="23"/>
  <c r="J54" i="23"/>
  <c r="J55" i="23"/>
  <c r="J22" i="23"/>
  <c r="K22" i="23" s="1"/>
  <c r="L22" i="23" s="1"/>
  <c r="J67" i="7"/>
  <c r="J56" i="7"/>
  <c r="J47" i="7"/>
  <c r="J23" i="7"/>
  <c r="J40" i="7"/>
  <c r="J10" i="7"/>
  <c r="J27" i="7"/>
  <c r="J44" i="7"/>
  <c r="J45" i="7"/>
  <c r="J57" i="7"/>
  <c r="J39" i="7"/>
  <c r="J9" i="7"/>
  <c r="J26" i="7"/>
  <c r="J13" i="7"/>
  <c r="J30" i="7"/>
  <c r="J61" i="7"/>
  <c r="J49" i="7"/>
  <c r="J17" i="7"/>
  <c r="J34" i="7"/>
  <c r="J53" i="7"/>
  <c r="J22" i="7"/>
  <c r="J48" i="7"/>
  <c r="J54" i="7"/>
  <c r="J8" i="7"/>
  <c r="K8" i="7" s="1"/>
  <c r="J25" i="7"/>
  <c r="J12" i="7"/>
  <c r="J38" i="7"/>
  <c r="J65" i="7"/>
  <c r="J20" i="7"/>
  <c r="J68" i="7"/>
  <c r="J24" i="7"/>
  <c r="J15" i="7"/>
  <c r="J19" i="7"/>
  <c r="J37" i="7"/>
  <c r="J60" i="7"/>
  <c r="J66" i="7"/>
  <c r="J31" i="7"/>
  <c r="J50" i="7"/>
  <c r="J18" i="7"/>
  <c r="J35" i="7"/>
  <c r="J6" i="7"/>
  <c r="K6" i="7" s="1"/>
  <c r="L6" i="7" s="1"/>
  <c r="J14" i="7"/>
  <c r="J55" i="7"/>
  <c r="J43" i="7"/>
  <c r="J59" i="7"/>
  <c r="J63" i="7"/>
  <c r="J42" i="7"/>
  <c r="J64" i="7"/>
  <c r="J46" i="7"/>
  <c r="J33" i="7"/>
  <c r="J52" i="7"/>
  <c r="J21" i="7"/>
  <c r="J62" i="7"/>
  <c r="J7" i="7"/>
  <c r="J41" i="7"/>
  <c r="J11" i="7"/>
  <c r="J29" i="7"/>
  <c r="J58" i="7"/>
  <c r="J51" i="7"/>
  <c r="J36" i="7"/>
  <c r="K36" i="7" s="1"/>
  <c r="J16" i="7"/>
  <c r="J28" i="7"/>
  <c r="J32" i="7"/>
  <c r="AC36" i="7"/>
  <c r="AC8" i="7"/>
  <c r="K7" i="7" l="1"/>
  <c r="L7" i="7" s="1"/>
  <c r="K21" i="7"/>
  <c r="L21" i="7" s="1"/>
  <c r="K22" i="7"/>
  <c r="L22" i="7" s="1"/>
  <c r="K23" i="7"/>
  <c r="L23" i="7" s="1"/>
  <c r="K35" i="7"/>
  <c r="L35" i="7" s="1"/>
  <c r="K34" i="7"/>
  <c r="L34" i="7" s="1"/>
  <c r="L8" i="7"/>
  <c r="L36" i="7"/>
  <c r="AD8" i="7"/>
  <c r="AD36" i="7"/>
  <c r="AC19" i="23"/>
  <c r="AC15" i="23"/>
  <c r="AC27" i="23"/>
  <c r="AC30" i="23"/>
  <c r="AC11" i="23"/>
  <c r="AC29" i="23"/>
  <c r="AC20" i="23"/>
  <c r="AC16" i="23"/>
  <c r="AC12" i="23"/>
  <c r="AC18" i="23"/>
  <c r="AC9" i="23"/>
  <c r="AC31" i="23"/>
  <c r="AC14" i="23"/>
  <c r="AC28" i="23"/>
  <c r="AC10" i="23"/>
  <c r="AC17" i="23"/>
  <c r="AC25" i="23"/>
  <c r="AC13" i="23"/>
  <c r="AC26" i="23"/>
  <c r="AC24" i="23"/>
  <c r="AD14" i="23" l="1"/>
  <c r="AD26" i="23"/>
  <c r="AD31" i="23"/>
  <c r="AD11" i="23"/>
  <c r="AD9" i="23"/>
  <c r="AD12" i="23"/>
  <c r="AD13" i="23"/>
  <c r="AD10" i="23"/>
  <c r="AD16" i="23"/>
  <c r="AD20" i="23"/>
  <c r="AD30" i="23"/>
  <c r="AD15" i="23"/>
  <c r="AD25" i="23"/>
  <c r="AD18" i="23"/>
  <c r="AD29" i="23"/>
  <c r="AD19" i="23"/>
  <c r="AD17" i="23"/>
  <c r="AD28" i="23"/>
  <c r="AD27" i="23"/>
  <c r="AD24" i="23"/>
  <c r="W33" i="7" l="1"/>
  <c r="W33" i="23"/>
  <c r="AK33" i="7"/>
  <c r="X33" i="23" l="1"/>
  <c r="X33" i="7"/>
  <c r="AL33" i="7"/>
  <c r="G62" i="23" l="1"/>
  <c r="E50" i="23"/>
  <c r="F66" i="23"/>
  <c r="G56" i="23"/>
  <c r="E46" i="23"/>
  <c r="G23" i="23"/>
  <c r="F38" i="23"/>
  <c r="C33" i="23"/>
  <c r="F58" i="23"/>
  <c r="E65" i="23"/>
  <c r="G9" i="23"/>
  <c r="G61" i="23"/>
  <c r="D47" i="23"/>
  <c r="E68" i="23"/>
  <c r="F52" i="23"/>
  <c r="E44" i="23"/>
  <c r="D56" i="23"/>
  <c r="G11" i="23"/>
  <c r="E43" i="23"/>
  <c r="D46" i="23"/>
  <c r="F53" i="23"/>
  <c r="D63" i="23"/>
  <c r="F67" i="23"/>
  <c r="F47" i="23"/>
  <c r="E41" i="23"/>
  <c r="C57" i="23"/>
  <c r="G51" i="23"/>
  <c r="C68" i="23"/>
  <c r="C49" i="23"/>
  <c r="F44" i="23"/>
  <c r="G60" i="23"/>
  <c r="G63" i="23"/>
  <c r="D45" i="23"/>
  <c r="C39" i="23"/>
  <c r="G64" i="23"/>
  <c r="D43" i="23"/>
  <c r="D54" i="23"/>
  <c r="G54" i="23"/>
  <c r="E33" i="23"/>
  <c r="G55" i="23"/>
  <c r="G42" i="23"/>
  <c r="E64" i="23"/>
  <c r="G48" i="23"/>
  <c r="E66" i="23"/>
  <c r="C46" i="23"/>
  <c r="F40" i="23"/>
  <c r="D50" i="23"/>
  <c r="E52" i="23"/>
  <c r="G16" i="23"/>
  <c r="C37" i="23"/>
  <c r="D44" i="23"/>
  <c r="G13" i="23"/>
  <c r="G41" i="23"/>
  <c r="G44" i="23"/>
  <c r="E57" i="23"/>
  <c r="G68" i="23"/>
  <c r="G66" i="23"/>
  <c r="G14" i="23"/>
  <c r="G39" i="23"/>
  <c r="D66" i="23"/>
  <c r="F42" i="23"/>
  <c r="F60" i="23"/>
  <c r="G43" i="23"/>
  <c r="C54" i="23"/>
  <c r="F63" i="23"/>
  <c r="D60" i="23"/>
  <c r="F48" i="23"/>
  <c r="G65" i="23"/>
  <c r="F62" i="23"/>
  <c r="C42" i="23"/>
  <c r="G58" i="23"/>
  <c r="D68" i="23"/>
  <c r="E45" i="23"/>
  <c r="E53" i="23"/>
  <c r="G53" i="23"/>
  <c r="G18" i="23"/>
  <c r="D37" i="23"/>
  <c r="E51" i="23"/>
  <c r="E48" i="23"/>
  <c r="D62" i="23"/>
  <c r="D48" i="23"/>
  <c r="G40" i="23"/>
  <c r="E37" i="23"/>
  <c r="G45" i="23"/>
  <c r="C56" i="23"/>
  <c r="G52" i="23"/>
  <c r="F41" i="23"/>
  <c r="C55" i="23"/>
  <c r="G12" i="23"/>
  <c r="C65" i="23"/>
  <c r="D51" i="23"/>
  <c r="D38" i="23"/>
  <c r="D65" i="23"/>
  <c r="G21" i="23"/>
  <c r="C60" i="23"/>
  <c r="F50" i="23"/>
  <c r="D59" i="23"/>
  <c r="F45" i="23"/>
  <c r="C41" i="23"/>
  <c r="E56" i="23"/>
  <c r="G10" i="23"/>
  <c r="D55" i="23"/>
  <c r="G37" i="23"/>
  <c r="E42" i="23"/>
  <c r="C61" i="23"/>
  <c r="C66" i="23"/>
  <c r="C64" i="23"/>
  <c r="F55" i="23"/>
  <c r="G46" i="23"/>
  <c r="D67" i="23"/>
  <c r="D41" i="23"/>
  <c r="E60" i="23"/>
  <c r="F61" i="23"/>
  <c r="E55" i="23"/>
  <c r="F57" i="23"/>
  <c r="F59" i="23"/>
  <c r="C48" i="23"/>
  <c r="G47" i="23"/>
  <c r="C53" i="23"/>
  <c r="D42" i="23"/>
  <c r="C43" i="23"/>
  <c r="D61" i="23"/>
  <c r="C45" i="23"/>
  <c r="C62" i="23"/>
  <c r="F43" i="23"/>
  <c r="G49" i="23"/>
  <c r="F33" i="23"/>
  <c r="D53" i="23"/>
  <c r="C59" i="23"/>
  <c r="D39" i="23"/>
  <c r="F37" i="23"/>
  <c r="E63" i="23"/>
  <c r="G50" i="23"/>
  <c r="C44" i="23"/>
  <c r="G20" i="23"/>
  <c r="C50" i="23"/>
  <c r="F65" i="23"/>
  <c r="G22" i="23"/>
  <c r="E49" i="23"/>
  <c r="G57" i="23"/>
  <c r="C58" i="23"/>
  <c r="C63" i="23"/>
  <c r="E47" i="23"/>
  <c r="C67" i="23"/>
  <c r="F54" i="23"/>
  <c r="C52" i="23"/>
  <c r="C40" i="23"/>
  <c r="E61" i="23"/>
  <c r="D49" i="23"/>
  <c r="E39" i="23"/>
  <c r="E67" i="23"/>
  <c r="E62" i="23"/>
  <c r="G19" i="23"/>
  <c r="G15" i="23"/>
  <c r="G59" i="23"/>
  <c r="C38" i="23"/>
  <c r="F49" i="23"/>
  <c r="F68" i="23"/>
  <c r="E54" i="23"/>
  <c r="E59" i="23"/>
  <c r="G67" i="23"/>
  <c r="D40" i="23"/>
  <c r="E38" i="23"/>
  <c r="F64" i="23"/>
  <c r="G38" i="23"/>
  <c r="E40" i="23"/>
  <c r="G17" i="23"/>
  <c r="D64" i="23"/>
  <c r="C51" i="23"/>
  <c r="F39" i="23"/>
  <c r="F51" i="23"/>
  <c r="D33" i="23"/>
  <c r="E58" i="23"/>
  <c r="F56" i="23"/>
  <c r="F46" i="23"/>
  <c r="D57" i="23"/>
  <c r="D58" i="23"/>
  <c r="D52" i="23"/>
  <c r="C47" i="23"/>
  <c r="AL8" i="23"/>
  <c r="AK8" i="23"/>
  <c r="AK33" i="23"/>
  <c r="AL33" i="23"/>
  <c r="Z59" i="7" l="1"/>
  <c r="AA59" i="7" s="1"/>
  <c r="Z45" i="7"/>
  <c r="AA45" i="7" s="1"/>
  <c r="Z50" i="7"/>
  <c r="AA50" i="7" s="1"/>
  <c r="Z51" i="7"/>
  <c r="AA51" i="7" s="1"/>
  <c r="Z54" i="7"/>
  <c r="AA54" i="7" s="1"/>
  <c r="Z37" i="7"/>
  <c r="AA37" i="7" s="1"/>
  <c r="Z39" i="7"/>
  <c r="AA39" i="7" s="1"/>
  <c r="Z46" i="7"/>
  <c r="AA46" i="7" s="1"/>
  <c r="Z66" i="7"/>
  <c r="AA66" i="7" s="1"/>
  <c r="Z65" i="7"/>
  <c r="AA65" i="7" s="1"/>
  <c r="Z44" i="7"/>
  <c r="AA44" i="7" s="1"/>
  <c r="Z49" i="7"/>
  <c r="AA49" i="7" s="1"/>
  <c r="Z42" i="7"/>
  <c r="AA42" i="7" s="1"/>
  <c r="Z33" i="7"/>
  <c r="AA33" i="7" s="1"/>
  <c r="Z56" i="7"/>
  <c r="AA56" i="7" s="1"/>
  <c r="Z38" i="7"/>
  <c r="AA38" i="7" s="1"/>
  <c r="Z40" i="7"/>
  <c r="AA40" i="7" s="1"/>
  <c r="Z53" i="7"/>
  <c r="AA53" i="7" s="1"/>
  <c r="Z67" i="7"/>
  <c r="AA67" i="7" s="1"/>
  <c r="Z58" i="7"/>
  <c r="AA58" i="7" s="1"/>
  <c r="Z48" i="7"/>
  <c r="AA48" i="7" s="1"/>
  <c r="Z63" i="7"/>
  <c r="AA63" i="7" s="1"/>
  <c r="Z64" i="7"/>
  <c r="AA64" i="7" s="1"/>
  <c r="Z43" i="7"/>
  <c r="AA43" i="7" s="1"/>
  <c r="Z47" i="7"/>
  <c r="AA47" i="7" s="1"/>
  <c r="Z60" i="7"/>
  <c r="AA60" i="7" s="1"/>
  <c r="Z62" i="7"/>
  <c r="AA62" i="7" s="1"/>
  <c r="Z68" i="7"/>
  <c r="AA68" i="7" s="1"/>
  <c r="Z55" i="7"/>
  <c r="AA55" i="7" s="1"/>
  <c r="Z52" i="7"/>
  <c r="AA52" i="7" s="1"/>
  <c r="Z57" i="7"/>
  <c r="AA57" i="7" s="1"/>
  <c r="Z61" i="7"/>
  <c r="AA61" i="7" s="1"/>
  <c r="Z41" i="7"/>
  <c r="AA41" i="7" s="1"/>
  <c r="D6" i="2" l="1"/>
  <c r="I25" i="14"/>
  <c r="I67" i="14"/>
  <c r="G42" i="24"/>
  <c r="G35" i="19"/>
  <c r="G60" i="24"/>
  <c r="I31" i="17"/>
  <c r="I29" i="18"/>
  <c r="I9" i="18"/>
  <c r="I29" i="17"/>
  <c r="G15" i="19"/>
  <c r="I45" i="21"/>
  <c r="I18" i="21"/>
  <c r="I64" i="21"/>
  <c r="I57" i="18"/>
  <c r="G50" i="24"/>
  <c r="I12" i="17"/>
  <c r="G52" i="19"/>
  <c r="I68" i="17"/>
  <c r="I10" i="17"/>
  <c r="G68" i="24"/>
  <c r="G21" i="19"/>
  <c r="I20" i="17"/>
  <c r="G63" i="19"/>
  <c r="I60" i="14"/>
  <c r="I39" i="17"/>
  <c r="I37" i="17"/>
  <c r="G41" i="19"/>
  <c r="G19" i="19"/>
  <c r="I58" i="17"/>
  <c r="G50" i="19"/>
  <c r="I12" i="14"/>
  <c r="I48" i="17"/>
  <c r="G62" i="24"/>
  <c r="G23" i="19"/>
  <c r="I25" i="18"/>
  <c r="I30" i="21"/>
  <c r="I48" i="14"/>
  <c r="G38" i="24"/>
  <c r="I53" i="17"/>
  <c r="I30" i="18"/>
  <c r="G67" i="19"/>
  <c r="I56" i="14"/>
  <c r="I50" i="17"/>
  <c r="I10" i="14"/>
  <c r="I33" i="17"/>
  <c r="G39" i="24"/>
  <c r="G17" i="19"/>
  <c r="G53" i="19"/>
  <c r="I43" i="21"/>
  <c r="I45" i="14"/>
  <c r="G46" i="19"/>
  <c r="I63" i="21"/>
  <c r="I27" i="21"/>
  <c r="I33" i="18"/>
  <c r="G67" i="24"/>
  <c r="I15" i="18"/>
  <c r="I11" i="14"/>
  <c r="I67" i="17"/>
  <c r="I53" i="14"/>
  <c r="I14" i="21"/>
  <c r="I67" i="21"/>
  <c r="G9" i="19"/>
  <c r="I26" i="18"/>
  <c r="I44" i="17"/>
  <c r="I11" i="18"/>
  <c r="I10" i="21"/>
  <c r="I63" i="14"/>
  <c r="I16" i="18"/>
  <c r="I14" i="17"/>
  <c r="I68" i="14"/>
  <c r="I46" i="17"/>
  <c r="G41" i="24"/>
  <c r="I52" i="18"/>
  <c r="G65" i="24"/>
  <c r="G43" i="24"/>
  <c r="I28" i="21"/>
  <c r="G48" i="24"/>
  <c r="I32" i="18"/>
  <c r="I54" i="21"/>
  <c r="G18" i="19"/>
  <c r="I55" i="17"/>
  <c r="I24" i="17"/>
  <c r="I46" i="18"/>
  <c r="I52" i="17"/>
  <c r="I40" i="14"/>
  <c r="I57" i="14"/>
  <c r="G11" i="19"/>
  <c r="I13" i="21"/>
  <c r="G20" i="19"/>
  <c r="G37" i="24"/>
  <c r="I32" i="21"/>
  <c r="I33" i="14"/>
  <c r="G46" i="24"/>
  <c r="I33" i="21"/>
  <c r="I24" i="14"/>
  <c r="I38" i="21"/>
  <c r="I11" i="21"/>
  <c r="G44" i="24"/>
  <c r="G68" i="19"/>
  <c r="I28" i="17"/>
  <c r="I44" i="21"/>
  <c r="G66" i="24"/>
  <c r="G56" i="19"/>
  <c r="G10" i="19"/>
  <c r="I61" i="14"/>
  <c r="I47" i="21"/>
  <c r="G60" i="19"/>
  <c r="I37" i="14"/>
  <c r="I58" i="18"/>
  <c r="G14" i="19"/>
  <c r="I59" i="21"/>
  <c r="I65" i="14"/>
  <c r="I49" i="21"/>
  <c r="I51" i="17"/>
  <c r="I51" i="18"/>
  <c r="G52" i="24"/>
  <c r="I57" i="17"/>
  <c r="I31" i="18"/>
  <c r="I17" i="14"/>
  <c r="I41" i="21"/>
  <c r="I67" i="18"/>
  <c r="I56" i="18"/>
  <c r="I42" i="21"/>
  <c r="G33" i="24"/>
  <c r="I15" i="21"/>
  <c r="I39" i="18"/>
  <c r="I13" i="17"/>
  <c r="I59" i="18"/>
  <c r="I51" i="21"/>
  <c r="G56" i="24"/>
  <c r="I19" i="17"/>
  <c r="I49" i="14"/>
  <c r="I30" i="17"/>
  <c r="I42" i="14"/>
  <c r="I57" i="21"/>
  <c r="G47" i="19"/>
  <c r="I14" i="18"/>
  <c r="I20" i="18"/>
  <c r="I66" i="18"/>
  <c r="I62" i="21"/>
  <c r="G61" i="19"/>
  <c r="G58" i="24"/>
  <c r="I13" i="14"/>
  <c r="I55" i="14"/>
  <c r="I54" i="14"/>
  <c r="G51" i="24"/>
  <c r="I20" i="14"/>
  <c r="I55" i="21"/>
  <c r="I45" i="18"/>
  <c r="I47" i="17"/>
  <c r="I25" i="17"/>
  <c r="G44" i="19"/>
  <c r="G16" i="19"/>
  <c r="G64" i="24"/>
  <c r="I48" i="21"/>
  <c r="I61" i="21"/>
  <c r="I50" i="18"/>
  <c r="G55" i="24"/>
  <c r="I20" i="21"/>
  <c r="I9" i="14"/>
  <c r="I43" i="17"/>
  <c r="I31" i="21"/>
  <c r="I65" i="17"/>
  <c r="I59" i="14"/>
  <c r="I62" i="18"/>
  <c r="I60" i="21"/>
  <c r="I18" i="17"/>
  <c r="I40" i="18"/>
  <c r="G38" i="19"/>
  <c r="I12" i="18"/>
  <c r="I49" i="18"/>
  <c r="I55" i="18"/>
  <c r="I26" i="21"/>
  <c r="I51" i="14"/>
  <c r="G57" i="24"/>
  <c r="I43" i="14"/>
  <c r="I58" i="21"/>
  <c r="I52" i="21"/>
  <c r="B24" i="18"/>
  <c r="I24" i="18" s="1"/>
  <c r="G43" i="19"/>
  <c r="I43" i="18"/>
  <c r="G63" i="24"/>
  <c r="I65" i="21"/>
  <c r="I38" i="14"/>
  <c r="I47" i="14"/>
  <c r="G40" i="19"/>
  <c r="I9" i="17"/>
  <c r="I56" i="17"/>
  <c r="I19" i="18"/>
  <c r="G65" i="19"/>
  <c r="I64" i="17"/>
  <c r="I15" i="17"/>
  <c r="I29" i="21"/>
  <c r="I52" i="14"/>
  <c r="I19" i="14"/>
  <c r="I17" i="18"/>
  <c r="G42" i="19"/>
  <c r="I50" i="21"/>
  <c r="I16" i="14"/>
  <c r="I39" i="14"/>
  <c r="G22" i="19"/>
  <c r="G54" i="24"/>
  <c r="G48" i="19"/>
  <c r="I18" i="18"/>
  <c r="I54" i="17"/>
  <c r="I41" i="18"/>
  <c r="I27" i="18"/>
  <c r="I26" i="17"/>
  <c r="I40" i="21"/>
  <c r="I38" i="17"/>
  <c r="I37" i="21"/>
  <c r="G36" i="19"/>
  <c r="I56" i="21"/>
  <c r="I68" i="18"/>
  <c r="I18" i="14"/>
  <c r="I60" i="18"/>
  <c r="G59" i="19"/>
  <c r="G39" i="19"/>
  <c r="G34" i="19"/>
  <c r="I13" i="18"/>
  <c r="B24" i="21"/>
  <c r="I24" i="21" s="1"/>
  <c r="I37" i="18"/>
  <c r="I9" i="21"/>
  <c r="I44" i="18"/>
  <c r="I16" i="17"/>
  <c r="I32" i="17"/>
  <c r="G61" i="24"/>
  <c r="I46" i="21"/>
  <c r="I62" i="17"/>
  <c r="I42" i="17"/>
  <c r="I41" i="17"/>
  <c r="I25" i="21"/>
  <c r="G40" i="24"/>
  <c r="I39" i="21"/>
  <c r="I17" i="17"/>
  <c r="I64" i="18"/>
  <c r="I68" i="21"/>
  <c r="I40" i="17"/>
  <c r="I66" i="21"/>
  <c r="I19" i="21"/>
  <c r="I12" i="21"/>
  <c r="I14" i="14"/>
  <c r="G53" i="24"/>
  <c r="G49" i="19"/>
  <c r="G54" i="19"/>
  <c r="G55" i="19"/>
  <c r="I45" i="17"/>
  <c r="I41" i="14"/>
  <c r="I60" i="17"/>
  <c r="G37" i="19"/>
  <c r="I53" i="18"/>
  <c r="G58" i="19"/>
  <c r="I64" i="14"/>
  <c r="I63" i="18"/>
  <c r="G64" i="19"/>
  <c r="G62" i="19"/>
  <c r="I28" i="18"/>
  <c r="I65" i="18"/>
  <c r="G45" i="24"/>
  <c r="I63" i="17"/>
  <c r="I61" i="17"/>
  <c r="I15" i="14"/>
  <c r="G57" i="19"/>
  <c r="I66" i="14"/>
  <c r="G66" i="19"/>
  <c r="I11" i="17"/>
  <c r="G51" i="19"/>
  <c r="G45" i="19"/>
  <c r="I27" i="17"/>
  <c r="I16" i="21"/>
  <c r="I62" i="14"/>
  <c r="I46" i="14"/>
  <c r="I47" i="18"/>
  <c r="I17" i="21"/>
  <c r="I58" i="14"/>
  <c r="G49" i="24"/>
  <c r="G12" i="19"/>
  <c r="G13" i="19"/>
  <c r="I42" i="18"/>
  <c r="I49" i="17"/>
  <c r="I10" i="18"/>
  <c r="G59" i="24"/>
  <c r="I48" i="18"/>
  <c r="I61" i="18"/>
  <c r="I59" i="17"/>
  <c r="I66" i="17"/>
  <c r="I38" i="18"/>
  <c r="I53" i="21"/>
  <c r="I50" i="14"/>
  <c r="G47" i="24"/>
  <c r="I54" i="18"/>
  <c r="I44" i="14"/>
  <c r="I26" i="14"/>
  <c r="I27" i="14"/>
  <c r="I28" i="14"/>
  <c r="I29" i="14"/>
  <c r="I30" i="14"/>
  <c r="I31" i="14"/>
  <c r="I32" i="14"/>
  <c r="K32" i="7" l="1"/>
  <c r="L32" i="7" s="1"/>
  <c r="K31" i="23"/>
  <c r="L31" i="23" s="1"/>
  <c r="K31" i="7"/>
  <c r="K30" i="23"/>
  <c r="L30" i="23" s="1"/>
  <c r="K30" i="7"/>
  <c r="K29" i="7"/>
  <c r="K29" i="23"/>
  <c r="L29" i="23" s="1"/>
  <c r="K28" i="23"/>
  <c r="L28" i="23" s="1"/>
  <c r="K28" i="7"/>
  <c r="K27" i="7"/>
  <c r="K27" i="23"/>
  <c r="L27" i="23" s="1"/>
  <c r="K26" i="23"/>
  <c r="L26" i="23" s="1"/>
  <c r="K26" i="7"/>
  <c r="K25" i="7"/>
  <c r="K25" i="23"/>
  <c r="L25" i="23" s="1"/>
  <c r="K44" i="23"/>
  <c r="K44" i="7"/>
  <c r="Q54" i="7"/>
  <c r="Q54" i="23"/>
  <c r="Z47" i="23"/>
  <c r="K50" i="7"/>
  <c r="K50" i="23"/>
  <c r="T53" i="7"/>
  <c r="T53" i="23"/>
  <c r="Q38" i="7"/>
  <c r="Q38" i="23"/>
  <c r="N66" i="7"/>
  <c r="N66" i="23"/>
  <c r="N59" i="23"/>
  <c r="N59" i="7"/>
  <c r="Q61" i="23"/>
  <c r="Q61" i="7"/>
  <c r="Q48" i="7"/>
  <c r="Q48" i="23"/>
  <c r="Z59" i="23"/>
  <c r="Q10" i="7"/>
  <c r="Q10" i="23"/>
  <c r="R10" i="23" s="1"/>
  <c r="N49" i="23"/>
  <c r="N49" i="7"/>
  <c r="Q42" i="23"/>
  <c r="Q42" i="7"/>
  <c r="W13" i="7"/>
  <c r="W13" i="23"/>
  <c r="W12" i="7"/>
  <c r="W12" i="23"/>
  <c r="Z49" i="23"/>
  <c r="K58" i="23"/>
  <c r="K58" i="7"/>
  <c r="T17" i="23"/>
  <c r="U17" i="23" s="1"/>
  <c r="T17" i="7"/>
  <c r="Q47" i="23"/>
  <c r="Q47" i="7"/>
  <c r="K46" i="7"/>
  <c r="K46" i="23"/>
  <c r="K62" i="23"/>
  <c r="K62" i="7"/>
  <c r="T16" i="23"/>
  <c r="U16" i="23" s="1"/>
  <c r="T16" i="7"/>
  <c r="N27" i="7"/>
  <c r="N27" i="23"/>
  <c r="O27" i="23" s="1"/>
  <c r="W45" i="23"/>
  <c r="W45" i="7"/>
  <c r="W51" i="7"/>
  <c r="W51" i="23"/>
  <c r="N11" i="7"/>
  <c r="N11" i="23"/>
  <c r="O11" i="23" s="1"/>
  <c r="W66" i="23"/>
  <c r="W66" i="7"/>
  <c r="K66" i="23"/>
  <c r="K66" i="7"/>
  <c r="W57" i="7"/>
  <c r="W57" i="23"/>
  <c r="K15" i="7"/>
  <c r="K15" i="23"/>
  <c r="L15" i="23" s="1"/>
  <c r="N61" i="7"/>
  <c r="N61" i="23"/>
  <c r="N63" i="23"/>
  <c r="N63" i="7"/>
  <c r="Z45" i="23"/>
  <c r="Q65" i="23"/>
  <c r="Q65" i="7"/>
  <c r="Q28" i="7"/>
  <c r="Q28" i="23"/>
  <c r="R28" i="23" s="1"/>
  <c r="W62" i="23"/>
  <c r="W62" i="7"/>
  <c r="W64" i="23"/>
  <c r="W64" i="7"/>
  <c r="Q63" i="7"/>
  <c r="Q63" i="23"/>
  <c r="K64" i="7"/>
  <c r="K64" i="23"/>
  <c r="W58" i="7"/>
  <c r="W58" i="23"/>
  <c r="Q53" i="7"/>
  <c r="Q53" i="23"/>
  <c r="W37" i="7"/>
  <c r="W37" i="23"/>
  <c r="N60" i="7"/>
  <c r="N60" i="23"/>
  <c r="K41" i="7"/>
  <c r="K41" i="23"/>
  <c r="N45" i="23"/>
  <c r="N45" i="7"/>
  <c r="W55" i="7"/>
  <c r="W55" i="23"/>
  <c r="W54" i="23"/>
  <c r="W54" i="7"/>
  <c r="W49" i="23"/>
  <c r="W49" i="7"/>
  <c r="Z53" i="23"/>
  <c r="K14" i="7"/>
  <c r="K14" i="23"/>
  <c r="L14" i="23" s="1"/>
  <c r="T12" i="23"/>
  <c r="U12" i="23" s="1"/>
  <c r="T12" i="7"/>
  <c r="T19" i="23"/>
  <c r="U19" i="23" s="1"/>
  <c r="T19" i="7"/>
  <c r="T66" i="23"/>
  <c r="T66" i="7"/>
  <c r="N40" i="7"/>
  <c r="N40" i="23"/>
  <c r="T68" i="7"/>
  <c r="T68" i="23"/>
  <c r="Q64" i="23"/>
  <c r="Q64" i="7"/>
  <c r="N17" i="7"/>
  <c r="N17" i="23"/>
  <c r="O17" i="23" s="1"/>
  <c r="T39" i="23"/>
  <c r="T39" i="7"/>
  <c r="Z40" i="23"/>
  <c r="T25" i="7"/>
  <c r="T25" i="23"/>
  <c r="U25" i="23" s="1"/>
  <c r="N41" i="7"/>
  <c r="N41" i="23"/>
  <c r="N42" i="23"/>
  <c r="N42" i="7"/>
  <c r="N62" i="23"/>
  <c r="N62" i="7"/>
  <c r="T46" i="7"/>
  <c r="T46" i="23"/>
  <c r="Z61" i="23"/>
  <c r="N32" i="7"/>
  <c r="N16" i="7"/>
  <c r="N16" i="23"/>
  <c r="O16" i="23" s="1"/>
  <c r="Q44" i="7"/>
  <c r="Q44" i="23"/>
  <c r="T9" i="23"/>
  <c r="U9" i="23" s="1"/>
  <c r="T9" i="7"/>
  <c r="Q37" i="7"/>
  <c r="Q37" i="23"/>
  <c r="T24" i="7"/>
  <c r="T24" i="23"/>
  <c r="U24" i="23" s="1"/>
  <c r="Q13" i="23"/>
  <c r="R13" i="23" s="1"/>
  <c r="Q13" i="7"/>
  <c r="W34" i="23"/>
  <c r="X34" i="23" s="1"/>
  <c r="W34" i="7"/>
  <c r="W39" i="23"/>
  <c r="W39" i="7"/>
  <c r="W59" i="23"/>
  <c r="W59" i="7"/>
  <c r="Q60" i="23"/>
  <c r="Q60" i="7"/>
  <c r="K18" i="7"/>
  <c r="K18" i="23"/>
  <c r="L18" i="23" s="1"/>
  <c r="Q68" i="23"/>
  <c r="Q68" i="7"/>
  <c r="T56" i="7"/>
  <c r="T56" i="23"/>
  <c r="W36" i="7"/>
  <c r="W36" i="23"/>
  <c r="X36" i="23" s="1"/>
  <c r="T37" i="7"/>
  <c r="T37" i="23"/>
  <c r="N38" i="7"/>
  <c r="N38" i="23"/>
  <c r="T40" i="7"/>
  <c r="T40" i="23"/>
  <c r="N26" i="23"/>
  <c r="O26" i="23" s="1"/>
  <c r="N26" i="7"/>
  <c r="Q27" i="23"/>
  <c r="R27" i="23" s="1"/>
  <c r="Q27" i="7"/>
  <c r="Q41" i="7"/>
  <c r="Q41" i="23"/>
  <c r="N54" i="23"/>
  <c r="N54" i="7"/>
  <c r="Q18" i="23"/>
  <c r="R18" i="23" s="1"/>
  <c r="Q18" i="7"/>
  <c r="W48" i="7"/>
  <c r="W48" i="23"/>
  <c r="Z54" i="23"/>
  <c r="W22" i="23"/>
  <c r="W22" i="7"/>
  <c r="K39" i="23"/>
  <c r="K39" i="7"/>
  <c r="K16" i="23"/>
  <c r="L16" i="23" s="1"/>
  <c r="K16" i="7"/>
  <c r="T50" i="23"/>
  <c r="T50" i="7"/>
  <c r="W42" i="7"/>
  <c r="W42" i="23"/>
  <c r="Q17" i="7"/>
  <c r="Q17" i="23"/>
  <c r="R17" i="23" s="1"/>
  <c r="K19" i="7"/>
  <c r="K19" i="23"/>
  <c r="L19" i="23" s="1"/>
  <c r="K52" i="7"/>
  <c r="K52" i="23"/>
  <c r="T29" i="7"/>
  <c r="T29" i="23"/>
  <c r="U29" i="23" s="1"/>
  <c r="N15" i="23"/>
  <c r="O15" i="23" s="1"/>
  <c r="N15" i="7"/>
  <c r="N64" i="7"/>
  <c r="N64" i="23"/>
  <c r="W65" i="7"/>
  <c r="W65" i="23"/>
  <c r="Q19" i="7"/>
  <c r="Q19" i="23"/>
  <c r="R19" i="23" s="1"/>
  <c r="N56" i="23"/>
  <c r="N56" i="7"/>
  <c r="N9" i="7"/>
  <c r="N9" i="23"/>
  <c r="O9" i="23" s="1"/>
  <c r="W40" i="7"/>
  <c r="W40" i="23"/>
  <c r="K47" i="7"/>
  <c r="K47" i="23"/>
  <c r="K38" i="7"/>
  <c r="K38" i="23"/>
  <c r="T65" i="7"/>
  <c r="T65" i="23"/>
  <c r="Z63" i="23"/>
  <c r="Q43" i="23"/>
  <c r="Q43" i="7"/>
  <c r="W43" i="23"/>
  <c r="W43" i="7"/>
  <c r="Q24" i="7"/>
  <c r="Q24" i="23"/>
  <c r="R24" i="23" s="1"/>
  <c r="T52" i="23"/>
  <c r="T52" i="7"/>
  <c r="T58" i="23"/>
  <c r="T58" i="7"/>
  <c r="K43" i="7"/>
  <c r="K43" i="23"/>
  <c r="Z57" i="23"/>
  <c r="K51" i="23"/>
  <c r="K51" i="7"/>
  <c r="T26" i="23"/>
  <c r="U26" i="23" s="1"/>
  <c r="T26" i="7"/>
  <c r="Q55" i="23"/>
  <c r="Q55" i="7"/>
  <c r="Q49" i="7"/>
  <c r="Q49" i="23"/>
  <c r="Q12" i="23"/>
  <c r="R12" i="23" s="1"/>
  <c r="Q12" i="7"/>
  <c r="W38" i="23"/>
  <c r="W38" i="7"/>
  <c r="Q40" i="23"/>
  <c r="Q40" i="7"/>
  <c r="N18" i="23"/>
  <c r="O18" i="23" s="1"/>
  <c r="N18" i="7"/>
  <c r="T60" i="23"/>
  <c r="T60" i="7"/>
  <c r="Q62" i="23"/>
  <c r="Q62" i="7"/>
  <c r="K59" i="7"/>
  <c r="K59" i="23"/>
  <c r="N65" i="23"/>
  <c r="N65" i="7"/>
  <c r="T31" i="23"/>
  <c r="U31" i="23" s="1"/>
  <c r="T31" i="7"/>
  <c r="N43" i="23"/>
  <c r="N43" i="7"/>
  <c r="K9" i="7"/>
  <c r="K9" i="23"/>
  <c r="L9" i="23" s="1"/>
  <c r="T20" i="7"/>
  <c r="T20" i="23"/>
  <c r="U20" i="23" s="1"/>
  <c r="Z55" i="23"/>
  <c r="Q50" i="23"/>
  <c r="Q50" i="7"/>
  <c r="T61" i="7"/>
  <c r="T61" i="23"/>
  <c r="T48" i="7"/>
  <c r="T48" i="23"/>
  <c r="Z64" i="23"/>
  <c r="W16" i="23"/>
  <c r="W16" i="7"/>
  <c r="W44" i="23"/>
  <c r="W44" i="7"/>
  <c r="N25" i="7"/>
  <c r="N25" i="23"/>
  <c r="O25" i="23" s="1"/>
  <c r="N47" i="23"/>
  <c r="N47" i="7"/>
  <c r="Q45" i="23"/>
  <c r="Q45" i="7"/>
  <c r="T55" i="7"/>
  <c r="T55" i="23"/>
  <c r="K20" i="23"/>
  <c r="L20" i="23" s="1"/>
  <c r="K20" i="7"/>
  <c r="Z51" i="23"/>
  <c r="K54" i="7"/>
  <c r="K54" i="23"/>
  <c r="K55" i="7"/>
  <c r="K55" i="23"/>
  <c r="K13" i="7"/>
  <c r="K13" i="23"/>
  <c r="L13" i="23" s="1"/>
  <c r="Z58" i="23"/>
  <c r="W61" i="23"/>
  <c r="W61" i="7"/>
  <c r="T62" i="23"/>
  <c r="T62" i="7"/>
  <c r="Q66" i="7"/>
  <c r="Q66" i="23"/>
  <c r="Q20" i="7"/>
  <c r="Q20" i="23"/>
  <c r="R20" i="23" s="1"/>
  <c r="Q14" i="23"/>
  <c r="R14" i="23" s="1"/>
  <c r="Q14" i="7"/>
  <c r="W47" i="23"/>
  <c r="W47" i="7"/>
  <c r="T57" i="23"/>
  <c r="T57" i="7"/>
  <c r="K42" i="7"/>
  <c r="K42" i="23"/>
  <c r="N30" i="23"/>
  <c r="O30" i="23" s="1"/>
  <c r="N30" i="7"/>
  <c r="K49" i="7"/>
  <c r="K49" i="23"/>
  <c r="N19" i="23"/>
  <c r="O19" i="23" s="1"/>
  <c r="N19" i="7"/>
  <c r="Z56" i="23"/>
  <c r="T51" i="23"/>
  <c r="T51" i="7"/>
  <c r="Q59" i="7"/>
  <c r="Q59" i="23"/>
  <c r="N13" i="7"/>
  <c r="N13" i="23"/>
  <c r="O13" i="23" s="1"/>
  <c r="Q39" i="23"/>
  <c r="Q39" i="7"/>
  <c r="T15" i="7"/>
  <c r="T15" i="23"/>
  <c r="U15" i="23" s="1"/>
  <c r="Z33" i="23"/>
  <c r="T42" i="23"/>
  <c r="T42" i="7"/>
  <c r="Q56" i="23"/>
  <c r="Q56" i="7"/>
  <c r="Q67" i="23"/>
  <c r="Q67" i="7"/>
  <c r="T41" i="7"/>
  <c r="T41" i="23"/>
  <c r="K17" i="7"/>
  <c r="K17" i="23"/>
  <c r="L17" i="23" s="1"/>
  <c r="Q31" i="7"/>
  <c r="Q31" i="23"/>
  <c r="R31" i="23" s="1"/>
  <c r="N57" i="7"/>
  <c r="N57" i="23"/>
  <c r="Z52" i="23"/>
  <c r="Q51" i="23"/>
  <c r="Q51" i="7"/>
  <c r="N51" i="7"/>
  <c r="N51" i="23"/>
  <c r="T49" i="23"/>
  <c r="T49" i="7"/>
  <c r="K65" i="7"/>
  <c r="K65" i="23"/>
  <c r="T59" i="23"/>
  <c r="T59" i="7"/>
  <c r="W14" i="23"/>
  <c r="W14" i="7"/>
  <c r="Q58" i="23"/>
  <c r="Q58" i="7"/>
  <c r="K37" i="23"/>
  <c r="K37" i="7"/>
  <c r="W60" i="7"/>
  <c r="W60" i="23"/>
  <c r="T47" i="7"/>
  <c r="T47" i="23"/>
  <c r="K61" i="7"/>
  <c r="K61" i="23"/>
  <c r="W10" i="23"/>
  <c r="W10" i="7"/>
  <c r="W56" i="7"/>
  <c r="W56" i="23"/>
  <c r="Z66" i="23"/>
  <c r="T44" i="23"/>
  <c r="T44" i="7"/>
  <c r="N28" i="7"/>
  <c r="N28" i="23"/>
  <c r="O28" i="23" s="1"/>
  <c r="W68" i="23"/>
  <c r="W68" i="7"/>
  <c r="Z44" i="23"/>
  <c r="T11" i="23"/>
  <c r="U11" i="23" s="1"/>
  <c r="T11" i="7"/>
  <c r="T38" i="7"/>
  <c r="T38" i="23"/>
  <c r="K24" i="23"/>
  <c r="L24" i="23" s="1"/>
  <c r="K24" i="7"/>
  <c r="T33" i="7"/>
  <c r="T33" i="23"/>
  <c r="Z46" i="23"/>
  <c r="K33" i="23"/>
  <c r="K33" i="7"/>
  <c r="T32" i="7"/>
  <c r="Z37" i="23"/>
  <c r="W20" i="23"/>
  <c r="W20" i="7"/>
  <c r="T13" i="7"/>
  <c r="T13" i="23"/>
  <c r="U13" i="23" s="1"/>
  <c r="W11" i="7"/>
  <c r="W11" i="23"/>
  <c r="K57" i="7"/>
  <c r="K57" i="23"/>
  <c r="K40" i="7"/>
  <c r="K40" i="23"/>
  <c r="N52" i="7"/>
  <c r="N52" i="23"/>
  <c r="Q46" i="7"/>
  <c r="Q46" i="23"/>
  <c r="N24" i="7"/>
  <c r="N24" i="23"/>
  <c r="O24" i="23" s="1"/>
  <c r="N55" i="7"/>
  <c r="N55" i="23"/>
  <c r="W18" i="23"/>
  <c r="W18" i="7"/>
  <c r="T54" i="7"/>
  <c r="T54" i="23"/>
  <c r="Q32" i="7"/>
  <c r="Z48" i="23"/>
  <c r="T28" i="7"/>
  <c r="T28" i="23"/>
  <c r="U28" i="23" s="1"/>
  <c r="Z43" i="23"/>
  <c r="Z65" i="23"/>
  <c r="Q52" i="7"/>
  <c r="Q52" i="23"/>
  <c r="Z41" i="23"/>
  <c r="N46" i="23"/>
  <c r="N46" i="7"/>
  <c r="K68" i="23"/>
  <c r="K68" i="7"/>
  <c r="N14" i="7"/>
  <c r="N14" i="23"/>
  <c r="O14" i="23" s="1"/>
  <c r="Q16" i="7"/>
  <c r="Q16" i="23"/>
  <c r="R16" i="23" s="1"/>
  <c r="K63" i="23"/>
  <c r="K63" i="7"/>
  <c r="T10" i="7"/>
  <c r="T10" i="23"/>
  <c r="U10" i="23" s="1"/>
  <c r="Q11" i="7"/>
  <c r="Q11" i="23"/>
  <c r="R11" i="23" s="1"/>
  <c r="N44" i="23"/>
  <c r="N44" i="7"/>
  <c r="Q26" i="7"/>
  <c r="Q26" i="23"/>
  <c r="R26" i="23" s="1"/>
  <c r="W9" i="7"/>
  <c r="W9" i="23"/>
  <c r="T67" i="7"/>
  <c r="T67" i="23"/>
  <c r="T14" i="7"/>
  <c r="T14" i="23"/>
  <c r="U14" i="23" s="1"/>
  <c r="K53" i="7"/>
  <c r="K53" i="23"/>
  <c r="N67" i="7"/>
  <c r="N67" i="23"/>
  <c r="K11" i="7"/>
  <c r="K11" i="23"/>
  <c r="L11" i="23" s="1"/>
  <c r="Q15" i="7"/>
  <c r="Q15" i="23"/>
  <c r="R15" i="23" s="1"/>
  <c r="Z67" i="23"/>
  <c r="Q33" i="7"/>
  <c r="Q33" i="23"/>
  <c r="T27" i="7"/>
  <c r="T27" i="23"/>
  <c r="U27" i="23" s="1"/>
  <c r="T63" i="7"/>
  <c r="T63" i="23"/>
  <c r="W46" i="7"/>
  <c r="W46" i="23"/>
  <c r="K45" i="7"/>
  <c r="K45" i="23"/>
  <c r="T43" i="7"/>
  <c r="T43" i="23"/>
  <c r="W53" i="7"/>
  <c r="W53" i="23"/>
  <c r="W17" i="7"/>
  <c r="W17" i="23"/>
  <c r="Z39" i="23"/>
  <c r="N33" i="23"/>
  <c r="N33" i="7"/>
  <c r="K10" i="23"/>
  <c r="L10" i="23" s="1"/>
  <c r="K10" i="7"/>
  <c r="N50" i="7"/>
  <c r="N50" i="23"/>
  <c r="K56" i="23"/>
  <c r="K56" i="7"/>
  <c r="W67" i="7"/>
  <c r="W67" i="23"/>
  <c r="Q30" i="23"/>
  <c r="R30" i="23" s="1"/>
  <c r="Q30" i="7"/>
  <c r="N53" i="23"/>
  <c r="N53" i="7"/>
  <c r="Z38" i="23"/>
  <c r="K48" i="7"/>
  <c r="K48" i="23"/>
  <c r="T30" i="23"/>
  <c r="U30" i="23" s="1"/>
  <c r="T30" i="7"/>
  <c r="Q25" i="23"/>
  <c r="R25" i="23" s="1"/>
  <c r="Q25" i="7"/>
  <c r="W23" i="7"/>
  <c r="W23" i="23"/>
  <c r="Z62" i="23"/>
  <c r="N48" i="7"/>
  <c r="N48" i="23"/>
  <c r="K12" i="7"/>
  <c r="K12" i="23"/>
  <c r="L12" i="23" s="1"/>
  <c r="W50" i="23"/>
  <c r="W50" i="7"/>
  <c r="N58" i="23"/>
  <c r="N58" i="7"/>
  <c r="W19" i="7"/>
  <c r="W19" i="23"/>
  <c r="W41" i="7"/>
  <c r="W41" i="23"/>
  <c r="N37" i="23"/>
  <c r="N37" i="7"/>
  <c r="N39" i="7"/>
  <c r="N39" i="23"/>
  <c r="K60" i="7"/>
  <c r="K60" i="23"/>
  <c r="W63" i="7"/>
  <c r="W63" i="23"/>
  <c r="N20" i="23"/>
  <c r="O20" i="23" s="1"/>
  <c r="N20" i="7"/>
  <c r="W21" i="7"/>
  <c r="W21" i="23"/>
  <c r="Z68" i="23"/>
  <c r="N10" i="23"/>
  <c r="O10" i="23" s="1"/>
  <c r="N10" i="7"/>
  <c r="N68" i="7"/>
  <c r="N68" i="23"/>
  <c r="W52" i="23"/>
  <c r="W52" i="7"/>
  <c r="N12" i="7"/>
  <c r="N12" i="23"/>
  <c r="O12" i="23" s="1"/>
  <c r="Z50" i="23"/>
  <c r="Q57" i="23"/>
  <c r="Q57" i="7"/>
  <c r="T64" i="7"/>
  <c r="T64" i="23"/>
  <c r="T18" i="7"/>
  <c r="T18" i="23"/>
  <c r="U18" i="23" s="1"/>
  <c r="T45" i="7"/>
  <c r="T45" i="23"/>
  <c r="W15" i="7"/>
  <c r="W15" i="23"/>
  <c r="N29" i="7"/>
  <c r="N29" i="23"/>
  <c r="O29" i="23" s="1"/>
  <c r="Q9" i="23"/>
  <c r="R9" i="23" s="1"/>
  <c r="Q9" i="7"/>
  <c r="Q29" i="7"/>
  <c r="Q29" i="23"/>
  <c r="R29" i="23" s="1"/>
  <c r="N31" i="7"/>
  <c r="N31" i="23"/>
  <c r="O31" i="23" s="1"/>
  <c r="Z60" i="23"/>
  <c r="W35" i="7"/>
  <c r="W35" i="23"/>
  <c r="X35" i="23" s="1"/>
  <c r="Z42" i="23"/>
  <c r="K67" i="23"/>
  <c r="K67" i="7"/>
  <c r="AC32" i="7"/>
  <c r="AD32" i="7"/>
  <c r="AC44" i="23"/>
  <c r="AI53" i="23"/>
  <c r="AG61" i="7"/>
  <c r="AG42" i="23"/>
  <c r="AC58" i="7"/>
  <c r="AC62" i="7"/>
  <c r="AK51" i="23"/>
  <c r="AK57" i="23"/>
  <c r="AG65" i="23"/>
  <c r="AG63" i="7"/>
  <c r="AK37" i="7"/>
  <c r="AK55" i="7"/>
  <c r="AE40" i="23"/>
  <c r="AI39" i="7"/>
  <c r="AE62" i="23"/>
  <c r="AG44" i="7"/>
  <c r="AG60" i="23"/>
  <c r="AK36" i="7"/>
  <c r="AC39" i="7"/>
  <c r="AE15" i="7"/>
  <c r="AE56" i="7"/>
  <c r="AC38" i="23"/>
  <c r="AG24" i="7"/>
  <c r="AM57" i="23"/>
  <c r="AG49" i="23"/>
  <c r="AE18" i="7"/>
  <c r="AE65" i="7"/>
  <c r="AM64" i="23"/>
  <c r="AE47" i="7"/>
  <c r="AC54" i="7"/>
  <c r="AK61" i="7"/>
  <c r="AG14" i="7"/>
  <c r="AE30" i="7"/>
  <c r="AG59" i="7"/>
  <c r="AM33" i="23"/>
  <c r="AI41" i="23"/>
  <c r="AG51" i="23"/>
  <c r="AI59" i="23"/>
  <c r="AK60" i="7"/>
  <c r="AK56" i="7"/>
  <c r="AK68" i="7"/>
  <c r="AI33" i="7"/>
  <c r="AK20" i="7"/>
  <c r="AC40" i="23"/>
  <c r="AE55" i="23"/>
  <c r="AC68" i="23"/>
  <c r="AI10" i="7"/>
  <c r="AK9" i="7"/>
  <c r="AE67" i="7"/>
  <c r="AG33" i="23"/>
  <c r="AC45" i="23"/>
  <c r="AE33" i="23"/>
  <c r="AK67" i="7"/>
  <c r="AC48" i="23"/>
  <c r="AE48" i="7"/>
  <c r="AK19" i="7"/>
  <c r="AC60" i="7"/>
  <c r="AM68" i="23"/>
  <c r="AI45" i="7"/>
  <c r="AG29" i="7"/>
  <c r="AC67" i="23"/>
  <c r="AK12" i="7"/>
  <c r="AG47" i="7"/>
  <c r="AE61" i="23"/>
  <c r="AK49" i="23"/>
  <c r="AI19" i="7"/>
  <c r="AM61" i="23"/>
  <c r="AG68" i="23"/>
  <c r="AI50" i="7"/>
  <c r="AK40" i="23"/>
  <c r="AI26" i="7"/>
  <c r="AE43" i="7"/>
  <c r="AI55" i="23"/>
  <c r="AI57" i="7"/>
  <c r="AG56" i="7"/>
  <c r="AI49" i="23"/>
  <c r="AI44" i="7"/>
  <c r="AK11" i="23"/>
  <c r="AG52" i="23"/>
  <c r="AI14" i="7"/>
  <c r="AK53" i="23"/>
  <c r="AK50" i="23"/>
  <c r="AE68" i="23"/>
  <c r="AE29" i="7"/>
  <c r="AE49" i="7"/>
  <c r="AK57" i="7"/>
  <c r="AM45" i="23"/>
  <c r="AK64" i="7"/>
  <c r="AG53" i="23"/>
  <c r="AC14" i="7"/>
  <c r="AE40" i="7"/>
  <c r="AE42" i="7"/>
  <c r="AI40" i="23"/>
  <c r="AG49" i="7"/>
  <c r="AI48" i="23"/>
  <c r="AE47" i="23"/>
  <c r="AM52" i="23"/>
  <c r="AC37" i="7"/>
  <c r="AC40" i="7"/>
  <c r="AE58" i="7"/>
  <c r="AG9" i="7"/>
  <c r="AC44" i="7"/>
  <c r="AG38" i="7"/>
  <c r="AG48" i="7"/>
  <c r="AG42" i="7"/>
  <c r="AE11" i="7"/>
  <c r="AC15" i="7"/>
  <c r="AG65" i="7"/>
  <c r="AG63" i="23"/>
  <c r="AK37" i="23"/>
  <c r="AK55" i="23"/>
  <c r="AI68" i="7"/>
  <c r="AM40" i="23"/>
  <c r="AE62" i="7"/>
  <c r="AG44" i="23"/>
  <c r="AG13" i="7"/>
  <c r="AG60" i="7"/>
  <c r="AE26" i="7"/>
  <c r="AG18" i="7"/>
  <c r="AC19" i="7"/>
  <c r="AE64" i="7"/>
  <c r="AE9" i="7"/>
  <c r="AI65" i="7"/>
  <c r="AC51" i="23"/>
  <c r="AI60" i="23"/>
  <c r="AM55" i="23"/>
  <c r="AK16" i="23"/>
  <c r="AG45" i="23"/>
  <c r="AC54" i="23"/>
  <c r="AI62" i="23"/>
  <c r="AK47" i="23"/>
  <c r="AC49" i="7"/>
  <c r="AG59" i="23"/>
  <c r="AI42" i="23"/>
  <c r="AC17" i="7"/>
  <c r="AG51" i="7"/>
  <c r="AI59" i="7"/>
  <c r="AK60" i="23"/>
  <c r="AK56" i="23"/>
  <c r="AM44" i="23"/>
  <c r="AI33" i="23"/>
  <c r="AI13" i="7"/>
  <c r="AE52" i="7"/>
  <c r="AK18" i="23"/>
  <c r="AM43" i="23"/>
  <c r="AC68" i="7"/>
  <c r="AK9" i="23"/>
  <c r="AE67" i="23"/>
  <c r="AI27" i="7"/>
  <c r="AI43" i="7"/>
  <c r="AE33" i="7"/>
  <c r="AK67" i="23"/>
  <c r="AE48" i="23"/>
  <c r="AK19" i="23"/>
  <c r="AC60" i="23"/>
  <c r="AM50" i="23"/>
  <c r="AI45" i="23"/>
  <c r="AC67" i="7"/>
  <c r="AE66" i="23"/>
  <c r="AK66" i="7"/>
  <c r="AC41" i="7"/>
  <c r="AE41" i="7"/>
  <c r="AG37" i="7"/>
  <c r="AE38" i="7"/>
  <c r="AM54" i="23"/>
  <c r="AK65" i="23"/>
  <c r="AG43" i="23"/>
  <c r="AK38" i="7"/>
  <c r="AI61" i="7"/>
  <c r="AC13" i="7"/>
  <c r="AE19" i="7"/>
  <c r="AC61" i="7"/>
  <c r="AC33" i="7"/>
  <c r="AI54" i="23"/>
  <c r="AE44" i="23"/>
  <c r="AI63" i="23"/>
  <c r="AE53" i="23"/>
  <c r="AE37" i="23"/>
  <c r="AI64" i="7"/>
  <c r="AK51" i="7"/>
  <c r="AI56" i="23"/>
  <c r="AG17" i="7"/>
  <c r="AK43" i="7"/>
  <c r="AC65" i="23"/>
  <c r="AC24" i="7"/>
  <c r="AE46" i="7"/>
  <c r="AG33" i="7"/>
  <c r="AC56" i="7"/>
  <c r="AE12" i="7"/>
  <c r="AM42" i="23"/>
  <c r="AG54" i="7"/>
  <c r="AG38" i="23"/>
  <c r="AG48" i="23"/>
  <c r="AK13" i="7"/>
  <c r="AI17" i="7"/>
  <c r="AI16" i="7"/>
  <c r="AG28" i="7"/>
  <c r="AC64" i="7"/>
  <c r="AE60" i="7"/>
  <c r="AK54" i="23"/>
  <c r="AI12" i="7"/>
  <c r="AI68" i="23"/>
  <c r="AI25" i="7"/>
  <c r="AI46" i="7"/>
  <c r="AC18" i="7"/>
  <c r="AI37" i="7"/>
  <c r="AK48" i="7"/>
  <c r="AC16" i="7"/>
  <c r="AE64" i="23"/>
  <c r="AI65" i="23"/>
  <c r="AI52" i="23"/>
  <c r="AC51" i="7"/>
  <c r="AG12" i="7"/>
  <c r="AI60" i="7"/>
  <c r="AI31" i="7"/>
  <c r="AG50" i="23"/>
  <c r="AK16" i="7"/>
  <c r="AG45" i="7"/>
  <c r="AC55" i="7"/>
  <c r="AI62" i="7"/>
  <c r="AK47" i="7"/>
  <c r="AC49" i="23"/>
  <c r="AE13" i="7"/>
  <c r="AI42" i="7"/>
  <c r="AE51" i="7"/>
  <c r="AK14" i="23"/>
  <c r="AI47" i="7"/>
  <c r="AM66" i="23"/>
  <c r="AM46" i="23"/>
  <c r="AE52" i="23"/>
  <c r="AK18" i="7"/>
  <c r="AM65" i="23"/>
  <c r="AE14" i="7"/>
  <c r="AG11" i="7"/>
  <c r="AI67" i="7"/>
  <c r="AC11" i="7"/>
  <c r="AI43" i="23"/>
  <c r="AI30" i="7"/>
  <c r="AC12" i="7"/>
  <c r="AK41" i="7"/>
  <c r="AK63" i="7"/>
  <c r="AE10" i="7"/>
  <c r="AG57" i="23"/>
  <c r="AK15" i="7"/>
  <c r="AE31" i="7"/>
  <c r="AG10" i="7"/>
  <c r="AK58" i="7"/>
  <c r="AG25" i="7"/>
  <c r="AG61" i="23"/>
  <c r="AC38" i="7"/>
  <c r="AM51" i="23"/>
  <c r="AI51" i="7"/>
  <c r="AK10" i="7"/>
  <c r="AE55" i="7"/>
  <c r="AC53" i="23"/>
  <c r="AC48" i="7"/>
  <c r="AK21" i="23"/>
  <c r="AG54" i="23"/>
  <c r="AE66" i="7"/>
  <c r="AM59" i="23"/>
  <c r="AK13" i="23"/>
  <c r="AG47" i="23"/>
  <c r="AE27" i="7"/>
  <c r="AK66" i="23"/>
  <c r="AE61" i="7"/>
  <c r="AC64" i="23"/>
  <c r="AE60" i="23"/>
  <c r="AK54" i="7"/>
  <c r="AG64" i="23"/>
  <c r="AI46" i="23"/>
  <c r="AI9" i="7"/>
  <c r="AK34" i="7"/>
  <c r="AI37" i="23"/>
  <c r="AG27" i="7"/>
  <c r="AK48" i="23"/>
  <c r="AI50" i="23"/>
  <c r="AC52" i="7"/>
  <c r="AK65" i="7"/>
  <c r="AK40" i="7"/>
  <c r="AM63" i="23"/>
  <c r="AI52" i="7"/>
  <c r="AK38" i="23"/>
  <c r="AG62" i="23"/>
  <c r="AE43" i="23"/>
  <c r="AG50" i="7"/>
  <c r="AK44" i="23"/>
  <c r="AI55" i="7"/>
  <c r="AC55" i="23"/>
  <c r="AG66" i="7"/>
  <c r="AI57" i="23"/>
  <c r="AG56" i="23"/>
  <c r="AG31" i="7"/>
  <c r="AE51" i="23"/>
  <c r="AK14" i="7"/>
  <c r="AI47" i="23"/>
  <c r="AI44" i="23"/>
  <c r="AI11" i="7"/>
  <c r="AC33" i="23"/>
  <c r="AK11" i="7"/>
  <c r="AG46" i="7"/>
  <c r="AI54" i="7"/>
  <c r="AG52" i="7"/>
  <c r="AI67" i="23"/>
  <c r="AI63" i="7"/>
  <c r="AK53" i="7"/>
  <c r="AC10" i="7"/>
  <c r="AG30" i="7"/>
  <c r="AK41" i="23"/>
  <c r="AK63" i="23"/>
  <c r="AE68" i="7"/>
  <c r="AG57" i="7"/>
  <c r="AK15" i="23"/>
  <c r="AM47" i="23"/>
  <c r="AK62" i="23"/>
  <c r="AG64" i="7"/>
  <c r="AK39" i="23"/>
  <c r="AG41" i="7"/>
  <c r="AC52" i="23"/>
  <c r="AI58" i="23"/>
  <c r="AG62" i="7"/>
  <c r="AK44" i="7"/>
  <c r="AG66" i="23"/>
  <c r="AG39" i="23"/>
  <c r="AG58" i="23"/>
  <c r="AI38" i="7"/>
  <c r="AG46" i="23"/>
  <c r="AG16" i="7"/>
  <c r="AG15" i="7"/>
  <c r="AE50" i="7"/>
  <c r="AM60" i="23"/>
  <c r="AC58" i="23"/>
  <c r="AE45" i="7"/>
  <c r="AI39" i="23"/>
  <c r="AK59" i="7"/>
  <c r="AE54" i="7"/>
  <c r="AE56" i="23"/>
  <c r="AC43" i="23"/>
  <c r="AE65" i="23"/>
  <c r="AK61" i="23"/>
  <c r="AI41" i="7"/>
  <c r="AK68" i="23"/>
  <c r="AI28" i="7"/>
  <c r="AC45" i="7"/>
  <c r="AE39" i="23"/>
  <c r="AC50" i="7"/>
  <c r="AE59" i="23"/>
  <c r="AK12" i="23"/>
  <c r="AC46" i="7"/>
  <c r="AK45" i="23"/>
  <c r="AC66" i="23"/>
  <c r="AE63" i="23"/>
  <c r="AK62" i="7"/>
  <c r="AK58" i="23"/>
  <c r="AC41" i="23"/>
  <c r="AK49" i="7"/>
  <c r="AI66" i="23"/>
  <c r="AE17" i="7"/>
  <c r="AE41" i="23"/>
  <c r="AE32" i="7"/>
  <c r="AG37" i="23"/>
  <c r="AK39" i="7"/>
  <c r="AG68" i="7"/>
  <c r="AE38" i="23"/>
  <c r="AG41" i="23"/>
  <c r="AK22" i="23"/>
  <c r="AK42" i="7"/>
  <c r="AI29" i="7"/>
  <c r="AG19" i="7"/>
  <c r="AC47" i="7"/>
  <c r="AG43" i="7"/>
  <c r="AI58" i="7"/>
  <c r="AG55" i="23"/>
  <c r="AG40" i="23"/>
  <c r="AC59" i="7"/>
  <c r="AC9" i="7"/>
  <c r="AI61" i="23"/>
  <c r="AE25" i="7"/>
  <c r="AG20" i="7"/>
  <c r="AC42" i="7"/>
  <c r="AM56" i="23"/>
  <c r="AG39" i="7"/>
  <c r="AG67" i="23"/>
  <c r="AE57" i="7"/>
  <c r="AI49" i="7"/>
  <c r="AG58" i="7"/>
  <c r="AC61" i="23"/>
  <c r="AE28" i="7"/>
  <c r="AI38" i="23"/>
  <c r="AI32" i="7"/>
  <c r="AC57" i="7"/>
  <c r="AE24" i="7"/>
  <c r="AG32" i="7"/>
  <c r="AM41" i="23"/>
  <c r="AE44" i="7"/>
  <c r="AK46" i="7"/>
  <c r="AK17" i="7"/>
  <c r="AE50" i="23"/>
  <c r="AE53" i="7"/>
  <c r="AK23" i="7"/>
  <c r="AK50" i="7"/>
  <c r="AE37" i="7"/>
  <c r="AE20" i="7"/>
  <c r="AK52" i="23"/>
  <c r="AI64" i="23"/>
  <c r="AK35" i="7"/>
  <c r="AC62" i="23"/>
  <c r="AC39" i="23"/>
  <c r="AI20" i="7"/>
  <c r="AK20" i="23"/>
  <c r="AC63" i="7"/>
  <c r="AM39" i="23"/>
  <c r="AC50" i="23"/>
  <c r="AE59" i="7"/>
  <c r="AE49" i="23"/>
  <c r="AM49" i="23"/>
  <c r="AC46" i="23"/>
  <c r="AK45" i="7"/>
  <c r="AC66" i="7"/>
  <c r="AE63" i="7"/>
  <c r="AK64" i="23"/>
  <c r="AG53" i="7"/>
  <c r="AE45" i="23"/>
  <c r="AM53" i="23"/>
  <c r="AI66" i="7"/>
  <c r="AE42" i="23"/>
  <c r="AE16" i="7"/>
  <c r="AI24" i="7"/>
  <c r="AK59" i="23"/>
  <c r="AI56" i="7"/>
  <c r="AI40" i="7"/>
  <c r="AE54" i="23"/>
  <c r="AK22" i="7"/>
  <c r="AK42" i="23"/>
  <c r="AC47" i="23"/>
  <c r="AK43" i="23"/>
  <c r="AC43" i="7"/>
  <c r="AG55" i="7"/>
  <c r="AG40" i="7"/>
  <c r="AC59" i="23"/>
  <c r="AI48" i="7"/>
  <c r="AC20" i="7"/>
  <c r="AM58" i="23"/>
  <c r="AC42" i="23"/>
  <c r="AI51" i="23"/>
  <c r="AI15" i="7"/>
  <c r="AG67" i="7"/>
  <c r="AE57" i="23"/>
  <c r="AC65" i="7"/>
  <c r="AC37" i="23"/>
  <c r="AK10" i="23"/>
  <c r="AM37" i="23"/>
  <c r="AC57" i="23"/>
  <c r="AM48" i="23"/>
  <c r="AE46" i="23"/>
  <c r="AC63" i="23"/>
  <c r="AG26" i="7"/>
  <c r="AC53" i="7"/>
  <c r="AM67" i="23"/>
  <c r="AK46" i="23"/>
  <c r="AK17" i="23"/>
  <c r="AC56" i="23"/>
  <c r="AM38" i="23"/>
  <c r="AK23" i="23"/>
  <c r="AE58" i="23"/>
  <c r="AE39" i="7"/>
  <c r="AK21" i="7"/>
  <c r="AK52" i="7"/>
  <c r="AI18" i="7"/>
  <c r="AI53" i="7"/>
  <c r="AM62" i="23"/>
  <c r="AC25" i="7"/>
  <c r="AC31" i="7"/>
  <c r="AC30" i="7"/>
  <c r="AC29" i="7"/>
  <c r="AC28" i="7"/>
  <c r="AC27" i="7"/>
  <c r="AC26" i="7"/>
  <c r="L26" i="7" l="1"/>
  <c r="L27" i="7"/>
  <c r="L28" i="7"/>
  <c r="L29" i="7"/>
  <c r="L30" i="7"/>
  <c r="L31" i="7"/>
  <c r="L25" i="7"/>
  <c r="AA62" i="23"/>
  <c r="U53" i="7"/>
  <c r="U18" i="7"/>
  <c r="X52" i="7"/>
  <c r="X21" i="7"/>
  <c r="O39" i="7"/>
  <c r="O58" i="23"/>
  <c r="X23" i="23"/>
  <c r="AA38" i="23"/>
  <c r="L56" i="23"/>
  <c r="X17" i="23"/>
  <c r="X46" i="23"/>
  <c r="AA67" i="23"/>
  <c r="L53" i="7"/>
  <c r="R26" i="7"/>
  <c r="L63" i="23"/>
  <c r="O46" i="23"/>
  <c r="AA48" i="23"/>
  <c r="L57" i="23"/>
  <c r="AA37" i="23"/>
  <c r="X10" i="23"/>
  <c r="L37" i="23"/>
  <c r="L65" i="7"/>
  <c r="O57" i="23"/>
  <c r="R67" i="7"/>
  <c r="U15" i="7"/>
  <c r="U51" i="23"/>
  <c r="L42" i="23"/>
  <c r="AA58" i="23"/>
  <c r="L20" i="7"/>
  <c r="U48" i="7"/>
  <c r="L59" i="23"/>
  <c r="R40" i="7"/>
  <c r="R55" i="7"/>
  <c r="L43" i="7"/>
  <c r="X43" i="23"/>
  <c r="L47" i="23"/>
  <c r="X42" i="23"/>
  <c r="X22" i="7"/>
  <c r="O54" i="23"/>
  <c r="U40" i="7"/>
  <c r="U56" i="7"/>
  <c r="X59" i="23"/>
  <c r="U24" i="7"/>
  <c r="O16" i="7"/>
  <c r="O42" i="23"/>
  <c r="U66" i="7"/>
  <c r="AA53" i="23"/>
  <c r="O45" i="23"/>
  <c r="R53" i="7"/>
  <c r="X64" i="23"/>
  <c r="O63" i="7"/>
  <c r="L66" i="7"/>
  <c r="X45" i="7"/>
  <c r="L46" i="23"/>
  <c r="AA49" i="23"/>
  <c r="O49" i="23"/>
  <c r="O59" i="7"/>
  <c r="L50" i="23"/>
  <c r="AA39" i="23"/>
  <c r="L63" i="7"/>
  <c r="X20" i="23"/>
  <c r="U20" i="7"/>
  <c r="L39" i="23"/>
  <c r="L62" i="23"/>
  <c r="X35" i="7"/>
  <c r="U64" i="23"/>
  <c r="X52" i="23"/>
  <c r="O20" i="7"/>
  <c r="O37" i="7"/>
  <c r="X50" i="7"/>
  <c r="X23" i="7"/>
  <c r="O53" i="7"/>
  <c r="O50" i="23"/>
  <c r="X17" i="7"/>
  <c r="X46" i="7"/>
  <c r="O44" i="7"/>
  <c r="AA41" i="23"/>
  <c r="R32" i="7"/>
  <c r="O24" i="7"/>
  <c r="L57" i="7"/>
  <c r="U32" i="7"/>
  <c r="U38" i="23"/>
  <c r="O28" i="7"/>
  <c r="L61" i="23"/>
  <c r="R58" i="7"/>
  <c r="U49" i="7"/>
  <c r="O57" i="7"/>
  <c r="R67" i="23"/>
  <c r="R39" i="7"/>
  <c r="AA56" i="23"/>
  <c r="L42" i="7"/>
  <c r="R20" i="7"/>
  <c r="O25" i="7"/>
  <c r="U61" i="23"/>
  <c r="L9" i="7"/>
  <c r="L59" i="7"/>
  <c r="R40" i="23"/>
  <c r="R55" i="23"/>
  <c r="U58" i="7"/>
  <c r="R43" i="7"/>
  <c r="L47" i="7"/>
  <c r="R19" i="7"/>
  <c r="U29" i="7"/>
  <c r="X42" i="7"/>
  <c r="X22" i="23"/>
  <c r="R41" i="23"/>
  <c r="O38" i="23"/>
  <c r="R68" i="7"/>
  <c r="X39" i="7"/>
  <c r="R37" i="23"/>
  <c r="O32" i="7"/>
  <c r="O41" i="23"/>
  <c r="O17" i="7"/>
  <c r="U66" i="23"/>
  <c r="X49" i="7"/>
  <c r="L41" i="23"/>
  <c r="X58" i="23"/>
  <c r="X62" i="7"/>
  <c r="O63" i="23"/>
  <c r="L66" i="23"/>
  <c r="X45" i="23"/>
  <c r="L46" i="7"/>
  <c r="X12" i="23"/>
  <c r="O59" i="23"/>
  <c r="L50" i="7"/>
  <c r="O39" i="23"/>
  <c r="L45" i="7"/>
  <c r="U28" i="7"/>
  <c r="X68" i="23"/>
  <c r="U41" i="7"/>
  <c r="X61" i="23"/>
  <c r="O65" i="23"/>
  <c r="L43" i="23"/>
  <c r="O56" i="23"/>
  <c r="O54" i="7"/>
  <c r="X59" i="7"/>
  <c r="U39" i="23"/>
  <c r="O45" i="7"/>
  <c r="L58" i="23"/>
  <c r="AA60" i="23"/>
  <c r="O50" i="7"/>
  <c r="R15" i="7"/>
  <c r="R16" i="7"/>
  <c r="R46" i="23"/>
  <c r="U38" i="7"/>
  <c r="R58" i="23"/>
  <c r="R39" i="23"/>
  <c r="R66" i="23"/>
  <c r="X44" i="7"/>
  <c r="R62" i="7"/>
  <c r="U58" i="23"/>
  <c r="L52" i="23"/>
  <c r="R41" i="7"/>
  <c r="X39" i="23"/>
  <c r="R64" i="7"/>
  <c r="X62" i="23"/>
  <c r="AA47" i="23"/>
  <c r="X15" i="23"/>
  <c r="R57" i="7"/>
  <c r="O68" i="7"/>
  <c r="X63" i="23"/>
  <c r="X41" i="23"/>
  <c r="R30" i="7"/>
  <c r="L10" i="7"/>
  <c r="X53" i="7"/>
  <c r="U63" i="7"/>
  <c r="U67" i="23"/>
  <c r="R52" i="7"/>
  <c r="U54" i="7"/>
  <c r="R46" i="7"/>
  <c r="X11" i="7"/>
  <c r="L33" i="23"/>
  <c r="U11" i="7"/>
  <c r="U44" i="23"/>
  <c r="U47" i="23"/>
  <c r="X14" i="7"/>
  <c r="O51" i="23"/>
  <c r="R31" i="7"/>
  <c r="R56" i="23"/>
  <c r="U57" i="23"/>
  <c r="R66" i="7"/>
  <c r="L55" i="23"/>
  <c r="U55" i="7"/>
  <c r="X44" i="23"/>
  <c r="R50" i="7"/>
  <c r="O43" i="23"/>
  <c r="R62" i="23"/>
  <c r="X38" i="23"/>
  <c r="U52" i="7"/>
  <c r="AA63" i="23"/>
  <c r="X40" i="7"/>
  <c r="X65" i="7"/>
  <c r="L52" i="7"/>
  <c r="U50" i="23"/>
  <c r="X48" i="23"/>
  <c r="R27" i="7"/>
  <c r="U37" i="23"/>
  <c r="X34" i="7"/>
  <c r="U9" i="7"/>
  <c r="U46" i="23"/>
  <c r="R64" i="23"/>
  <c r="X54" i="7"/>
  <c r="O60" i="23"/>
  <c r="L64" i="23"/>
  <c r="O61" i="7"/>
  <c r="X66" i="23"/>
  <c r="O27" i="7"/>
  <c r="R47" i="23"/>
  <c r="X13" i="23"/>
  <c r="AA59" i="23"/>
  <c r="O66" i="7"/>
  <c r="R54" i="23"/>
  <c r="X21" i="23"/>
  <c r="L48" i="7"/>
  <c r="L53" i="23"/>
  <c r="O55" i="7"/>
  <c r="X10" i="7"/>
  <c r="U51" i="7"/>
  <c r="AA51" i="23"/>
  <c r="L38" i="7"/>
  <c r="R61" i="23"/>
  <c r="R25" i="7"/>
  <c r="X58" i="7"/>
  <c r="R10" i="7"/>
  <c r="O31" i="7"/>
  <c r="X15" i="7"/>
  <c r="R57" i="23"/>
  <c r="O10" i="7"/>
  <c r="X63" i="7"/>
  <c r="X41" i="7"/>
  <c r="L12" i="7"/>
  <c r="U30" i="7"/>
  <c r="U43" i="23"/>
  <c r="L11" i="7"/>
  <c r="U67" i="7"/>
  <c r="R11" i="7"/>
  <c r="O14" i="7"/>
  <c r="AA65" i="23"/>
  <c r="X18" i="7"/>
  <c r="O52" i="23"/>
  <c r="AA46" i="23"/>
  <c r="AA66" i="23"/>
  <c r="U47" i="7"/>
  <c r="X14" i="23"/>
  <c r="O51" i="7"/>
  <c r="U42" i="7"/>
  <c r="O13" i="7"/>
  <c r="L49" i="23"/>
  <c r="X47" i="7"/>
  <c r="U62" i="7"/>
  <c r="L55" i="7"/>
  <c r="R45" i="7"/>
  <c r="X16" i="7"/>
  <c r="R50" i="23"/>
  <c r="U31" i="7"/>
  <c r="U60" i="7"/>
  <c r="R12" i="7"/>
  <c r="L51" i="7"/>
  <c r="U52" i="23"/>
  <c r="U65" i="23"/>
  <c r="O64" i="23"/>
  <c r="L16" i="7"/>
  <c r="X48" i="7"/>
  <c r="U37" i="7"/>
  <c r="L18" i="7"/>
  <c r="U46" i="7"/>
  <c r="U25" i="7"/>
  <c r="U68" i="23"/>
  <c r="U12" i="7"/>
  <c r="X54" i="23"/>
  <c r="O60" i="7"/>
  <c r="L64" i="7"/>
  <c r="R28" i="7"/>
  <c r="U16" i="7"/>
  <c r="U17" i="7"/>
  <c r="X13" i="7"/>
  <c r="R48" i="23"/>
  <c r="R38" i="23"/>
  <c r="R54" i="7"/>
  <c r="AA42" i="23"/>
  <c r="O12" i="7"/>
  <c r="L56" i="7"/>
  <c r="R33" i="7"/>
  <c r="O46" i="7"/>
  <c r="L24" i="7"/>
  <c r="L65" i="23"/>
  <c r="X43" i="7"/>
  <c r="R17" i="7"/>
  <c r="U56" i="23"/>
  <c r="X51" i="7"/>
  <c r="U64" i="7"/>
  <c r="O37" i="23"/>
  <c r="O53" i="23"/>
  <c r="U63" i="23"/>
  <c r="O44" i="23"/>
  <c r="U54" i="23"/>
  <c r="L33" i="7"/>
  <c r="L61" i="7"/>
  <c r="O19" i="7"/>
  <c r="L13" i="7"/>
  <c r="U61" i="7"/>
  <c r="X38" i="7"/>
  <c r="R43" i="23"/>
  <c r="X65" i="23"/>
  <c r="AA54" i="23"/>
  <c r="O38" i="7"/>
  <c r="R37" i="7"/>
  <c r="O41" i="7"/>
  <c r="L41" i="7"/>
  <c r="X66" i="7"/>
  <c r="O66" i="23"/>
  <c r="L67" i="7"/>
  <c r="U45" i="23"/>
  <c r="AA50" i="23"/>
  <c r="L60" i="23"/>
  <c r="X19" i="23"/>
  <c r="O48" i="23"/>
  <c r="X67" i="23"/>
  <c r="O33" i="7"/>
  <c r="U43" i="7"/>
  <c r="U27" i="7"/>
  <c r="O67" i="23"/>
  <c r="X9" i="23"/>
  <c r="L68" i="7"/>
  <c r="AA43" i="23"/>
  <c r="X18" i="23"/>
  <c r="O52" i="7"/>
  <c r="U13" i="7"/>
  <c r="U33" i="23"/>
  <c r="AA44" i="23"/>
  <c r="X56" i="23"/>
  <c r="X60" i="23"/>
  <c r="U59" i="7"/>
  <c r="R51" i="7"/>
  <c r="L17" i="7"/>
  <c r="U42" i="23"/>
  <c r="R59" i="23"/>
  <c r="L49" i="7"/>
  <c r="X47" i="23"/>
  <c r="U62" i="23"/>
  <c r="L54" i="23"/>
  <c r="R45" i="23"/>
  <c r="X16" i="23"/>
  <c r="AA55" i="23"/>
  <c r="U60" i="23"/>
  <c r="L51" i="23"/>
  <c r="U65" i="7"/>
  <c r="O9" i="7"/>
  <c r="O64" i="7"/>
  <c r="L19" i="7"/>
  <c r="R18" i="7"/>
  <c r="O26" i="7"/>
  <c r="R60" i="7"/>
  <c r="R13" i="7"/>
  <c r="R44" i="23"/>
  <c r="O62" i="7"/>
  <c r="AA40" i="23"/>
  <c r="U68" i="7"/>
  <c r="X55" i="23"/>
  <c r="X37" i="23"/>
  <c r="R63" i="23"/>
  <c r="R65" i="7"/>
  <c r="L15" i="7"/>
  <c r="O11" i="7"/>
  <c r="R42" i="7"/>
  <c r="R48" i="7"/>
  <c r="R38" i="7"/>
  <c r="L44" i="7"/>
  <c r="R9" i="7"/>
  <c r="O58" i="7"/>
  <c r="L40" i="7"/>
  <c r="L37" i="7"/>
  <c r="AA52" i="23"/>
  <c r="O47" i="23"/>
  <c r="U48" i="23"/>
  <c r="R49" i="7"/>
  <c r="U40" i="23"/>
  <c r="O42" i="7"/>
  <c r="O40" i="7"/>
  <c r="L14" i="7"/>
  <c r="R53" i="23"/>
  <c r="X64" i="7"/>
  <c r="AA45" i="23"/>
  <c r="X57" i="7"/>
  <c r="O49" i="7"/>
  <c r="O29" i="7"/>
  <c r="O68" i="23"/>
  <c r="X50" i="23"/>
  <c r="X53" i="23"/>
  <c r="U14" i="7"/>
  <c r="R52" i="23"/>
  <c r="X11" i="23"/>
  <c r="U44" i="7"/>
  <c r="U49" i="23"/>
  <c r="R56" i="7"/>
  <c r="U57" i="7"/>
  <c r="U55" i="23"/>
  <c r="O43" i="7"/>
  <c r="U26" i="7"/>
  <c r="X40" i="23"/>
  <c r="U50" i="7"/>
  <c r="R68" i="23"/>
  <c r="AA61" i="23"/>
  <c r="U19" i="7"/>
  <c r="X49" i="23"/>
  <c r="O61" i="23"/>
  <c r="R47" i="7"/>
  <c r="X12" i="7"/>
  <c r="L67" i="23"/>
  <c r="R29" i="7"/>
  <c r="U45" i="7"/>
  <c r="AA68" i="23"/>
  <c r="L60" i="7"/>
  <c r="X19" i="7"/>
  <c r="O48" i="7"/>
  <c r="L48" i="23"/>
  <c r="X67" i="7"/>
  <c r="O33" i="23"/>
  <c r="L45" i="23"/>
  <c r="R33" i="23"/>
  <c r="O67" i="7"/>
  <c r="X9" i="7"/>
  <c r="U10" i="7"/>
  <c r="L68" i="23"/>
  <c r="O55" i="23"/>
  <c r="L40" i="23"/>
  <c r="X20" i="7"/>
  <c r="U33" i="7"/>
  <c r="X68" i="7"/>
  <c r="X56" i="7"/>
  <c r="X60" i="7"/>
  <c r="U59" i="23"/>
  <c r="R51" i="23"/>
  <c r="U41" i="23"/>
  <c r="AA33" i="23"/>
  <c r="R59" i="7"/>
  <c r="O30" i="7"/>
  <c r="R14" i="7"/>
  <c r="X61" i="7"/>
  <c r="L54" i="7"/>
  <c r="O47" i="7"/>
  <c r="AA64" i="23"/>
  <c r="O65" i="7"/>
  <c r="O18" i="7"/>
  <c r="R49" i="23"/>
  <c r="AA57" i="23"/>
  <c r="R24" i="7"/>
  <c r="L38" i="23"/>
  <c r="O56" i="7"/>
  <c r="O15" i="7"/>
  <c r="L39" i="7"/>
  <c r="X36" i="7"/>
  <c r="R60" i="23"/>
  <c r="R44" i="7"/>
  <c r="O62" i="23"/>
  <c r="U39" i="7"/>
  <c r="O40" i="23"/>
  <c r="X55" i="7"/>
  <c r="X37" i="7"/>
  <c r="R63" i="7"/>
  <c r="R65" i="23"/>
  <c r="X57" i="23"/>
  <c r="X51" i="23"/>
  <c r="L62" i="7"/>
  <c r="L58" i="7"/>
  <c r="R42" i="23"/>
  <c r="R61" i="7"/>
  <c r="U53" i="23"/>
  <c r="L44" i="23"/>
  <c r="AD26" i="7"/>
  <c r="AD27" i="7"/>
  <c r="AD28" i="7"/>
  <c r="AD29" i="7"/>
  <c r="AD30" i="7"/>
  <c r="AD31" i="7"/>
  <c r="AD25" i="7"/>
  <c r="AN62" i="23"/>
  <c r="AJ18" i="7"/>
  <c r="AL17" i="23"/>
  <c r="AD57" i="23"/>
  <c r="AJ51" i="23"/>
  <c r="AD43" i="7"/>
  <c r="AL59" i="23"/>
  <c r="AL64" i="23"/>
  <c r="AD50" i="23"/>
  <c r="AJ64" i="23"/>
  <c r="AL17" i="7"/>
  <c r="AJ38" i="23"/>
  <c r="AN56" i="23"/>
  <c r="AH55" i="23"/>
  <c r="AH41" i="23"/>
  <c r="AJ66" i="23"/>
  <c r="AD46" i="7"/>
  <c r="AF39" i="23"/>
  <c r="AF56" i="23"/>
  <c r="AH16" i="7"/>
  <c r="AJ58" i="23"/>
  <c r="AH30" i="7"/>
  <c r="AL11" i="7"/>
  <c r="AH56" i="23"/>
  <c r="AH62" i="23"/>
  <c r="AL48" i="23"/>
  <c r="AF60" i="23"/>
  <c r="AF66" i="7"/>
  <c r="AN51" i="23"/>
  <c r="AL58" i="7"/>
  <c r="AF10" i="7"/>
  <c r="AH11" i="7"/>
  <c r="AL14" i="23"/>
  <c r="AH45" i="7"/>
  <c r="AJ65" i="23"/>
  <c r="AJ68" i="23"/>
  <c r="AL13" i="7"/>
  <c r="AF46" i="7"/>
  <c r="AD33" i="7"/>
  <c r="AN54" i="23"/>
  <c r="AD60" i="23"/>
  <c r="AL9" i="23"/>
  <c r="AL56" i="23"/>
  <c r="AL47" i="23"/>
  <c r="AJ65" i="7"/>
  <c r="AH44" i="23"/>
  <c r="AD15" i="7"/>
  <c r="AH9" i="7"/>
  <c r="AJ40" i="23"/>
  <c r="AF49" i="7"/>
  <c r="AL11" i="23"/>
  <c r="AL40" i="23"/>
  <c r="AL12" i="7"/>
  <c r="AD60" i="7"/>
  <c r="AF67" i="7"/>
  <c r="AL68" i="7"/>
  <c r="AF30" i="7"/>
  <c r="AH49" i="23"/>
  <c r="AH60" i="23"/>
  <c r="AH65" i="23"/>
  <c r="AD44" i="23"/>
  <c r="AL67" i="23"/>
  <c r="AJ68" i="7"/>
  <c r="AJ59" i="23"/>
  <c r="AD62" i="7"/>
  <c r="AD65" i="7"/>
  <c r="AL22" i="7"/>
  <c r="AL20" i="23"/>
  <c r="AH32" i="7"/>
  <c r="AH19" i="7"/>
  <c r="AF45" i="7"/>
  <c r="AH39" i="23"/>
  <c r="AJ67" i="23"/>
  <c r="AJ9" i="7"/>
  <c r="AJ30" i="7"/>
  <c r="AD49" i="23"/>
  <c r="AD64" i="7"/>
  <c r="AD41" i="7"/>
  <c r="AD17" i="7"/>
  <c r="AL55" i="23"/>
  <c r="AJ57" i="7"/>
  <c r="AJ53" i="7"/>
  <c r="AL52" i="7"/>
  <c r="AL46" i="23"/>
  <c r="AN37" i="23"/>
  <c r="AD42" i="23"/>
  <c r="AL43" i="23"/>
  <c r="AJ24" i="7"/>
  <c r="AF63" i="7"/>
  <c r="AL52" i="23"/>
  <c r="AL46" i="7"/>
  <c r="AF28" i="7"/>
  <c r="AD42" i="7"/>
  <c r="AJ58" i="7"/>
  <c r="AF38" i="23"/>
  <c r="AL49" i="7"/>
  <c r="AL12" i="23"/>
  <c r="AD45" i="7"/>
  <c r="AF54" i="7"/>
  <c r="AH46" i="23"/>
  <c r="AD52" i="23"/>
  <c r="AD10" i="7"/>
  <c r="AD33" i="23"/>
  <c r="AJ57" i="23"/>
  <c r="AL38" i="23"/>
  <c r="AH27" i="7"/>
  <c r="AD64" i="23"/>
  <c r="AH54" i="23"/>
  <c r="AD38" i="7"/>
  <c r="AH10" i="7"/>
  <c r="AL63" i="7"/>
  <c r="AF14" i="7"/>
  <c r="AF51" i="7"/>
  <c r="AL16" i="7"/>
  <c r="AF64" i="23"/>
  <c r="AJ12" i="7"/>
  <c r="AH48" i="23"/>
  <c r="AD24" i="7"/>
  <c r="AD61" i="7"/>
  <c r="AF38" i="7"/>
  <c r="AL19" i="23"/>
  <c r="AD68" i="7"/>
  <c r="AL60" i="23"/>
  <c r="AJ62" i="23"/>
  <c r="AF9" i="7"/>
  <c r="AF62" i="7"/>
  <c r="AF11" i="7"/>
  <c r="AF58" i="7"/>
  <c r="AF42" i="7"/>
  <c r="AJ44" i="7"/>
  <c r="AJ50" i="7"/>
  <c r="AL19" i="7"/>
  <c r="AL9" i="7"/>
  <c r="AL56" i="7"/>
  <c r="AH14" i="7"/>
  <c r="AN57" i="23"/>
  <c r="AH44" i="7"/>
  <c r="AL57" i="23"/>
  <c r="AH48" i="7"/>
  <c r="AF68" i="23"/>
  <c r="AH56" i="7"/>
  <c r="AD54" i="7"/>
  <c r="AJ39" i="7"/>
  <c r="AH26" i="7"/>
  <c r="AJ66" i="7"/>
  <c r="AL50" i="7"/>
  <c r="AJ61" i="23"/>
  <c r="AJ41" i="7"/>
  <c r="AH64" i="7"/>
  <c r="AH57" i="7"/>
  <c r="AJ47" i="23"/>
  <c r="AF27" i="7"/>
  <c r="AF52" i="23"/>
  <c r="AJ60" i="7"/>
  <c r="AH17" i="7"/>
  <c r="AJ61" i="7"/>
  <c r="AF33" i="7"/>
  <c r="AH18" i="7"/>
  <c r="AL21" i="7"/>
  <c r="AN67" i="23"/>
  <c r="AL10" i="23"/>
  <c r="AN58" i="23"/>
  <c r="AD47" i="23"/>
  <c r="AF16" i="7"/>
  <c r="AD66" i="7"/>
  <c r="AN39" i="23"/>
  <c r="AF20" i="7"/>
  <c r="AF44" i="7"/>
  <c r="AD61" i="23"/>
  <c r="AH20" i="7"/>
  <c r="AH43" i="7"/>
  <c r="AH68" i="7"/>
  <c r="AD41" i="23"/>
  <c r="AF59" i="23"/>
  <c r="AJ28" i="7"/>
  <c r="AL59" i="7"/>
  <c r="AJ38" i="7"/>
  <c r="AH41" i="7"/>
  <c r="AL53" i="7"/>
  <c r="AJ11" i="7"/>
  <c r="AH66" i="7"/>
  <c r="AJ52" i="7"/>
  <c r="AJ37" i="23"/>
  <c r="AF61" i="7"/>
  <c r="AL21" i="23"/>
  <c r="AH61" i="23"/>
  <c r="AL41" i="7"/>
  <c r="AN65" i="23"/>
  <c r="AJ42" i="7"/>
  <c r="AH50" i="23"/>
  <c r="AD16" i="7"/>
  <c r="AL54" i="23"/>
  <c r="AH38" i="23"/>
  <c r="AD65" i="23"/>
  <c r="AJ64" i="7"/>
  <c r="AF19" i="7"/>
  <c r="AH37" i="7"/>
  <c r="AF48" i="23"/>
  <c r="AN43" i="23"/>
  <c r="AJ59" i="7"/>
  <c r="AD54" i="23"/>
  <c r="AF64" i="7"/>
  <c r="AN40" i="23"/>
  <c r="AH42" i="7"/>
  <c r="AD40" i="7"/>
  <c r="AF40" i="7"/>
  <c r="AF29" i="7"/>
  <c r="AJ49" i="23"/>
  <c r="AH68" i="23"/>
  <c r="AF48" i="7"/>
  <c r="AJ10" i="7"/>
  <c r="AL60" i="7"/>
  <c r="AL61" i="7"/>
  <c r="AH24" i="7"/>
  <c r="AF62" i="23"/>
  <c r="AL51" i="23"/>
  <c r="AH45" i="23"/>
  <c r="AD14" i="7"/>
  <c r="AN61" i="23"/>
  <c r="AD48" i="23"/>
  <c r="AD38" i="23"/>
  <c r="AF58" i="23"/>
  <c r="AJ48" i="7"/>
  <c r="AD46" i="23"/>
  <c r="AJ49" i="7"/>
  <c r="AL62" i="7"/>
  <c r="AJ55" i="7"/>
  <c r="AD53" i="23"/>
  <c r="AF52" i="7"/>
  <c r="AH53" i="23"/>
  <c r="AF39" i="7"/>
  <c r="AD53" i="7"/>
  <c r="AD37" i="23"/>
  <c r="AD20" i="7"/>
  <c r="AL42" i="23"/>
  <c r="AF42" i="23"/>
  <c r="AL45" i="7"/>
  <c r="AD63" i="7"/>
  <c r="AF37" i="7"/>
  <c r="AN41" i="23"/>
  <c r="AH58" i="7"/>
  <c r="AF25" i="7"/>
  <c r="AD47" i="7"/>
  <c r="AL39" i="7"/>
  <c r="AL58" i="23"/>
  <c r="AD50" i="7"/>
  <c r="AL68" i="23"/>
  <c r="AJ39" i="23"/>
  <c r="AH58" i="23"/>
  <c r="AL39" i="23"/>
  <c r="AL15" i="23"/>
  <c r="AJ63" i="7"/>
  <c r="AJ44" i="23"/>
  <c r="AD55" i="23"/>
  <c r="AN63" i="23"/>
  <c r="AL34" i="7"/>
  <c r="AL66" i="23"/>
  <c r="AD48" i="7"/>
  <c r="AD12" i="7"/>
  <c r="AL18" i="7"/>
  <c r="AF13" i="7"/>
  <c r="AJ31" i="7"/>
  <c r="AL48" i="7"/>
  <c r="AF60" i="7"/>
  <c r="AH54" i="7"/>
  <c r="AL43" i="7"/>
  <c r="AF37" i="23"/>
  <c r="AD13" i="7"/>
  <c r="AF41" i="7"/>
  <c r="AL18" i="23"/>
  <c r="AH51" i="7"/>
  <c r="AD19" i="7"/>
  <c r="AD37" i="7"/>
  <c r="AD68" i="23"/>
  <c r="AH37" i="23"/>
  <c r="AL40" i="7"/>
  <c r="AJ37" i="7"/>
  <c r="AF53" i="23"/>
  <c r="AN52" i="23"/>
  <c r="AL23" i="23"/>
  <c r="AD63" i="23"/>
  <c r="AF57" i="23"/>
  <c r="AD59" i="23"/>
  <c r="AF54" i="23"/>
  <c r="AN53" i="23"/>
  <c r="AN49" i="23"/>
  <c r="AJ20" i="7"/>
  <c r="AL23" i="7"/>
  <c r="AF24" i="7"/>
  <c r="AF57" i="7"/>
  <c r="AD9" i="7"/>
  <c r="AJ29" i="7"/>
  <c r="AF32" i="7"/>
  <c r="AF63" i="23"/>
  <c r="AL61" i="23"/>
  <c r="AD58" i="23"/>
  <c r="AN60" i="23"/>
  <c r="AH66" i="23"/>
  <c r="AL62" i="23"/>
  <c r="AF68" i="7"/>
  <c r="AH52" i="7"/>
  <c r="AL14" i="7"/>
  <c r="AL44" i="23"/>
  <c r="AL65" i="7"/>
  <c r="AJ46" i="23"/>
  <c r="AH47" i="23"/>
  <c r="AF55" i="7"/>
  <c r="AF31" i="7"/>
  <c r="AJ43" i="23"/>
  <c r="AN46" i="23"/>
  <c r="AL47" i="7"/>
  <c r="AH12" i="7"/>
  <c r="AD18" i="7"/>
  <c r="AH28" i="7"/>
  <c r="AF12" i="7"/>
  <c r="AJ56" i="23"/>
  <c r="AJ63" i="23"/>
  <c r="AL38" i="7"/>
  <c r="AL66" i="7"/>
  <c r="AD67" i="7"/>
  <c r="AJ43" i="7"/>
  <c r="AJ13" i="7"/>
  <c r="AJ42" i="23"/>
  <c r="AN55" i="23"/>
  <c r="AF26" i="7"/>
  <c r="AL37" i="23"/>
  <c r="AD44" i="7"/>
  <c r="AF47" i="23"/>
  <c r="AL64" i="7"/>
  <c r="AL53" i="23"/>
  <c r="AJ55" i="23"/>
  <c r="AL49" i="23"/>
  <c r="AH29" i="7"/>
  <c r="AF33" i="23"/>
  <c r="AD40" i="23"/>
  <c r="AJ41" i="23"/>
  <c r="AN64" i="23"/>
  <c r="AF15" i="7"/>
  <c r="AL55" i="7"/>
  <c r="AH42" i="23"/>
  <c r="AF43" i="23"/>
  <c r="AH57" i="23"/>
  <c r="AD55" i="7"/>
  <c r="AJ17" i="7"/>
  <c r="AL65" i="23"/>
  <c r="AN50" i="23"/>
  <c r="AN44" i="23"/>
  <c r="AD51" i="23"/>
  <c r="AH49" i="7"/>
  <c r="AH52" i="23"/>
  <c r="AH47" i="7"/>
  <c r="AN68" i="23"/>
  <c r="AJ33" i="7"/>
  <c r="AF18" i="7"/>
  <c r="AH63" i="7"/>
  <c r="AJ53" i="23"/>
  <c r="AL16" i="23"/>
  <c r="AL50" i="23"/>
  <c r="AN38" i="23"/>
  <c r="AF46" i="23"/>
  <c r="AH67" i="7"/>
  <c r="AH40" i="7"/>
  <c r="AJ40" i="7"/>
  <c r="AF45" i="23"/>
  <c r="AF49" i="23"/>
  <c r="AD39" i="23"/>
  <c r="AF53" i="7"/>
  <c r="AD57" i="7"/>
  <c r="AH67" i="23"/>
  <c r="AD59" i="7"/>
  <c r="AL42" i="7"/>
  <c r="AF41" i="23"/>
  <c r="AD66" i="23"/>
  <c r="AF65" i="23"/>
  <c r="AF50" i="7"/>
  <c r="AL44" i="7"/>
  <c r="AN47" i="23"/>
  <c r="AL63" i="23"/>
  <c r="AJ54" i="7"/>
  <c r="AF51" i="23"/>
  <c r="AH50" i="7"/>
  <c r="AD52" i="7"/>
  <c r="AH64" i="23"/>
  <c r="AL13" i="23"/>
  <c r="AL10" i="7"/>
  <c r="AL15" i="7"/>
  <c r="AD11" i="7"/>
  <c r="AN66" i="23"/>
  <c r="AJ62" i="7"/>
  <c r="AD51" i="7"/>
  <c r="AJ46" i="7"/>
  <c r="AJ16" i="7"/>
  <c r="AD56" i="7"/>
  <c r="AL51" i="7"/>
  <c r="AF44" i="23"/>
  <c r="AH43" i="23"/>
  <c r="AF66" i="23"/>
  <c r="AJ45" i="23"/>
  <c r="AJ27" i="7"/>
  <c r="AJ33" i="23"/>
  <c r="AH59" i="23"/>
  <c r="AJ60" i="23"/>
  <c r="AH60" i="7"/>
  <c r="AH63" i="23"/>
  <c r="AJ48" i="23"/>
  <c r="AN45" i="23"/>
  <c r="AJ14" i="7"/>
  <c r="AF43" i="7"/>
  <c r="AF61" i="23"/>
  <c r="AJ45" i="7"/>
  <c r="AD45" i="23"/>
  <c r="AL20" i="7"/>
  <c r="AN33" i="23"/>
  <c r="AF65" i="7"/>
  <c r="AD39" i="7"/>
  <c r="AL37" i="7"/>
  <c r="AH61" i="7"/>
  <c r="AH62" i="7"/>
  <c r="AN59" i="23"/>
  <c r="AH25" i="7"/>
  <c r="AJ67" i="7"/>
  <c r="AJ52" i="23"/>
  <c r="AJ25" i="7"/>
  <c r="AJ54" i="23"/>
  <c r="AF67" i="23"/>
  <c r="AD49" i="7"/>
  <c r="AH13" i="7"/>
  <c r="AH65" i="7"/>
  <c r="AJ26" i="7"/>
  <c r="AH33" i="23"/>
  <c r="AH59" i="7"/>
  <c r="AL36" i="7"/>
  <c r="AN42" i="23"/>
  <c r="AH38" i="7"/>
  <c r="AJ19" i="7"/>
  <c r="AD56" i="23"/>
  <c r="AN48" i="23"/>
  <c r="AJ15" i="7"/>
  <c r="AH55" i="7"/>
  <c r="AJ56" i="7"/>
  <c r="AH53" i="7"/>
  <c r="AF59" i="7"/>
  <c r="AD62" i="23"/>
  <c r="AL35" i="7"/>
  <c r="AF50" i="23"/>
  <c r="AJ32" i="7"/>
  <c r="AH39" i="7"/>
  <c r="AH40" i="23"/>
  <c r="AL22" i="23"/>
  <c r="AF17" i="7"/>
  <c r="AL45" i="23"/>
  <c r="AD43" i="23"/>
  <c r="AH15" i="7"/>
  <c r="AL41" i="23"/>
  <c r="AH46" i="7"/>
  <c r="AH31" i="7"/>
  <c r="AJ50" i="23"/>
  <c r="AL54" i="7"/>
  <c r="AJ51" i="7"/>
  <c r="AJ47" i="7"/>
  <c r="AH33" i="7"/>
  <c r="AL57" i="7"/>
  <c r="AF55" i="23"/>
  <c r="AL67" i="7"/>
  <c r="AD67" i="23"/>
  <c r="AH51" i="23"/>
  <c r="AF47" i="7"/>
  <c r="AF56" i="7"/>
  <c r="AF40" i="23"/>
  <c r="AD58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<sst xmlns="http://schemas.openxmlformats.org/spreadsheetml/2006/main" count="1530" uniqueCount="290">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</sst>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70" fontId="3" fillId="0" borderId="1" xfId="1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70" fontId="10" fillId="3" borderId="1" xfId="13" applyNumberFormat="1" applyFont="1" applyFill="1" applyBorder="1" applyAlignment="1">
      <alignment horizontal="righ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10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right" vertical="center"/>
    </xf>
    <xf numFmtId="170" fontId="10" fillId="0" borderId="1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1.951303191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2.2162455919999999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2.4533848310000002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2.2173128430000002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1.895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2.2037584140000002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2.463968876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2.2580007260000001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1.8282674990000001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2.1895301040000001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2.4738318769999998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2.2937750920000002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0.27800000000000002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1.7509999999999999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2.173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2.278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2.2879999999999998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2.2719999999999998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2.2591032910000002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2.4829545670000002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2.325310344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0.26400000000000001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2.1037714890000001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2.25688069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2.4906125829999999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2.506999462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2.52499955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2.5049807189999997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2.3969414800000002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1.9720019130000002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2.073076715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2.247775259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2.4142351240000002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2.0492428610000002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1.9956713530000001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1.8585458830000001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1.6986352419999999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1.5201759049999999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1.3327144720000001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23"/>
      </tp>
      <tp>
        <v>1.1408201710000001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23"/>
      </tp>
      <tp>
        <v>0.85210000000000008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23"/>
      </tp>
      <tp>
        <v>2.2025705229999999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2.1105080329999999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2.0379999999999998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2.238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2.428988522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2.115001753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1.998006049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2.2274922799999999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2.4418717719999998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2.1705107020000001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2.1534858039999998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2.2721338979999999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2.2025705229999999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2.1105080329999999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1.6986352419999999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1.5201759049999999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1.9956713530000001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1.8585458830000001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0.85210000000000008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23"/>
      </tp>
      <tp>
        <v>1.3327144720000001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23"/>
      </tp>
      <tp>
        <v>1.1408201710000001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23"/>
      </tp>
      <tp>
        <v>2.1303604059999999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2.265049903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2.4912337560000002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2.3527822559999998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2.498607223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2.3766392619999999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2.2721338979999999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2.1534858039999998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>
        <v>2.265049903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2.1303604059999999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>
        <v>2.3527822559999998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2.4912337560000002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2.3766392619999999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2.498607223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2.1895301040000001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>
        <v>1.8282674990000001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0.27800000000000002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  <tp>
        <v>2.2937750920000002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2.4738318769999998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2.278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2.173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  <tp>
        <v>1.7509999999999999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2.2591032910000002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2.2719999999999998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2.2879999999999998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0.26400000000000001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2.325310344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2.4829545670000002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2.2162455919999999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1.951303191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2.2173128430000002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2.4533848310000002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2.2037584140000002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1.895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2.2580007260000001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2.463968876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2.238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2.0379999999999998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2.115001753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2.428988522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2.2274922799999999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1.998006049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2.1705107020000001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2.4418717719999998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2.25688069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2.1037714890000001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2.52499955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2.506999462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2.4906125829999999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1.9720019130000002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2.3969414800000002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2.5049807189999997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2.247775259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2.073076715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2.0492428610000002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2.4142351240000002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2.6787616820000002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2.351376047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2.7483505159999999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2.664210357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>
        <v>2.2816027540000001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2.7339389880000002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2.750338722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2.7683551729999998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2.7008438969999999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2.4574221330000001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2.6907547359999997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2.4083920220000001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2.71740278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2.537682062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0.19492200300000001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0.32150600100000004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0.69115439299999992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0.3155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0.201235673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0.60960000000000003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0.19433178700000001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0.32016271699999999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0.68399221900000007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0.3271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0.21400844000000002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0.57250000000000001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0.19590000000000002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0.32230785000000001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0.69543197400000001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0.31659999999999999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0.19470000000000001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0.66500000000000004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0.36722956699999998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0.26403009900000002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0.53449999999999998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2.709564109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2.500011245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0.38261410400000001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0.28057049900000003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0.54930036500000001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0.32272578900000004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0.23120332199999999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0.54589999999999994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0.34560448099999996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0.24704661099999997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0.53360000000000007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0.39550915600000003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0.29537148599999996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0.57283383199999993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0.41047379599999995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0.31105815799999997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0.58735827699999998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2.731210232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2.6000041999999999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0.57283383199999993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0.29537148599999996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0.39550915600000003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0.58735827699999998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0.31105815799999997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0.41047379599999995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0.69543197400000001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0.32230785000000001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0.19590000000000002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0.66500000000000004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0.19470000000000001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0.31659999999999999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0.69115439299999992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0.32150600100000004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0.19492200300000001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0.60960000000000003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0.201235673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0.3155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0.68399221900000007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0.32016271699999999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0.19433178700000001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0.57250000000000001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0.21400844000000002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0.3271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0.54589999999999994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0.23120332199999999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0.32272578900000004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0.53360000000000007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0.24704661099999997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0.34560448099999996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0.53449999999999998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0.26403009900000002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0.36722956699999998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0.54930036500000001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0.28057049900000003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0.38261410400000001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2.7245576040000001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2.570919242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2.7430736499999999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2.6464813449999998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2.737367248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2.6250449219999998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0.29950069199999996</v>
        <stp/>
        <stp>_x0019_USD_CURVE_DEP1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0.39928298600000001</v>
        <stp/>
        <stp>_x0019_USD_CURVE_DEP3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0.57798387200000001</v>
        <stp/>
        <stp>_x0019_USD_CURVE_DEP6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</main>
    <main first="pldatasource.rtgetrtdserver">
      <tp>
        <v>0.29950069199999996</v>
        <stp/>
        <stp>_x0019_USD_CURVE_DEP1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0.39928298600000001</v>
        <stp/>
        <stp>_x0019_USD_CURVE_DEP3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0.57798387200000001</v>
        <stp/>
        <stp>_x0019_USD_CURVE_DEP6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2.6464813449999998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2.7430736499999999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  <tp>
        <v>2.6250449219999998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2.737367248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  <tp>
        <v>2.1105080329999999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2.2025705229999999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1.8585458830000001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1.9956713530000001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1.5201759049999999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1.6986352419999999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1.1408201710000001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7"/>
      </tp>
      <tp>
        <v>1.3327144720000001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7"/>
      </tp>
      <tp>
        <v>0.85210000000000008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</main>
    <main first="pldatasource.rtgetrtdserver">
      <tp>
        <v>98.896103189000002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99.3804351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98.770349734999996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99.277867809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99.117238647999997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98.702491115000001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99.623033303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99.256937742000005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99.711393166999997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99.140326787999996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99.517596775000001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99.108675878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99.013159505000004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99.512064496999997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98.891636622999997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99.410700761000001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99.344122614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98.799415393000004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99.142702968999998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99.616508194000005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99.018056439000006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99.519138471000005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99.342275556000004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98.917331790999995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</main>
    <main first="pldatasource.rtgetrtdserver">
      <tp>
        <v>98.799415393000004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99.344122614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99.410700761000001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98.891636622999997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99.512064496999997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99.013159505000004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98.917331790999995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99.342275556000004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99.519138471000005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99.018056439000006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99.616508194000005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99.142702968999998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99.108675878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99.517596775000001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99.140326787999996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99.711393166999997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99.256937742000005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99.623033303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98.702491115000001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99.117238647999997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99.277867809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98.770349734999996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99.3804351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98.896103189000002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</main>
    <main first="pldatasource.rtgetrtdserver">
      <tp>
        <v>2.4574221330000001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2.7008438969999999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2.4083920220000001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2.6907547359999997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</main>
    <main first="pldatasource.rtgetrtdserver">
      <tp>
        <v>0.98380847100000002</v>
        <stp/>
        <stp>_x001A_USD_CURVE_DEP12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2.351376047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2.6787616820000002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0.98380847100000002</v>
        <stp/>
        <stp>_x001A_USD_CURVE_DEP12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2.2816027540000001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2.664210357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2.7483505159999999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  <tp>
        <v>2.7683551729999998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>
        <v>2.750338722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2.7339389880000002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</main>
    <main first="pldatasource.rtgetrtdserver">
      <tp>
        <v>1.5201759049999999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1.6986352419999999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1.8585458830000001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1.9956713530000001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0.85210000000000008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1.1408201710000001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1.3327144720000001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2.1105080329999999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2.2025705229999999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2.6000041999999999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2.731210232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>
        <v>2.570919242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2.7245576040000001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2.537682062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2.71740278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2.500011245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2.709564109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  <tp>
        <v>0.26400000000000001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2.2591032910000002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2.2879999999999998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2.2719999999999998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2.173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2.278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1.7509999999999999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</main>
    <main first="pldatasource.rtgetrtdserver">
      <tp>
        <v>1.5529999999999999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1.6619999999999999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0.50700000000000001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0.72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0.29300000000000004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1.284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1.4279999999999999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0.92200000000000004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1.117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0.45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0.27800000000000002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2.1895301040000001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>
        <v>1.8282674990000001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</main>
    <main first="pldatasource.rtgetrtdserver">
      <tp>
        <v>0.13099999900000001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0.13099999900000001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0.13100000000000001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2.2037584140000002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1.895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>
        <v>2.2162455919999999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1.951303191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  <tp>
        <v>2.2274922799999999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1.998006049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2.6139403350000001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2.398883476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2.5049999999999999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2.3474286370000002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2.4738319369999999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2.551931143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2.3579014859999998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2.4829546260000002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2.539016706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2.3676621290000002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2.4533847519999998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2.524202474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2.3767658969999998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2.464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2.5069091659999998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2.2919411840000001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2.4289884380000002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2.5924763340000001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2.3089579649999998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2.4418716909999998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2.5835825109999999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2.3234674659999999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2.3969999999999998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2.573933942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2.3361152120000002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2.4142350380000002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2.5634198260000001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2.6076922859999998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2.6005223449999999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2.385058634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2.3924609820000002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2.4912338140000001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2.4986072799999999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2.1121911569999998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2.293774392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2.2771908829999998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2.1530025140000002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2.325309667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2.2197648769999998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2.1889177329999998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2.217444634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2.1519641329999999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2.2205135089999999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2.258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2.0726838220000001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1.861083955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2.1150000000000002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2.4350197420000002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1.940374507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2.170664548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2.4031932060000001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2.0080498580000001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1.972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2.3668492350000001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2.0648595319999998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2.0492410310000002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2.325333691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2.4865848910000001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2.4626149750000002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2.2479698460000002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2.271805713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2.3527816010000002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2.376706934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2.5995424370000002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2.3845269469999999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2.4906131500000002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2.615935055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2.4008893169999999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2.5070000000000001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2.6339424190000003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2.4188806989999998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2.5249999999999999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0.34399999999999997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4" s="7"/>
      </tp>
      <tp>
        <v>2.238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2.0379999999999998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2.247775259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2.073076715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2.25688069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2.1037714890000001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0.39600000000000002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7"/>
      </tp>
      <tp>
        <v>2.265049903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2.1303604059999999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  <tp>
        <v>2.2721338979999999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2.1534858039999998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>
        <v>2.4865848910000001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2.4626149750000002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2.3527816010000002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2.376706934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2.2479698460000002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2.271805713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2.1889177329999998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2.217444634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2.1519641329999999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2.2205135089999999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2.258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2.0726838220000001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2.1121911569999998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2.293774392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2.2771908829999998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2.1530025140000002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2.325309667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2.2197648769999998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2.0080498580000001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1.972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2.3668492350000001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2.0648595319999998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2.0492410310000002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2.325333691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1.861083955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2.1150000000000002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2.4350197420000002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1.940374507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2.170664548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2.4031932060000001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2.6076922859999998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2.6005223449999999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2.4912338140000001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2.4986072799999999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2.385058634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2.3924609820000002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2.3676621290000002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2.4533847519999998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2.524202474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2.3767658969999998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2.464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2.5069091659999998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2.3474286370000002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2.4738319369999999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2.551931143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2.3579014859999998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2.4829546260000002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2.539016706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2.3234674659999999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2.3969999999999998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2.573933942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2.3361152120000002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2.4142350380000002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2.5634198260000001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2.2919411840000001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2.4289884380000002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2.5924763340000001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2.3089579649999998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2.4418716909999998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2.5835825109999999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2.6139403350000001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2.5049999999999999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2.398883476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2.6339424190000003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2.5249999999999999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2.4188806989999998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2.615935055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2.5070000000000001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2.4008893169999999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2.5995424370000002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2.4906131500000002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2.3845269469999999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</main>
    <main first="pldatasource.rtgetrtdserver">
      <tp>
        <v>0.13099999900000001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0.13100000000000001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0.13099999900000001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0.29300000000000004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0.50700000000000001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0.72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0.92200000000000004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1.117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1.284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1.4279999999999999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1.5529999999999999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1.6619999999999999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0.39600000000000002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7"/>
      </tp>
      <tp>
        <v>2.1303604059999999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2.265049903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2.1534858039999998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2.2721338979999999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0.23199999999999998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0.248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0.14099999999999999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0.159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0.13500000000000001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0.20400000000000001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0.22000000000000003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0.17499999999999999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0.188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1.895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2.2037584140000002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1.951303191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2.2162455919999999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0.26400000000000001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2.2719999999999998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2.2879999999999998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2.2591032910000002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1.7509999999999999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2.278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2.173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0.27800000000000002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0.45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1.8282674990000001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2.1895301040000001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0.13500000000000001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0.14099999999999999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0.159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0.17499999999999999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0.188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0.20400000000000001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0.22000000000000003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0.23199999999999998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0.248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2.073076715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2.247775259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2.1037714890000001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2.25688069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1.998006049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2.2274922799999999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0.34399999999999997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7"/>
      </tp>
      <tp>
        <v>2.0379999999999998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2.238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2.4083920220000001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2.6907547359999997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2.4574221330000001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2.7008438969999999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2.750338722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2.7683551729999998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2.7339389880000002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2.2816027540000001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2.7483505159999999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2.664210357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2.351376047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2.6787616820000002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1.3370033960000001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1.1450036050000001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1.655003064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1.508003223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0.64150131799999999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3" s="23"/>
      </tp>
      <tp>
        <v>0.93364506200000008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8" s="23"/>
      </tp>
      <tp>
        <v>0.79190036499999994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7" s="23"/>
      </tp>
      <tp>
        <v>1.883002005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1.780654634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2.570919242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2.7245576040000001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>
        <v>2.6000041999999999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2.731210232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  <tp>
        <v>0.159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0.14099999999999999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0.13500000000000001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0.22000000000000003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0.20400000000000001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0.188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0.17499999999999999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0.248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0.23199999999999998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2.500011245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2.709564109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2.537682062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2.71740278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</main>
    <main first="pldatasource.rtgetrtdserver">
      <tp>
        <v>2.6250449219999998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2.737367248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0.248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0.23199999999999998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0.13500000000000001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0.159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0.14099999999999999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0.188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0.17499999999999999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0.22000000000000003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0.20400000000000001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</main>
    <main first="pldatasource.rtgetrtdserver">
      <tp>
        <v>2.6464813449999998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2.7430736499999999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</main>
    <main first="pldatasource.rtgetrtdserver">
      <tp>
        <v>1.883002005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1.780654634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1.655003064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1.508003223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1.3370033960000001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1.1450036050000001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0.93364506200000008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8" s="23"/>
      </tp>
      <tp>
        <v>0.79190036499999994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7" s="23"/>
      </tp>
      <tp>
        <v>0.64150131799999999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3" s="23"/>
      </tp>
    </main>
    <main first="pldatasource.rtgetrtdserver">
      <tp>
        <v>2.737367248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2.6250449219999998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0.13099999900000001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0.13100000000000001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0.13099999900000001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2.7430736499999999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2.6464813449999998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0.72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23"/>
      </tp>
      <tp>
        <v>0.50700000000000001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23"/>
      </tp>
      <tp>
        <v>0.29300000000000004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1.4279999999999999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1.284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1.117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0.92200000000000004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1.6619999999999999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1.5529999999999999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2.5995424370000002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2.3845269469999999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2.4906131500000002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2.6339424190000003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2.4188806989999998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2.5249999999999999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2.615935055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2.4008893169999999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2.5070000000000001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2.6005223449999999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2.6076922859999998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2.3924609820000002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2.385058634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2.4986072799999999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2.4912338140000001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2.3579014859999998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2.4829546260000002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2.539016706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2.3474286370000002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2.4738319369999999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2.551931143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2.3767658969999998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2.464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2.5069091659999998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2.3676621290000002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2.4533847519999998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2.524202474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2.3089579649999998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2.4418716909999998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2.5835825109999999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2.2919411840000001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2.4289884380000002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2.5924763340000001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2.3361152120000002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2.4142350380000002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2.5634198260000001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2.3234674659999999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2.3969999999999998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2.573933942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2.6139403350000001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2.398883476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2.5049999999999999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2.4626149750000002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2.4865848910000001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2.271805713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2.2479698460000002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2.376706934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2.3527816010000002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2.1530025140000002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2.325309667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2.2197648769999998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2.1121911569999998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2.293774392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2.2771908829999998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2.2205135089999999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2.258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2.0726838220000001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2.1889177329999998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2.217444634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2.1519641329999999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1.940374507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2.170664548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2.4031932060000001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1.861083955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2.1150000000000002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2.4350197420000002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2.0648595319999998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2.0492410310000002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2.325333691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2.0080498580000001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1.972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2.3668492350000001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2.7339389880000002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2.7683551729999998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2.750338722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2.664210357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2.7483505159999999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2.2816027540000001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2.6787616820000002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2.351376047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2.6907547359999997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2.4083920220000001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2.615935055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2.5070000000000001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2.4008893169999999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2.6339424190000003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2.5249999999999999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2.4188806989999998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2.5995424370000002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2.4906131500000002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2.3845269469999999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2.2205135089999999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2.258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2.0726838220000001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2.1889177329999998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2.217444634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2.1519641329999999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2.1530025140000002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2.325309667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2.2197648769999998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2.1121911569999998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2.293774392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2.2771908829999998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2.0648595319999998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2.0492410310000002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2.325333691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2.0080498580000001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1.972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2.3668492350000001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1.940374507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2.170664548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2.4031932060000001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1.861083955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2.1150000000000002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2.4350197420000002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2.4626149750000002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2.4865848910000001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2.376706934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2.3527816010000002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2.271805713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2.2479698460000002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2.6139403350000001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2.5049999999999999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2.398883476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2.3767658969999998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2.464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2.5069091659999998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2.3676621290000002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2.4533847519999998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2.524202474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2.3579014859999998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2.4829546260000002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2.539016706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2.3474286370000002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2.4738319369999999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2.551931143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2.3361152120000002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2.4142350380000002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2.5634198260000001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2.3234674659999999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2.3969999999999998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2.573933942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2.3089579649999998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2.4418716909999998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2.5835825109999999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2.2919411840000001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2.4289884380000002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2.5924763340000001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2.6005223449999999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2.6076922859999998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2.4986072799999999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2.4912338140000001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2.3924609820000002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2.385058634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2.7008438969999999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2.4574221330000001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2.709564109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2.500011245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2.71740278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2.537682062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2.7245576040000001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2.570919242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1.6619999999999999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1.5529999999999999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0.29300000000000004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0.72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23"/>
      </tp>
      <tp>
        <v>0.50700000000000001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23"/>
      </tp>
      <tp>
        <v>1.117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0.92200000000000004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1.4279999999999999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1.284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2.731210232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2.6000041999999999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0.13100000000000001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0.13099999900000001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0.13099999900000001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1.3852375370000001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1.508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1.6004737529999999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1.5351798320000001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1.655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1.748527486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1.026455828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1.145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1.2453815130000001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1.213323081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1.337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1.4324315219999999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0.595718419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0.704837983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0.82611119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0.82359494400000011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0.93399999999999994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1.041326915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0.36299999999999999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0.46339348499999999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0.60676841699999995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1.6641349860000001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1.7809999999999999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1.876582483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1.770111049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1.883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1.98163909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1.876582483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1.7809999999999999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1.6641349860000001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1.98163909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1.883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1.770111049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1.2453815130000001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1.145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1.026455828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1.4324315219999999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1.337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1.213323081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1.6004737529999999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1.508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1.3852375370000001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1.748527486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1.655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1.5351798320000001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0.60676841699999995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0.46339348499999999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0.36299999999999999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0.82611119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0.704837983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0.595718419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1.041326915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0.93399999999999994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0.82359494400000011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1.0276637070000001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1.0661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1.1012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1.1344000000000001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1.257045532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1.171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1.2619961229999999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1.2039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1.264903076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1.2438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0.9597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0.99301293800000001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0.9597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0.99301293800000001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1.1012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1.1344000000000001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1.0276637070000001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1.0661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1.264903076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1.2438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1.257045532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1.171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1.2619961229999999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1.2039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1.770111049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1.883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1.98163909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1.6641349860000001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1.7809999999999999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1.876582483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1.5351798320000001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1.655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1.748527486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1.3852375370000001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1.508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1.6004737529999999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1.213323081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1.337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1.4324315219999999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1.026455828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1.145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1.2453815130000001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0.82359494400000011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3"/>
      </tp>
      <tp>
        <v>0.93399999999999994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23"/>
      </tp>
      <tp>
        <v>1.041326915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23"/>
      </tp>
      <tp>
        <v>0.595718419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3"/>
      </tp>
      <tp>
        <v>0.704837983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23"/>
      </tp>
      <tp>
        <v>0.82611119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23"/>
      </tp>
      <tp>
        <v>0.36299999999999999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3"/>
      </tp>
      <tp>
        <v>0.46339348499999999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23"/>
      </tp>
      <tp>
        <v>0.60676841699999995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23"/>
      </tp>
      <tp>
        <v>1.4324315219999999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1.337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1.213323081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1.2453815130000001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1.145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1.026455828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1.748527486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1.655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1.5351798320000001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1.6004737529999999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1.508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1.3852375370000001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0.60676841699999995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23"/>
      </tp>
      <tp>
        <v>0.46339348499999999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23"/>
      </tp>
      <tp>
        <v>0.36299999999999999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3"/>
      </tp>
      <tp>
        <v>1.041326915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23"/>
      </tp>
      <tp>
        <v>0.93399999999999994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23"/>
      </tp>
      <tp>
        <v>0.82359494400000011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3"/>
      </tp>
      <tp>
        <v>0.82611119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23"/>
      </tp>
      <tp>
        <v>0.704837983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23"/>
      </tp>
      <tp>
        <v>0.595718419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3"/>
      </tp>
      <tp>
        <v>1.98163909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1.883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1.770111049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1.876582483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1.7809999999999999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1.6641349860000001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99.378052746999998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97.803089083000003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98.990364353000004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98.621496919999998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99.396788039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97.903800946999993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99.210763952999997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98.789122282999998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97.903800946999993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99.396788039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98.789122282999998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99.210763952999997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98.621496919999998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98.990364353000004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97.803089083000003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99.378052746999998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161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Z5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83">
        <v>42282.516041666669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42282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161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42284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42284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68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5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7" si="0">K7</f>
        <v/>
      </c>
      <c r="M7" s="118" t="str">
        <v/>
      </c>
      <c r="N7" s="119" t="str">
        <f>IF(M7="","",'3M Pricing'!$I7*100)</f>
        <v/>
      </c>
      <c r="O7" s="119" t="str">
        <f t="shared" ref="O7:O37" si="1">N7</f>
        <v/>
      </c>
      <c r="P7" s="118" t="str">
        <v/>
      </c>
      <c r="Q7" s="119" t="str">
        <f>IF(P7="","",'6M Pricing'!$I7*100)</f>
        <v/>
      </c>
      <c r="R7" s="119" t="str">
        <f t="shared" ref="R7:R37" si="2">Q7</f>
        <v/>
      </c>
      <c r="S7" s="118" t="str">
        <v/>
      </c>
      <c r="T7" s="119" t="str">
        <f>IF(S7="","",'1Y Pricing'!$I7*100)</f>
        <v/>
      </c>
      <c r="U7" s="119" t="str">
        <f t="shared" ref="U7:U37" si="3">T7</f>
        <v/>
      </c>
      <c r="V7" s="121" t="str">
        <v/>
      </c>
      <c r="W7" s="119" t="str">
        <f>IF(V7="","",'ON Pricing'!$G7*100)</f>
        <v/>
      </c>
      <c r="X7" s="119" t="str">
        <f t="shared" ref="X7:X37" si="4">W7</f>
        <v/>
      </c>
      <c r="Y7" s="121"/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5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5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0.19590000000123198</v>
      </c>
      <c r="L9" s="116">
        <f t="shared" si="0"/>
        <v>0.19590000000123198</v>
      </c>
      <c r="M9" s="117" t="str">
        <v>USD_CURVE_DEP3M_1W</v>
      </c>
      <c r="N9" s="116">
        <f>IF(M9="","",'3M Pricing'!$I9*100)</f>
        <v>0.32230785011539659</v>
      </c>
      <c r="O9" s="116">
        <f t="shared" si="1"/>
        <v>0.32230785011539659</v>
      </c>
      <c r="P9" s="117" t="str">
        <v>USD_CURVE_DEP6M_1W</v>
      </c>
      <c r="Q9" s="116">
        <f>IF(P9="","",'6M Pricing'!$I9*100)</f>
        <v>0.69543197409048318</v>
      </c>
      <c r="R9" s="116">
        <f t="shared" si="2"/>
        <v>0.69543197409048318</v>
      </c>
      <c r="S9" s="117" t="str">
        <v>USD_CURVE_DEP12M_1W</v>
      </c>
      <c r="T9" s="116">
        <f>IF(S9="","",'1Y Pricing'!$I9*100)</f>
        <v>1.2650739723511097</v>
      </c>
      <c r="U9" s="116">
        <f t="shared" si="3"/>
        <v>1.2650739723511097</v>
      </c>
      <c r="V9" s="115" t="str">
        <v>USD_CURVE_OIS_1W</v>
      </c>
      <c r="W9" s="116">
        <f>IF(V9="","",'ON Pricing'!$G9*100)</f>
        <v>0.13100000036736503</v>
      </c>
      <c r="X9" s="116">
        <f t="shared" si="4"/>
        <v>0.13100000036736503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0</v>
      </c>
      <c r="AD9" s="142">
        <f>IF($C9=" ","",ROUND(ABS(_xll.RtGet(SourceAlias,$J9,ASK)-L9),4))</f>
        <v>0</v>
      </c>
      <c r="AE9" s="142">
        <f>IF($D9=" ","",ROUND(ABS(_xll.RtGet(SourceAlias,$M9,BID)-N9),4))</f>
        <v>0</v>
      </c>
      <c r="AF9" s="142">
        <f>IF($D9=" ","",ROUND(ABS(_xll.RtGet(SourceAlias,$M9,ASK)-O9),4))</f>
        <v>0</v>
      </c>
      <c r="AG9" s="142">
        <f>IF($E9=" ","",ROUND(ABS(_xll.RtGet(SourceAlias,$P9,BID)-Q9),4))</f>
        <v>0</v>
      </c>
      <c r="AH9" s="142">
        <f>IF($E9=" ","",ROUND(ABS(_xll.RtGet(SourceAlias,$P9,ASK)-R9),4))</f>
        <v>0</v>
      </c>
      <c r="AI9" s="142">
        <f>IF($F9=" ","",ROUND(ABS(_xll.RtGet(SourceAlias,$S9,BID)-T9),4))</f>
        <v>2.0000000000000001E-4</v>
      </c>
      <c r="AJ9" s="142">
        <f>IF($F9=" ","",ROUND(ABS(_xll.RtGet(SourceAlias,$S9,ASK)-U9),4))</f>
        <v>2.0000000000000001E-4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5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0.19492208162124364</v>
      </c>
      <c r="L10" s="116">
        <f t="shared" si="0"/>
        <v>0.19492208162124364</v>
      </c>
      <c r="M10" s="117" t="str">
        <v>USD_CURVE_DEP3M_2W</v>
      </c>
      <c r="N10" s="116">
        <f>IF(M10="","",'3M Pricing'!$I10*100)</f>
        <v>0.32150600061488432</v>
      </c>
      <c r="O10" s="116">
        <f t="shared" si="1"/>
        <v>0.32150600061488432</v>
      </c>
      <c r="P10" s="117" t="str">
        <v>USD_CURVE_DEP6M_2W</v>
      </c>
      <c r="Q10" s="116">
        <f>IF(P10="","",'6M Pricing'!$I10*100)</f>
        <v>0.69115439312390181</v>
      </c>
      <c r="R10" s="116">
        <f t="shared" si="2"/>
        <v>0.69115439312390181</v>
      </c>
      <c r="S10" s="117" t="str">
        <v>USD_CURVE_DEP12M_2W</v>
      </c>
      <c r="T10" s="116">
        <f>IF(S10="","",'1Y Pricing'!$I10*100)</f>
        <v>1.2621570256572083</v>
      </c>
      <c r="U10" s="116">
        <f t="shared" si="3"/>
        <v>1.2621570256572083</v>
      </c>
      <c r="V10" s="115" t="str">
        <v>USD_CURVE_OIS_2W</v>
      </c>
      <c r="W10" s="116">
        <f>IF(V10="","",'ON Pricing'!$G10*100)</f>
        <v>0.131000000043624</v>
      </c>
      <c r="X10" s="116">
        <f t="shared" si="4"/>
        <v>0.131000000043624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0</v>
      </c>
      <c r="AD10" s="142">
        <f>IF($C10=" ","",ROUND(ABS(_xll.RtGet(SourceAlias,$J10,ASK)-L10),4))</f>
        <v>0</v>
      </c>
      <c r="AE10" s="142">
        <f>IF($D10=" ","",ROUND(ABS(_xll.RtGet(SourceAlias,$M10,BID)-N10),4))</f>
        <v>0</v>
      </c>
      <c r="AF10" s="142">
        <f>IF($D10=" ","",ROUND(ABS(_xll.RtGet(SourceAlias,$M10,ASK)-O10),4))</f>
        <v>0</v>
      </c>
      <c r="AG10" s="142">
        <f>IF($E10=" ","",ROUND(ABS(_xll.RtGet(SourceAlias,$P10,BID)-Q10),4))</f>
        <v>0</v>
      </c>
      <c r="AH10" s="142">
        <f>IF($E10=" ","",ROUND(ABS(_xll.RtGet(SourceAlias,$P10,ASK)-R10),4))</f>
        <v>0</v>
      </c>
      <c r="AI10" s="142">
        <f>IF($F10=" ","",ROUND(ABS(_xll.RtGet(SourceAlias,$S10,BID)-T10),4))</f>
        <v>2.0000000000000001E-4</v>
      </c>
      <c r="AJ10" s="142">
        <f>IF($F10=" ","",ROUND(ABS(_xll.RtGet(SourceAlias,$S10,ASK)-U10),4))</f>
        <v>2.0000000000000001E-4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5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0.19433189549365537</v>
      </c>
      <c r="L11" s="116">
        <f t="shared" si="0"/>
        <v>0.19433189549365537</v>
      </c>
      <c r="M11" s="117" t="str">
        <v>USD_CURVE_DEP3M_3W</v>
      </c>
      <c r="N11" s="116">
        <f>IF(M11="","",'3M Pricing'!$I11*100)</f>
        <v>0.32016271741763802</v>
      </c>
      <c r="O11" s="116">
        <f t="shared" si="1"/>
        <v>0.32016271741763802</v>
      </c>
      <c r="P11" s="117" t="str">
        <v>USD_CURVE_DEP6M_3W</v>
      </c>
      <c r="Q11" s="116">
        <f>IF(P11="","",'6M Pricing'!$I11*100)</f>
        <v>0.68399221930702325</v>
      </c>
      <c r="R11" s="116">
        <f t="shared" si="2"/>
        <v>0.68399221930702325</v>
      </c>
      <c r="S11" s="117" t="str">
        <v>USD_CURVE_DEP12M_3W</v>
      </c>
      <c r="T11" s="116">
        <f>IF(S11="","",'1Y Pricing'!$I11*100)</f>
        <v>1.257189742137272</v>
      </c>
      <c r="U11" s="116">
        <f t="shared" si="3"/>
        <v>1.257189742137272</v>
      </c>
      <c r="V11" s="115" t="str">
        <v>USD_CURVE_OIS_3W</v>
      </c>
      <c r="W11" s="116">
        <f>IF(V11="","",'ON Pricing'!$G11*100)</f>
        <v>0.13100000017018942</v>
      </c>
      <c r="X11" s="116">
        <f t="shared" si="4"/>
        <v>0.13100000017018942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0</v>
      </c>
      <c r="AD11" s="142">
        <f>IF($C11=" ","",ROUND(ABS(_xll.RtGet(SourceAlias,$J11,ASK)-L11),4))</f>
        <v>0</v>
      </c>
      <c r="AE11" s="142">
        <f>IF($D11=" ","",ROUND(ABS(_xll.RtGet(SourceAlias,$M11,BID)-N11),4))</f>
        <v>0</v>
      </c>
      <c r="AF11" s="142">
        <f>IF($D11=" ","",ROUND(ABS(_xll.RtGet(SourceAlias,$M11,ASK)-O11),4))</f>
        <v>0</v>
      </c>
      <c r="AG11" s="142">
        <f>IF($E11=" ","",ROUND(ABS(_xll.RtGet(SourceAlias,$P11,BID)-Q11),4))</f>
        <v>0</v>
      </c>
      <c r="AH11" s="142">
        <f>IF($E11=" ","",ROUND(ABS(_xll.RtGet(SourceAlias,$P11,ASK)-R11),4))</f>
        <v>0</v>
      </c>
      <c r="AI11" s="142">
        <f>IF($F11=" ","",ROUND(ABS(_xll.RtGet(SourceAlias,$S11,BID)-T11),4))</f>
        <v>1E-4</v>
      </c>
      <c r="AJ11" s="142">
        <f>IF($F11=" ","",ROUND(ABS(_xll.RtGet(SourceAlias,$S11,ASK)-U11),4))</f>
        <v>1E-4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5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0.19469999989997111</v>
      </c>
      <c r="L12" s="116">
        <f t="shared" si="0"/>
        <v>0.19469999989997111</v>
      </c>
      <c r="M12" s="117" t="str">
        <v>USD_CURVE_DEP3M_1M</v>
      </c>
      <c r="N12" s="116">
        <f>IF(M12="","",'3M Pricing'!$I12*100)</f>
        <v>0.31660000000007088</v>
      </c>
      <c r="O12" s="116">
        <f t="shared" si="1"/>
        <v>0.31660000000007088</v>
      </c>
      <c r="P12" s="117" t="str">
        <v>USD_CURVE_DEP6M_1M</v>
      </c>
      <c r="Q12" s="116">
        <f>IF(P12="","",'6M Pricing'!$I12*100)</f>
        <v>0.66499999999993586</v>
      </c>
      <c r="R12" s="116">
        <f t="shared" si="2"/>
        <v>0.66499999999993586</v>
      </c>
      <c r="S12" s="117" t="str">
        <v>USD_CURVE_DEP12M_1M</v>
      </c>
      <c r="T12" s="116">
        <f>IF(S12="","",'1Y Pricing'!$I12*100)</f>
        <v>1.2438999999989553</v>
      </c>
      <c r="U12" s="116">
        <f t="shared" si="3"/>
        <v>1.2438999999989553</v>
      </c>
      <c r="V12" s="115" t="str">
        <v>USD_CURVE_OIS_1M</v>
      </c>
      <c r="W12" s="116">
        <f>IF(V12="","",'ON Pricing'!$G12*100)</f>
        <v>0.13500000021338113</v>
      </c>
      <c r="X12" s="116">
        <f t="shared" si="4"/>
        <v>0.13500000021338113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0</v>
      </c>
      <c r="AD12" s="142">
        <f>IF($C12=" ","",ROUND(ABS(_xll.RtGet(SourceAlias,$J12,ASK)-L12),4))</f>
        <v>0</v>
      </c>
      <c r="AE12" s="142">
        <f>IF($D12=" ","",ROUND(ABS(_xll.RtGet(SourceAlias,$M12,BID)-N12),4))</f>
        <v>0</v>
      </c>
      <c r="AF12" s="142">
        <f>IF($D12=" ","",ROUND(ABS(_xll.RtGet(SourceAlias,$M12,ASK)-O12),4))</f>
        <v>0</v>
      </c>
      <c r="AG12" s="142">
        <f>IF($E12=" ","",ROUND(ABS(_xll.RtGet(SourceAlias,$P12,BID)-Q12),4))</f>
        <v>0</v>
      </c>
      <c r="AH12" s="142">
        <f>IF($E12=" ","",ROUND(ABS(_xll.RtGet(SourceAlias,$P12,ASK)-R12),4))</f>
        <v>0</v>
      </c>
      <c r="AI12" s="142">
        <f>IF($F12=" ","",ROUND(ABS(_xll.RtGet(SourceAlias,$S12,BID)-T12),4))</f>
        <v>1E-4</v>
      </c>
      <c r="AJ12" s="142">
        <f>IF($F12=" ","",ROUND(ABS(_xll.RtGet(SourceAlias,$S12,ASK)-U12),4))</f>
        <v>1E-4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5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0.20123517527851661</v>
      </c>
      <c r="L13" s="116">
        <f t="shared" si="0"/>
        <v>0.20123517527851661</v>
      </c>
      <c r="M13" s="117" t="str">
        <v>USD_CURVE_DEP3M_2M</v>
      </c>
      <c r="N13" s="116">
        <f>IF(M13="","",'3M Pricing'!$I13*100)</f>
        <v>0.31549999999864992</v>
      </c>
      <c r="O13" s="116">
        <f t="shared" si="1"/>
        <v>0.31549999999864992</v>
      </c>
      <c r="P13" s="117" t="str">
        <v>USD_CURVE_DEP6M_2M</v>
      </c>
      <c r="Q13" s="116">
        <f>IF(P13="","",'6M Pricing'!$I13*100)</f>
        <v>0.6096000000000571</v>
      </c>
      <c r="R13" s="116">
        <f t="shared" si="2"/>
        <v>0.6096000000000571</v>
      </c>
      <c r="S13" s="117" t="str">
        <v>USD_CURVE_DEP12M_2M</v>
      </c>
      <c r="T13" s="116">
        <f>IF(S13="","",'1Y Pricing'!$I13*100)</f>
        <v>1.2038999999986177</v>
      </c>
      <c r="U13" s="116">
        <f t="shared" si="3"/>
        <v>1.2038999999986177</v>
      </c>
      <c r="V13" s="115" t="str">
        <v>USD_CURVE_OIS_2M</v>
      </c>
      <c r="W13" s="116">
        <f>IF(V13="","",'ON Pricing'!$G13*100)</f>
        <v>0.14100000027393153</v>
      </c>
      <c r="X13" s="116">
        <f t="shared" si="4"/>
        <v>0.14100000027393153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0</v>
      </c>
      <c r="AD13" s="142">
        <f>IF($C13=" ","",ROUND(ABS(_xll.RtGet(SourceAlias,$J13,ASK)-L13),4))</f>
        <v>0</v>
      </c>
      <c r="AE13" s="142">
        <f>IF($D13=" ","",ROUND(ABS(_xll.RtGet(SourceAlias,$M13,BID)-N13),4))</f>
        <v>0</v>
      </c>
      <c r="AF13" s="142">
        <f>IF($D13=" ","",ROUND(ABS(_xll.RtGet(SourceAlias,$M13,ASK)-O13),4))</f>
        <v>0</v>
      </c>
      <c r="AG13" s="142">
        <f>IF($E13=" ","",ROUND(ABS(_xll.RtGet(SourceAlias,$P13,BID)-Q13),4))</f>
        <v>0</v>
      </c>
      <c r="AH13" s="142">
        <f>IF($E13=" ","",ROUND(ABS(_xll.RtGet(SourceAlias,$P13,ASK)-R13),4))</f>
        <v>0</v>
      </c>
      <c r="AI13" s="142">
        <f>IF($F13=" ","",ROUND(ABS(_xll.RtGet(SourceAlias,$S13,BID)-T13),4))</f>
        <v>0</v>
      </c>
      <c r="AJ13" s="142">
        <f>IF($F13=" ","",ROUND(ABS(_xll.RtGet(SourceAlias,$S13,ASK)-U13),4))</f>
        <v>0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5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0.2140084400177226</v>
      </c>
      <c r="L14" s="116">
        <f t="shared" si="0"/>
        <v>0.2140084400177226</v>
      </c>
      <c r="M14" s="117" t="str">
        <v>USD_CURVE_DEP3M_3M</v>
      </c>
      <c r="N14" s="116">
        <f>IF(M14="","",'3M Pricing'!$I14*100)</f>
        <v>0.32710000000002465</v>
      </c>
      <c r="O14" s="116">
        <f t="shared" si="1"/>
        <v>0.32710000000002465</v>
      </c>
      <c r="P14" s="117" t="str">
        <v>USD_CURVE_DEP6M_3M</v>
      </c>
      <c r="Q14" s="116">
        <f>IF(P14="","",'6M Pricing'!$I14*100)</f>
        <v>0.57249999999997103</v>
      </c>
      <c r="R14" s="116">
        <f t="shared" si="2"/>
        <v>0.57249999999997103</v>
      </c>
      <c r="S14" s="117" t="str">
        <v>USD_CURVE_DEP12M_3M</v>
      </c>
      <c r="T14" s="116">
        <f>IF(S14="","",'1Y Pricing'!$I14*100)</f>
        <v>1.170999999997697</v>
      </c>
      <c r="U14" s="116">
        <f t="shared" si="3"/>
        <v>1.170999999997697</v>
      </c>
      <c r="V14" s="115" t="str">
        <v>USD_CURVE_OIS_3M</v>
      </c>
      <c r="W14" s="116">
        <f>IF(V14="","",'ON Pricing'!$G14*100)</f>
        <v>0.1590000002017333</v>
      </c>
      <c r="X14" s="116">
        <f t="shared" si="4"/>
        <v>0.1590000002017333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0</v>
      </c>
      <c r="AF14" s="142">
        <f>IF($D14=" ","",ROUND(ABS(_xll.RtGet(SourceAlias,$M14,ASK)-O14),4))</f>
        <v>0</v>
      </c>
      <c r="AG14" s="142">
        <f>IF($E14=" ","",ROUND(ABS(_xll.RtGet(SourceAlias,$P14,BID)-Q14),4))</f>
        <v>0</v>
      </c>
      <c r="AH14" s="142">
        <f>IF($E14=" ","",ROUND(ABS(_xll.RtGet(SourceAlias,$P14,ASK)-R14),4))</f>
        <v>0</v>
      </c>
      <c r="AI14" s="142">
        <f>IF($F14=" ","",ROUND(ABS(_xll.RtGet(SourceAlias,$S14,BID)-T14),4))</f>
        <v>0</v>
      </c>
      <c r="AJ14" s="142">
        <f>IF($F14=" ","",ROUND(ABS(_xll.RtGet(SourceAlias,$S14,ASK)-U14),4))</f>
        <v>0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5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0.23120477329508665</v>
      </c>
      <c r="L15" s="116">
        <f t="shared" si="0"/>
        <v>0.23120477329508665</v>
      </c>
      <c r="M15" s="117" t="str">
        <v>USD_CURVE_DEP3M_4M</v>
      </c>
      <c r="N15" s="116">
        <f>IF(M15="","",'3M Pricing'!$I15*100)</f>
        <v>0.32272578630238202</v>
      </c>
      <c r="O15" s="116">
        <f t="shared" si="1"/>
        <v>0.32272578630238202</v>
      </c>
      <c r="P15" s="117" t="str">
        <v>USD_CURVE_DEP6M_4M</v>
      </c>
      <c r="Q15" s="116">
        <f>IF(P15="","",'6M Pricing'!$I15*100)</f>
        <v>0.54590000000003469</v>
      </c>
      <c r="R15" s="116">
        <f t="shared" si="2"/>
        <v>0.54590000000003469</v>
      </c>
      <c r="S15" s="117" t="str">
        <v>USD_CURVE_DEP12M_4M</v>
      </c>
      <c r="T15" s="116">
        <f>IF(S15="","",'1Y Pricing'!$I15*100)</f>
        <v>1.1343999999873162</v>
      </c>
      <c r="U15" s="116">
        <f t="shared" si="3"/>
        <v>1.1343999999873162</v>
      </c>
      <c r="V15" s="115" t="str">
        <v>USD_CURVE_OIS_4M</v>
      </c>
      <c r="W15" s="116">
        <f>IF(V15="","",'ON Pricing'!$G15*100)</f>
        <v>0.17500000015489445</v>
      </c>
      <c r="X15" s="116">
        <f t="shared" si="4"/>
        <v>0.17500000015489445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0</v>
      </c>
      <c r="AD15" s="142">
        <f>IF($C15=" ","",ROUND(ABS(_xll.RtGet(SourceAlias,$J15,ASK)-L15),4))</f>
        <v>0</v>
      </c>
      <c r="AE15" s="142">
        <f>IF($D15=" ","",ROUND(ABS(_xll.RtGet(SourceAlias,$M15,BID)-N15),4))</f>
        <v>0</v>
      </c>
      <c r="AF15" s="142">
        <f>IF($D15=" ","",ROUND(ABS(_xll.RtGet(SourceAlias,$M15,ASK)-O15),4))</f>
        <v>0</v>
      </c>
      <c r="AG15" s="142">
        <f>IF($E15=" ","",ROUND(ABS(_xll.RtGet(SourceAlias,$P15,BID)-Q15),4))</f>
        <v>0</v>
      </c>
      <c r="AH15" s="142">
        <f>IF($E15=" ","",ROUND(ABS(_xll.RtGet(SourceAlias,$P15,ASK)-R15),4))</f>
        <v>0</v>
      </c>
      <c r="AI15" s="142">
        <f>IF($F15=" ","",ROUND(ABS(_xll.RtGet(SourceAlias,$S15,BID)-T15),4))</f>
        <v>0</v>
      </c>
      <c r="AJ15" s="142">
        <f>IF($F15=" ","",ROUND(ABS(_xll.RtGet(SourceAlias,$S15,ASK)-U15),4))</f>
        <v>0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5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0.2470483633140467</v>
      </c>
      <c r="L16" s="116">
        <f t="shared" si="0"/>
        <v>0.2470483633140467</v>
      </c>
      <c r="M16" s="117" t="str">
        <v>USD_CURVE_DEP3M_5M</v>
      </c>
      <c r="N16" s="116">
        <f>IF(M16="","",'3M Pricing'!$I16*100)</f>
        <v>0.34560447872202338</v>
      </c>
      <c r="O16" s="116">
        <f t="shared" si="1"/>
        <v>0.34560447872202338</v>
      </c>
      <c r="P16" s="117" t="str">
        <v>USD_CURVE_DEP6M_5M</v>
      </c>
      <c r="Q16" s="116">
        <f>IF(P16="","",'6M Pricing'!$I16*100)</f>
        <v>0.53359999999994701</v>
      </c>
      <c r="R16" s="116">
        <f t="shared" si="2"/>
        <v>0.53359999999994701</v>
      </c>
      <c r="S16" s="117" t="str">
        <v>USD_CURVE_DEP12M_5M</v>
      </c>
      <c r="T16" s="116">
        <f>IF(S16="","",'1Y Pricing'!$I16*100)</f>
        <v>1.1012999999695166</v>
      </c>
      <c r="U16" s="116">
        <f t="shared" si="3"/>
        <v>1.1012999999695166</v>
      </c>
      <c r="V16" s="115" t="str">
        <v>USD_CURVE_OIS_5M</v>
      </c>
      <c r="W16" s="116">
        <f>IF(V16="","",'ON Pricing'!$G16*100)</f>
        <v>0.18800000010991311</v>
      </c>
      <c r="X16" s="116">
        <f t="shared" si="4"/>
        <v>0.18800000010991311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0</v>
      </c>
      <c r="AD16" s="142">
        <f>IF($C16=" ","",ROUND(ABS(_xll.RtGet(SourceAlias,$J16,ASK)-L16),4))</f>
        <v>0</v>
      </c>
      <c r="AE16" s="142">
        <f>IF($D16=" ","",ROUND(ABS(_xll.RtGet(SourceAlias,$M16,BID)-N16),4))</f>
        <v>0</v>
      </c>
      <c r="AF16" s="142">
        <f>IF($D16=" ","",ROUND(ABS(_xll.RtGet(SourceAlias,$M16,ASK)-O16),4))</f>
        <v>0</v>
      </c>
      <c r="AG16" s="142">
        <f>IF($E16=" ","",ROUND(ABS(_xll.RtGet(SourceAlias,$P16,BID)-Q16),4))</f>
        <v>0</v>
      </c>
      <c r="AH16" s="142">
        <f>IF($E16=" ","",ROUND(ABS(_xll.RtGet(SourceAlias,$P16,ASK)-R16),4))</f>
        <v>0</v>
      </c>
      <c r="AI16" s="142">
        <f>IF($F16=" ","",ROUND(ABS(_xll.RtGet(SourceAlias,$S16,BID)-T16),4))</f>
        <v>1E-4</v>
      </c>
      <c r="AJ16" s="142">
        <f>IF($F16=" ","",ROUND(ABS(_xll.RtGet(SourceAlias,$S16,ASK)-U16),4))</f>
        <v>1E-4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5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0.26403009846692294</v>
      </c>
      <c r="L17" s="116">
        <f t="shared" si="0"/>
        <v>0.26403009846692294</v>
      </c>
      <c r="M17" s="117" t="str">
        <v>USD_CURVE_DEP3M_6M</v>
      </c>
      <c r="N17" s="116">
        <f>IF(M17="","",'3M Pricing'!$I17*100)</f>
        <v>0.36722957703709197</v>
      </c>
      <c r="O17" s="116">
        <f t="shared" si="1"/>
        <v>0.36722957703709197</v>
      </c>
      <c r="P17" s="117" t="str">
        <v>USD_CURVE_DEP6M_6M</v>
      </c>
      <c r="Q17" s="116">
        <f>IF(P17="","",'6M Pricing'!$I17*100)</f>
        <v>0.53450000002008835</v>
      </c>
      <c r="R17" s="116">
        <f t="shared" si="2"/>
        <v>0.53450000002008835</v>
      </c>
      <c r="S17" s="117" t="str">
        <v>USD_CURVE_DEP12M_6M</v>
      </c>
      <c r="T17" s="116">
        <f>IF(S17="","",'1Y Pricing'!$I17*100)</f>
        <v>1.0661999999276215</v>
      </c>
      <c r="U17" s="116">
        <f t="shared" si="3"/>
        <v>1.0661999999276215</v>
      </c>
      <c r="V17" s="115" t="str">
        <v>USD_CURVE_OIS_6M</v>
      </c>
      <c r="W17" s="116">
        <f>IF(V17="","",'ON Pricing'!$G17*100)</f>
        <v>0.2040000001015492</v>
      </c>
      <c r="X17" s="116">
        <f t="shared" si="4"/>
        <v>0.2040000001015492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0</v>
      </c>
      <c r="AF17" s="142">
        <f>IF($D17=" ","",ROUND(ABS(_xll.RtGet(SourceAlias,$M17,ASK)-O17),4))</f>
        <v>0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1E-4</v>
      </c>
      <c r="AJ17" s="142">
        <f>IF($F17=" ","",ROUND(ABS(_xll.RtGet(SourceAlias,$S17,ASK)-U17),4))</f>
        <v>1E-4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5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0.28056707999112646</v>
      </c>
      <c r="L18" s="116">
        <f t="shared" si="0"/>
        <v>0.28056707999112646</v>
      </c>
      <c r="M18" s="117" t="str">
        <v>USD_CURVE_DEP3M_7M</v>
      </c>
      <c r="N18" s="116">
        <f>IF(M18="","",'3M Pricing'!$I18*100)</f>
        <v>0.38261412487570873</v>
      </c>
      <c r="O18" s="116">
        <f t="shared" si="1"/>
        <v>0.38261412487570873</v>
      </c>
      <c r="P18" s="117" t="str">
        <v>USD_CURVE_DEP6M_7M</v>
      </c>
      <c r="Q18" s="116">
        <f>IF(P18="","",'6M Pricing'!$I18*100)</f>
        <v>0.54930036520920666</v>
      </c>
      <c r="R18" s="116">
        <f t="shared" si="2"/>
        <v>0.54930036520920666</v>
      </c>
      <c r="S18" s="117" t="str">
        <v>USD_CURVE_DEP12M_7M</v>
      </c>
      <c r="T18" s="116">
        <f>IF(S18="","",'1Y Pricing'!$I18*100)</f>
        <v>1.0275863335530109</v>
      </c>
      <c r="U18" s="116">
        <f t="shared" si="3"/>
        <v>1.0275863335530109</v>
      </c>
      <c r="V18" s="115" t="str">
        <v>USD_CURVE_OIS_7M</v>
      </c>
      <c r="W18" s="116">
        <f>IF(V18="","",'ON Pricing'!$G18*100)</f>
        <v>0.22000000008944534</v>
      </c>
      <c r="X18" s="116">
        <f t="shared" si="4"/>
        <v>0.22000000008944534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0</v>
      </c>
      <c r="AD18" s="142">
        <f>IF($C18=" ","",ROUND(ABS(_xll.RtGet(SourceAlias,$J18,ASK)-L18),4))</f>
        <v>0</v>
      </c>
      <c r="AE18" s="142">
        <f>IF($D18=" ","",ROUND(ABS(_xll.RtGet(SourceAlias,$M18,BID)-N18),4))</f>
        <v>0</v>
      </c>
      <c r="AF18" s="142">
        <f>IF($D18=" ","",ROUND(ABS(_xll.RtGet(SourceAlias,$M18,ASK)-O18),4))</f>
        <v>0</v>
      </c>
      <c r="AG18" s="142">
        <f>IF($E18=" ","",ROUND(ABS(_xll.RtGet(SourceAlias,$P18,BID)-Q18),4))</f>
        <v>0</v>
      </c>
      <c r="AH18" s="142">
        <f>IF($E18=" ","",ROUND(ABS(_xll.RtGet(SourceAlias,$P18,ASK)-R18),4))</f>
        <v>0</v>
      </c>
      <c r="AI18" s="142">
        <f>IF($F18=" ","",ROUND(ABS(_xll.RtGet(SourceAlias,$S18,BID)-T18),4))</f>
        <v>1E-4</v>
      </c>
      <c r="AJ18" s="142">
        <f>IF($F18=" ","",ROUND(ABS(_xll.RtGet(SourceAlias,$S18,ASK)-U18),4))</f>
        <v>1E-4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5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0.29536725373869843</v>
      </c>
      <c r="L19" s="116">
        <f t="shared" si="0"/>
        <v>0.29536725373869843</v>
      </c>
      <c r="M19" s="117" t="str">
        <v>USD_CURVE_DEP3M_8M</v>
      </c>
      <c r="N19" s="116">
        <f>IF(M19="","",'3M Pricing'!$I19*100)</f>
        <v>0.39550916461777902</v>
      </c>
      <c r="O19" s="116">
        <f t="shared" si="1"/>
        <v>0.39550916461777902</v>
      </c>
      <c r="P19" s="117" t="str">
        <v>USD_CURVE_DEP6M_8M</v>
      </c>
      <c r="Q19" s="116">
        <f>IF(P19="","",'6M Pricing'!$I19*100)</f>
        <v>0.57283383199974802</v>
      </c>
      <c r="R19" s="116">
        <f t="shared" si="2"/>
        <v>0.57283383199974802</v>
      </c>
      <c r="S19" s="117" t="str">
        <v>USD_CURVE_DEP12M_8M</v>
      </c>
      <c r="T19" s="116">
        <f>IF(S19="","",'1Y Pricing'!$I19*100)</f>
        <v>0.99284839179980178</v>
      </c>
      <c r="U19" s="116">
        <f t="shared" si="3"/>
        <v>0.99284839179980178</v>
      </c>
      <c r="V19" s="115" t="str">
        <v>USD_CURVE_OIS_8M</v>
      </c>
      <c r="W19" s="116">
        <f>IF(V19="","",'ON Pricing'!$G19*100)</f>
        <v>0.23200000007116253</v>
      </c>
      <c r="X19" s="116">
        <f t="shared" si="4"/>
        <v>0.23200000007116253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0</v>
      </c>
      <c r="AD19" s="142">
        <f>IF($C19=" ","",ROUND(ABS(_xll.RtGet(SourceAlias,$J19,ASK)-L19),4))</f>
        <v>0</v>
      </c>
      <c r="AE19" s="142">
        <f>IF($D19=" ","",ROUND(ABS(_xll.RtGet(SourceAlias,$M19,BID)-N19),4))</f>
        <v>0</v>
      </c>
      <c r="AF19" s="142">
        <f>IF($D19=" ","",ROUND(ABS(_xll.RtGet(SourceAlias,$M19,ASK)-O19),4))</f>
        <v>0</v>
      </c>
      <c r="AG19" s="142">
        <f>IF($E19=" ","",ROUND(ABS(_xll.RtGet(SourceAlias,$P19,BID)-Q19),4))</f>
        <v>0</v>
      </c>
      <c r="AH19" s="142">
        <f>IF($E19=" ","",ROUND(ABS(_xll.RtGet(SourceAlias,$P19,ASK)-R19),4))</f>
        <v>0</v>
      </c>
      <c r="AI19" s="142">
        <f>IF($F19=" ","",ROUND(ABS(_xll.RtGet(SourceAlias,$S19,BID)-T19),4))</f>
        <v>2.0000000000000001E-4</v>
      </c>
      <c r="AJ19" s="142">
        <f>IF($F19=" ","",ROUND(ABS(_xll.RtGet(SourceAlias,$S19,ASK)-U19),4))</f>
        <v>2.0000000000000001E-4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5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0.31105815947664306</v>
      </c>
      <c r="L20" s="116">
        <f t="shared" si="0"/>
        <v>0.31105815947664306</v>
      </c>
      <c r="M20" s="117" t="str">
        <v>USD_CURVE_DEP3M_9M</v>
      </c>
      <c r="N20" s="116">
        <f>IF(M20="","",'3M Pricing'!$I20*100)</f>
        <v>0.41047376765932464</v>
      </c>
      <c r="O20" s="116">
        <f t="shared" si="1"/>
        <v>0.41047376765932464</v>
      </c>
      <c r="P20" s="117" t="str">
        <v>USD_CURVE_DEP6M_9M</v>
      </c>
      <c r="Q20" s="116">
        <f>IF(P20="","",'6M Pricing'!$I20*100)</f>
        <v>0.58735827740864932</v>
      </c>
      <c r="R20" s="116">
        <f t="shared" si="2"/>
        <v>0.58735827740864932</v>
      </c>
      <c r="S20" s="117" t="str">
        <v>USD_CURVE_DEP12M_9M</v>
      </c>
      <c r="T20" s="116">
        <f>IF(S20="","",'1Y Pricing'!$I20*100)</f>
        <v>0.95969999999999245</v>
      </c>
      <c r="U20" s="116">
        <f t="shared" si="3"/>
        <v>0.95969999999999245</v>
      </c>
      <c r="V20" s="115" t="str">
        <v>USD_CURVE_OIS_9M</v>
      </c>
      <c r="W20" s="116">
        <f>IF(V20="","",'ON Pricing'!$G20*100)</f>
        <v>0.24800000006566686</v>
      </c>
      <c r="X20" s="116">
        <f t="shared" si="4"/>
        <v>0.24800000006566686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0</v>
      </c>
      <c r="AF20" s="142">
        <f>IF($D20=" ","",ROUND(ABS(_xll.RtGet(SourceAlias,$M20,ASK)-O20),4))</f>
        <v>0</v>
      </c>
      <c r="AG20" s="142">
        <f>IF($E20=" ","",ROUND(ABS(_xll.RtGet(SourceAlias,$P20,BID)-Q20),4))</f>
        <v>0</v>
      </c>
      <c r="AH20" s="142">
        <f>IF($E20=" ","",ROUND(ABS(_xll.RtGet(SourceAlias,$P20,ASK)-R20),4))</f>
        <v>0</v>
      </c>
      <c r="AI20" s="142">
        <f>IF($F20=" ","",ROUND(ABS(_xll.RtGet(SourceAlias,$S20,BID)-T20),4))</f>
        <v>0</v>
      </c>
      <c r="AJ20" s="142">
        <f>IF($F20=" ","",ROUND(ABS(_xll.RtGet(SourceAlias,$S20,ASK)-U20),4))</f>
        <v>0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5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0.26400000006294594</v>
      </c>
      <c r="X21" s="120">
        <f t="shared" si="4"/>
        <v>0.26400000006294594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5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0.27800000005363223</v>
      </c>
      <c r="X22" s="116">
        <f t="shared" si="4"/>
        <v>0.27800000005363223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5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0.29300000000000403</v>
      </c>
      <c r="X23" s="119">
        <f t="shared" si="4"/>
        <v>0.29300000000000403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5"/>
      <c r="B24" s="169" t="s">
        <v>112</v>
      </c>
      <c r="C24" s="89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9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9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9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8" t="s">
        <v>46</v>
      </c>
      <c r="H24" s="138" t="s">
        <v>46</v>
      </c>
      <c r="I24" s="18" t="s">
        <v>46</v>
      </c>
      <c r="J24" s="118" t="str">
        <v>USD_CURVE_DEP1M_#20160615</v>
      </c>
      <c r="K24" s="119">
        <f>IF(J24="","",'1M Pricing'!I24*100)</f>
        <v>0.29949700199919227</v>
      </c>
      <c r="L24" s="119">
        <f t="shared" si="0"/>
        <v>0.29949700199919227</v>
      </c>
      <c r="M24" s="118" t="str">
        <v>USD_CURVE_DEP3M_#20160615</v>
      </c>
      <c r="N24" s="119">
        <f>IF(M24="","",'3M Pricing'!$I24*100)</f>
        <v>0.39928298695505027</v>
      </c>
      <c r="O24" s="119">
        <f t="shared" si="1"/>
        <v>0.39928298695505027</v>
      </c>
      <c r="P24" s="118" t="str">
        <v>USD_CURVE_DEP6M_#20160615</v>
      </c>
      <c r="Q24" s="119">
        <f>IF(P24="","",'6M Pricing'!$I24*100)</f>
        <v>0.5779836396260547</v>
      </c>
      <c r="R24" s="119">
        <f t="shared" si="2"/>
        <v>0.5779836396260547</v>
      </c>
      <c r="S24" s="118" t="str">
        <v>USD_CURVE_DEP12M_#20160615</v>
      </c>
      <c r="T24" s="119">
        <f>IF(S24="","",'1Y Pricing'!$I24*100)</f>
        <v>0.98365714700762341</v>
      </c>
      <c r="U24" s="119">
        <f t="shared" si="3"/>
        <v>0.98365714700762341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/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>
        <f>IF($C24=" ","",ROUND(ABS(_xll.RtGet(SourceAlias,$J24,BID)-K24),4))</f>
        <v>0</v>
      </c>
      <c r="AD24" s="144">
        <f>IF($C24=" ","",ROUND(ABS(_xll.RtGet(SourceAlias,$J24,ASK)-L24),4))</f>
        <v>0</v>
      </c>
      <c r="AE24" s="144">
        <f>IF($D24=" ","",ROUND(ABS(_xll.RtGet(SourceAlias,$M24,BID)-N24),4))</f>
        <v>0</v>
      </c>
      <c r="AF24" s="144">
        <f>IF($D24=" ","",ROUND(ABS(_xll.RtGet(SourceAlias,$M24,ASK)-O24),4))</f>
        <v>0</v>
      </c>
      <c r="AG24" s="144">
        <f>IF($E24=" ","",ROUND(ABS(_xll.RtGet(SourceAlias,$P24,BID)-Q24),4))</f>
        <v>0</v>
      </c>
      <c r="AH24" s="144">
        <f>IF($E24=" ","",ROUND(ABS(_xll.RtGet(SourceAlias,$P24,ASK)-R24),4))</f>
        <v>0</v>
      </c>
      <c r="AI24" s="144">
        <f>IF($F24=" ","",ROUND(ABS(_xll.RtGet(SourceAlias,$S24,BID)-T24),4))</f>
        <v>2.0000000000000001E-4</v>
      </c>
      <c r="AJ24" s="144">
        <f>IF($F24=" ","",ROUND(ABS(_xll.RtGet(SourceAlias,$S24,ASK)-U24),4))</f>
        <v>2.0000000000000001E-4</v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/>
      <c r="AN24" s="144"/>
    </row>
    <row r="25" spans="1:40" ht="11.25" customHeight="1" x14ac:dyDescent="0.2">
      <c r="A25" s="194" t="s">
        <v>117</v>
      </c>
      <c r="B25" s="49" t="str">
        <f t="array" ref="B25:B32">'1M Pricing'!D25:D32</f>
        <v>Z5</v>
      </c>
      <c r="C25" s="86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6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6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6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6" t="s">
        <v>46</v>
      </c>
      <c r="H25" s="136" t="s">
        <v>46</v>
      </c>
      <c r="I25" s="18" t="s">
        <v>46</v>
      </c>
      <c r="J25" s="115" t="str">
        <v>USD_CURVE_FUT1M_Z5</v>
      </c>
      <c r="K25" s="116">
        <f>IF(J25="","",'1M Pricing'!$I25)</f>
        <v>99.711390137525342</v>
      </c>
      <c r="L25" s="116">
        <f t="shared" si="0"/>
        <v>99.711390137525342</v>
      </c>
      <c r="M25" s="117" t="str">
        <v>USD_CURVE_FUT3M_Z5</v>
      </c>
      <c r="N25" s="116">
        <f>IF(M25="","",'3M Pricing'!$I25)</f>
        <v>99.62303330325004</v>
      </c>
      <c r="O25" s="116">
        <f t="shared" si="1"/>
        <v>99.62303330325004</v>
      </c>
      <c r="P25" s="117" t="str">
        <v>USD_CURVE_FUT6M_Z5</v>
      </c>
      <c r="Q25" s="116">
        <f>IF(P25="","",'6M Pricing'!$I25)</f>
        <v>99.517596760600355</v>
      </c>
      <c r="R25" s="116">
        <f t="shared" si="2"/>
        <v>99.517596760600355</v>
      </c>
      <c r="S25" s="117" t="str">
        <v>USD_CURVE_FUT12M_Z5</v>
      </c>
      <c r="T25" s="116">
        <f>IF(S25="","",'1Y Pricing'!$I25)</f>
        <v>98.990149814814714</v>
      </c>
      <c r="U25" s="116">
        <f t="shared" si="3"/>
        <v>98.990149814814714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/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>
        <f>IF($C25=" ","",ROUND(ABS(_xll.RtGet(SourceAlias,$J25,BID)-K25),4))</f>
        <v>0</v>
      </c>
      <c r="AD25" s="142">
        <f>IF($C25=" ","",ROUND(ABS(_xll.RtGet(SourceAlias,$J25,ASK)-L25),4))</f>
        <v>0</v>
      </c>
      <c r="AE25" s="142">
        <f>IF($D25=" ","",ROUND(ABS(_xll.RtGet(SourceAlias,$M25,BID)-N25),4))</f>
        <v>0</v>
      </c>
      <c r="AF25" s="142">
        <f>IF($D25=" ","",ROUND(ABS(_xll.RtGet(SourceAlias,$M25,ASK)-O25),4))</f>
        <v>0</v>
      </c>
      <c r="AG25" s="142">
        <f>IF($E25=" ","",ROUND(ABS(_xll.RtGet(SourceAlias,$P25,BID)-Q25),4))</f>
        <v>0</v>
      </c>
      <c r="AH25" s="142">
        <f>IF($E25=" ","",ROUND(ABS(_xll.RtGet(SourceAlias,$P25,ASK)-R25),4))</f>
        <v>0</v>
      </c>
      <c r="AI25" s="142">
        <f>IF($F25=" ","",ROUND(ABS(_xll.RtGet(SourceAlias,$S25,BID)-T25),4))</f>
        <v>2.0000000000000001E-4</v>
      </c>
      <c r="AJ25" s="142">
        <f>IF($F25=" ","",ROUND(ABS(_xll.RtGet(SourceAlias,$S25,ASK)-U25),4))</f>
        <v>2.0000000000000001E-4</v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/>
      <c r="AN25" s="142"/>
    </row>
    <row r="26" spans="1:40" x14ac:dyDescent="0.2">
      <c r="A26" s="195"/>
      <c r="B26" s="49" t="str">
        <v>H6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99.616520684223758</v>
      </c>
      <c r="L26" s="116">
        <f t="shared" si="0"/>
        <v>99.616520684223758</v>
      </c>
      <c r="M26" s="117" t="str">
        <v>USD_CURVE_FUT3M_H6</v>
      </c>
      <c r="N26" s="116">
        <f>IF(M26="","",'3M Pricing'!$I26)</f>
        <v>99.519138471175438</v>
      </c>
      <c r="O26" s="116">
        <f t="shared" si="1"/>
        <v>99.519138471175438</v>
      </c>
      <c r="P26" s="117" t="str">
        <v>USD_CURVE_FUT6M_H6</v>
      </c>
      <c r="Q26" s="116">
        <f>IF(P26="","",'6M Pricing'!$I26)</f>
        <v>99.34227628979346</v>
      </c>
      <c r="R26" s="116">
        <f t="shared" si="2"/>
        <v>99.34227628979346</v>
      </c>
      <c r="S26" s="117" t="str">
        <v>USD_CURVE_FUT12M_H6</v>
      </c>
      <c r="T26" s="116">
        <f>IF(S26="","",'1Y Pricing'!$I26)</f>
        <v>99.211379572745471</v>
      </c>
      <c r="U26" s="116">
        <f t="shared" si="3"/>
        <v>99.211379572745471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0</v>
      </c>
      <c r="AD26" s="142">
        <f>IF($C26=" ","",ROUND(ABS(_xll.RtGet(SourceAlias,$J26,ASK)-L26),4))</f>
        <v>0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0</v>
      </c>
      <c r="AH26" s="142">
        <f>IF($E26=" ","",ROUND(ABS(_xll.RtGet(SourceAlias,$P26,ASK)-R26),4))</f>
        <v>0</v>
      </c>
      <c r="AI26" s="142">
        <f>IF($F26=" ","",ROUND(ABS(_xll.RtGet(SourceAlias,$S26,BID)-T26),4))</f>
        <v>5.9999999999999995E-4</v>
      </c>
      <c r="AJ26" s="142">
        <f>IF($F26=" ","",ROUND(ABS(_xll.RtGet(SourceAlias,$S26,ASK)-U26),4))</f>
        <v>5.9999999999999995E-4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5"/>
      <c r="B27" s="49" t="str">
        <v>M6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99.512016214017393</v>
      </c>
      <c r="L27" s="116">
        <f t="shared" si="0"/>
        <v>99.512016214017393</v>
      </c>
      <c r="M27" s="117" t="str">
        <v>USD_CURVE_FUT3M_M6</v>
      </c>
      <c r="N27" s="116">
        <f>IF(M27="","",'3M Pricing'!$I27)</f>
        <v>99.410700761379672</v>
      </c>
      <c r="O27" s="116">
        <f t="shared" si="1"/>
        <v>99.410700761379672</v>
      </c>
      <c r="P27" s="117" t="str">
        <v>USD_CURVE_FUT6M_M6</v>
      </c>
      <c r="Q27" s="116">
        <f>IF(P27="","",'6M Pricing'!$I27)</f>
        <v>99.344088629035625</v>
      </c>
      <c r="R27" s="116">
        <f t="shared" si="2"/>
        <v>99.344088629035625</v>
      </c>
      <c r="S27" s="117" t="str">
        <v>USD_CURVE_FUT12M_M6</v>
      </c>
      <c r="T27" s="116">
        <f>IF(S27="","",'1Y Pricing'!$I27)</f>
        <v>99.394548378391832</v>
      </c>
      <c r="U27" s="116">
        <f t="shared" si="3"/>
        <v>99.394548378391832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0</v>
      </c>
      <c r="AD27" s="142">
        <f>IF($C27=" ","",ROUND(ABS(_xll.RtGet(SourceAlias,$J27,ASK)-L27),4))</f>
        <v>0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0</v>
      </c>
      <c r="AH27" s="142">
        <f>IF($E27=" ","",ROUND(ABS(_xll.RtGet(SourceAlias,$P27,ASK)-R27),4))</f>
        <v>0</v>
      </c>
      <c r="AI27" s="142">
        <f>IF($F27=" ","",ROUND(ABS(_xll.RtGet(SourceAlias,$S27,BID)-T27),4))</f>
        <v>2.2000000000000001E-3</v>
      </c>
      <c r="AJ27" s="142">
        <f>IF($F27=" ","",ROUND(ABS(_xll.RtGet(SourceAlias,$S27,ASK)-U27),4))</f>
        <v>2.2000000000000001E-3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5"/>
      <c r="B28" s="49" t="str">
        <v>U6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99.380949005039014</v>
      </c>
      <c r="L28" s="116">
        <f t="shared" si="0"/>
        <v>99.380949005039014</v>
      </c>
      <c r="M28" s="117" t="str">
        <v>USD_CURVE_FUT3M_U6</v>
      </c>
      <c r="N28" s="116">
        <f>IF(M28="","",'3M Pricing'!$I28)</f>
        <v>99.27786780905727</v>
      </c>
      <c r="O28" s="116">
        <f t="shared" si="1"/>
        <v>99.27786780905727</v>
      </c>
      <c r="P28" s="117" t="str">
        <v>USD_CURVE_FUT6M_U6</v>
      </c>
      <c r="Q28" s="116">
        <f>IF(P28="","",'6M Pricing'!$I28)</f>
        <v>99.117359686687522</v>
      </c>
      <c r="R28" s="116">
        <f t="shared" si="2"/>
        <v>99.117359686687522</v>
      </c>
      <c r="S28" s="117" t="str">
        <v>USD_CURVE_FUT12M_U6</v>
      </c>
      <c r="T28" s="116">
        <f>IF(S28="","",'1Y Pricing'!$I28)</f>
        <v>99.380209309402233</v>
      </c>
      <c r="U28" s="116">
        <f t="shared" si="3"/>
        <v>99.380209309402233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5.0000000000000001E-4</v>
      </c>
      <c r="AD28" s="142">
        <f>IF($C28=" ","",ROUND(ABS(_xll.RtGet(SourceAlias,$J28,ASK)-L28),4))</f>
        <v>5.0000000000000001E-4</v>
      </c>
      <c r="AE28" s="142">
        <f>IF($D28=" ","",ROUND(ABS(_xll.RtGet(SourceAlias,$M28,BID)-N28),4))</f>
        <v>0</v>
      </c>
      <c r="AF28" s="142">
        <f>IF($D28=" ","",ROUND(ABS(_xll.RtGet(SourceAlias,$M28,ASK)-O28),4))</f>
        <v>0</v>
      </c>
      <c r="AG28" s="142">
        <f>IF($E28=" ","",ROUND(ABS(_xll.RtGet(SourceAlias,$P28,BID)-Q28),4))</f>
        <v>1E-4</v>
      </c>
      <c r="AH28" s="142">
        <f>IF($E28=" ","",ROUND(ABS(_xll.RtGet(SourceAlias,$P28,ASK)-R28),4))</f>
        <v>1E-4</v>
      </c>
      <c r="AI28" s="142">
        <f>IF($F28=" ","",ROUND(ABS(_xll.RtGet(SourceAlias,$S28,BID)-T28),4))</f>
        <v>2.2000000000000001E-3</v>
      </c>
      <c r="AJ28" s="142">
        <f>IF($F28=" ","",ROUND(ABS(_xll.RtGet(SourceAlias,$S28,ASK)-U28),4))</f>
        <v>2.2000000000000001E-3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5"/>
      <c r="B29" s="49" t="str">
        <v>Z6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99.258101038147288</v>
      </c>
      <c r="L29" s="116">
        <f t="shared" si="0"/>
        <v>99.258101038147288</v>
      </c>
      <c r="M29" s="117" t="str">
        <v>USD_CURVE_FUT3M_Z6</v>
      </c>
      <c r="N29" s="116">
        <f>IF(M29="","",'3M Pricing'!$I29)</f>
        <v>99.140326787930547</v>
      </c>
      <c r="O29" s="116">
        <f t="shared" si="1"/>
        <v>99.140326787930547</v>
      </c>
      <c r="P29" s="117" t="str">
        <v>USD_CURVE_FUT6M_Z6</v>
      </c>
      <c r="Q29" s="116">
        <f>IF(P29="","",'6M Pricing'!$I29)</f>
        <v>99.108622880450255</v>
      </c>
      <c r="R29" s="116">
        <f t="shared" si="2"/>
        <v>99.108622880450255</v>
      </c>
      <c r="S29" s="117" t="str">
        <v>USD_CURVE_FUT12M_Z6</v>
      </c>
      <c r="T29" s="116">
        <f>IF(S29="","",'1Y Pricing'!$I29)</f>
        <v>98.620542615489796</v>
      </c>
      <c r="U29" s="116">
        <f t="shared" si="3"/>
        <v>98.620542615489796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C29" s="142">
        <f>IF($C29=" ","",ROUND(ABS(_xll.RtGet(SourceAlias,$J29,BID)-K29),4))</f>
        <v>1.1999999999999999E-3</v>
      </c>
      <c r="AD29" s="142">
        <f>IF($C29=" ","",ROUND(ABS(_xll.RtGet(SourceAlias,$J29,ASK)-L29),4))</f>
        <v>1.1999999999999999E-3</v>
      </c>
      <c r="AE29" s="142">
        <f>IF($D29=" ","",ROUND(ABS(_xll.RtGet(SourceAlias,$M29,BID)-N29),4))</f>
        <v>0</v>
      </c>
      <c r="AF29" s="142">
        <f>IF($D29=" ","",ROUND(ABS(_xll.RtGet(SourceAlias,$M29,ASK)-O29),4))</f>
        <v>0</v>
      </c>
      <c r="AG29" s="142">
        <f>IF($E29=" ","",ROUND(ABS(_xll.RtGet(SourceAlias,$P29,BID)-Q29),4))</f>
        <v>1E-4</v>
      </c>
      <c r="AH29" s="142">
        <f>IF($E29=" ","",ROUND(ABS(_xll.RtGet(SourceAlias,$P29,ASK)-R29),4))</f>
        <v>1E-4</v>
      </c>
      <c r="AI29" s="142">
        <f>IF($F29=" ","",ROUND(ABS(_xll.RtGet(SourceAlias,$S29,BID)-T29),4))</f>
        <v>1E-3</v>
      </c>
      <c r="AJ29" s="142">
        <f>IF($F29=" ","",ROUND(ABS(_xll.RtGet(SourceAlias,$S29,ASK)-U29),4))</f>
        <v>1E-3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5"/>
      <c r="B30" s="49" t="str">
        <v>H7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99.144235848166332</v>
      </c>
      <c r="L30" s="116">
        <f t="shared" si="0"/>
        <v>99.144235848166332</v>
      </c>
      <c r="M30" s="117" t="str">
        <v>USD_CURVE_FUT3M_H7</v>
      </c>
      <c r="N30" s="116">
        <f>IF(M30="","",'3M Pricing'!$I30)</f>
        <v>99.018056438885353</v>
      </c>
      <c r="O30" s="116">
        <f t="shared" si="1"/>
        <v>99.018056438885353</v>
      </c>
      <c r="P30" s="117" t="str">
        <v>USD_CURVE_FUT6M_H7</v>
      </c>
      <c r="Q30" s="116">
        <f>IF(P30="","",'6M Pricing'!$I30)</f>
        <v>98.91796026954907</v>
      </c>
      <c r="R30" s="116">
        <f t="shared" si="2"/>
        <v>98.91796026954907</v>
      </c>
      <c r="S30" s="117" t="str">
        <v>USD_CURVE_FUT12M_H7</v>
      </c>
      <c r="T30" s="116">
        <f>IF(S30="","",'1Y Pricing'!$I30)</f>
        <v>98.788295710977636</v>
      </c>
      <c r="U30" s="116">
        <f t="shared" si="3"/>
        <v>98.788295710977636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1.5E-3</v>
      </c>
      <c r="AD30" s="142">
        <f>IF($C30=" ","",ROUND(ABS(_xll.RtGet(SourceAlias,$J30,ASK)-L30),4))</f>
        <v>1.5E-3</v>
      </c>
      <c r="AE30" s="142">
        <f>IF($D30=" ","",ROUND(ABS(_xll.RtGet(SourceAlias,$M30,BID)-N30),4))</f>
        <v>0</v>
      </c>
      <c r="AF30" s="142">
        <f>IF($D30=" ","",ROUND(ABS(_xll.RtGet(SourceAlias,$M30,ASK)-O30),4))</f>
        <v>0</v>
      </c>
      <c r="AG30" s="142">
        <f>IF($E30=" ","",ROUND(ABS(_xll.RtGet(SourceAlias,$P30,BID)-Q30),4))</f>
        <v>5.9999999999999995E-4</v>
      </c>
      <c r="AH30" s="142">
        <f>IF($E30=" ","",ROUND(ABS(_xll.RtGet(SourceAlias,$P30,ASK)-R30),4))</f>
        <v>5.9999999999999995E-4</v>
      </c>
      <c r="AI30" s="142">
        <f>IF($F30=" ","",ROUND(ABS(_xll.RtGet(SourceAlias,$S30,BID)-T30),4))</f>
        <v>8.0000000000000004E-4</v>
      </c>
      <c r="AJ30" s="142">
        <f>IF($F30=" ","",ROUND(ABS(_xll.RtGet(SourceAlias,$S30,ASK)-U30),4))</f>
        <v>8.0000000000000004E-4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5"/>
      <c r="B31" s="49" t="str">
        <v>M7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99.014829148077027</v>
      </c>
      <c r="L31" s="116">
        <f t="shared" si="0"/>
        <v>99.014829148077027</v>
      </c>
      <c r="M31" s="117" t="str">
        <v>USD_CURVE_FUT3M_M7</v>
      </c>
      <c r="N31" s="116">
        <f>IF(M31="","",'3M Pricing'!$I31)</f>
        <v>98.891636622897835</v>
      </c>
      <c r="O31" s="116">
        <f t="shared" si="1"/>
        <v>98.891636622897835</v>
      </c>
      <c r="P31" s="117" t="str">
        <v>USD_CURVE_FUT6M_M7</v>
      </c>
      <c r="Q31" s="116">
        <f>IF(P31="","",'6M Pricing'!$I31)</f>
        <v>98.802643957573437</v>
      </c>
      <c r="R31" s="116">
        <f t="shared" si="2"/>
        <v>98.802643957573437</v>
      </c>
      <c r="S31" s="117" t="str">
        <v>USD_CURVE_FUT12M_M7</v>
      </c>
      <c r="T31" s="116">
        <f>IF(S31="","",'1Y Pricing'!$I31)</f>
        <v>97.91631537592616</v>
      </c>
      <c r="U31" s="116">
        <f t="shared" si="3"/>
        <v>97.91631537592616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/>
      <c r="Z31" s="116" t="str">
        <f>IF(Y31="","",'STD Pricing'!$G31*100)</f>
        <v/>
      </c>
      <c r="AA31" s="116" t="str">
        <f t="shared" si="5"/>
        <v/>
      </c>
      <c r="AC31" s="142">
        <f>IF($C31=" ","",ROUND(ABS(_xll.RtGet(SourceAlias,$J31,BID)-K31),4))</f>
        <v>1.6999999999999999E-3</v>
      </c>
      <c r="AD31" s="142">
        <f>IF($C31=" ","",ROUND(ABS(_xll.RtGet(SourceAlias,$J31,ASK)-L31),4))</f>
        <v>1.6999999999999999E-3</v>
      </c>
      <c r="AE31" s="142">
        <f>IF($D31=" ","",ROUND(ABS(_xll.RtGet(SourceAlias,$M31,BID)-N31),4))</f>
        <v>0</v>
      </c>
      <c r="AF31" s="142">
        <f>IF($D31=" ","",ROUND(ABS(_xll.RtGet(SourceAlias,$M31,ASK)-O31),4))</f>
        <v>0</v>
      </c>
      <c r="AG31" s="142">
        <f>IF($E31=" ","",ROUND(ABS(_xll.RtGet(SourceAlias,$P31,BID)-Q31),4))</f>
        <v>3.2000000000000002E-3</v>
      </c>
      <c r="AH31" s="142">
        <f>IF($E31=" ","",ROUND(ABS(_xll.RtGet(SourceAlias,$P31,ASK)-R31),4))</f>
        <v>3.2000000000000002E-3</v>
      </c>
      <c r="AI31" s="142">
        <f>IF($F31=" ","",ROUND(ABS(_xll.RtGet(SourceAlias,$S31,BID)-T31),4))</f>
        <v>1.2500000000000001E-2</v>
      </c>
      <c r="AJ31" s="142">
        <f>IF($F31=" ","",ROUND(ABS(_xll.RtGet(SourceAlias,$S31,ASK)-U31),4))</f>
        <v>1.2500000000000001E-2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6"/>
      <c r="B32" s="49" t="str">
        <v>U7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98.897607208381515</v>
      </c>
      <c r="L32" s="116">
        <f t="shared" si="0"/>
        <v>98.897607208381515</v>
      </c>
      <c r="M32" s="117" t="str">
        <v>USD_CURVE_FUT3M_U7</v>
      </c>
      <c r="N32" s="116">
        <f>IF(M32="","",'3M Pricing'!$I32)</f>
        <v>98.770349735416247</v>
      </c>
      <c r="O32" s="116">
        <f t="shared" si="1"/>
        <v>98.770349735416247</v>
      </c>
      <c r="P32" s="117" t="str">
        <v>USD_CURVE_FUT6M_U7</v>
      </c>
      <c r="Q32" s="116">
        <f>IF(P32="","",'6M Pricing'!$I32)</f>
        <v>98.706543523552284</v>
      </c>
      <c r="R32" s="116">
        <f t="shared" si="2"/>
        <v>98.706543523552284</v>
      </c>
      <c r="S32" s="117" t="str">
        <v>USD_CURVE_FUT12M_U7</v>
      </c>
      <c r="T32" s="116">
        <f>IF(S32="","",'1Y Pricing'!$I32)</f>
        <v>97.808341889669393</v>
      </c>
      <c r="U32" s="116">
        <f t="shared" si="3"/>
        <v>97.808341889669393</v>
      </c>
      <c r="V32" s="115" t="str">
        <v/>
      </c>
      <c r="W32" s="116" t="str">
        <f>IF(V32="","",'ON Pricing'!#REF!*100)</f>
        <v/>
      </c>
      <c r="X32" s="116" t="str">
        <f t="shared" si="4"/>
        <v/>
      </c>
      <c r="Y32" s="115"/>
      <c r="Z32" s="116" t="str">
        <f>IF(Y32="","",'STD Pricing'!$G32*100)</f>
        <v/>
      </c>
      <c r="AA32" s="116" t="str">
        <f t="shared" si="5"/>
        <v/>
      </c>
      <c r="AC32" s="142">
        <f>IF($C32=" ","",ROUND(ABS(_xll.RtGet(SourceAlias,$J32,BID)-K32),4))</f>
        <v>1.5E-3</v>
      </c>
      <c r="AD32" s="142">
        <f>IF($C32=" ","",ROUND(ABS(_xll.RtGet(SourceAlias,$J32,ASK)-L32),4))</f>
        <v>1.5E-3</v>
      </c>
      <c r="AE32" s="142">
        <f>IF($D32=" ","",ROUND(ABS(_xll.RtGet(SourceAlias,$M32,BID)-N32),4))</f>
        <v>0</v>
      </c>
      <c r="AF32" s="142">
        <f>IF($D32=" ","",ROUND(ABS(_xll.RtGet(SourceAlias,$M32,ASK)-O32),4))</f>
        <v>0</v>
      </c>
      <c r="AG32" s="142">
        <f>IF($E32=" ","",ROUND(ABS(_xll.RtGet(SourceAlias,$P32,BID)-Q32),4))</f>
        <v>4.1000000000000003E-3</v>
      </c>
      <c r="AH32" s="142">
        <f>IF($E32=" ","",ROUND(ABS(_xll.RtGet(SourceAlias,$P32,ASK)-R32),4))</f>
        <v>4.1000000000000003E-3</v>
      </c>
      <c r="AI32" s="142">
        <f>IF($F32=" ","",ROUND(ABS(_xll.RtGet(SourceAlias,$S32,BID)-T32),4))</f>
        <v>5.3E-3</v>
      </c>
      <c r="AJ32" s="142">
        <f>IF($F32=" ","",ROUND(ABS(_xll.RtGet(SourceAlias,$S32,ASK)-U32),4))</f>
        <v>5.3E-3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2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 t="array" ref="H33:H68">D33:D68</f>
        <v>stopped</v>
      </c>
      <c r="I33" s="3" t="s">
        <v>46</v>
      </c>
      <c r="J33" s="112" t="str">
        <v>USD_CURVE_1M_1Y</v>
      </c>
      <c r="K33" s="113">
        <f>IF(J33="","",'1M Pricing'!$I33*100)</f>
        <v>0.36299999999440347</v>
      </c>
      <c r="L33" s="113">
        <f t="shared" si="0"/>
        <v>0.36299999999440347</v>
      </c>
      <c r="M33" s="114" t="str">
        <v>USD_CURVE_3M_1Y</v>
      </c>
      <c r="N33" s="113">
        <f>IF(M33="","",'3M Pricing'!$I33*100)</f>
        <v>0.46339357193321007</v>
      </c>
      <c r="O33" s="113">
        <f t="shared" si="1"/>
        <v>0.46339357193321007</v>
      </c>
      <c r="P33" s="114" t="str">
        <v>USD_CURVE_6M_1Y</v>
      </c>
      <c r="Q33" s="113">
        <f>IF(P33="","",'6M Pricing'!$I33*100)</f>
        <v>0.60676841736946996</v>
      </c>
      <c r="R33" s="113">
        <f t="shared" si="2"/>
        <v>0.60676841736946996</v>
      </c>
      <c r="S33" s="114" t="str">
        <v>USD_CURVE_12M_1Y</v>
      </c>
      <c r="T33" s="113">
        <f>IF(S33="","",'1Y Pricing'!$I33*100)</f>
        <v>0.85210000001161046</v>
      </c>
      <c r="U33" s="113">
        <f t="shared" si="3"/>
        <v>0.85210000001161046</v>
      </c>
      <c r="V33" s="112" t="str">
        <v/>
      </c>
      <c r="W33" s="113" t="str">
        <f>IF(V33="","",'ON Pricing'!$G33*100)</f>
        <v/>
      </c>
      <c r="X33" s="113" t="str">
        <f t="shared" si="4"/>
        <v/>
      </c>
      <c r="Y33" s="112"/>
      <c r="Z33" s="113" t="str">
        <f>IF(Y33="","",'STD Pricing'!$G33*100)</f>
        <v/>
      </c>
      <c r="AA33" s="113" t="str">
        <f t="shared" si="5"/>
        <v/>
      </c>
      <c r="AC33" s="141">
        <f>IF($C33=" ","",ROUND(ABS(_xll.RtGet(SourceAlias,$J33,BID)-K33),4))</f>
        <v>0</v>
      </c>
      <c r="AD33" s="141">
        <f>IF($C33=" ","",ROUND(ABS(_xll.RtGet(SourceAlias,$J33,ASK)-L33),4))</f>
        <v>0</v>
      </c>
      <c r="AE33" s="141">
        <f>IF($D33=" ","",ROUND(ABS(_xll.RtGet(SourceAlias,$M33,BID)-N33),4))</f>
        <v>0</v>
      </c>
      <c r="AF33" s="141">
        <f>IF($D33=" ","",ROUND(ABS(_xll.RtGet(SourceAlias,$M33,ASK)-O33),4))</f>
        <v>0</v>
      </c>
      <c r="AG33" s="141">
        <f>IF($E33=" ","",ROUND(ABS(_xll.RtGet(SourceAlias,$P33,BID)-Q33),4))</f>
        <v>0</v>
      </c>
      <c r="AH33" s="141">
        <f>IF($E33=" ","",ROUND(ABS(_xll.RtGet(SourceAlias,$P33,ASK)-R33),4))</f>
        <v>0</v>
      </c>
      <c r="AI33" s="141">
        <f>IF($F33=" ","",ROUND(ABS(_xll.RtGet(SourceAlias,$S33,BID)-T33),4))</f>
        <v>0</v>
      </c>
      <c r="AJ33" s="141">
        <f>IF($F33=" ","",ROUND(ABS(_xll.RtGet(SourceAlias,$S33,ASK)-U33),4))</f>
        <v>0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/>
      <c r="AN33" s="141"/>
    </row>
    <row r="34" spans="1:40" x14ac:dyDescent="0.2">
      <c r="A34" s="192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86" t="str">
        <f>IF(Contribute="abcd",IF($E$2&lt;&gt;-1,_xll.RtContribute(SourceAlias,V34,Fields,W34:X34,"SCOPE:SERVER"),_xll.RtContribute(SourceAlias,"DDS_INSERT_S",$E$2:$G$2,V34:X34,"SCOPE:SERVER FTC:ALL")),"stopped")</f>
        <v>stopped</v>
      </c>
      <c r="H34" s="86" t="str">
        <v xml:space="preserve"> 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0"/>
        <v/>
      </c>
      <c r="M34" s="117" t="str">
        <v/>
      </c>
      <c r="N34" s="116" t="str">
        <f>IF(M34="","",'3M Pricing'!$I34*100)</f>
        <v/>
      </c>
      <c r="O34" s="116" t="str">
        <f t="shared" si="1"/>
        <v/>
      </c>
      <c r="P34" s="117" t="str">
        <v/>
      </c>
      <c r="Q34" s="116" t="str">
        <f>IF(P34="","",'6M Pricing'!$I34*100)</f>
        <v/>
      </c>
      <c r="R34" s="116" t="str">
        <f t="shared" si="2"/>
        <v/>
      </c>
      <c r="S34" s="117" t="str">
        <v/>
      </c>
      <c r="T34" s="116" t="str">
        <f>IF(S34="","",'1Y Pricing'!$I34*100)</f>
        <v/>
      </c>
      <c r="U34" s="116" t="str">
        <f t="shared" si="3"/>
        <v/>
      </c>
      <c r="V34" s="115" t="str">
        <v>USD_CURVE_OIS_15M</v>
      </c>
      <c r="W34" s="116">
        <f>IF(V34="","",'ON Pricing'!$G34*100)</f>
        <v>0.344000000000031</v>
      </c>
      <c r="X34" s="116">
        <f t="shared" si="4"/>
        <v>0.344000000000031</v>
      </c>
      <c r="Y34" s="115"/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>
        <f>IF($G34=" ","",ROUND(ABS(_xll.RtGet(SourceAlias,$V34,BID)-W34),4))</f>
        <v>0</v>
      </c>
      <c r="AL34" s="142">
        <f>IF($G34=" ","",ROUND(ABS(_xll.RtGet(SourceAlias,$V34,ASK)-X34),4))</f>
        <v>0</v>
      </c>
      <c r="AM34" s="142"/>
      <c r="AN34" s="142"/>
    </row>
    <row r="35" spans="1:40" x14ac:dyDescent="0.2">
      <c r="A35" s="192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86" t="str">
        <f>IF(Contribute="abcd",IF($E$2&lt;&gt;-1,_xll.RtContribute(SourceAlias,V35,Fields,W35:X35,"SCOPE:SERVER"),_xll.RtContribute(SourceAlias,"DDS_INSERT_S",$E$2:$G$2,V35:X35,"SCOPE:SERVER FTC:ALL")),"stopped")</f>
        <v>stopped</v>
      </c>
      <c r="H35" s="86" t="str">
        <v xml:space="preserve"> 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0"/>
        <v/>
      </c>
      <c r="M35" s="117" t="str">
        <v/>
      </c>
      <c r="N35" s="116" t="str">
        <f>IF(M35="","",'3M Pricing'!$I35*100)</f>
        <v/>
      </c>
      <c r="O35" s="116" t="str">
        <f t="shared" si="1"/>
        <v/>
      </c>
      <c r="P35" s="117" t="str">
        <v/>
      </c>
      <c r="Q35" s="116" t="str">
        <f>IF(P35="","",'6M Pricing'!$I35*100)</f>
        <v/>
      </c>
      <c r="R35" s="116" t="str">
        <f t="shared" si="2"/>
        <v/>
      </c>
      <c r="S35" s="117" t="str">
        <v/>
      </c>
      <c r="T35" s="116" t="str">
        <f>IF(S35="","",'1Y Pricing'!$I35*100)</f>
        <v/>
      </c>
      <c r="U35" s="116" t="str">
        <f t="shared" si="3"/>
        <v/>
      </c>
      <c r="V35" s="115" t="str">
        <v>USD_CURVE_OIS_18M</v>
      </c>
      <c r="W35" s="116">
        <f>IF(V35="","",'ON Pricing'!$G35*100)</f>
        <v>0.39600000000004226</v>
      </c>
      <c r="X35" s="116">
        <f t="shared" si="4"/>
        <v>0.39600000000004226</v>
      </c>
      <c r="Y35" s="115"/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>
        <f>IF($G35=" ","",ROUND(ABS(_xll.RtGet(SourceAlias,$V35,BID)-W35),4))</f>
        <v>0</v>
      </c>
      <c r="AL35" s="142">
        <f>IF($G35=" ","",ROUND(ABS(_xll.RtGet(SourceAlias,$V35,ASK)-X35),4))</f>
        <v>0</v>
      </c>
      <c r="AM35" s="142"/>
      <c r="AN35" s="142"/>
    </row>
    <row r="36" spans="1:40" x14ac:dyDescent="0.2">
      <c r="A36" s="192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USD_CURVE_OIS_21M</v>
      </c>
      <c r="W36" s="116">
        <f>IF(V36="","",'ON Pricing'!$G36*100)</f>
        <v>0.45000000000000934</v>
      </c>
      <c r="X36" s="116">
        <f t="shared" si="4"/>
        <v>0.45000000000000934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>stopped</v>
      </c>
      <c r="I37" s="3" t="s">
        <v>46</v>
      </c>
      <c r="J37" s="115" t="str">
        <v>USD_CURVE_1M_2Y</v>
      </c>
      <c r="K37" s="116">
        <f>IF(J37="","",'1M Pricing'!$I37*100)</f>
        <v>0.59506875221066535</v>
      </c>
      <c r="L37" s="116">
        <f t="shared" si="0"/>
        <v>0.59506875221066535</v>
      </c>
      <c r="M37" s="117" t="str">
        <v>USD_CURVE_3M_2Y</v>
      </c>
      <c r="N37" s="116">
        <f>IF(M37="","",'3M Pricing'!$I37*100)</f>
        <v>0.70483960301472037</v>
      </c>
      <c r="O37" s="116">
        <f t="shared" si="1"/>
        <v>0.70483960301472037</v>
      </c>
      <c r="P37" s="117" t="str">
        <v>USD_CURVE_6M_2Y</v>
      </c>
      <c r="Q37" s="116">
        <f>IF(P37="","",'6M Pricing'!$I37*100)</f>
        <v>0.82550693174845025</v>
      </c>
      <c r="R37" s="116">
        <f t="shared" si="2"/>
        <v>0.82550693174845025</v>
      </c>
      <c r="S37" s="117" t="str">
        <v>USD_CURVE_12M_2Y</v>
      </c>
      <c r="T37" s="116">
        <f>IF(S37="","",'1Y Pricing'!$I37*100)</f>
        <v>1.1391327982935031</v>
      </c>
      <c r="U37" s="116">
        <f t="shared" si="3"/>
        <v>1.1391327982935031</v>
      </c>
      <c r="V37" s="115" t="str">
        <v>USD_CURVE_OIS_2Y</v>
      </c>
      <c r="W37" s="116">
        <f>IF(V37="","",'ON Pricing'!$G37*100)</f>
        <v>0.50599999999999556</v>
      </c>
      <c r="X37" s="116">
        <f t="shared" si="4"/>
        <v>0.50599999999999556</v>
      </c>
      <c r="Y37" s="115"/>
      <c r="Z37" s="116" t="str">
        <f>IF(Y37="","",'STD Pricing'!$G37*100)</f>
        <v/>
      </c>
      <c r="AA37" s="116" t="str">
        <f t="shared" si="5"/>
        <v/>
      </c>
      <c r="AC37" s="142">
        <f>IF($C37=" ","",ROUND(ABS(_xll.RtGet(SourceAlias,$J37,BID)-K37),4))</f>
        <v>5.9999999999999995E-4</v>
      </c>
      <c r="AD37" s="142">
        <f>IF($C37=" ","",ROUND(ABS(_xll.RtGet(SourceAlias,$J37,ASK)-L37),4))</f>
        <v>5.9999999999999995E-4</v>
      </c>
      <c r="AE37" s="142">
        <f>IF($D37=" ","",ROUND(ABS(_xll.RtGet(SourceAlias,$M37,BID)-N37),4))</f>
        <v>0</v>
      </c>
      <c r="AF37" s="142">
        <f>IF($D37=" ","",ROUND(ABS(_xll.RtGet(SourceAlias,$M37,ASK)-O37),4))</f>
        <v>0</v>
      </c>
      <c r="AG37" s="142">
        <f>IF($E37=" ","",ROUND(ABS(_xll.RtGet(SourceAlias,$P37,BID)-Q37),4))</f>
        <v>5.9999999999999995E-4</v>
      </c>
      <c r="AH37" s="142">
        <f>IF($E37=" ","",ROUND(ABS(_xll.RtGet(SourceAlias,$P37,ASK)-R37),4))</f>
        <v>5.9999999999999995E-4</v>
      </c>
      <c r="AI37" s="142">
        <f>IF($F37=" ","",ROUND(ABS(_xll.RtGet(SourceAlias,$S37,BID)-T37),4))</f>
        <v>1.6999999999999999E-3</v>
      </c>
      <c r="AJ37" s="142">
        <f>IF($F37=" ","",ROUND(ABS(_xll.RtGet(SourceAlias,$S37,ASK)-U37),4))</f>
        <v>1.6999999999999999E-3</v>
      </c>
      <c r="AK37" s="142">
        <f>IF($G37=" ","",ROUND(ABS(_xll.RtGet(SourceAlias,$V37,BID)-W37),4))</f>
        <v>1E-3</v>
      </c>
      <c r="AL37" s="142">
        <f>IF($G37=" ","",ROUND(ABS(_xll.RtGet(SourceAlias,$V37,ASK)-X37),4))</f>
        <v>1E-3</v>
      </c>
      <c r="AM37" s="142"/>
      <c r="AN37" s="142"/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>stopped</v>
      </c>
      <c r="I38" s="3" t="s">
        <v>46</v>
      </c>
      <c r="J38" s="115" t="str">
        <v>USD_CURVE_1M_3Y</v>
      </c>
      <c r="K38" s="120">
        <f>IF(J38="","",'1M Pricing'!$I38*100)</f>
        <v>0.82299785704089168</v>
      </c>
      <c r="L38" s="120">
        <f t="shared" ref="L38:L67" si="6">K38</f>
        <v>0.82299785704089168</v>
      </c>
      <c r="M38" s="115" t="str">
        <v>USD_CURVE_3M_3Y</v>
      </c>
      <c r="N38" s="120">
        <f>IF(M38="","",'3M Pricing'!$I38*100)</f>
        <v>0.93339657427868139</v>
      </c>
      <c r="O38" s="116">
        <f t="shared" ref="O38:O67" si="7">N38</f>
        <v>0.93339657427868139</v>
      </c>
      <c r="P38" s="115" t="str">
        <v>USD_CURVE_6M_3Y</v>
      </c>
      <c r="Q38" s="116">
        <f>IF(P38="","",'6M Pricing'!$I38*100)</f>
        <v>1.0401368452954152</v>
      </c>
      <c r="R38" s="116">
        <f t="shared" ref="R38:R67" si="8">Q38</f>
        <v>1.0401368452954152</v>
      </c>
      <c r="S38" s="115" t="str">
        <v>USD_CURVE_12M_3Y</v>
      </c>
      <c r="T38" s="116">
        <f>IF(S38="","",'1Y Pricing'!$I38*100)</f>
        <v>1.3317745037715876</v>
      </c>
      <c r="U38" s="116">
        <f t="shared" ref="U38:U67" si="9">T38</f>
        <v>1.3317745037715876</v>
      </c>
      <c r="V38" s="115" t="str">
        <v>USD_CURVE_OIS_3Y</v>
      </c>
      <c r="W38" s="120">
        <f>IF(V38="","",'ON Pricing'!$G38*100)</f>
        <v>0.72000000000000275</v>
      </c>
      <c r="X38" s="120">
        <f t="shared" ref="X38:X67" si="10">W38</f>
        <v>0.72000000000000275</v>
      </c>
      <c r="Y38" s="115"/>
      <c r="Z38" s="120" t="str">
        <f>IF(Y38="","",'STD Pricing'!$G38*100)</f>
        <v/>
      </c>
      <c r="AA38" s="120" t="str">
        <f t="shared" si="5"/>
        <v/>
      </c>
      <c r="AC38" s="143">
        <f>IF($C38=" ","",ROUND(ABS(_xll.RtGet(SourceAlias,$J38,BID)-K38),4))</f>
        <v>5.9999999999999995E-4</v>
      </c>
      <c r="AD38" s="143">
        <f>IF($C38=" ","",ROUND(ABS(_xll.RtGet(SourceAlias,$J38,ASK)-L38),4))</f>
        <v>5.9999999999999995E-4</v>
      </c>
      <c r="AE38" s="143">
        <f>IF($D38=" ","",ROUND(ABS(_xll.RtGet(SourceAlias,$M38,BID)-N38),4))</f>
        <v>5.9999999999999995E-4</v>
      </c>
      <c r="AF38" s="143">
        <f>IF($D38=" ","",ROUND(ABS(_xll.RtGet(SourceAlias,$M38,ASK)-O38),4))</f>
        <v>5.9999999999999995E-4</v>
      </c>
      <c r="AG38" s="143">
        <f>IF($E38=" ","",ROUND(ABS(_xll.RtGet(SourceAlias,$P38,BID)-Q38),4))</f>
        <v>1.1999999999999999E-3</v>
      </c>
      <c r="AH38" s="143">
        <f>IF($E38=" ","",ROUND(ABS(_xll.RtGet(SourceAlias,$P38,ASK)-R38),4))</f>
        <v>1.1999999999999999E-3</v>
      </c>
      <c r="AI38" s="143">
        <f>IF($F38=" ","",ROUND(ABS(_xll.RtGet(SourceAlias,$S38,BID)-T38),4))</f>
        <v>8.9999999999999998E-4</v>
      </c>
      <c r="AJ38" s="143">
        <f>IF($F38=" ","",ROUND(ABS(_xll.RtGet(SourceAlias,$S38,ASK)-U38),4))</f>
        <v>8.9999999999999998E-4</v>
      </c>
      <c r="AK38" s="143">
        <f>IF($G38=" ","",ROUND(ABS(_xll.RtGet(SourceAlias,$V38,BID)-W38),4))</f>
        <v>0</v>
      </c>
      <c r="AL38" s="143">
        <f>IF($G38=" ","",ROUND(ABS(_xll.RtGet(SourceAlias,$V38,ASK)-X38),4))</f>
        <v>0</v>
      </c>
      <c r="AM38" s="143"/>
      <c r="AN38" s="143"/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9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9" t="str">
        <v>stopped</v>
      </c>
      <c r="I39" s="3" t="s">
        <v>46</v>
      </c>
      <c r="J39" s="115" t="str">
        <v>USD_CURVE_1M_4Y</v>
      </c>
      <c r="K39" s="120">
        <f>IF(J39="","",'1M Pricing'!$I39*100)</f>
        <v>1.0264588617917489</v>
      </c>
      <c r="L39" s="120">
        <f t="shared" si="6"/>
        <v>1.0264588617917489</v>
      </c>
      <c r="M39" s="115" t="str">
        <v>USD_CURVE_3M_4Y</v>
      </c>
      <c r="N39" s="120">
        <f>IF(M39="","",'3M Pricing'!$I39*100)</f>
        <v>1.145002992084267</v>
      </c>
      <c r="O39" s="116">
        <f t="shared" si="7"/>
        <v>1.145002992084267</v>
      </c>
      <c r="P39" s="115" t="str">
        <v>USD_CURVE_6M_4Y</v>
      </c>
      <c r="Q39" s="116">
        <f>IF(P39="","",'6M Pricing'!$I39*100)</f>
        <v>1.2453878389762756</v>
      </c>
      <c r="R39" s="116">
        <f t="shared" si="8"/>
        <v>1.2453878389762756</v>
      </c>
      <c r="S39" s="115" t="str">
        <v>USD_CURVE_12M_4Y</v>
      </c>
      <c r="T39" s="116">
        <f>IF(S39="","",'1Y Pricing'!$I39*100)</f>
        <v>1.5201799627987875</v>
      </c>
      <c r="U39" s="116">
        <f t="shared" si="9"/>
        <v>1.5201799627987875</v>
      </c>
      <c r="V39" s="115" t="str">
        <v>USD_CURVE_OIS_4Y</v>
      </c>
      <c r="W39" s="120">
        <f>IF(V39="","",'ON Pricing'!$G39*100)</f>
        <v>0.92200000000001447</v>
      </c>
      <c r="X39" s="120">
        <f t="shared" si="10"/>
        <v>0.92200000000001447</v>
      </c>
      <c r="Y39" s="115"/>
      <c r="Z39" s="120" t="str">
        <f>IF(Y39="","",'STD Pricing'!$G39*100)</f>
        <v/>
      </c>
      <c r="AA39" s="120" t="str">
        <f t="shared" si="5"/>
        <v/>
      </c>
      <c r="AC39" s="143">
        <f>IF($C39=" ","",ROUND(ABS(_xll.RtGet(SourceAlias,$J39,BID)-K39),4))</f>
        <v>0</v>
      </c>
      <c r="AD39" s="143">
        <f>IF($C39=" ","",ROUND(ABS(_xll.RtGet(SourceAlias,$J39,ASK)-L39),4))</f>
        <v>0</v>
      </c>
      <c r="AE39" s="143">
        <f>IF($D39=" ","",ROUND(ABS(_xll.RtGet(SourceAlias,$M39,BID)-N39),4))</f>
        <v>0</v>
      </c>
      <c r="AF39" s="143">
        <f>IF($D39=" ","",ROUND(ABS(_xll.RtGet(SourceAlias,$M39,ASK)-O39),4))</f>
        <v>0</v>
      </c>
      <c r="AG39" s="143">
        <f>IF($E39=" ","",ROUND(ABS(_xll.RtGet(SourceAlias,$P39,BID)-Q39),4))</f>
        <v>0</v>
      </c>
      <c r="AH39" s="143">
        <f>IF($E39=" ","",ROUND(ABS(_xll.RtGet(SourceAlias,$P39,ASK)-R39),4))</f>
        <v>0</v>
      </c>
      <c r="AI39" s="143">
        <f>IF($F39=" ","",ROUND(ABS(_xll.RtGet(SourceAlias,$S39,BID)-T39),4))</f>
        <v>0</v>
      </c>
      <c r="AJ39" s="143">
        <f>IF($F39=" ","",ROUND(ABS(_xll.RtGet(SourceAlias,$S39,ASK)-U39),4))</f>
        <v>0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/>
      <c r="AN39" s="143"/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9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9" t="str">
        <v>stopped</v>
      </c>
      <c r="I40" s="3" t="s">
        <v>46</v>
      </c>
      <c r="J40" s="115" t="str">
        <v>USD_CURVE_1M_5Y</v>
      </c>
      <c r="K40" s="120">
        <f>IF(J40="","",'1M Pricing'!$I40*100)</f>
        <v>1.2133259098631868</v>
      </c>
      <c r="L40" s="120">
        <f t="shared" si="6"/>
        <v>1.2133259098631868</v>
      </c>
      <c r="M40" s="115" t="str">
        <v>USD_CURVE_3M_5Y</v>
      </c>
      <c r="N40" s="120">
        <f>IF(M40="","",'3M Pricing'!$I40*100)</f>
        <v>1.3370028107977701</v>
      </c>
      <c r="O40" s="116">
        <f t="shared" si="7"/>
        <v>1.3370028107977701</v>
      </c>
      <c r="P40" s="115" t="str">
        <v>USD_CURVE_6M_5Y</v>
      </c>
      <c r="Q40" s="116">
        <f>IF(P40="","",'6M Pricing'!$I40*100)</f>
        <v>1.4324374295879712</v>
      </c>
      <c r="R40" s="116">
        <f t="shared" si="8"/>
        <v>1.4324374295879712</v>
      </c>
      <c r="S40" s="115" t="str">
        <v>USD_CURVE_12M_5Y</v>
      </c>
      <c r="T40" s="116">
        <f>IF(S40="","",'1Y Pricing'!$I40*100)</f>
        <v>1.6986393589131739</v>
      </c>
      <c r="U40" s="116">
        <f t="shared" si="9"/>
        <v>1.6986393589131739</v>
      </c>
      <c r="V40" s="115" t="str">
        <v>USD_CURVE_OIS_5Y</v>
      </c>
      <c r="W40" s="120">
        <f>IF(V40="","",'ON Pricing'!$G40*100)</f>
        <v>1.1170000000000018</v>
      </c>
      <c r="X40" s="120">
        <f t="shared" si="10"/>
        <v>1.1170000000000018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2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USD_CURVE_1M_6Y</v>
      </c>
      <c r="K41" s="120">
        <f>IF(J41="","",'1M Pricing'!$I41*100)</f>
        <v>1.3852402196704301</v>
      </c>
      <c r="L41" s="120">
        <f t="shared" si="6"/>
        <v>1.3852402196704301</v>
      </c>
      <c r="M41" s="115" t="str">
        <v>USD_CURVE_3M_6Y</v>
      </c>
      <c r="N41" s="120">
        <f>IF(M41="","",'3M Pricing'!$I41*100)</f>
        <v>1.5080026623167015</v>
      </c>
      <c r="O41" s="116">
        <f t="shared" si="7"/>
        <v>1.5080026623167015</v>
      </c>
      <c r="P41" s="115" t="str">
        <v>USD_CURVE_6M_6Y</v>
      </c>
      <c r="Q41" s="116">
        <f>IF(P41="","",'6M Pricing'!$I41*100)</f>
        <v>1.6004793093430281</v>
      </c>
      <c r="R41" s="116">
        <f t="shared" si="8"/>
        <v>1.6004793093430281</v>
      </c>
      <c r="S41" s="115" t="str">
        <v>USD_CURVE_12M_6Y</v>
      </c>
      <c r="T41" s="116">
        <f>IF(S41="","",'1Y Pricing'!$I41*100)</f>
        <v>1.8585499117272288</v>
      </c>
      <c r="U41" s="116">
        <f t="shared" si="9"/>
        <v>1.8585499117272288</v>
      </c>
      <c r="V41" s="115" t="str">
        <v>USD_CURVE_OIS_6Y</v>
      </c>
      <c r="W41" s="120">
        <f>IF(V41="","",'ON Pricing'!$G41*100)</f>
        <v>1.2839999999999947</v>
      </c>
      <c r="X41" s="120">
        <f t="shared" si="10"/>
        <v>1.2839999999999947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USD_CURVE_1M_7Y</v>
      </c>
      <c r="K42" s="120">
        <f>IF(J42="","",'1M Pricing'!$I42*100)</f>
        <v>1.5351823742549893</v>
      </c>
      <c r="L42" s="120">
        <f t="shared" si="6"/>
        <v>1.5351823742549893</v>
      </c>
      <c r="M42" s="115" t="str">
        <v>USD_CURVE_3M_7Y</v>
      </c>
      <c r="N42" s="120">
        <f>IF(M42="","",'3M Pricing'!$I42*100)</f>
        <v>1.6550025264996044</v>
      </c>
      <c r="O42" s="116">
        <f t="shared" si="7"/>
        <v>1.6550025264996044</v>
      </c>
      <c r="P42" s="115" t="str">
        <v>USD_CURVE_6M_7Y</v>
      </c>
      <c r="Q42" s="116">
        <f>IF(P42="","",'6M Pricing'!$I42*100)</f>
        <v>1.7485327417269996</v>
      </c>
      <c r="R42" s="116">
        <f t="shared" si="8"/>
        <v>1.7485327417269996</v>
      </c>
      <c r="S42" s="115" t="str">
        <v>USD_CURVE_12M_7Y</v>
      </c>
      <c r="T42" s="116">
        <f>IF(S42="","",'1Y Pricing'!$I42*100)</f>
        <v>1.9956752749995987</v>
      </c>
      <c r="U42" s="116">
        <f t="shared" si="9"/>
        <v>1.9956752749995987</v>
      </c>
      <c r="V42" s="115" t="str">
        <v>USD_CURVE_OIS_7Y</v>
      </c>
      <c r="W42" s="120">
        <f>IF(V42="","",'ON Pricing'!$G42*100)</f>
        <v>1.4280000000005735</v>
      </c>
      <c r="X42" s="120">
        <f t="shared" si="10"/>
        <v>1.4280000000005735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2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USD_CURVE_1M_8Y</v>
      </c>
      <c r="K43" s="120">
        <f>IF(J43="","",'1M Pricing'!$I43*100)</f>
        <v>1.6638103927147974</v>
      </c>
      <c r="L43" s="120">
        <f t="shared" si="6"/>
        <v>1.6638103927147974</v>
      </c>
      <c r="M43" s="115" t="str">
        <v>USD_CURVE_3M_8Y</v>
      </c>
      <c r="N43" s="120">
        <f>IF(M43="","",'3M Pricing'!$I43*100)</f>
        <v>1.7806857853603415</v>
      </c>
      <c r="O43" s="116">
        <f t="shared" si="7"/>
        <v>1.7806857853603415</v>
      </c>
      <c r="P43" s="115" t="str">
        <v>USD_CURVE_6M_8Y</v>
      </c>
      <c r="Q43" s="116">
        <f>IF(P43="","",'6M Pricing'!$I43*100)</f>
        <v>1.8759456334123439</v>
      </c>
      <c r="R43" s="116">
        <f t="shared" si="8"/>
        <v>1.8759456334123439</v>
      </c>
      <c r="S43" s="115" t="str">
        <v>USD_CURVE_12M_8Y</v>
      </c>
      <c r="T43" s="116">
        <f>IF(S43="","",'1Y Pricing'!$I43*100)</f>
        <v>2.1099039267406154</v>
      </c>
      <c r="U43" s="116">
        <f t="shared" si="9"/>
        <v>2.1099039267406154</v>
      </c>
      <c r="V43" s="115" t="str">
        <v>USD_CURVE_OIS_8Y</v>
      </c>
      <c r="W43" s="120">
        <f>IF(V43="","",'ON Pricing'!$G43*100)</f>
        <v>1.5530000000004391</v>
      </c>
      <c r="X43" s="120">
        <f t="shared" si="10"/>
        <v>1.5530000000004391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2.9999999999999997E-4</v>
      </c>
      <c r="AD43" s="143">
        <f>IF($C43=" ","",ROUND(ABS(_xll.RtGet(SourceAlias,$J43,ASK)-L43),4))</f>
        <v>2.9999999999999997E-4</v>
      </c>
      <c r="AE43" s="143">
        <f>IF($D43=" ","",ROUND(ABS(_xll.RtGet(SourceAlias,$M43,BID)-N43),4))</f>
        <v>2.9999999999999997E-4</v>
      </c>
      <c r="AF43" s="143">
        <f>IF($D43=" ","",ROUND(ABS(_xll.RtGet(SourceAlias,$M43,ASK)-O43),4))</f>
        <v>2.9999999999999997E-4</v>
      </c>
      <c r="AG43" s="143">
        <f>IF($E43=" ","",ROUND(ABS(_xll.RtGet(SourceAlias,$P43,BID)-Q43),4))</f>
        <v>5.9999999999999995E-4</v>
      </c>
      <c r="AH43" s="143">
        <f>IF($E43=" ","",ROUND(ABS(_xll.RtGet(SourceAlias,$P43,ASK)-R43),4))</f>
        <v>5.9999999999999995E-4</v>
      </c>
      <c r="AI43" s="143">
        <f>IF($F43=" ","",ROUND(ABS(_xll.RtGet(SourceAlias,$S43,BID)-T43),4))</f>
        <v>5.9999999999999995E-4</v>
      </c>
      <c r="AJ43" s="143">
        <f>IF($F43=" ","",ROUND(ABS(_xll.RtGet(SourceAlias,$S43,ASK)-U43),4))</f>
        <v>5.9999999999999995E-4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92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USD_CURVE_1M_9Y</v>
      </c>
      <c r="K44" s="120">
        <f>IF(J44="","",'1M Pricing'!$I44*100)</f>
        <v>1.7701132884096253</v>
      </c>
      <c r="L44" s="120">
        <f t="shared" si="6"/>
        <v>1.7701132884096253</v>
      </c>
      <c r="M44" s="115" t="str">
        <v>USD_CURVE_3M_9Y</v>
      </c>
      <c r="N44" s="120">
        <f>IF(M44="","",'3M Pricing'!$I44*100)</f>
        <v>1.8830021829369079</v>
      </c>
      <c r="O44" s="116">
        <f t="shared" si="7"/>
        <v>1.8830021829369079</v>
      </c>
      <c r="P44" s="115" t="str">
        <v>USD_CURVE_6M_9Y</v>
      </c>
      <c r="Q44" s="116">
        <f>IF(P44="","",'6M Pricing'!$I44*100)</f>
        <v>1.9816435878980643</v>
      </c>
      <c r="R44" s="116">
        <f t="shared" si="8"/>
        <v>1.9816435878980643</v>
      </c>
      <c r="S44" s="115" t="str">
        <v>USD_CURVE_12M_9Y</v>
      </c>
      <c r="T44" s="116">
        <f>IF(S44="","",'1Y Pricing'!$I44*100)</f>
        <v>2.2025736803854756</v>
      </c>
      <c r="U44" s="116">
        <f t="shared" si="9"/>
        <v>2.2025736803854756</v>
      </c>
      <c r="V44" s="115" t="str">
        <v>USD_CURVE_OIS_9Y</v>
      </c>
      <c r="W44" s="120">
        <f>IF(V44="","",'ON Pricing'!$G44*100)</f>
        <v>1.6620000000000004</v>
      </c>
      <c r="X44" s="120">
        <f t="shared" si="10"/>
        <v>1.6620000000000004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USD_CURVE_1M_10Y</v>
      </c>
      <c r="K45" s="120">
        <f>IF(J45="","",'1M Pricing'!$I45*100)</f>
        <v>1.8610860872172341</v>
      </c>
      <c r="L45" s="120">
        <f t="shared" si="6"/>
        <v>1.8610860872172341</v>
      </c>
      <c r="M45" s="115" t="str">
        <v>USD_CURVE_3M_10Y</v>
      </c>
      <c r="N45" s="120">
        <f>IF(M45="","",'3M Pricing'!$I45*100)</f>
        <v>1.9720020818065132</v>
      </c>
      <c r="O45" s="116">
        <f t="shared" si="7"/>
        <v>1.9720020818065132</v>
      </c>
      <c r="P45" s="115" t="str">
        <v>USD_CURVE_6M_10Y</v>
      </c>
      <c r="Q45" s="116">
        <f>IF(P45="","",'6M Pricing'!$I45*100)</f>
        <v>2.0726881073942995</v>
      </c>
      <c r="R45" s="116">
        <f t="shared" si="8"/>
        <v>2.0726881073942995</v>
      </c>
      <c r="S45" s="115" t="str">
        <v>USD_CURVE_12M_10Y</v>
      </c>
      <c r="T45" s="116">
        <f>IF(S45="","",'1Y Pricing'!$I45*100)</f>
        <v>2.2816058087713231</v>
      </c>
      <c r="U45" s="116">
        <f t="shared" si="9"/>
        <v>2.2816058087713231</v>
      </c>
      <c r="V45" s="115" t="str">
        <v>USD_CURVE_OIS_10Y</v>
      </c>
      <c r="W45" s="120">
        <f>IF(V45="","",'ON Pricing'!$G45*100)</f>
        <v>1.7509999999999977</v>
      </c>
      <c r="X45" s="120">
        <f t="shared" si="10"/>
        <v>1.7509999999999977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2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USD_CURVE_1M_11Y</v>
      </c>
      <c r="K46" s="120">
        <f>IF(J46="","",'1M Pricing'!$I46*100)</f>
        <v>1.9403537719339461</v>
      </c>
      <c r="L46" s="120">
        <f t="shared" si="6"/>
        <v>1.9403537719339461</v>
      </c>
      <c r="M46" s="115" t="str">
        <v>USD_CURVE_3M_11Y</v>
      </c>
      <c r="N46" s="120">
        <f>IF(M46="","",'3M Pricing'!$I46*100)</f>
        <v>2.0492210832876356</v>
      </c>
      <c r="O46" s="116">
        <f t="shared" si="7"/>
        <v>2.0492210832876356</v>
      </c>
      <c r="P46" s="115" t="str">
        <v>USD_CURVE_6M_11Y</v>
      </c>
      <c r="Q46" s="116">
        <f>IF(P46="","",'6M Pricing'!$I46*100)</f>
        <v>2.1519235607225391</v>
      </c>
      <c r="R46" s="116">
        <f t="shared" si="8"/>
        <v>2.1519235607225391</v>
      </c>
      <c r="S46" s="115" t="str">
        <v>USD_CURVE_12M_11Y</v>
      </c>
      <c r="T46" s="116">
        <f>IF(S46="","",'1Y Pricing'!$I46*100)</f>
        <v>2.3513570641344876</v>
      </c>
      <c r="U46" s="116">
        <f t="shared" si="9"/>
        <v>2.3513570641344876</v>
      </c>
      <c r="V46" s="115" t="str">
        <v>USD_CURVE_OIS_11Y</v>
      </c>
      <c r="W46" s="120">
        <f>IF(V46="","",'ON Pricing'!$G46*100)</f>
        <v>1.8282674859055592</v>
      </c>
      <c r="X46" s="120">
        <f t="shared" si="10"/>
        <v>1.8282674859055592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USD_CURVE_1M_12Y</v>
      </c>
      <c r="K47" s="120">
        <f>IF(J47="","",'1M Pricing'!$I47*100)</f>
        <v>2.0080518042309494</v>
      </c>
      <c r="L47" s="120">
        <f t="shared" si="6"/>
        <v>2.0080518042309494</v>
      </c>
      <c r="M47" s="115" t="str">
        <v>USD_CURVE_3M_12Y</v>
      </c>
      <c r="N47" s="120">
        <f>IF(M47="","",'3M Pricing'!$I47*100)</f>
        <v>2.1150019056605656</v>
      </c>
      <c r="O47" s="116">
        <f t="shared" si="7"/>
        <v>2.1150019056605656</v>
      </c>
      <c r="P47" s="115" t="str">
        <v>USD_CURVE_6M_12Y</v>
      </c>
      <c r="Q47" s="116">
        <f>IF(P47="","",'6M Pricing'!$I47*100)</f>
        <v>2.2197687946082212</v>
      </c>
      <c r="R47" s="116">
        <f t="shared" si="8"/>
        <v>2.2197687946082212</v>
      </c>
      <c r="S47" s="115" t="str">
        <v>USD_CURVE_12M_12Y</v>
      </c>
      <c r="T47" s="116">
        <f>IF(S47="","",'1Y Pricing'!$I47*100)</f>
        <v>2.4083948763256173</v>
      </c>
      <c r="U47" s="116">
        <f t="shared" si="9"/>
        <v>2.4083948763256173</v>
      </c>
      <c r="V47" s="115" t="str">
        <v>USD_CURVE_OIS_12Y</v>
      </c>
      <c r="W47" s="120">
        <f>IF(V47="","",'ON Pricing'!$G47*100)</f>
        <v>1.8950000000009029</v>
      </c>
      <c r="X47" s="120">
        <f t="shared" si="10"/>
        <v>1.8950000000009029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2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USD_CURVE_1M_13Y</v>
      </c>
      <c r="K48" s="120">
        <f>IF(J48="","",'1M Pricing'!$I48*100)</f>
        <v>2.0648734994084998</v>
      </c>
      <c r="L48" s="120">
        <f t="shared" si="6"/>
        <v>2.0648734994084998</v>
      </c>
      <c r="M48" s="115" t="str">
        <v>USD_CURVE_3M_13Y</v>
      </c>
      <c r="N48" s="120">
        <f>IF(M48="","",'3M Pricing'!$I48*100)</f>
        <v>2.1706781400479715</v>
      </c>
      <c r="O48" s="116">
        <f t="shared" si="7"/>
        <v>2.1706781400479715</v>
      </c>
      <c r="P48" s="115" t="str">
        <v>USD_CURVE_6M_13Y</v>
      </c>
      <c r="Q48" s="116">
        <f>IF(P48="","",'6M Pricing'!$I48*100)</f>
        <v>2.2772183552001799</v>
      </c>
      <c r="R48" s="116">
        <f t="shared" si="8"/>
        <v>2.2772183552001799</v>
      </c>
      <c r="S48" s="115" t="str">
        <v>USD_CURVE_12M_13Y</v>
      </c>
      <c r="T48" s="116">
        <f>IF(S48="","",'1Y Pricing'!$I48*100)</f>
        <v>2.457305020770574</v>
      </c>
      <c r="U48" s="116">
        <f t="shared" si="9"/>
        <v>2.457305020770574</v>
      </c>
      <c r="V48" s="115" t="str">
        <v>USD_CURVE_OIS_13Y</v>
      </c>
      <c r="W48" s="120">
        <f>IF(V48="","",'ON Pricing'!$G48*100)</f>
        <v>1.9513031967403844</v>
      </c>
      <c r="X48" s="120">
        <f t="shared" si="10"/>
        <v>1.9513031967403844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1E-4</v>
      </c>
      <c r="AJ48" s="143">
        <f>IF($F48=" ","",ROUND(ABS(_xll.RtGet(SourceAlias,$S48,ASK)-U48),4))</f>
        <v>1E-4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92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USD_CURVE_1M_14Y</v>
      </c>
      <c r="K49" s="120">
        <f>IF(J49="","",'1M Pricing'!$I49*100)</f>
        <v>2.1122029154520106</v>
      </c>
      <c r="L49" s="120">
        <f t="shared" si="6"/>
        <v>2.1122029154520106</v>
      </c>
      <c r="M49" s="115" t="str">
        <v>USD_CURVE_3M_14Y</v>
      </c>
      <c r="N49" s="120">
        <f>IF(M49="","",'3M Pricing'!$I49*100)</f>
        <v>2.2174561438706299</v>
      </c>
      <c r="O49" s="116">
        <f t="shared" si="7"/>
        <v>2.2174561438706299</v>
      </c>
      <c r="P49" s="115" t="str">
        <v>USD_CURVE_6M_14Y</v>
      </c>
      <c r="Q49" s="116">
        <f>IF(P49="","",'6M Pricing'!$I49*100)</f>
        <v>2.3253568000823268</v>
      </c>
      <c r="R49" s="116">
        <f t="shared" si="8"/>
        <v>2.3253568000823268</v>
      </c>
      <c r="S49" s="115" t="str">
        <v>USD_CURVE_12M_14Y</v>
      </c>
      <c r="T49" s="116">
        <f>IF(S49="","",'1Y Pricing'!$I49*100)</f>
        <v>2.4999063722948427</v>
      </c>
      <c r="U49" s="116">
        <f t="shared" si="9"/>
        <v>2.4999063722948427</v>
      </c>
      <c r="V49" s="115" t="str">
        <v>USD_CURVE_OIS_14Y</v>
      </c>
      <c r="W49" s="120">
        <f>IF(V49="","",'ON Pricing'!$G49*100)</f>
        <v>1.9980060523488128</v>
      </c>
      <c r="X49" s="120">
        <f t="shared" si="10"/>
        <v>1.9980060523488128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1E-4</v>
      </c>
      <c r="AJ49" s="143">
        <f>IF($F49=" ","",ROUND(ABS(_xll.RtGet(SourceAlias,$S49,ASK)-U49),4))</f>
        <v>1E-4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USD_CURVE_1M_15Y</v>
      </c>
      <c r="K50" s="120">
        <f>IF(J50="","",'1M Pricing'!$I50*100)</f>
        <v>2.1530038169037686</v>
      </c>
      <c r="L50" s="120">
        <f t="shared" si="6"/>
        <v>2.1530038169037686</v>
      </c>
      <c r="M50" s="115" t="str">
        <v>USD_CURVE_3M_15Y</v>
      </c>
      <c r="N50" s="120">
        <f>IF(M50="","",'3M Pricing'!$I50*100)</f>
        <v>2.2580012571804664</v>
      </c>
      <c r="O50" s="116">
        <f t="shared" si="7"/>
        <v>2.2580012571804664</v>
      </c>
      <c r="P50" s="115" t="str">
        <v>USD_CURVE_6M_15Y</v>
      </c>
      <c r="Q50" s="116">
        <f>IF(P50="","",'6M Pricing'!$I50*100)</f>
        <v>2.3668518031392178</v>
      </c>
      <c r="R50" s="116">
        <f t="shared" si="8"/>
        <v>2.3668518031392178</v>
      </c>
      <c r="S50" s="115" t="str">
        <v>USD_CURVE_12M_15Y</v>
      </c>
      <c r="T50" s="116">
        <f>IF(S50="","",'1Y Pricing'!$I50*100)</f>
        <v>2.5376837806979928</v>
      </c>
      <c r="U50" s="116">
        <f t="shared" si="9"/>
        <v>2.5376837806979928</v>
      </c>
      <c r="V50" s="115" t="str">
        <v>USD_CURVE_OIS_15Y</v>
      </c>
      <c r="W50" s="120">
        <f>IF(V50="","",'ON Pricing'!$G50*100)</f>
        <v>2.0380000000012304</v>
      </c>
      <c r="X50" s="120">
        <f t="shared" si="10"/>
        <v>2.0380000000012304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2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USD_CURVE_1M_16Y</v>
      </c>
      <c r="K51" s="120">
        <f>IF(J51="","",'1M Pricing'!$I51*100)</f>
        <v>2.1889045712266544</v>
      </c>
      <c r="L51" s="120">
        <f t="shared" si="6"/>
        <v>2.1889045712266544</v>
      </c>
      <c r="M51" s="115" t="str">
        <v>USD_CURVE_3M_16Y</v>
      </c>
      <c r="N51" s="120">
        <f>IF(M51="","",'3M Pricing'!$I51*100)</f>
        <v>2.2937612373772849</v>
      </c>
      <c r="O51" s="116">
        <f t="shared" si="7"/>
        <v>2.2937612373772849</v>
      </c>
      <c r="P51" s="115" t="str">
        <v>USD_CURVE_6M_16Y</v>
      </c>
      <c r="Q51" s="116">
        <f>IF(P51="","",'6M Pricing'!$I51*100)</f>
        <v>2.4031673292348432</v>
      </c>
      <c r="R51" s="116">
        <f t="shared" si="8"/>
        <v>2.4031673292348432</v>
      </c>
      <c r="S51" s="115" t="str">
        <v>USD_CURVE_12M_16Y</v>
      </c>
      <c r="T51" s="116">
        <f>IF(S51="","",'1Y Pricing'!$I51*100)</f>
        <v>2.5709660143774657</v>
      </c>
      <c r="U51" s="116">
        <f t="shared" si="9"/>
        <v>2.5709660143774657</v>
      </c>
      <c r="V51" s="115" t="str">
        <v>USD_CURVE_OIS_16Y</v>
      </c>
      <c r="W51" s="120">
        <f>IF(V51="","",'ON Pricing'!$G51*100)</f>
        <v>2.0730767126038643</v>
      </c>
      <c r="X51" s="120">
        <f t="shared" si="10"/>
        <v>2.0730767126038643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92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USD_CURVE_1M_17Y</v>
      </c>
      <c r="K52" s="120">
        <f>IF(J52="","",'1M Pricing'!$I52*100)</f>
        <v>2.2204852886461026</v>
      </c>
      <c r="L52" s="120">
        <f t="shared" si="6"/>
        <v>2.2204852886461026</v>
      </c>
      <c r="M52" s="115" t="str">
        <v>USD_CURVE_3M_17Y</v>
      </c>
      <c r="N52" s="120">
        <f>IF(M52="","",'3M Pricing'!$I52*100)</f>
        <v>2.3252813722852332</v>
      </c>
      <c r="O52" s="116">
        <f t="shared" si="7"/>
        <v>2.3252813722852332</v>
      </c>
      <c r="P52" s="115" t="str">
        <v>USD_CURVE_6M_17Y</v>
      </c>
      <c r="Q52" s="116">
        <f>IF(P52="","",'6M Pricing'!$I52*100)</f>
        <v>2.4349640502578471</v>
      </c>
      <c r="R52" s="116">
        <f t="shared" si="8"/>
        <v>2.4349640502578471</v>
      </c>
      <c r="S52" s="115" t="str">
        <v>USD_CURVE_12M_17Y</v>
      </c>
      <c r="T52" s="116">
        <f>IF(S52="","",'1Y Pricing'!$I52*100)</f>
        <v>2.6000341729231402</v>
      </c>
      <c r="U52" s="116">
        <f t="shared" si="9"/>
        <v>2.6000341729231402</v>
      </c>
      <c r="V52" s="115" t="str">
        <v>USD_CURVE_OIS_17Y</v>
      </c>
      <c r="W52" s="120">
        <f>IF(V52="","",'ON Pricing'!$G52*100)</f>
        <v>2.1037714868235096</v>
      </c>
      <c r="X52" s="120">
        <f t="shared" si="10"/>
        <v>2.1037714868235096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1E-4</v>
      </c>
      <c r="AH52" s="143">
        <f>IF($E52=" ","",ROUND(ABS(_xll.RtGet(SourceAlias,$P52,ASK)-R52),4))</f>
        <v>1E-4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2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USD_CURVE_1M_18Y</v>
      </c>
      <c r="K53" s="120">
        <f>IF(J53="","",'1M Pricing'!$I53*100)</f>
        <v>2.2479286975795407</v>
      </c>
      <c r="L53" s="120">
        <f t="shared" si="6"/>
        <v>2.2479286975795407</v>
      </c>
      <c r="M53" s="115" t="str">
        <v>USD_CURVE_3M_18Y</v>
      </c>
      <c r="N53" s="120">
        <f>IF(M53="","",'3M Pricing'!$I53*100)</f>
        <v>2.3527402161717803</v>
      </c>
      <c r="O53" s="116">
        <f t="shared" si="7"/>
        <v>2.3527402161717803</v>
      </c>
      <c r="P53" s="115" t="str">
        <v>USD_CURVE_6M_18Y</v>
      </c>
      <c r="Q53" s="116">
        <f>IF(P53="","",'6M Pricing'!$I53*100)</f>
        <v>2.4625332923601828</v>
      </c>
      <c r="R53" s="116">
        <f t="shared" si="8"/>
        <v>2.4625332923601828</v>
      </c>
      <c r="S53" s="115" t="str">
        <v>USD_CURVE_12M_18Y</v>
      </c>
      <c r="T53" s="116">
        <f>IF(S53="","",'1Y Pricing'!$I53*100)</f>
        <v>2.6250288230518315</v>
      </c>
      <c r="U53" s="116">
        <f t="shared" si="9"/>
        <v>2.6250288230518315</v>
      </c>
      <c r="V53" s="115" t="str">
        <v>USD_CURVE_OIS_18Y</v>
      </c>
      <c r="W53" s="120">
        <f>IF(V53="","",'ON Pricing'!$G53*100)</f>
        <v>2.1303604044250606</v>
      </c>
      <c r="X53" s="120">
        <f t="shared" si="10"/>
        <v>2.1303604044250606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1E-4</v>
      </c>
      <c r="AH53" s="143">
        <f>IF($E53=" ","",ROUND(ABS(_xll.RtGet(SourceAlias,$P53,ASK)-R53),4))</f>
        <v>1E-4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/>
      <c r="AN53" s="143"/>
    </row>
    <row r="54" spans="1:40" x14ac:dyDescent="0.2">
      <c r="A54" s="192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USD_CURVE_1M_19Y</v>
      </c>
      <c r="K54" s="120">
        <f>IF(J54="","",'1M Pricing'!$I54*100)</f>
        <v>2.2717556904506404</v>
      </c>
      <c r="L54" s="120">
        <f t="shared" si="6"/>
        <v>2.2717556904506404</v>
      </c>
      <c r="M54" s="115" t="str">
        <v>USD_CURVE_3M_19Y</v>
      </c>
      <c r="N54" s="120">
        <f>IF(M54="","",'3M Pricing'!$I54*100)</f>
        <v>2.3766564764081313</v>
      </c>
      <c r="O54" s="116">
        <f t="shared" si="7"/>
        <v>2.3766564764081313</v>
      </c>
      <c r="P54" s="115" t="str">
        <v>USD_CURVE_6M_19Y</v>
      </c>
      <c r="Q54" s="116">
        <f>IF(P54="","",'6M Pricing'!$I54*100)</f>
        <v>2.4864846911818779</v>
      </c>
      <c r="R54" s="116">
        <f t="shared" si="8"/>
        <v>2.4864846911818779</v>
      </c>
      <c r="S54" s="115" t="str">
        <v>USD_CURVE_12M_19Y</v>
      </c>
      <c r="T54" s="116">
        <f>IF(S54="","",'1Y Pricing'!$I54*100)</f>
        <v>2.6464145505071328</v>
      </c>
      <c r="U54" s="116">
        <f t="shared" si="9"/>
        <v>2.6464145505071328</v>
      </c>
      <c r="V54" s="115" t="str">
        <v>USD_CURVE_OIS_19Y</v>
      </c>
      <c r="W54" s="120">
        <f>IF(V54="","",'ON Pricing'!$G54*100)</f>
        <v>2.1534858030025092</v>
      </c>
      <c r="X54" s="120">
        <f t="shared" si="10"/>
        <v>2.1534858030025092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1E-4</v>
      </c>
      <c r="AD54" s="143">
        <f>IF($C54=" ","",ROUND(ABS(_xll.RtGet(SourceAlias,$J54,ASK)-L54),4))</f>
        <v>1E-4</v>
      </c>
      <c r="AE54" s="143">
        <f>IF($D54=" ","",ROUND(ABS(_xll.RtGet(SourceAlias,$M54,BID)-N54),4))</f>
        <v>1E-4</v>
      </c>
      <c r="AF54" s="143">
        <f>IF($D54=" ","",ROUND(ABS(_xll.RtGet(SourceAlias,$M54,ASK)-O54),4))</f>
        <v>1E-4</v>
      </c>
      <c r="AG54" s="143">
        <f>IF($E54=" ","",ROUND(ABS(_xll.RtGet(SourceAlias,$P54,BID)-Q54),4))</f>
        <v>1E-4</v>
      </c>
      <c r="AH54" s="143">
        <f>IF($E54=" ","",ROUND(ABS(_xll.RtGet(SourceAlias,$P54,ASK)-R54),4))</f>
        <v>1E-4</v>
      </c>
      <c r="AI54" s="143">
        <f>IF($F54=" ","",ROUND(ABS(_xll.RtGet(SourceAlias,$S54,BID)-T54),4))</f>
        <v>1E-4</v>
      </c>
      <c r="AJ54" s="143">
        <f>IF($F54=" ","",ROUND(ABS(_xll.RtGet(SourceAlias,$S54,ASK)-U54),4))</f>
        <v>1E-4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92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USD_CURVE_1M_20Y</v>
      </c>
      <c r="K55" s="120">
        <f>IF(J55="","",'1M Pricing'!$I55*100)</f>
        <v>2.2918879763195421</v>
      </c>
      <c r="L55" s="120">
        <f t="shared" si="6"/>
        <v>2.2918879763195421</v>
      </c>
      <c r="M55" s="115" t="str">
        <v>USD_CURVE_3M_20Y</v>
      </c>
      <c r="N55" s="120">
        <f>IF(M55="","",'3M Pricing'!$I55*100)</f>
        <v>2.3969461557180791</v>
      </c>
      <c r="O55" s="116">
        <f t="shared" si="7"/>
        <v>2.3969461557180791</v>
      </c>
      <c r="P55" s="115" t="str">
        <v>USD_CURVE_6M_20Y</v>
      </c>
      <c r="Q55" s="116">
        <f>IF(P55="","",'6M Pricing'!$I55*100)</f>
        <v>2.5068010583384299</v>
      </c>
      <c r="R55" s="116">
        <f t="shared" si="8"/>
        <v>2.5068010583384299</v>
      </c>
      <c r="S55" s="115" t="str">
        <v>USD_CURVE_12M_20Y</v>
      </c>
      <c r="T55" s="116">
        <f>IF(S55="","",'1Y Pricing'!$I55*100)</f>
        <v>2.6641082219918841</v>
      </c>
      <c r="U55" s="116">
        <f t="shared" si="9"/>
        <v>2.6641082219918841</v>
      </c>
      <c r="V55" s="115" t="str">
        <v>USD_CURVE_OIS_20Y</v>
      </c>
      <c r="W55" s="120">
        <f>IF(V55="","",'ON Pricing'!$G55*100)</f>
        <v>2.1729999999986882</v>
      </c>
      <c r="X55" s="120">
        <f t="shared" si="10"/>
        <v>2.1729999999986882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1E-4</v>
      </c>
      <c r="AD55" s="143">
        <f>IF($C55=" ","",ROUND(ABS(_xll.RtGet(SourceAlias,$J55,ASK)-L55),4))</f>
        <v>1E-4</v>
      </c>
      <c r="AE55" s="143">
        <f>IF($D55=" ","",ROUND(ABS(_xll.RtGet(SourceAlias,$M55,BID)-N55),4))</f>
        <v>1E-4</v>
      </c>
      <c r="AF55" s="143">
        <f>IF($D55=" ","",ROUND(ABS(_xll.RtGet(SourceAlias,$M55,ASK)-O55),4))</f>
        <v>1E-4</v>
      </c>
      <c r="AG55" s="143">
        <f>IF($E55=" ","",ROUND(ABS(_xll.RtGet(SourceAlias,$P55,BID)-Q55),4))</f>
        <v>1E-4</v>
      </c>
      <c r="AH55" s="143">
        <f>IF($E55=" ","",ROUND(ABS(_xll.RtGet(SourceAlias,$P55,ASK)-R55),4))</f>
        <v>1E-4</v>
      </c>
      <c r="AI55" s="143">
        <f>IF($F55=" ","",ROUND(ABS(_xll.RtGet(SourceAlias,$S55,BID)-T55),4))</f>
        <v>1E-4</v>
      </c>
      <c r="AJ55" s="143">
        <f>IF($F55=" ","",ROUND(ABS(_xll.RtGet(SourceAlias,$S55,ASK)-U55),4))</f>
        <v>1E-4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2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USD_CURVE_1M_21Y</v>
      </c>
      <c r="K56" s="120">
        <f>IF(J56="","",'1M Pricing'!$I56*100)</f>
        <v>2.3089068904530099</v>
      </c>
      <c r="L56" s="120">
        <f t="shared" si="6"/>
        <v>2.3089068904530099</v>
      </c>
      <c r="M56" s="115" t="str">
        <v>USD_CURVE_3M_21Y</v>
      </c>
      <c r="N56" s="120">
        <f>IF(M56="","",'3M Pricing'!$I56*100)</f>
        <v>2.414183198226739</v>
      </c>
      <c r="O56" s="116">
        <f t="shared" si="7"/>
        <v>2.414183198226739</v>
      </c>
      <c r="P56" s="115" t="str">
        <v>USD_CURVE_6M_21Y</v>
      </c>
      <c r="Q56" s="116">
        <f>IF(P56="","",'6M Pricing'!$I56*100)</f>
        <v>2.5240972762400262</v>
      </c>
      <c r="R56" s="116">
        <f t="shared" si="8"/>
        <v>2.5240972762400262</v>
      </c>
      <c r="S56" s="115" t="str">
        <v>USD_CURVE_12M_21Y</v>
      </c>
      <c r="T56" s="116">
        <f>IF(S56="","",'1Y Pricing'!$I56*100)</f>
        <v>2.678649122102946</v>
      </c>
      <c r="U56" s="116">
        <f t="shared" si="9"/>
        <v>2.678649122102946</v>
      </c>
      <c r="V56" s="115" t="str">
        <v>USD_CURVE_OIS_21Y</v>
      </c>
      <c r="W56" s="120">
        <f>IF(V56="","",'ON Pricing'!$G56*100)</f>
        <v>2.1895301045527327</v>
      </c>
      <c r="X56" s="120">
        <f t="shared" si="10"/>
        <v>2.1895301045527327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1E-4</v>
      </c>
      <c r="AD56" s="143">
        <f>IF($C56=" ","",ROUND(ABS(_xll.RtGet(SourceAlias,$J56,ASK)-L56),4))</f>
        <v>1E-4</v>
      </c>
      <c r="AE56" s="143">
        <f>IF($D56=" ","",ROUND(ABS(_xll.RtGet(SourceAlias,$M56,BID)-N56),4))</f>
        <v>1E-4</v>
      </c>
      <c r="AF56" s="143">
        <f>IF($D56=" ","",ROUND(ABS(_xll.RtGet(SourceAlias,$M56,ASK)-O56),4))</f>
        <v>1E-4</v>
      </c>
      <c r="AG56" s="143">
        <f>IF($E56=" ","",ROUND(ABS(_xll.RtGet(SourceAlias,$P56,BID)-Q56),4))</f>
        <v>1E-4</v>
      </c>
      <c r="AH56" s="143">
        <f>IF($E56=" ","",ROUND(ABS(_xll.RtGet(SourceAlias,$P56,ASK)-R56),4))</f>
        <v>1E-4</v>
      </c>
      <c r="AI56" s="143">
        <f>IF($F56=" ","",ROUND(ABS(_xll.RtGet(SourceAlias,$S56,BID)-T56),4))</f>
        <v>1E-4</v>
      </c>
      <c r="AJ56" s="143">
        <f>IF($F56=" ","",ROUND(ABS(_xll.RtGet(SourceAlias,$S56,ASK)-U56),4))</f>
        <v>1E-4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2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USD_CURVE_1M_22Y</v>
      </c>
      <c r="K57" s="120">
        <f>IF(J57="","",'1M Pricing'!$I57*100)</f>
        <v>2.323421391474692</v>
      </c>
      <c r="L57" s="120">
        <f t="shared" si="6"/>
        <v>2.323421391474692</v>
      </c>
      <c r="M57" s="115" t="str">
        <v>USD_CURVE_3M_22Y</v>
      </c>
      <c r="N57" s="120">
        <f>IF(M57="","",'3M Pricing'!$I57*100)</f>
        <v>2.4289415827632097</v>
      </c>
      <c r="O57" s="116">
        <f t="shared" si="7"/>
        <v>2.4289415827632097</v>
      </c>
      <c r="P57" s="115" t="str">
        <v>USD_CURVE_6M_22Y</v>
      </c>
      <c r="Q57" s="116">
        <f>IF(P57="","",'6M Pricing'!$I57*100)</f>
        <v>2.5389211763454576</v>
      </c>
      <c r="R57" s="116">
        <f t="shared" si="8"/>
        <v>2.5389211763454576</v>
      </c>
      <c r="S57" s="115" t="str">
        <v>USD_CURVE_12M_22Y</v>
      </c>
      <c r="T57" s="116">
        <f>IF(S57="","",'1Y Pricing'!$I57*100)</f>
        <v>2.6906495963747381</v>
      </c>
      <c r="U57" s="116">
        <f t="shared" si="9"/>
        <v>2.6906495963747381</v>
      </c>
      <c r="V57" s="115" t="str">
        <v>USD_CURVE_OIS_22Y</v>
      </c>
      <c r="W57" s="120">
        <f>IF(V57="","",'ON Pricing'!$G57*100)</f>
        <v>2.203758414563501</v>
      </c>
      <c r="X57" s="120">
        <f t="shared" si="10"/>
        <v>2.203758414563501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1E-4</v>
      </c>
      <c r="AH57" s="143">
        <f>IF($E57=" ","",ROUND(ABS(_xll.RtGet(SourceAlias,$P57,ASK)-R57),4))</f>
        <v>1E-4</v>
      </c>
      <c r="AI57" s="143">
        <f>IF($F57=" ","",ROUND(ABS(_xll.RtGet(SourceAlias,$S57,BID)-T57),4))</f>
        <v>1E-4</v>
      </c>
      <c r="AJ57" s="143">
        <f>IF($F57=" ","",ROUND(ABS(_xll.RtGet(SourceAlias,$S57,ASK)-U57),4))</f>
        <v>1E-4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2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USD_CURVE_1M_23Y</v>
      </c>
      <c r="K58" s="120">
        <f>IF(J58="","",'1M Pricing'!$I58*100)</f>
        <v>2.3360752814872732</v>
      </c>
      <c r="L58" s="120">
        <f t="shared" si="6"/>
        <v>2.3360752814872732</v>
      </c>
      <c r="M58" s="115" t="str">
        <v>USD_CURVE_3M_23Y</v>
      </c>
      <c r="N58" s="120">
        <f>IF(M58="","",'3M Pricing'!$I58*100)</f>
        <v>2.4418310504787066</v>
      </c>
      <c r="O58" s="116">
        <f t="shared" si="7"/>
        <v>2.4418310504787066</v>
      </c>
      <c r="P58" s="115" t="str">
        <v>USD_CURVE_6M_23Y</v>
      </c>
      <c r="Q58" s="116">
        <f>IF(P58="","",'6M Pricing'!$I58*100)</f>
        <v>2.5518483335325222</v>
      </c>
      <c r="R58" s="116">
        <f t="shared" si="8"/>
        <v>2.5518483335325222</v>
      </c>
      <c r="S58" s="115" t="str">
        <v>USD_CURVE_12M_23Y</v>
      </c>
      <c r="T58" s="116">
        <f>IF(S58="","",'1Y Pricing'!$I58*100)</f>
        <v>2.7007554601692232</v>
      </c>
      <c r="U58" s="116">
        <f t="shared" si="9"/>
        <v>2.7007554601692232</v>
      </c>
      <c r="V58" s="115" t="str">
        <v>USD_CURVE_OIS_23Y</v>
      </c>
      <c r="W58" s="120">
        <f>IF(V58="","",'ON Pricing'!$G58*100)</f>
        <v>2.2162455924704854</v>
      </c>
      <c r="X58" s="120">
        <f t="shared" si="10"/>
        <v>2.2162455924704854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1E-4</v>
      </c>
      <c r="AH58" s="143">
        <f>IF($E58=" ","",ROUND(ABS(_xll.RtGet(SourceAlias,$P58,ASK)-R58),4))</f>
        <v>1E-4</v>
      </c>
      <c r="AI58" s="143">
        <f>IF($F58=" ","",ROUND(ABS(_xll.RtGet(SourceAlias,$S58,BID)-T58),4))</f>
        <v>1E-4</v>
      </c>
      <c r="AJ58" s="143">
        <f>IF($F58=" ","",ROUND(ABS(_xll.RtGet(SourceAlias,$S58,ASK)-U58),4))</f>
        <v>1E-4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92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USD_CURVE_1M_24Y</v>
      </c>
      <c r="K59" s="120">
        <f>IF(J59="","",'1M Pricing'!$I59*100)</f>
        <v>2.34739459688313</v>
      </c>
      <c r="L59" s="120">
        <f t="shared" si="6"/>
        <v>2.34739459688313</v>
      </c>
      <c r="M59" s="115" t="str">
        <v>USD_CURVE_3M_24Y</v>
      </c>
      <c r="N59" s="120">
        <f>IF(M59="","",'3M Pricing'!$I59*100)</f>
        <v>2.4533501410566254</v>
      </c>
      <c r="O59" s="116">
        <f t="shared" si="7"/>
        <v>2.4533501410566254</v>
      </c>
      <c r="P59" s="115" t="str">
        <v>USD_CURVE_6M_24Y</v>
      </c>
      <c r="Q59" s="116">
        <f>IF(P59="","",'6M Pricing'!$I59*100)</f>
        <v>2.5633497836871317</v>
      </c>
      <c r="R59" s="116">
        <f t="shared" si="8"/>
        <v>2.5633497836871317</v>
      </c>
      <c r="S59" s="115" t="str">
        <v>USD_CURVE_12M_24Y</v>
      </c>
      <c r="T59" s="116">
        <f>IF(S59="","",'1Y Pricing'!$I59*100)</f>
        <v>2.7094947098404036</v>
      </c>
      <c r="U59" s="116">
        <f t="shared" si="9"/>
        <v>2.7094947098404036</v>
      </c>
      <c r="V59" s="115" t="str">
        <v>USD_CURVE_OIS_24Y</v>
      </c>
      <c r="W59" s="120">
        <f>IF(V59="","",'ON Pricing'!$G59*100)</f>
        <v>2.227492280783796</v>
      </c>
      <c r="X59" s="120">
        <f t="shared" si="10"/>
        <v>2.227492280783796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1E-4</v>
      </c>
      <c r="AH59" s="143">
        <f>IF($E59=" ","",ROUND(ABS(_xll.RtGet(SourceAlias,$P59,ASK)-R59),4))</f>
        <v>1E-4</v>
      </c>
      <c r="AI59" s="143">
        <f>IF($F59=" ","",ROUND(ABS(_xll.RtGet(SourceAlias,$S59,BID)-T59),4))</f>
        <v>1E-4</v>
      </c>
      <c r="AJ59" s="143">
        <f>IF($F59=" ","",ROUND(ABS(_xll.RtGet(SourceAlias,$S59,ASK)-U59),4))</f>
        <v>1E-4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2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USD_CURVE_1M_25Y</v>
      </c>
      <c r="K60" s="120">
        <f>IF(J60="","",'1M Pricing'!$I60*100)</f>
        <v>2.3578719633895822</v>
      </c>
      <c r="L60" s="120">
        <f t="shared" si="6"/>
        <v>2.3578719633895822</v>
      </c>
      <c r="M60" s="115" t="str">
        <v>USD_CURVE_3M_25Y</v>
      </c>
      <c r="N60" s="120">
        <f>IF(M60="","",'3M Pricing'!$I60*100)</f>
        <v>2.463970099474567</v>
      </c>
      <c r="O60" s="116">
        <f t="shared" si="7"/>
        <v>2.463970099474567</v>
      </c>
      <c r="P60" s="115" t="str">
        <v>USD_CURVE_6M_25Y</v>
      </c>
      <c r="Q60" s="116">
        <f>IF(P60="","",'6M Pricing'!$I60*100)</f>
        <v>2.5738743090142799</v>
      </c>
      <c r="R60" s="116">
        <f t="shared" si="8"/>
        <v>2.5738743090142799</v>
      </c>
      <c r="S60" s="115" t="str">
        <v>USD_CURVE_12M_25Y</v>
      </c>
      <c r="T60" s="116">
        <f>IF(S60="","",'1Y Pricing'!$I60*100)</f>
        <v>2.7173491522966229</v>
      </c>
      <c r="U60" s="116">
        <f t="shared" si="9"/>
        <v>2.7173491522966229</v>
      </c>
      <c r="V60" s="115" t="str">
        <v>USD_CURVE_OIS_25Y</v>
      </c>
      <c r="W60" s="120">
        <f>IF(V60="","",'ON Pricing'!$G60*100)</f>
        <v>2.2380000000008402</v>
      </c>
      <c r="X60" s="120">
        <f t="shared" si="10"/>
        <v>2.2380000000008402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1E-4</v>
      </c>
      <c r="AH60" s="143">
        <f>IF($E60=" ","",ROUND(ABS(_xll.RtGet(SourceAlias,$P60,ASK)-R60),4))</f>
        <v>1E-4</v>
      </c>
      <c r="AI60" s="143">
        <f>IF($F60=" ","",ROUND(ABS(_xll.RtGet(SourceAlias,$S60,BID)-T60),4))</f>
        <v>1E-4</v>
      </c>
      <c r="AJ60" s="143">
        <f>IF($F60=" ","",ROUND(ABS(_xll.RtGet(SourceAlias,$S60,ASK)-U60),4))</f>
        <v>1E-4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2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USD_CURVE_1M_26Y</v>
      </c>
      <c r="K61" s="120">
        <f>IF(J61="","",'1M Pricing'!$I61*100)</f>
        <v>2.3676356288802509</v>
      </c>
      <c r="L61" s="120">
        <f t="shared" si="6"/>
        <v>2.3676356288802509</v>
      </c>
      <c r="M61" s="115" t="str">
        <v>USD_CURVE_3M_26Y</v>
      </c>
      <c r="N61" s="120">
        <f>IF(M61="","",'3M Pricing'!$I61*100)</f>
        <v>2.4738052348815329</v>
      </c>
      <c r="O61" s="116">
        <f t="shared" si="7"/>
        <v>2.4738052348815329</v>
      </c>
      <c r="P61" s="115" t="str">
        <v>USD_CURVE_6M_26Y</v>
      </c>
      <c r="Q61" s="116">
        <f>IF(P61="","",'6M Pricing'!$I61*100)</f>
        <v>2.5835298286480315</v>
      </c>
      <c r="R61" s="116">
        <f t="shared" si="8"/>
        <v>2.5835298286480315</v>
      </c>
      <c r="S61" s="115" t="str">
        <v>USD_CURVE_12M_26Y</v>
      </c>
      <c r="T61" s="116">
        <f>IF(S61="","",'1Y Pricing'!$I61*100)</f>
        <v>2.7245131568930696</v>
      </c>
      <c r="U61" s="116">
        <f t="shared" si="9"/>
        <v>2.7245131568930696</v>
      </c>
      <c r="V61" s="115" t="str">
        <v>USD_CURVE_OIS_26Y</v>
      </c>
      <c r="W61" s="120">
        <f>IF(V61="","",'ON Pricing'!$G61*100)</f>
        <v>2.2477752591884692</v>
      </c>
      <c r="X61" s="120">
        <f t="shared" si="10"/>
        <v>2.2477752591884692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1E-4</v>
      </c>
      <c r="AH61" s="143">
        <f>IF($E61=" ","",ROUND(ABS(_xll.RtGet(SourceAlias,$P61,ASK)-R61),4))</f>
        <v>1E-4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2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USD_CURVE_1M_27Y</v>
      </c>
      <c r="K62" s="120">
        <f>IF(J62="","",'1M Pricing'!$I62*100)</f>
        <v>2.3767418074082003</v>
      </c>
      <c r="L62" s="120">
        <f t="shared" si="6"/>
        <v>2.3767418074082003</v>
      </c>
      <c r="M62" s="115" t="str">
        <v>USD_CURVE_3M_27Y</v>
      </c>
      <c r="N62" s="120">
        <f>IF(M62="","",'3M Pricing'!$I62*100)</f>
        <v>2.482930449455091</v>
      </c>
      <c r="O62" s="116">
        <f t="shared" si="7"/>
        <v>2.482930449455091</v>
      </c>
      <c r="P62" s="115" t="str">
        <v>USD_CURVE_6M_27Y</v>
      </c>
      <c r="Q62" s="116">
        <f>IF(P62="","",'6M Pricing'!$I62*100)</f>
        <v>2.5924285505995117</v>
      </c>
      <c r="R62" s="116">
        <f t="shared" si="8"/>
        <v>2.5924285505995117</v>
      </c>
      <c r="S62" s="115" t="str">
        <v>USD_CURVE_12M_27Y</v>
      </c>
      <c r="T62" s="116">
        <f>IF(S62="","",'1Y Pricing'!$I62*100)</f>
        <v>2.731170321616597</v>
      </c>
      <c r="U62" s="116">
        <f t="shared" si="9"/>
        <v>2.731170321616597</v>
      </c>
      <c r="V62" s="115" t="str">
        <v>USD_CURVE_OIS_27Y</v>
      </c>
      <c r="W62" s="120">
        <f>IF(V62="","",'ON Pricing'!$G62*100)</f>
        <v>2.2568806894739923</v>
      </c>
      <c r="X62" s="120">
        <f t="shared" si="10"/>
        <v>2.2568806894739923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2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USD_CURVE_1M_28Y</v>
      </c>
      <c r="K63" s="120">
        <f>IF(J63="","",'1M Pricing'!$I63*100)</f>
        <v>2.3850366644258671</v>
      </c>
      <c r="L63" s="120">
        <f t="shared" si="6"/>
        <v>2.3850366644258671</v>
      </c>
      <c r="M63" s="115" t="str">
        <v>USD_CURVE_3M_28Y</v>
      </c>
      <c r="N63" s="120">
        <f>IF(M63="","",'3M Pricing'!$I63*100)</f>
        <v>2.4912118216802885</v>
      </c>
      <c r="O63" s="116">
        <f t="shared" si="7"/>
        <v>2.4912118216802885</v>
      </c>
      <c r="P63" s="115" t="str">
        <v>USD_CURVE_6M_28Y</v>
      </c>
      <c r="Q63" s="116">
        <f>IF(P63="","",'6M Pricing'!$I63*100)</f>
        <v>2.6004785305990592</v>
      </c>
      <c r="R63" s="116">
        <f t="shared" si="8"/>
        <v>2.6004785305990592</v>
      </c>
      <c r="S63" s="115" t="str">
        <v>USD_CURVE_12M_28Y</v>
      </c>
      <c r="T63" s="116">
        <f>IF(S63="","",'1Y Pricing'!$I63*100)</f>
        <v>2.737329399845208</v>
      </c>
      <c r="U63" s="116">
        <f t="shared" si="9"/>
        <v>2.737329399845208</v>
      </c>
      <c r="V63" s="115" t="str">
        <v>USD_CURVE_OIS_28Y</v>
      </c>
      <c r="W63" s="120">
        <f>IF(V63="","",'ON Pricing'!$G63*100)</f>
        <v>2.2650499023037227</v>
      </c>
      <c r="X63" s="120">
        <f t="shared" si="10"/>
        <v>2.2650499023037227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2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USD_CURVE_1M_29Y</v>
      </c>
      <c r="K64" s="120">
        <f>IF(J64="","",'1M Pricing'!$I64*100)</f>
        <v>2.3924411245773292</v>
      </c>
      <c r="L64" s="120">
        <f t="shared" si="6"/>
        <v>2.3924411245773292</v>
      </c>
      <c r="M64" s="115" t="str">
        <v>USD_CURVE_3M_29Y</v>
      </c>
      <c r="N64" s="120">
        <f>IF(M64="","",'3M Pricing'!$I64*100)</f>
        <v>2.4985874219656279</v>
      </c>
      <c r="O64" s="116">
        <f t="shared" si="7"/>
        <v>2.4985874219656279</v>
      </c>
      <c r="P64" s="115" t="str">
        <v>USD_CURVE_6M_29Y</v>
      </c>
      <c r="Q64" s="116">
        <f>IF(P64="","",'6M Pricing'!$I64*100)</f>
        <v>2.6076524775917953</v>
      </c>
      <c r="R64" s="116">
        <f t="shared" si="8"/>
        <v>2.6076524775917953</v>
      </c>
      <c r="S64" s="115" t="str">
        <v>USD_CURVE_12M_29Y</v>
      </c>
      <c r="T64" s="116">
        <f>IF(S64="","",'1Y Pricing'!$I64*100)</f>
        <v>2.7430372441641242</v>
      </c>
      <c r="U64" s="116">
        <f t="shared" si="9"/>
        <v>2.7430372441641242</v>
      </c>
      <c r="V64" s="115" t="str">
        <v>USD_CURVE_OIS_29Y</v>
      </c>
      <c r="W64" s="120">
        <f>IF(V64="","",'ON Pricing'!$G64*100)</f>
        <v>2.2721338975619019</v>
      </c>
      <c r="X64" s="120">
        <f t="shared" si="10"/>
        <v>2.2721338975619019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2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USD_CURVE_1M_30Y</v>
      </c>
      <c r="K65" s="120">
        <f>IF(J65="","",'1M Pricing'!$I65*100)</f>
        <v>2.3988659578090954</v>
      </c>
      <c r="L65" s="120">
        <f t="shared" si="6"/>
        <v>2.3988659578090954</v>
      </c>
      <c r="M65" s="115" t="str">
        <v>USD_CURVE_3M_30Y</v>
      </c>
      <c r="N65" s="120">
        <f>IF(M65="","",'3M Pricing'!$I65*100)</f>
        <v>2.5049824689281688</v>
      </c>
      <c r="O65" s="116">
        <f t="shared" si="7"/>
        <v>2.5049824689281688</v>
      </c>
      <c r="P65" s="115" t="str">
        <v>USD_CURVE_6M_30Y</v>
      </c>
      <c r="Q65" s="116">
        <f>IF(P65="","",'6M Pricing'!$I65*100)</f>
        <v>2.6139053847270124</v>
      </c>
      <c r="R65" s="116">
        <f t="shared" si="8"/>
        <v>2.6139053847270124</v>
      </c>
      <c r="S65" s="115" t="str">
        <v>USD_CURVE_12M_30Y</v>
      </c>
      <c r="T65" s="116">
        <f>IF(S65="","",'1Y Pricing'!$I65*100)</f>
        <v>2.7483165017646356</v>
      </c>
      <c r="U65" s="116">
        <f t="shared" si="9"/>
        <v>2.7483165017646356</v>
      </c>
      <c r="V65" s="115" t="str">
        <v>USD_CURVE_OIS_30Y</v>
      </c>
      <c r="W65" s="120">
        <f>IF(V65="","",'ON Pricing'!$G65*100)</f>
        <v>2.2779999999994187</v>
      </c>
      <c r="X65" s="120">
        <f t="shared" si="10"/>
        <v>2.2779999999994187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2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USD_CURVE_1M_40Y</v>
      </c>
      <c r="K66" s="120">
        <f>IF(J66="","",'1M Pricing'!$I66*100)</f>
        <v>2.4188808941098374</v>
      </c>
      <c r="L66" s="120">
        <f t="shared" si="6"/>
        <v>2.4188808941098374</v>
      </c>
      <c r="M66" s="115" t="str">
        <v>USD_CURVE_3M_40Y</v>
      </c>
      <c r="N66" s="120">
        <f>IF(M66="","",'3M Pricing'!$I66*100)</f>
        <v>2.5250001595904403</v>
      </c>
      <c r="O66" s="116">
        <f t="shared" si="7"/>
        <v>2.5250001595904403</v>
      </c>
      <c r="P66" s="115" t="str">
        <v>USD_CURVE_6M_40Y</v>
      </c>
      <c r="Q66" s="116">
        <f>IF(P66="","",'6M Pricing'!$I66*100)</f>
        <v>2.6339427400265949</v>
      </c>
      <c r="R66" s="116">
        <f t="shared" si="8"/>
        <v>2.6339427400265949</v>
      </c>
      <c r="S66" s="115" t="str">
        <v>USD_CURVE_12M_40Y</v>
      </c>
      <c r="T66" s="116">
        <f>IF(S66="","",'1Y Pricing'!$I66*100)</f>
        <v>2.7683549687536586</v>
      </c>
      <c r="U66" s="116">
        <f t="shared" si="9"/>
        <v>2.7683549687536586</v>
      </c>
      <c r="V66" s="115" t="str">
        <v>USD_CURVE_OIS_40Y</v>
      </c>
      <c r="W66" s="120">
        <f>IF(V66="","",'ON Pricing'!$G66*100)</f>
        <v>2.2880000000032057</v>
      </c>
      <c r="X66" s="120">
        <f t="shared" si="10"/>
        <v>2.2880000000032057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2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USD_CURVE_1M_50Y</v>
      </c>
      <c r="K67" s="120">
        <f>IF(J67="","",'1M Pricing'!$I67*100)</f>
        <v>2.4008893592707885</v>
      </c>
      <c r="L67" s="120">
        <f t="shared" si="6"/>
        <v>2.4008893592707885</v>
      </c>
      <c r="M67" s="115" t="str">
        <v>USD_CURVE_3M_50Y</v>
      </c>
      <c r="N67" s="120">
        <f>IF(M67="","",'3M Pricing'!$I67*100)</f>
        <v>2.507000004977705</v>
      </c>
      <c r="O67" s="116">
        <f t="shared" si="7"/>
        <v>2.507000004977705</v>
      </c>
      <c r="P67" s="115" t="str">
        <v>USD_CURVE_6M_50Y</v>
      </c>
      <c r="Q67" s="116">
        <f>IF(P67="","",'6M Pricing'!$I67*100)</f>
        <v>2.6159350528397436</v>
      </c>
      <c r="R67" s="116">
        <f t="shared" si="8"/>
        <v>2.6159350528397436</v>
      </c>
      <c r="S67" s="115" t="str">
        <v>USD_CURVE_12M_50Y</v>
      </c>
      <c r="T67" s="116">
        <f>IF(S67="","",'1Y Pricing'!$I67*100)</f>
        <v>2.7503382193978232</v>
      </c>
      <c r="U67" s="116">
        <f t="shared" si="9"/>
        <v>2.7503382193978232</v>
      </c>
      <c r="V67" s="115" t="str">
        <v>USD_CURVE_OIS_50Y</v>
      </c>
      <c r="W67" s="120">
        <f>IF(V67="","",'ON Pricing'!$G67*100)</f>
        <v>2.2720000000008822</v>
      </c>
      <c r="X67" s="120">
        <f t="shared" si="10"/>
        <v>2.2720000000008822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ht="11.25" customHeight="1" x14ac:dyDescent="0.2">
      <c r="A68" s="193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40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40" t="str">
        <v>stopped</v>
      </c>
      <c r="I68" s="3" t="s">
        <v>46</v>
      </c>
      <c r="J68" s="121" t="str">
        <v>USD_CURVE_1M_60Y</v>
      </c>
      <c r="K68" s="164">
        <f>IF(J68="","",'1M Pricing'!$I68*100)</f>
        <v>2.3845245929972956</v>
      </c>
      <c r="L68" s="164">
        <f t="shared" ref="L68" si="11">K68</f>
        <v>2.3845245929972956</v>
      </c>
      <c r="M68" s="121" t="str">
        <v>USD_CURVE_3M_60Y</v>
      </c>
      <c r="N68" s="164">
        <f>IF(M68="","",'3M Pricing'!$I68*100)</f>
        <v>2.4906107467060155</v>
      </c>
      <c r="O68" s="119">
        <f t="shared" ref="O68" si="12">N68</f>
        <v>2.4906107467060155</v>
      </c>
      <c r="P68" s="121" t="str">
        <v>USD_CURVE_6M_60Y</v>
      </c>
      <c r="Q68" s="119">
        <f>IF(P68="","",'6M Pricing'!$I68*100)</f>
        <v>2.5995399551000666</v>
      </c>
      <c r="R68" s="119">
        <f t="shared" ref="R68" si="13">Q68</f>
        <v>2.5995399551000666</v>
      </c>
      <c r="S68" s="121" t="str">
        <v>USD_CURVE_12M_60Y</v>
      </c>
      <c r="T68" s="119">
        <f>IF(S68="","",'1Y Pricing'!$I68*100)</f>
        <v>2.7339360342045405</v>
      </c>
      <c r="U68" s="119">
        <f t="shared" ref="U68" si="14">T68</f>
        <v>2.7339360342045405</v>
      </c>
      <c r="V68" s="121" t="str">
        <v>USD_CURVE_OIS_60Y</v>
      </c>
      <c r="W68" s="164">
        <f>IF(V68="","",'ON Pricing'!$G68*100)</f>
        <v>2.2591032897548979</v>
      </c>
      <c r="X68" s="164">
        <f t="shared" ref="X68" si="15">W68</f>
        <v>2.2591032897548979</v>
      </c>
      <c r="Y68" s="121"/>
      <c r="Z68" s="164" t="str">
        <f>IF(Y68="","",'STD Pricing'!$G68*100)</f>
        <v/>
      </c>
      <c r="AA68" s="164" t="str">
        <f t="shared" si="5"/>
        <v/>
      </c>
      <c r="AC68" s="165">
        <f>IF($C68=" ","",ROUND(ABS(_xll.RtGet(SourceAlias,$J68,BID)-K68),4))</f>
        <v>0</v>
      </c>
      <c r="AD68" s="165">
        <f>IF($C68=" ","",ROUND(ABS(_xll.RtGet(SourceAlias,$J68,ASK)-L68),4))</f>
        <v>0</v>
      </c>
      <c r="AE68" s="165">
        <f>IF($D68=" ","",ROUND(ABS(_xll.RtGet(SourceAlias,$M68,BID)-N68),4))</f>
        <v>0</v>
      </c>
      <c r="AF68" s="165">
        <f>IF($D68=" ","",ROUND(ABS(_xll.RtGet(SourceAlias,$M68,ASK)-O68),4))</f>
        <v>0</v>
      </c>
      <c r="AG68" s="165">
        <f>IF($E68=" ","",ROUND(ABS(_xll.RtGet(SourceAlias,$P68,BID)-Q68),4))</f>
        <v>0</v>
      </c>
      <c r="AH68" s="165">
        <f>IF($E68=" ","",ROUND(ABS(_xll.RtGet(SourceAlias,$P68,ASK)-R68),4))</f>
        <v>0</v>
      </c>
      <c r="AI68" s="165">
        <f>IF($F68=" ","",ROUND(ABS(_xll.RtGet(SourceAlias,$S68,BID)-T68),4))</f>
        <v>0</v>
      </c>
      <c r="AJ68" s="165">
        <f>IF($F68=" ","",ROUND(ABS(_xll.RtGet(SourceAlias,$S68,ASK)-U68),4))</f>
        <v>0</v>
      </c>
      <c r="AK68" s="165">
        <f>IF($G68=" ","",ROUND(ABS(_xll.RtGet(SourceAlias,$V68,BID)-W68),4))</f>
        <v>0</v>
      </c>
      <c r="AL68" s="165">
        <f>IF($G68=" ","",ROUND(ABS(_xll.RtGet(SourceAlias,$V68,ASK)-X68),4))</f>
        <v>0</v>
      </c>
      <c r="AM68" s="165"/>
      <c r="AN68" s="165"/>
    </row>
  </sheetData>
  <mergeCells count="3">
    <mergeCell ref="A33:A68"/>
    <mergeCell ref="A25:A32"/>
    <mergeCell ref="A6:A24"/>
  </mergeCells>
  <conditionalFormatting sqref="C2">
    <cfRule type="cellIs" dxfId="5" priority="13" operator="equal">
      <formula>"abcd"</formula>
    </cfRule>
  </conditionalFormatting>
  <conditionalFormatting sqref="C6:G38">
    <cfRule type="containsText" dxfId="4" priority="2" operator="containsText" text="Failure">
      <formula>NOT(ISERROR(SEARCH("Failure",C6)))</formula>
    </cfRule>
  </conditionalFormatting>
  <conditionalFormatting sqref="H6:H38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68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4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5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1" si="0">K7</f>
        <v/>
      </c>
      <c r="M7" s="118" t="str">
        <v/>
      </c>
      <c r="N7" s="119" t="str">
        <f>IF(M7="","",'3M Pricing'!$I7*100)</f>
        <v/>
      </c>
      <c r="O7" s="119" t="str">
        <f t="shared" ref="O7:O31" si="1">N7</f>
        <v/>
      </c>
      <c r="P7" s="118" t="str">
        <v/>
      </c>
      <c r="Q7" s="119" t="str">
        <f>IF(P7="","",'6M Pricing'!$I7*100)</f>
        <v/>
      </c>
      <c r="R7" s="119" t="str">
        <f t="shared" ref="R7:R31" si="2">Q7</f>
        <v/>
      </c>
      <c r="S7" s="118" t="str">
        <v/>
      </c>
      <c r="T7" s="119" t="str">
        <f>IF(S7="","",'1Y Pricing'!$I7*100)</f>
        <v/>
      </c>
      <c r="U7" s="119" t="str">
        <f t="shared" ref="U7:U31" si="3">T7</f>
        <v/>
      </c>
      <c r="V7" s="121" t="str">
        <v/>
      </c>
      <c r="W7" s="119" t="str">
        <f>IF(V7="","",'ON Pricing'!$G7*100)</f>
        <v/>
      </c>
      <c r="X7" s="119" t="str">
        <f t="shared" ref="X7:X31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5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5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0.19590000000123198</v>
      </c>
      <c r="L9" s="116">
        <f t="shared" si="0"/>
        <v>0.19590000000123198</v>
      </c>
      <c r="M9" s="117" t="str">
        <v>USD_CURVE_DEP3M_1W</v>
      </c>
      <c r="N9" s="116">
        <f>IF(M9="","",'3M Pricing'!$I9*100)</f>
        <v>0.32230785011539659</v>
      </c>
      <c r="O9" s="116">
        <f t="shared" si="1"/>
        <v>0.32230785011539659</v>
      </c>
      <c r="P9" s="117" t="str">
        <v>USD_CURVE_DEP6M_1W</v>
      </c>
      <c r="Q9" s="116">
        <f>IF(P9="","",'6M Pricing'!$I9*100)</f>
        <v>0.69543197409048318</v>
      </c>
      <c r="R9" s="116">
        <f t="shared" si="2"/>
        <v>0.69543197409048318</v>
      </c>
      <c r="S9" s="117" t="str">
        <v>USD_CURVE_DEP12M_1W</v>
      </c>
      <c r="T9" s="116">
        <f>IF(S9="","",'1Y Pricing'!$I9*100)</f>
        <v>1.2650739723511097</v>
      </c>
      <c r="U9" s="116">
        <f t="shared" si="3"/>
        <v>1.2650739723511097</v>
      </c>
      <c r="V9" s="115" t="str">
        <v>USD_CURVE_OIS_1W</v>
      </c>
      <c r="W9" s="116">
        <f>IF(V9="","",'ON Pricing'!$G9*100)</f>
        <v>0.13100000036736503</v>
      </c>
      <c r="X9" s="116">
        <f t="shared" si="4"/>
        <v>0.13100000036736503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5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0.19492208162124364</v>
      </c>
      <c r="L10" s="116">
        <f t="shared" si="0"/>
        <v>0.19492208162124364</v>
      </c>
      <c r="M10" s="117" t="str">
        <v>USD_CURVE_DEP3M_2W</v>
      </c>
      <c r="N10" s="116">
        <f>IF(M10="","",'3M Pricing'!$I10*100)</f>
        <v>0.32150600061488432</v>
      </c>
      <c r="O10" s="116">
        <f t="shared" si="1"/>
        <v>0.32150600061488432</v>
      </c>
      <c r="P10" s="117" t="str">
        <v>USD_CURVE_DEP6M_2W</v>
      </c>
      <c r="Q10" s="116">
        <f>IF(P10="","",'6M Pricing'!$I10*100)</f>
        <v>0.69115439312390181</v>
      </c>
      <c r="R10" s="116">
        <f t="shared" si="2"/>
        <v>0.69115439312390181</v>
      </c>
      <c r="S10" s="117" t="str">
        <v>USD_CURVE_DEP12M_2W</v>
      </c>
      <c r="T10" s="116">
        <f>IF(S10="","",'1Y Pricing'!$I10*100)</f>
        <v>1.2621570256572083</v>
      </c>
      <c r="U10" s="116">
        <f t="shared" si="3"/>
        <v>1.2621570256572083</v>
      </c>
      <c r="V10" s="115" t="str">
        <v>USD_CURVE_OIS_2W</v>
      </c>
      <c r="W10" s="116">
        <f>IF(V10="","",'ON Pricing'!$G10*100)</f>
        <v>0.131000000043624</v>
      </c>
      <c r="X10" s="116">
        <f t="shared" si="4"/>
        <v>0.131000000043624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5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0.19433189549365537</v>
      </c>
      <c r="L11" s="116">
        <f t="shared" si="0"/>
        <v>0.19433189549365537</v>
      </c>
      <c r="M11" s="117" t="str">
        <v>USD_CURVE_DEP3M_3W</v>
      </c>
      <c r="N11" s="116">
        <f>IF(M11="","",'3M Pricing'!$I11*100)</f>
        <v>0.32016271741763802</v>
      </c>
      <c r="O11" s="116">
        <f t="shared" si="1"/>
        <v>0.32016271741763802</v>
      </c>
      <c r="P11" s="117" t="str">
        <v>USD_CURVE_DEP6M_3W</v>
      </c>
      <c r="Q11" s="116">
        <f>IF(P11="","",'6M Pricing'!$I11*100)</f>
        <v>0.68399221930702325</v>
      </c>
      <c r="R11" s="116">
        <f t="shared" si="2"/>
        <v>0.68399221930702325</v>
      </c>
      <c r="S11" s="117" t="str">
        <v>USD_CURVE_DEP12M_3W</v>
      </c>
      <c r="T11" s="116">
        <f>IF(S11="","",'1Y Pricing'!$I11*100)</f>
        <v>1.257189742137272</v>
      </c>
      <c r="U11" s="116">
        <f t="shared" si="3"/>
        <v>1.257189742137272</v>
      </c>
      <c r="V11" s="115" t="str">
        <v>USD_CURVE_OIS_3W</v>
      </c>
      <c r="W11" s="116">
        <f>IF(V11="","",'ON Pricing'!$G11*100)</f>
        <v>0.13100000017018942</v>
      </c>
      <c r="X11" s="116">
        <f t="shared" si="4"/>
        <v>0.13100000017018942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5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0.19469999989997111</v>
      </c>
      <c r="L12" s="116">
        <f t="shared" si="0"/>
        <v>0.19469999989997111</v>
      </c>
      <c r="M12" s="117" t="str">
        <v>USD_CURVE_DEP3M_1M</v>
      </c>
      <c r="N12" s="116">
        <f>IF(M12="","",'3M Pricing'!$I12*100)</f>
        <v>0.31660000000007088</v>
      </c>
      <c r="O12" s="116">
        <f t="shared" si="1"/>
        <v>0.31660000000007088</v>
      </c>
      <c r="P12" s="117" t="str">
        <v>USD_CURVE_DEP6M_1M</v>
      </c>
      <c r="Q12" s="116">
        <f>IF(P12="","",'6M Pricing'!$I12*100)</f>
        <v>0.66499999999993586</v>
      </c>
      <c r="R12" s="116">
        <f t="shared" si="2"/>
        <v>0.66499999999993586</v>
      </c>
      <c r="S12" s="117" t="str">
        <v>USD_CURVE_DEP12M_1M</v>
      </c>
      <c r="T12" s="116">
        <f>IF(S12="","",'1Y Pricing'!$I12*100)</f>
        <v>1.2438999999989553</v>
      </c>
      <c r="U12" s="116">
        <f t="shared" si="3"/>
        <v>1.2438999999989553</v>
      </c>
      <c r="V12" s="115" t="str">
        <v>USD_CURVE_OIS_1M</v>
      </c>
      <c r="W12" s="116">
        <f>IF(V12="","",'ON Pricing'!$G12*100)</f>
        <v>0.13500000021338113</v>
      </c>
      <c r="X12" s="116">
        <f t="shared" si="4"/>
        <v>0.13500000021338113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5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0.20123517527851661</v>
      </c>
      <c r="L13" s="116">
        <f t="shared" si="0"/>
        <v>0.20123517527851661</v>
      </c>
      <c r="M13" s="117" t="str">
        <v>USD_CURVE_DEP3M_2M</v>
      </c>
      <c r="N13" s="116">
        <f>IF(M13="","",'3M Pricing'!$I13*100)</f>
        <v>0.31549999999864992</v>
      </c>
      <c r="O13" s="116">
        <f t="shared" si="1"/>
        <v>0.31549999999864992</v>
      </c>
      <c r="P13" s="117" t="str">
        <v>USD_CURVE_DEP6M_2M</v>
      </c>
      <c r="Q13" s="116">
        <f>IF(P13="","",'6M Pricing'!$I13*100)</f>
        <v>0.6096000000000571</v>
      </c>
      <c r="R13" s="116">
        <f t="shared" si="2"/>
        <v>0.6096000000000571</v>
      </c>
      <c r="S13" s="117" t="str">
        <v>USD_CURVE_DEP12M_2M</v>
      </c>
      <c r="T13" s="116">
        <f>IF(S13="","",'1Y Pricing'!$I13*100)</f>
        <v>1.2038999999986177</v>
      </c>
      <c r="U13" s="116">
        <f t="shared" si="3"/>
        <v>1.2038999999986177</v>
      </c>
      <c r="V13" s="115" t="str">
        <v>USD_CURVE_OIS_2M</v>
      </c>
      <c r="W13" s="116">
        <f>IF(V13="","",'ON Pricing'!$G13*100)</f>
        <v>0.14100000027393153</v>
      </c>
      <c r="X13" s="116">
        <f t="shared" si="4"/>
        <v>0.14100000027393153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5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0.2140084400177226</v>
      </c>
      <c r="L14" s="116">
        <f t="shared" si="0"/>
        <v>0.2140084400177226</v>
      </c>
      <c r="M14" s="117" t="str">
        <v>USD_CURVE_DEP3M_3M</v>
      </c>
      <c r="N14" s="116">
        <f>IF(M14="","",'3M Pricing'!$I14*100)</f>
        <v>0.32710000000002465</v>
      </c>
      <c r="O14" s="116">
        <f t="shared" si="1"/>
        <v>0.32710000000002465</v>
      </c>
      <c r="P14" s="117" t="str">
        <v>USD_CURVE_DEP6M_3M</v>
      </c>
      <c r="Q14" s="116">
        <f>IF(P14="","",'6M Pricing'!$I14*100)</f>
        <v>0.57249999999997103</v>
      </c>
      <c r="R14" s="116">
        <f t="shared" si="2"/>
        <v>0.57249999999997103</v>
      </c>
      <c r="S14" s="117" t="str">
        <v>USD_CURVE_DEP12M_3M</v>
      </c>
      <c r="T14" s="116">
        <f>IF(S14="","",'1Y Pricing'!$I14*100)</f>
        <v>1.170999999997697</v>
      </c>
      <c r="U14" s="116">
        <f t="shared" si="3"/>
        <v>1.170999999997697</v>
      </c>
      <c r="V14" s="115" t="str">
        <v>USD_CURVE_OIS_3M</v>
      </c>
      <c r="W14" s="116">
        <f>IF(V14="","",'ON Pricing'!$G14*100)</f>
        <v>0.1590000002017333</v>
      </c>
      <c r="X14" s="116">
        <f t="shared" si="4"/>
        <v>0.1590000002017333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5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0.23120477329508665</v>
      </c>
      <c r="L15" s="116">
        <f t="shared" si="0"/>
        <v>0.23120477329508665</v>
      </c>
      <c r="M15" s="117" t="str">
        <v>USD_CURVE_DEP3M_4M</v>
      </c>
      <c r="N15" s="116">
        <f>IF(M15="","",'3M Pricing'!$I15*100)</f>
        <v>0.32272578630238202</v>
      </c>
      <c r="O15" s="116">
        <f t="shared" si="1"/>
        <v>0.32272578630238202</v>
      </c>
      <c r="P15" s="117" t="str">
        <v>USD_CURVE_DEP6M_4M</v>
      </c>
      <c r="Q15" s="116">
        <f>IF(P15="","",'6M Pricing'!$I15*100)</f>
        <v>0.54590000000003469</v>
      </c>
      <c r="R15" s="116">
        <f t="shared" si="2"/>
        <v>0.54590000000003469</v>
      </c>
      <c r="S15" s="117" t="str">
        <v>USD_CURVE_DEP12M_4M</v>
      </c>
      <c r="T15" s="116">
        <f>IF(S15="","",'1Y Pricing'!$I15*100)</f>
        <v>1.1343999999873162</v>
      </c>
      <c r="U15" s="116">
        <f t="shared" si="3"/>
        <v>1.1343999999873162</v>
      </c>
      <c r="V15" s="115" t="str">
        <v>USD_CURVE_OIS_4M</v>
      </c>
      <c r="W15" s="116">
        <f>IF(V15="","",'ON Pricing'!$G15*100)</f>
        <v>0.17500000015489445</v>
      </c>
      <c r="X15" s="116">
        <f t="shared" si="4"/>
        <v>0.17500000015489445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5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0.2470483633140467</v>
      </c>
      <c r="L16" s="116">
        <f t="shared" si="0"/>
        <v>0.2470483633140467</v>
      </c>
      <c r="M16" s="117" t="str">
        <v>USD_CURVE_DEP3M_5M</v>
      </c>
      <c r="N16" s="116">
        <f>IF(M16="","",'3M Pricing'!$I16*100)</f>
        <v>0.34560447872202338</v>
      </c>
      <c r="O16" s="116">
        <f t="shared" si="1"/>
        <v>0.34560447872202338</v>
      </c>
      <c r="P16" s="117" t="str">
        <v>USD_CURVE_DEP6M_5M</v>
      </c>
      <c r="Q16" s="116">
        <f>IF(P16="","",'6M Pricing'!$I16*100)</f>
        <v>0.53359999999994701</v>
      </c>
      <c r="R16" s="116">
        <f t="shared" si="2"/>
        <v>0.53359999999994701</v>
      </c>
      <c r="S16" s="117" t="str">
        <v>USD_CURVE_DEP12M_5M</v>
      </c>
      <c r="T16" s="116">
        <f>IF(S16="","",'1Y Pricing'!$I16*100)</f>
        <v>1.1012999999695166</v>
      </c>
      <c r="U16" s="116">
        <f t="shared" si="3"/>
        <v>1.1012999999695166</v>
      </c>
      <c r="V16" s="115" t="str">
        <v>USD_CURVE_OIS_5M</v>
      </c>
      <c r="W16" s="116">
        <f>IF(V16="","",'ON Pricing'!$G16*100)</f>
        <v>0.18800000010991311</v>
      </c>
      <c r="X16" s="116">
        <f t="shared" si="4"/>
        <v>0.18800000010991311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5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0.26403009846692294</v>
      </c>
      <c r="L17" s="116">
        <f t="shared" si="0"/>
        <v>0.26403009846692294</v>
      </c>
      <c r="M17" s="117" t="str">
        <v>USD_CURVE_DEP3M_6M</v>
      </c>
      <c r="N17" s="116">
        <f>IF(M17="","",'3M Pricing'!$I17*100)</f>
        <v>0.36722957703709197</v>
      </c>
      <c r="O17" s="116">
        <f t="shared" si="1"/>
        <v>0.36722957703709197</v>
      </c>
      <c r="P17" s="117" t="str">
        <v>USD_CURVE_DEP6M_6M</v>
      </c>
      <c r="Q17" s="116">
        <f>IF(P17="","",'6M Pricing'!$I17*100)</f>
        <v>0.53450000002008835</v>
      </c>
      <c r="R17" s="116">
        <f t="shared" si="2"/>
        <v>0.53450000002008835</v>
      </c>
      <c r="S17" s="117" t="str">
        <v>USD_CURVE_DEP12M_6M</v>
      </c>
      <c r="T17" s="116">
        <f>IF(S17="","",'1Y Pricing'!$I17*100)</f>
        <v>1.0661999999276215</v>
      </c>
      <c r="U17" s="116">
        <f t="shared" si="3"/>
        <v>1.0661999999276215</v>
      </c>
      <c r="V17" s="115" t="str">
        <v>USD_CURVE_OIS_6M</v>
      </c>
      <c r="W17" s="116">
        <f>IF(V17="","",'ON Pricing'!$G17*100)</f>
        <v>0.2040000001015492</v>
      </c>
      <c r="X17" s="116">
        <f t="shared" si="4"/>
        <v>0.2040000001015492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5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0.28056707999112646</v>
      </c>
      <c r="L18" s="116">
        <f t="shared" si="0"/>
        <v>0.28056707999112646</v>
      </c>
      <c r="M18" s="117" t="str">
        <v>USD_CURVE_DEP3M_7M</v>
      </c>
      <c r="N18" s="116">
        <f>IF(M18="","",'3M Pricing'!$I18*100)</f>
        <v>0.38261412487570873</v>
      </c>
      <c r="O18" s="116">
        <f t="shared" si="1"/>
        <v>0.38261412487570873</v>
      </c>
      <c r="P18" s="117" t="str">
        <v>USD_CURVE_DEP6M_7M</v>
      </c>
      <c r="Q18" s="116">
        <f>IF(P18="","",'6M Pricing'!$I18*100)</f>
        <v>0.54930036520920666</v>
      </c>
      <c r="R18" s="116">
        <f t="shared" si="2"/>
        <v>0.54930036520920666</v>
      </c>
      <c r="S18" s="117" t="str">
        <v>USD_CURVE_DEP12M_7M</v>
      </c>
      <c r="T18" s="116">
        <f>IF(S18="","",'1Y Pricing'!$I18*100)</f>
        <v>1.0275863335530109</v>
      </c>
      <c r="U18" s="116">
        <f t="shared" si="3"/>
        <v>1.0275863335530109</v>
      </c>
      <c r="V18" s="115" t="str">
        <v>USD_CURVE_OIS_7M</v>
      </c>
      <c r="W18" s="116">
        <f>IF(V18="","",'ON Pricing'!$G18*100)</f>
        <v>0.22000000008944534</v>
      </c>
      <c r="X18" s="116">
        <f t="shared" si="4"/>
        <v>0.22000000008944534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5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0.29536725373869843</v>
      </c>
      <c r="L19" s="116">
        <f t="shared" si="0"/>
        <v>0.29536725373869843</v>
      </c>
      <c r="M19" s="117" t="str">
        <v>USD_CURVE_DEP3M_8M</v>
      </c>
      <c r="N19" s="116">
        <f>IF(M19="","",'3M Pricing'!$I19*100)</f>
        <v>0.39550916461777902</v>
      </c>
      <c r="O19" s="116">
        <f t="shared" si="1"/>
        <v>0.39550916461777902</v>
      </c>
      <c r="P19" s="117" t="str">
        <v>USD_CURVE_DEP6M_8M</v>
      </c>
      <c r="Q19" s="116">
        <f>IF(P19="","",'6M Pricing'!$I19*100)</f>
        <v>0.57283383199974802</v>
      </c>
      <c r="R19" s="116">
        <f t="shared" si="2"/>
        <v>0.57283383199974802</v>
      </c>
      <c r="S19" s="117" t="str">
        <v>USD_CURVE_DEP12M_8M</v>
      </c>
      <c r="T19" s="116">
        <f>IF(S19="","",'1Y Pricing'!$I19*100)</f>
        <v>0.99284839179980178</v>
      </c>
      <c r="U19" s="116">
        <f t="shared" si="3"/>
        <v>0.99284839179980178</v>
      </c>
      <c r="V19" s="115" t="str">
        <v>USD_CURVE_OIS_8M</v>
      </c>
      <c r="W19" s="116">
        <f>IF(V19="","",'ON Pricing'!$G19*100)</f>
        <v>0.23200000007116253</v>
      </c>
      <c r="X19" s="116">
        <f t="shared" si="4"/>
        <v>0.23200000007116253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5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0.31105815947664306</v>
      </c>
      <c r="L20" s="116">
        <f t="shared" si="0"/>
        <v>0.31105815947664306</v>
      </c>
      <c r="M20" s="117" t="str">
        <v>USD_CURVE_DEP3M_9M</v>
      </c>
      <c r="N20" s="116">
        <f>IF(M20="","",'3M Pricing'!$I20*100)</f>
        <v>0.41047376765932464</v>
      </c>
      <c r="O20" s="116">
        <f t="shared" si="1"/>
        <v>0.41047376765932464</v>
      </c>
      <c r="P20" s="117" t="str">
        <v>USD_CURVE_DEP6M_9M</v>
      </c>
      <c r="Q20" s="116">
        <f>IF(P20="","",'6M Pricing'!$I20*100)</f>
        <v>0.58735827740864932</v>
      </c>
      <c r="R20" s="116">
        <f t="shared" si="2"/>
        <v>0.58735827740864932</v>
      </c>
      <c r="S20" s="117" t="str">
        <v>USD_CURVE_DEP12M_9M</v>
      </c>
      <c r="T20" s="116">
        <f>IF(S20="","",'1Y Pricing'!$I20*100)</f>
        <v>0.95969999999999245</v>
      </c>
      <c r="U20" s="116">
        <f t="shared" si="3"/>
        <v>0.95969999999999245</v>
      </c>
      <c r="V20" s="115" t="str">
        <v>USD_CURVE_OIS_9M</v>
      </c>
      <c r="W20" s="116">
        <f>IF(V20="","",'ON Pricing'!$G20*100)</f>
        <v>0.24800000006566686</v>
      </c>
      <c r="X20" s="116">
        <f t="shared" si="4"/>
        <v>0.24800000006566686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5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0.26400000006294594</v>
      </c>
      <c r="X21" s="120">
        <f t="shared" si="4"/>
        <v>0.26400000006294594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5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0.27800000005363223</v>
      </c>
      <c r="X22" s="116">
        <f t="shared" si="4"/>
        <v>0.27800000005363223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5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0.29300000000000403</v>
      </c>
      <c r="X23" s="119">
        <f t="shared" si="4"/>
        <v>0.29300000000000403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ht="11.25" customHeight="1" x14ac:dyDescent="0.2">
      <c r="A24" s="195"/>
      <c r="B24" s="169" t="s">
        <v>112</v>
      </c>
      <c r="C24" s="89" t="s">
        <v>46</v>
      </c>
      <c r="D24" s="89" t="s">
        <v>46</v>
      </c>
      <c r="E24" s="89" t="s">
        <v>46</v>
      </c>
      <c r="F24" s="89" t="s">
        <v>46</v>
      </c>
      <c r="G24" s="138" t="s">
        <v>46</v>
      </c>
      <c r="H24" s="138" t="s">
        <v>46</v>
      </c>
      <c r="I24" s="18" t="s">
        <v>46</v>
      </c>
      <c r="J24" s="118" t="str">
        <v>USD_CURVE_DEP1M_#20160615</v>
      </c>
      <c r="K24" s="119">
        <f>IF(J24="","",'1M Pricing'!I24*100)</f>
        <v>0.29949700199919227</v>
      </c>
      <c r="L24" s="119">
        <f t="shared" si="0"/>
        <v>0.29949700199919227</v>
      </c>
      <c r="M24" s="118" t="str">
        <v>USD_CURVE_DEP3M_#20160615</v>
      </c>
      <c r="N24" s="119">
        <f>IF(M24="","",'3M Pricing'!$I24*100)</f>
        <v>0.39928298695505027</v>
      </c>
      <c r="O24" s="119">
        <f t="shared" si="1"/>
        <v>0.39928298695505027</v>
      </c>
      <c r="P24" s="118" t="str">
        <v>USD_CURVE_DEP6M_#20160615</v>
      </c>
      <c r="Q24" s="119">
        <f>IF(P24="","",'6M Pricing'!$I24*100)</f>
        <v>0.5779836396260547</v>
      </c>
      <c r="R24" s="119">
        <f t="shared" si="2"/>
        <v>0.5779836396260547</v>
      </c>
      <c r="S24" s="118" t="str">
        <v>USD_CURVE_DEP12M_#20160615</v>
      </c>
      <c r="T24" s="119">
        <f>IF(S24="","",'1Y Pricing'!$I24*100)</f>
        <v>0.98365714700762341</v>
      </c>
      <c r="U24" s="119">
        <f t="shared" si="3"/>
        <v>0.98365714700762341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str">
        <f>IF($C24=" ","",ROUND(ABS(_xll.RtGet(SourceAlias,$J24,BID)-K24),4))</f>
        <v/>
      </c>
      <c r="AD24" s="144" t="str">
        <f>IF($C24=" ","",ROUND(ABS(_xll.RtGet(SourceAlias,$J24,ASK)-L24),4))</f>
        <v/>
      </c>
      <c r="AE24" s="144" t="str">
        <f>IF($D24=" ","",ROUND(ABS(_xll.RtGet(SourceAlias,$M24,BID)-N24),4))</f>
        <v/>
      </c>
      <c r="AF24" s="144" t="str">
        <f>IF($D24=" ","",ROUND(ABS(_xll.RtGet(SourceAlias,$M24,ASK)-O24),4))</f>
        <v/>
      </c>
      <c r="AG24" s="144" t="str">
        <f>IF($E24=" ","",ROUND(ABS(_xll.RtGet(SourceAlias,$P24,BID)-Q24),4))</f>
        <v/>
      </c>
      <c r="AH24" s="144" t="str">
        <f>IF($E24=" ","",ROUND(ABS(_xll.RtGet(SourceAlias,$P24,ASK)-R24),4))</f>
        <v/>
      </c>
      <c r="AI24" s="144" t="str">
        <f>IF($F24=" ","",ROUND(ABS(_xll.RtGet(SourceAlias,$S24,BID)-T24),4))</f>
        <v/>
      </c>
      <c r="AJ24" s="144" t="str">
        <f>IF($F24=" ","",ROUND(ABS(_xll.RtGet(SourceAlias,$S24,ASK)-U24),4))</f>
        <v/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 t="str">
        <f>IF($H24=" ","",ROUND(ABS(_xll.RtGet(SourceAlias,$Y24,BID)-Z24),4))</f>
        <v/>
      </c>
      <c r="AN24" s="144" t="str">
        <f>IF($H24=" ","",ROUND(ABS(_xll.RtGet(SourceAlias,$Y24,ASK)-AA24),4))</f>
        <v/>
      </c>
    </row>
    <row r="25" spans="1:40" ht="11.25" customHeight="1" x14ac:dyDescent="0.2">
      <c r="A25" s="194" t="s">
        <v>117</v>
      </c>
      <c r="B25" s="49"/>
      <c r="C25" s="86" t="s">
        <v>46</v>
      </c>
      <c r="D25" s="86" t="s">
        <v>46</v>
      </c>
      <c r="E25" s="86" t="s">
        <v>46</v>
      </c>
      <c r="F25" s="86" t="s">
        <v>46</v>
      </c>
      <c r="G25" s="136" t="s">
        <v>46</v>
      </c>
      <c r="H25" s="136" t="s">
        <v>46</v>
      </c>
      <c r="I25" s="18" t="s">
        <v>46</v>
      </c>
      <c r="J25" s="115" t="str">
        <v>USD_CURVE_FUT1M_Z5</v>
      </c>
      <c r="K25" s="116">
        <f>IF(J25="","",'1M Pricing'!$I25)</f>
        <v>99.711390137525342</v>
      </c>
      <c r="L25" s="116">
        <f t="shared" si="0"/>
        <v>99.711390137525342</v>
      </c>
      <c r="M25" s="117" t="str">
        <v>USD_CURVE_FUT3M_Z5</v>
      </c>
      <c r="N25" s="116">
        <f>IF(M25="","",'3M Pricing'!$I25)</f>
        <v>99.62303330325004</v>
      </c>
      <c r="O25" s="116">
        <f t="shared" si="1"/>
        <v>99.62303330325004</v>
      </c>
      <c r="P25" s="117" t="str">
        <v>USD_CURVE_FUT6M_Z5</v>
      </c>
      <c r="Q25" s="116">
        <f>IF(P25="","",'6M Pricing'!$I25)</f>
        <v>99.517596760600355</v>
      </c>
      <c r="R25" s="116">
        <f t="shared" si="2"/>
        <v>99.517596760600355</v>
      </c>
      <c r="S25" s="117" t="str">
        <v>USD_CURVE_FUT12M_Z5</v>
      </c>
      <c r="T25" s="116">
        <f>IF(S25="","",'1Y Pricing'!$I25)</f>
        <v>98.990149814814714</v>
      </c>
      <c r="U25" s="116">
        <f t="shared" si="3"/>
        <v>98.990149814814714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str">
        <f>IF($C25=" ","",ROUND(ABS(_xll.RtGet(SourceAlias,$J25,BID)-K25),4))</f>
        <v/>
      </c>
      <c r="AD25" s="142" t="str">
        <f>IF($C25=" ","",ROUND(ABS(_xll.RtGet(SourceAlias,$J25,ASK)-L25),4))</f>
        <v/>
      </c>
      <c r="AE25" s="142" t="str">
        <f>IF($D25=" ","",ROUND(ABS(_xll.RtGet(SourceAlias,$M25,BID)-N25),4))</f>
        <v/>
      </c>
      <c r="AF25" s="142" t="str">
        <f>IF($D25=" ","",ROUND(ABS(_xll.RtGet(SourceAlias,$M25,ASK)-O25),4))</f>
        <v/>
      </c>
      <c r="AG25" s="142" t="str">
        <f>IF($E25=" ","",ROUND(ABS(_xll.RtGet(SourceAlias,$P25,BID)-Q25),4))</f>
        <v/>
      </c>
      <c r="AH25" s="142" t="str">
        <f>IF($E25=" ","",ROUND(ABS(_xll.RtGet(SourceAlias,$P25,ASK)-R25),4))</f>
        <v/>
      </c>
      <c r="AI25" s="142" t="str">
        <f>IF($F25=" ","",ROUND(ABS(_xll.RtGet(SourceAlias,$S25,BID)-T25),4))</f>
        <v/>
      </c>
      <c r="AJ25" s="142" t="str">
        <f>IF($F25=" ","",ROUND(ABS(_xll.RtGet(SourceAlias,$S25,ASK)-U25),4))</f>
        <v/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 t="str">
        <f>IF($H25=" ","",ROUND(ABS(_xll.RtGet(SourceAlias,$Y25,BID)-Z25),4))</f>
        <v/>
      </c>
      <c r="AN25" s="142" t="str">
        <f>IF($H25=" ","",ROUND(ABS(_xll.RtGet(SourceAlias,$Y25,ASK)-AA25),4))</f>
        <v/>
      </c>
    </row>
    <row r="26" spans="1:40" x14ac:dyDescent="0.2">
      <c r="A26" s="195"/>
      <c r="B26" s="49"/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99.616520684223758</v>
      </c>
      <c r="L26" s="116">
        <f t="shared" si="0"/>
        <v>99.616520684223758</v>
      </c>
      <c r="M26" s="117" t="str">
        <v>USD_CURVE_FUT3M_H6</v>
      </c>
      <c r="N26" s="116">
        <f>IF(M26="","",'3M Pricing'!$I26)</f>
        <v>99.519138471175438</v>
      </c>
      <c r="O26" s="116">
        <f t="shared" si="1"/>
        <v>99.519138471175438</v>
      </c>
      <c r="P26" s="117" t="str">
        <v>USD_CURVE_FUT6M_H6</v>
      </c>
      <c r="Q26" s="116">
        <f>IF(P26="","",'6M Pricing'!$I26)</f>
        <v>99.34227628979346</v>
      </c>
      <c r="R26" s="116">
        <f t="shared" si="2"/>
        <v>99.34227628979346</v>
      </c>
      <c r="S26" s="117" t="str">
        <v>USD_CURVE_FUT12M_H6</v>
      </c>
      <c r="T26" s="116">
        <f>IF(S26="","",'1Y Pricing'!$I26)</f>
        <v>99.211379572745471</v>
      </c>
      <c r="U26" s="116">
        <f t="shared" si="3"/>
        <v>99.211379572745471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5"/>
      <c r="B27" s="49"/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99.512016214017393</v>
      </c>
      <c r="L27" s="116">
        <f t="shared" si="0"/>
        <v>99.512016214017393</v>
      </c>
      <c r="M27" s="117" t="str">
        <v>USD_CURVE_FUT3M_M6</v>
      </c>
      <c r="N27" s="116">
        <f>IF(M27="","",'3M Pricing'!$I27)</f>
        <v>99.410700761379672</v>
      </c>
      <c r="O27" s="116">
        <f t="shared" si="1"/>
        <v>99.410700761379672</v>
      </c>
      <c r="P27" s="117" t="str">
        <v>USD_CURVE_FUT6M_M6</v>
      </c>
      <c r="Q27" s="116">
        <f>IF(P27="","",'6M Pricing'!$I27)</f>
        <v>99.344088629035625</v>
      </c>
      <c r="R27" s="116">
        <f t="shared" si="2"/>
        <v>99.344088629035625</v>
      </c>
      <c r="S27" s="117" t="str">
        <v>USD_CURVE_FUT12M_M6</v>
      </c>
      <c r="T27" s="116">
        <f>IF(S27="","",'1Y Pricing'!$I27)</f>
        <v>99.394548378391832</v>
      </c>
      <c r="U27" s="116">
        <f t="shared" si="3"/>
        <v>99.394548378391832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5"/>
      <c r="B28" s="49"/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99.380949005039014</v>
      </c>
      <c r="L28" s="116">
        <f t="shared" si="0"/>
        <v>99.380949005039014</v>
      </c>
      <c r="M28" s="117" t="str">
        <v>USD_CURVE_FUT3M_U6</v>
      </c>
      <c r="N28" s="116">
        <f>IF(M28="","",'3M Pricing'!$I28)</f>
        <v>99.27786780905727</v>
      </c>
      <c r="O28" s="116">
        <f t="shared" si="1"/>
        <v>99.27786780905727</v>
      </c>
      <c r="P28" s="117" t="str">
        <v>USD_CURVE_FUT6M_U6</v>
      </c>
      <c r="Q28" s="116">
        <f>IF(P28="","",'6M Pricing'!$I28)</f>
        <v>99.117359686687522</v>
      </c>
      <c r="R28" s="116">
        <f t="shared" si="2"/>
        <v>99.117359686687522</v>
      </c>
      <c r="S28" s="117" t="str">
        <v>USD_CURVE_FUT12M_U6</v>
      </c>
      <c r="T28" s="116">
        <f>IF(S28="","",'1Y Pricing'!$I28)</f>
        <v>99.380209309402233</v>
      </c>
      <c r="U28" s="116">
        <f t="shared" si="3"/>
        <v>99.380209309402233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5"/>
      <c r="B29" s="49"/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99.258101038147288</v>
      </c>
      <c r="L29" s="116">
        <f t="shared" si="0"/>
        <v>99.258101038147288</v>
      </c>
      <c r="M29" s="117" t="str">
        <v>USD_CURVE_FUT3M_Z6</v>
      </c>
      <c r="N29" s="116">
        <f>IF(M29="","",'3M Pricing'!$I29)</f>
        <v>99.140326787930547</v>
      </c>
      <c r="O29" s="116">
        <f t="shared" si="1"/>
        <v>99.140326787930547</v>
      </c>
      <c r="P29" s="117" t="str">
        <v>USD_CURVE_FUT6M_Z6</v>
      </c>
      <c r="Q29" s="116">
        <f>IF(P29="","",'6M Pricing'!$I29)</f>
        <v>99.108622880450255</v>
      </c>
      <c r="R29" s="116">
        <f t="shared" si="2"/>
        <v>99.108622880450255</v>
      </c>
      <c r="S29" s="117" t="str">
        <v>USD_CURVE_FUT12M_Z6</v>
      </c>
      <c r="T29" s="116">
        <f>IF(S29="","",'1Y Pricing'!$I29)</f>
        <v>98.620542615489796</v>
      </c>
      <c r="U29" s="116">
        <f t="shared" si="3"/>
        <v>98.620542615489796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5"/>
      <c r="B30" s="49"/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99.144235848166332</v>
      </c>
      <c r="L30" s="116">
        <f t="shared" si="0"/>
        <v>99.144235848166332</v>
      </c>
      <c r="M30" s="117" t="str">
        <v>USD_CURVE_FUT3M_H7</v>
      </c>
      <c r="N30" s="116">
        <f>IF(M30="","",'3M Pricing'!$I30)</f>
        <v>99.018056438885353</v>
      </c>
      <c r="O30" s="116">
        <f t="shared" si="1"/>
        <v>99.018056438885353</v>
      </c>
      <c r="P30" s="117" t="str">
        <v>USD_CURVE_FUT6M_H7</v>
      </c>
      <c r="Q30" s="116">
        <f>IF(P30="","",'6M Pricing'!$I30)</f>
        <v>98.91796026954907</v>
      </c>
      <c r="R30" s="116">
        <f t="shared" si="2"/>
        <v>98.91796026954907</v>
      </c>
      <c r="S30" s="117" t="str">
        <v>USD_CURVE_FUT12M_H7</v>
      </c>
      <c r="T30" s="116">
        <f>IF(S30="","",'1Y Pricing'!$I30)</f>
        <v>98.788295710977636</v>
      </c>
      <c r="U30" s="116">
        <f t="shared" si="3"/>
        <v>98.788295710977636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5"/>
      <c r="B31" s="49"/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99.014829148077027</v>
      </c>
      <c r="L31" s="116">
        <f t="shared" si="0"/>
        <v>99.014829148077027</v>
      </c>
      <c r="M31" s="117" t="str">
        <v>USD_CURVE_FUT3M_M7</v>
      </c>
      <c r="N31" s="116">
        <f>IF(M31="","",'3M Pricing'!$I31)</f>
        <v>98.891636622897835</v>
      </c>
      <c r="O31" s="116">
        <f t="shared" si="1"/>
        <v>98.891636622897835</v>
      </c>
      <c r="P31" s="117" t="str">
        <v>USD_CURVE_FUT6M_M7</v>
      </c>
      <c r="Q31" s="116">
        <f>IF(P31="","",'6M Pricing'!$I31)</f>
        <v>98.802643957573437</v>
      </c>
      <c r="R31" s="116">
        <f t="shared" si="2"/>
        <v>98.802643957573437</v>
      </c>
      <c r="S31" s="117" t="str">
        <v>USD_CURVE_FUT12M_M7</v>
      </c>
      <c r="T31" s="116">
        <f>IF(S31="","",'1Y Pricing'!$I31)</f>
        <v>97.91631537592616</v>
      </c>
      <c r="U31" s="116">
        <f t="shared" si="3"/>
        <v>97.91631537592616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6"/>
      <c r="B32" s="49"/>
      <c r="C32" s="86"/>
      <c r="D32" s="86"/>
      <c r="E32" s="86"/>
      <c r="F32" s="86"/>
      <c r="G32" s="136"/>
      <c r="H32" s="136" t="s">
        <v>46</v>
      </c>
      <c r="I32" s="18"/>
      <c r="J32" s="115" t="str">
        <v>USD_CURVE_FUT1M_U7</v>
      </c>
      <c r="K32" s="116"/>
      <c r="L32" s="116"/>
      <c r="M32" s="117" t="str">
        <v>USD_CURVE_FUT3M_U7</v>
      </c>
      <c r="N32" s="116"/>
      <c r="O32" s="116"/>
      <c r="P32" s="117" t="str">
        <v>USD_CURVE_FUT6M_U7</v>
      </c>
      <c r="Q32" s="116"/>
      <c r="R32" s="116"/>
      <c r="S32" s="117" t="str">
        <v>USD_CURVE_FUT12M_U7</v>
      </c>
      <c r="T32" s="116"/>
      <c r="U32" s="116"/>
      <c r="V32" s="115" t="str">
        <v/>
      </c>
      <c r="W32" s="116"/>
      <c r="X32" s="116"/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2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>IF(Contribute="abcd",IF($E$2&lt;&gt;-1,_xll.RtContribute(SourceAlias,Y33,Fields,Z33:AA33,"SCOPE:SERVER"),_xll.RtContribute(SourceAlias,"DDS_INSERT_S",$E$2:$G$2,Y33:AA33,"SCOPE:SERVER FTC:ALL")),"stopped")</f>
        <v>stopped</v>
      </c>
      <c r="I33" s="3" t="s">
        <v>46</v>
      </c>
      <c r="J33" s="112" t="str">
        <v>USD_CURVE_1M_1Y</v>
      </c>
      <c r="K33" s="113">
        <f>IF(J33="","",'1M Pricing'!$I33*100)</f>
        <v>0.36299999999440347</v>
      </c>
      <c r="L33" s="113">
        <f t="shared" ref="L33:L39" si="6">K33</f>
        <v>0.36299999999440347</v>
      </c>
      <c r="M33" s="114" t="str">
        <v>USD_CURVE_3M_1Y</v>
      </c>
      <c r="N33" s="113">
        <f>IF(M33="","",'3M Pricing'!$I33*100)</f>
        <v>0.46339357193321007</v>
      </c>
      <c r="O33" s="113">
        <f t="shared" ref="O33:O39" si="7">N33</f>
        <v>0.46339357193321007</v>
      </c>
      <c r="P33" s="114" t="str">
        <v>USD_CURVE_6M_1Y</v>
      </c>
      <c r="Q33" s="113">
        <f>IF(P33="","",'6M Pricing'!$I33*100)</f>
        <v>0.60676841736946996</v>
      </c>
      <c r="R33" s="113">
        <f t="shared" ref="R33:R39" si="8">Q33</f>
        <v>0.60676841736946996</v>
      </c>
      <c r="S33" s="114" t="str">
        <v>USD_CURVE_12M_1Y</v>
      </c>
      <c r="T33" s="113">
        <f>IF(S33="","",'1Y Pricing'!$I33*100)</f>
        <v>0.85210000001161046</v>
      </c>
      <c r="U33" s="113">
        <f t="shared" ref="U33:U39" si="9">T33</f>
        <v>0.85210000001161046</v>
      </c>
      <c r="V33" s="112" t="str">
        <v/>
      </c>
      <c r="W33" s="113" t="str">
        <f>IF(V33="","",'ON Pricing'!$G33*100)</f>
        <v/>
      </c>
      <c r="X33" s="113" t="str">
        <f t="shared" ref="X33:X39" si="10">W33</f>
        <v/>
      </c>
      <c r="Y33" s="112" t="str">
        <v>USD_CURVE_STD_1Y</v>
      </c>
      <c r="Z33" s="113">
        <f>IF(Y33="","",'STD Pricing'!$G33*100)</f>
        <v>0.45593771550891071</v>
      </c>
      <c r="AA33" s="113">
        <f t="shared" si="5"/>
        <v>0.45593771550891071</v>
      </c>
      <c r="AC33" s="141">
        <f>IF($C33=" ","",ROUND(ABS(_xll.RtGet(SourceAlias,$J33,BID)-K33),4))</f>
        <v>0</v>
      </c>
      <c r="AD33" s="141">
        <f>IF($C33=" ","",ROUND(ABS(_xll.RtGet(SourceAlias,$J33,ASK)-L33),4))</f>
        <v>0</v>
      </c>
      <c r="AE33" s="141">
        <f>IF($D33=" ","",ROUND(ABS(_xll.RtGet(SourceAlias,$M33,BID)-N33),4))</f>
        <v>0</v>
      </c>
      <c r="AF33" s="141">
        <f>IF($D33=" ","",ROUND(ABS(_xll.RtGet(SourceAlias,$M33,ASK)-O33),4))</f>
        <v>0</v>
      </c>
      <c r="AG33" s="141">
        <f>IF($E33=" ","",ROUND(ABS(_xll.RtGet(SourceAlias,$P33,BID)-Q33),4))</f>
        <v>0</v>
      </c>
      <c r="AH33" s="141">
        <f>IF($E33=" ","",ROUND(ABS(_xll.RtGet(SourceAlias,$P33,ASK)-R33),4))</f>
        <v>0</v>
      </c>
      <c r="AI33" s="141">
        <f>IF($F33=" ","",ROUND(ABS(_xll.RtGet(SourceAlias,$S33,BID)-T33),4))</f>
        <v>0</v>
      </c>
      <c r="AJ33" s="141">
        <f>IF($F33=" ","",ROUND(ABS(_xll.RtGet(SourceAlias,$S33,ASK)-U33),4))</f>
        <v>0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>
        <f>IF($H33=" ","",ROUND(ABS(_xll.RtGet(SourceAlias,$Y33,BID)-Z33),4))</f>
        <v>0.18559999999999999</v>
      </c>
      <c r="AN33" s="141">
        <f>IF($H33=" ","",ROUND(ABS(_xll.RtGet(SourceAlias,$Y33,ASK)-AA33),4))</f>
        <v>0.18559999999999999</v>
      </c>
    </row>
    <row r="34" spans="1:40" x14ac:dyDescent="0.2">
      <c r="A34" s="192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6"/>
        <v/>
      </c>
      <c r="M34" s="117" t="str">
        <v/>
      </c>
      <c r="N34" s="116" t="str">
        <f>IF(M34="","",'3M Pricing'!$I34*100)</f>
        <v/>
      </c>
      <c r="O34" s="116" t="str">
        <f t="shared" si="7"/>
        <v/>
      </c>
      <c r="P34" s="117" t="str">
        <v/>
      </c>
      <c r="Q34" s="116" t="str">
        <f>IF(P34="","",'6M Pricing'!$I34*100)</f>
        <v/>
      </c>
      <c r="R34" s="116" t="str">
        <f t="shared" si="8"/>
        <v/>
      </c>
      <c r="S34" s="117" t="str">
        <v/>
      </c>
      <c r="T34" s="116" t="str">
        <f>IF(S34="","",'1Y Pricing'!$I34*100)</f>
        <v/>
      </c>
      <c r="U34" s="116" t="str">
        <f t="shared" si="9"/>
        <v/>
      </c>
      <c r="V34" s="115" t="str">
        <v>USD_CURVE_OIS_15M</v>
      </c>
      <c r="W34" s="116">
        <f>IF(V34="","",'ON Pricing'!$G34*100)</f>
        <v>0.344000000000031</v>
      </c>
      <c r="X34" s="116">
        <f t="shared" si="10"/>
        <v>0.344000000000031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2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136" t="s">
        <v>46</v>
      </c>
      <c r="H35" s="136" t="s">
        <v>46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6"/>
        <v/>
      </c>
      <c r="M35" s="117" t="str">
        <v/>
      </c>
      <c r="N35" s="116" t="str">
        <f>IF(M35="","",'3M Pricing'!$I35*100)</f>
        <v/>
      </c>
      <c r="O35" s="116" t="str">
        <f t="shared" si="7"/>
        <v/>
      </c>
      <c r="P35" s="117" t="str">
        <v/>
      </c>
      <c r="Q35" s="116" t="str">
        <f>IF(P35="","",'6M Pricing'!$I35*100)</f>
        <v/>
      </c>
      <c r="R35" s="116" t="str">
        <f t="shared" si="8"/>
        <v/>
      </c>
      <c r="S35" s="117" t="str">
        <v/>
      </c>
      <c r="T35" s="116" t="str">
        <f>IF(S35="","",'1Y Pricing'!$I35*100)</f>
        <v/>
      </c>
      <c r="U35" s="116" t="str">
        <f t="shared" si="9"/>
        <v/>
      </c>
      <c r="V35" s="115" t="str">
        <v>USD_CURVE_OIS_18M</v>
      </c>
      <c r="W35" s="116">
        <f>IF(V35="","",'ON Pricing'!$G35*100)</f>
        <v>0.39600000000004226</v>
      </c>
      <c r="X35" s="116">
        <f t="shared" si="10"/>
        <v>0.39600000000004226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str">
        <f>IF($G35=" ","",ROUND(ABS(_xll.RtGet(SourceAlias,$V35,BID)-W35),4))</f>
        <v/>
      </c>
      <c r="AL35" s="142" t="str">
        <f>IF($G35=" ","",ROUND(ABS(_xll.RtGet(SourceAlias,$V35,ASK)-X35),4))</f>
        <v/>
      </c>
      <c r="AM35" s="142" t="str">
        <f>IF($H35=" ","",ROUND(ABS(_xll.RtGet(SourceAlias,$Y35,BID)-Z35),4))</f>
        <v/>
      </c>
      <c r="AN35" s="142" t="str">
        <f>IF($H35=" ","",ROUND(ABS(_xll.RtGet(SourceAlias,$Y35,ASK)-AA35),4))</f>
        <v/>
      </c>
    </row>
    <row r="36" spans="1:40" x14ac:dyDescent="0.2">
      <c r="A36" s="192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6"/>
        <v/>
      </c>
      <c r="M36" s="117" t="str">
        <v/>
      </c>
      <c r="N36" s="116" t="str">
        <f>IF(M36="","",'3M Pricing'!$I36*100)</f>
        <v/>
      </c>
      <c r="O36" s="116" t="str">
        <f t="shared" si="7"/>
        <v/>
      </c>
      <c r="P36" s="117" t="str">
        <v/>
      </c>
      <c r="Q36" s="116" t="str">
        <f>IF(P36="","",'6M Pricing'!$I36*100)</f>
        <v/>
      </c>
      <c r="R36" s="116" t="str">
        <f t="shared" si="8"/>
        <v/>
      </c>
      <c r="S36" s="117" t="str">
        <v/>
      </c>
      <c r="T36" s="116" t="str">
        <f>IF(S36="","",'1Y Pricing'!$I36*100)</f>
        <v/>
      </c>
      <c r="U36" s="116" t="str">
        <f t="shared" si="9"/>
        <v/>
      </c>
      <c r="V36" s="115" t="str">
        <v>USD_CURVE_OIS_21M</v>
      </c>
      <c r="W36" s="116">
        <f>IF(V36="","",'ON Pricing'!$G36*100)</f>
        <v>0.45000000000000934</v>
      </c>
      <c r="X36" s="116">
        <f t="shared" si="10"/>
        <v>0.45000000000000934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2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13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136" t="str">
        <f>IF(Contribute="abcd",IF($E$2&lt;&gt;-1,_xll.RtContribute(SourceAlias,Y37,Fields,Z37:AA37,"SCOPE:SERVER"),_xll.RtContribute(SourceAlias,"DDS_INSERT_S",$E$2:$G$2,Y37:AA37,"SCOPE:SERVER FTC:ALL")),"stopped")</f>
        <v>stopped</v>
      </c>
      <c r="I37" s="3" t="s">
        <v>46</v>
      </c>
      <c r="J37" s="115" t="str">
        <v>USD_CURVE_1M_2Y</v>
      </c>
      <c r="K37" s="116">
        <f>IF(J37="","",'1M Pricing'!$I37*100)</f>
        <v>0.59506875221066535</v>
      </c>
      <c r="L37" s="116">
        <f t="shared" si="6"/>
        <v>0.59506875221066535</v>
      </c>
      <c r="M37" s="117" t="str">
        <v>USD_CURVE_3M_2Y</v>
      </c>
      <c r="N37" s="116">
        <f>IF(M37="","",'3M Pricing'!$I37*100)</f>
        <v>0.70483960301472037</v>
      </c>
      <c r="O37" s="116">
        <f t="shared" si="7"/>
        <v>0.70483960301472037</v>
      </c>
      <c r="P37" s="117" t="str">
        <v>USD_CURVE_6M_2Y</v>
      </c>
      <c r="Q37" s="116">
        <f>IF(P37="","",'6M Pricing'!$I37*100)</f>
        <v>0.82550693174845025</v>
      </c>
      <c r="R37" s="116">
        <f t="shared" si="8"/>
        <v>0.82550693174845025</v>
      </c>
      <c r="S37" s="117" t="str">
        <v>USD_CURVE_12M_2Y</v>
      </c>
      <c r="T37" s="116">
        <f>IF(S37="","",'1Y Pricing'!$I37*100)</f>
        <v>1.1391327982935031</v>
      </c>
      <c r="U37" s="116">
        <f t="shared" si="9"/>
        <v>1.1391327982935031</v>
      </c>
      <c r="V37" s="115" t="str">
        <v>USD_CURVE_OIS_2Y</v>
      </c>
      <c r="W37" s="116">
        <f>IF(V37="","",'ON Pricing'!$G37*100)</f>
        <v>0.50599999999999556</v>
      </c>
      <c r="X37" s="116">
        <f t="shared" si="10"/>
        <v>0.50599999999999556</v>
      </c>
      <c r="Y37" s="115" t="str">
        <v>USD_CURVE_STD_2Y</v>
      </c>
      <c r="Z37" s="116">
        <f>IF(Y37="","",'STD Pricing'!$G37*100)</f>
        <v>0.69933561277667955</v>
      </c>
      <c r="AA37" s="116">
        <f t="shared" si="5"/>
        <v>0.69933561277667955</v>
      </c>
      <c r="AC37" s="142">
        <f>IF($C37=" ","",ROUND(ABS(_xll.RtGet(SourceAlias,$J37,BID)-K37),4))</f>
        <v>5.9999999999999995E-4</v>
      </c>
      <c r="AD37" s="142">
        <f>IF($C37=" ","",ROUND(ABS(_xll.RtGet(SourceAlias,$J37,ASK)-L37),4))</f>
        <v>5.9999999999999995E-4</v>
      </c>
      <c r="AE37" s="142">
        <f>IF($D37=" ","",ROUND(ABS(_xll.RtGet(SourceAlias,$M37,BID)-N37),4))</f>
        <v>0</v>
      </c>
      <c r="AF37" s="142">
        <f>IF($D37=" ","",ROUND(ABS(_xll.RtGet(SourceAlias,$M37,ASK)-O37),4))</f>
        <v>0</v>
      </c>
      <c r="AG37" s="142">
        <f>IF($E37=" ","",ROUND(ABS(_xll.RtGet(SourceAlias,$P37,BID)-Q37),4))</f>
        <v>5.9999999999999995E-4</v>
      </c>
      <c r="AH37" s="142">
        <f>IF($E37=" ","",ROUND(ABS(_xll.RtGet(SourceAlias,$P37,ASK)-R37),4))</f>
        <v>5.9999999999999995E-4</v>
      </c>
      <c r="AI37" s="142">
        <f>IF($F37=" ","",ROUND(ABS(_xll.RtGet(SourceAlias,$S37,BID)-T37),4))</f>
        <v>1.6999999999999999E-3</v>
      </c>
      <c r="AJ37" s="142">
        <f>IF($F37=" ","",ROUND(ABS(_xll.RtGet(SourceAlias,$S37,ASK)-U37),4))</f>
        <v>1.6999999999999999E-3</v>
      </c>
      <c r="AK37" s="142">
        <f>IF($G37=" ","",ROUND(ABS(_xll.RtGet(SourceAlias,$V37,BID)-W37),4))</f>
        <v>1E-3</v>
      </c>
      <c r="AL37" s="142">
        <f>IF($G37=" ","",ROUND(ABS(_xll.RtGet(SourceAlias,$V37,ASK)-X37),4))</f>
        <v>1E-3</v>
      </c>
      <c r="AM37" s="142">
        <f>IF($H37=" ","",ROUND(ABS(_xll.RtGet(SourceAlias,$Y37,BID)-Z37),4))</f>
        <v>9.2600000000000002E-2</v>
      </c>
      <c r="AN37" s="142">
        <f>IF($H37=" ","",ROUND(ABS(_xll.RtGet(SourceAlias,$Y37,ASK)-AA37),4))</f>
        <v>9.2600000000000002E-2</v>
      </c>
    </row>
    <row r="38" spans="1:40" x14ac:dyDescent="0.2">
      <c r="A38" s="192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13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136" t="str">
        <f>IF(Contribute="abcd",IF($E$2&lt;&gt;-1,_xll.RtContribute(SourceAlias,Y38,Fields,Z38:AA38,"SCOPE:SERVER"),_xll.RtContribute(SourceAlias,"DDS_INSERT_S",$E$2:$G$2,Y38:AA38,"SCOPE:SERVER FTC:ALL")),"stopped")</f>
        <v>stopped</v>
      </c>
      <c r="I38" s="3" t="s">
        <v>46</v>
      </c>
      <c r="J38" s="115" t="str">
        <v>USD_CURVE_1M_3Y</v>
      </c>
      <c r="K38" s="120">
        <f>IF(J38="","",'1M Pricing'!$I38*100)</f>
        <v>0.82299785704089168</v>
      </c>
      <c r="L38" s="120">
        <f t="shared" si="6"/>
        <v>0.82299785704089168</v>
      </c>
      <c r="M38" s="115" t="str">
        <v>USD_CURVE_3M_3Y</v>
      </c>
      <c r="N38" s="120">
        <f>IF(M38="","",'3M Pricing'!$I38*100)</f>
        <v>0.93339657427868139</v>
      </c>
      <c r="O38" s="116">
        <f t="shared" si="7"/>
        <v>0.93339657427868139</v>
      </c>
      <c r="P38" s="115" t="str">
        <v>USD_CURVE_6M_3Y</v>
      </c>
      <c r="Q38" s="116">
        <f>IF(P38="","",'6M Pricing'!$I38*100)</f>
        <v>1.0401368452954152</v>
      </c>
      <c r="R38" s="116">
        <f t="shared" si="8"/>
        <v>1.0401368452954152</v>
      </c>
      <c r="S38" s="115" t="str">
        <v>USD_CURVE_12M_3Y</v>
      </c>
      <c r="T38" s="116">
        <f>IF(S38="","",'1Y Pricing'!$I38*100)</f>
        <v>1.3317745037715876</v>
      </c>
      <c r="U38" s="116">
        <f t="shared" si="9"/>
        <v>1.3317745037715876</v>
      </c>
      <c r="V38" s="115" t="str">
        <v>USD_CURVE_OIS_3Y</v>
      </c>
      <c r="W38" s="120">
        <f>IF(V38="","",'ON Pricing'!$G38*100)</f>
        <v>0.72000000000000275</v>
      </c>
      <c r="X38" s="120">
        <f t="shared" si="10"/>
        <v>0.72000000000000275</v>
      </c>
      <c r="Y38" s="115" t="str">
        <v>USD_CURVE_STD_3Y</v>
      </c>
      <c r="Z38" s="120">
        <f>IF(Y38="","",'STD Pricing'!$G38*100)</f>
        <v>0.93335384227456408</v>
      </c>
      <c r="AA38" s="120">
        <f t="shared" si="5"/>
        <v>0.93335384227456408</v>
      </c>
      <c r="AC38" s="143">
        <f>IF($C38=" ","",ROUND(ABS(_xll.RtGet(SourceAlias,$J38,BID)-K38),4))</f>
        <v>5.9999999999999995E-4</v>
      </c>
      <c r="AD38" s="143">
        <f>IF($C38=" ","",ROUND(ABS(_xll.RtGet(SourceAlias,$J38,ASK)-L38),4))</f>
        <v>5.9999999999999995E-4</v>
      </c>
      <c r="AE38" s="143">
        <f>IF($D38=" ","",ROUND(ABS(_xll.RtGet(SourceAlias,$M38,BID)-N38),4))</f>
        <v>5.9999999999999995E-4</v>
      </c>
      <c r="AF38" s="143">
        <f>IF($D38=" ","",ROUND(ABS(_xll.RtGet(SourceAlias,$M38,ASK)-O38),4))</f>
        <v>5.9999999999999995E-4</v>
      </c>
      <c r="AG38" s="143">
        <f>IF($E38=" ","",ROUND(ABS(_xll.RtGet(SourceAlias,$P38,BID)-Q38),4))</f>
        <v>1.1999999999999999E-3</v>
      </c>
      <c r="AH38" s="143">
        <f>IF($E38=" ","",ROUND(ABS(_xll.RtGet(SourceAlias,$P38,ASK)-R38),4))</f>
        <v>1.1999999999999999E-3</v>
      </c>
      <c r="AI38" s="143">
        <f>IF($F38=" ","",ROUND(ABS(_xll.RtGet(SourceAlias,$S38,BID)-T38),4))</f>
        <v>8.9999999999999998E-4</v>
      </c>
      <c r="AJ38" s="143">
        <f>IF($F38=" ","",ROUND(ABS(_xll.RtGet(SourceAlias,$S38,ASK)-U38),4))</f>
        <v>8.9999999999999998E-4</v>
      </c>
      <c r="AK38" s="143">
        <f>IF($G38=" ","",ROUND(ABS(_xll.RtGet(SourceAlias,$V38,BID)-W38),4))</f>
        <v>0</v>
      </c>
      <c r="AL38" s="143">
        <f>IF($G38=" ","",ROUND(ABS(_xll.RtGet(SourceAlias,$V38,ASK)-X38),4))</f>
        <v>0</v>
      </c>
      <c r="AM38" s="143">
        <f>IF($H38=" ","",ROUND(ABS(_xll.RtGet(SourceAlias,$Y38,BID)-Z38),4))</f>
        <v>2.9999999999999997E-4</v>
      </c>
      <c r="AN38" s="143">
        <f>IF($H38=" ","",ROUND(ABS(_xll.RtGet(SourceAlias,$Y38,ASK)-AA38),4))</f>
        <v>2.9999999999999997E-4</v>
      </c>
    </row>
    <row r="39" spans="1:40" x14ac:dyDescent="0.2">
      <c r="A39" s="192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2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2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USD_CURVE_1M_4Y</v>
      </c>
      <c r="K39" s="120">
        <f>IF(J39="","",'1M Pricing'!$I39*100)</f>
        <v>1.0264588617917489</v>
      </c>
      <c r="L39" s="120">
        <f t="shared" si="6"/>
        <v>1.0264588617917489</v>
      </c>
      <c r="M39" s="115" t="str">
        <v>USD_CURVE_3M_4Y</v>
      </c>
      <c r="N39" s="120">
        <f>IF(M39="","",'3M Pricing'!$I39*100)</f>
        <v>1.145002992084267</v>
      </c>
      <c r="O39" s="116">
        <f t="shared" si="7"/>
        <v>1.145002992084267</v>
      </c>
      <c r="P39" s="115" t="str">
        <v>USD_CURVE_6M_4Y</v>
      </c>
      <c r="Q39" s="116">
        <f>IF(P39="","",'6M Pricing'!$I39*100)</f>
        <v>1.2453878389762756</v>
      </c>
      <c r="R39" s="116">
        <f t="shared" si="8"/>
        <v>1.2453878389762756</v>
      </c>
      <c r="S39" s="115" t="str">
        <v>USD_CURVE_12M_4Y</v>
      </c>
      <c r="T39" s="116">
        <f>IF(S39="","",'1Y Pricing'!$I39*100)</f>
        <v>1.5201799627987875</v>
      </c>
      <c r="U39" s="116">
        <f t="shared" si="9"/>
        <v>1.5201799627987875</v>
      </c>
      <c r="V39" s="115" t="str">
        <v>USD_CURVE_OIS_4Y</v>
      </c>
      <c r="W39" s="120">
        <f>IF(V39="","",'ON Pricing'!$G39*100)</f>
        <v>0.92200000000001447</v>
      </c>
      <c r="X39" s="120">
        <f t="shared" si="10"/>
        <v>0.92200000000001447</v>
      </c>
      <c r="Y39" s="115" t="str">
        <v>USD_CURVE_STD_4Y</v>
      </c>
      <c r="Z39" s="120">
        <f>IF(Y39="","",'STD Pricing'!$G39*100)</f>
        <v>1.1450026400514288</v>
      </c>
      <c r="AA39" s="120">
        <f t="shared" si="5"/>
        <v>1.1450026400514288</v>
      </c>
      <c r="AC39" s="143">
        <f>IF($C39=" ","",ROUND(ABS(_xll.RtGet(SourceAlias,$J39,BID)-K39),4))</f>
        <v>0</v>
      </c>
      <c r="AD39" s="143">
        <f>IF($C39=" ","",ROUND(ABS(_xll.RtGet(SourceAlias,$J39,ASK)-L39),4))</f>
        <v>0</v>
      </c>
      <c r="AE39" s="143">
        <f>IF($D39=" ","",ROUND(ABS(_xll.RtGet(SourceAlias,$M39,BID)-N39),4))</f>
        <v>0</v>
      </c>
      <c r="AF39" s="143">
        <f>IF($D39=" ","",ROUND(ABS(_xll.RtGet(SourceAlias,$M39,ASK)-O39),4))</f>
        <v>0</v>
      </c>
      <c r="AG39" s="143">
        <f>IF($E39=" ","",ROUND(ABS(_xll.RtGet(SourceAlias,$P39,BID)-Q39),4))</f>
        <v>0</v>
      </c>
      <c r="AH39" s="143">
        <f>IF($E39=" ","",ROUND(ABS(_xll.RtGet(SourceAlias,$P39,ASK)-R39),4))</f>
        <v>0</v>
      </c>
      <c r="AI39" s="143">
        <f>IF($F39=" ","",ROUND(ABS(_xll.RtGet(SourceAlias,$S39,BID)-T39),4))</f>
        <v>0</v>
      </c>
      <c r="AJ39" s="143">
        <f>IF($F39=" ","",ROUND(ABS(_xll.RtGet(SourceAlias,$S39,ASK)-U39),4))</f>
        <v>0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>
        <f>IF($H39=" ","",ROUND(ABS(_xll.RtGet(SourceAlias,$Y39,BID)-Z39),4))</f>
        <v>0</v>
      </c>
      <c r="AN39" s="143">
        <f>IF($H39=" ","",ROUND(ABS(_xll.RtGet(SourceAlias,$Y39,ASK)-AA39),4))</f>
        <v>0</v>
      </c>
    </row>
    <row r="40" spans="1:40" x14ac:dyDescent="0.2">
      <c r="A40" s="192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2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2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USD_CURVE_1M_5Y</v>
      </c>
      <c r="K40" s="120">
        <f>IF(J40="","",'1M Pricing'!$I40*100)</f>
        <v>1.2133259098631868</v>
      </c>
      <c r="L40" s="120">
        <f t="shared" ref="L40:L68" si="11">K40</f>
        <v>1.2133259098631868</v>
      </c>
      <c r="M40" s="115" t="str">
        <v>USD_CURVE_3M_5Y</v>
      </c>
      <c r="N40" s="120">
        <f>IF(M40="","",'3M Pricing'!$I40*100)</f>
        <v>1.3370028107977701</v>
      </c>
      <c r="O40" s="116">
        <f t="shared" ref="O40:O68" si="12">N40</f>
        <v>1.3370028107977701</v>
      </c>
      <c r="P40" s="115" t="str">
        <v>USD_CURVE_6M_5Y</v>
      </c>
      <c r="Q40" s="116">
        <f>IF(P40="","",'6M Pricing'!$I40*100)</f>
        <v>1.4324374295879712</v>
      </c>
      <c r="R40" s="116">
        <f t="shared" ref="R40:R68" si="13">Q40</f>
        <v>1.4324374295879712</v>
      </c>
      <c r="S40" s="115" t="str">
        <v>USD_CURVE_12M_5Y</v>
      </c>
      <c r="T40" s="116">
        <f>IF(S40="","",'1Y Pricing'!$I40*100)</f>
        <v>1.6986393589131739</v>
      </c>
      <c r="U40" s="116">
        <f t="shared" ref="U40:U68" si="14">T40</f>
        <v>1.6986393589131739</v>
      </c>
      <c r="V40" s="115" t="str">
        <v>USD_CURVE_OIS_5Y</v>
      </c>
      <c r="W40" s="120">
        <f>IF(V40="","",'ON Pricing'!$G40*100)</f>
        <v>1.1170000000000018</v>
      </c>
      <c r="X40" s="120">
        <f t="shared" ref="X40:X68" si="15">W40</f>
        <v>1.1170000000000018</v>
      </c>
      <c r="Y40" s="115" t="str">
        <v>USD_CURVE_STD_5Y</v>
      </c>
      <c r="Z40" s="120">
        <f>IF(Y40="","",'STD Pricing'!$G40*100)</f>
        <v>1.3370024869751238</v>
      </c>
      <c r="AA40" s="120">
        <f t="shared" si="5"/>
        <v>1.3370024869751238</v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0</v>
      </c>
      <c r="AN40" s="143">
        <f>IF($H40=" ","",ROUND(ABS(_xll.RtGet(SourceAlias,$Y40,ASK)-AA40),4))</f>
        <v>0</v>
      </c>
    </row>
    <row r="41" spans="1:40" x14ac:dyDescent="0.2">
      <c r="A41" s="192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USD_CURVE_1M_6Y</v>
      </c>
      <c r="K41" s="120">
        <f>IF(J41="","",'1M Pricing'!$I41*100)</f>
        <v>1.3852402196704301</v>
      </c>
      <c r="L41" s="120">
        <f t="shared" si="11"/>
        <v>1.3852402196704301</v>
      </c>
      <c r="M41" s="115" t="str">
        <v>USD_CURVE_3M_6Y</v>
      </c>
      <c r="N41" s="120">
        <f>IF(M41="","",'3M Pricing'!$I41*100)</f>
        <v>1.5080026623167015</v>
      </c>
      <c r="O41" s="116">
        <f t="shared" si="12"/>
        <v>1.5080026623167015</v>
      </c>
      <c r="P41" s="115" t="str">
        <v>USD_CURVE_6M_6Y</v>
      </c>
      <c r="Q41" s="116">
        <f>IF(P41="","",'6M Pricing'!$I41*100)</f>
        <v>1.6004793093430281</v>
      </c>
      <c r="R41" s="116">
        <f t="shared" si="13"/>
        <v>1.6004793093430281</v>
      </c>
      <c r="S41" s="115" t="str">
        <v>USD_CURVE_12M_6Y</v>
      </c>
      <c r="T41" s="116">
        <f>IF(S41="","",'1Y Pricing'!$I41*100)</f>
        <v>1.8585499117272288</v>
      </c>
      <c r="U41" s="116">
        <f t="shared" si="14"/>
        <v>1.8585499117272288</v>
      </c>
      <c r="V41" s="115" t="str">
        <v>USD_CURVE_OIS_6Y</v>
      </c>
      <c r="W41" s="120">
        <f>IF(V41="","",'ON Pricing'!$G41*100)</f>
        <v>1.2839999999999947</v>
      </c>
      <c r="X41" s="120">
        <f t="shared" si="15"/>
        <v>1.2839999999999947</v>
      </c>
      <c r="Y41" s="115" t="str">
        <v>USD_CURVE_STD_6Y</v>
      </c>
      <c r="Z41" s="120">
        <f>IF(Y41="","",'STD Pricing'!$G41*100)</f>
        <v>1.5080023609133153</v>
      </c>
      <c r="AA41" s="120">
        <f t="shared" si="5"/>
        <v>1.5080023609133153</v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92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USD_CURVE_1M_7Y</v>
      </c>
      <c r="K42" s="120">
        <f>IF(J42="","",'1M Pricing'!$I42*100)</f>
        <v>1.5351823742549893</v>
      </c>
      <c r="L42" s="120">
        <f t="shared" si="11"/>
        <v>1.5351823742549893</v>
      </c>
      <c r="M42" s="115" t="str">
        <v>USD_CURVE_3M_7Y</v>
      </c>
      <c r="N42" s="120">
        <f>IF(M42="","",'3M Pricing'!$I42*100)</f>
        <v>1.6550025264996044</v>
      </c>
      <c r="O42" s="116">
        <f t="shared" si="12"/>
        <v>1.6550025264996044</v>
      </c>
      <c r="P42" s="115" t="str">
        <v>USD_CURVE_6M_7Y</v>
      </c>
      <c r="Q42" s="116">
        <f>IF(P42="","",'6M Pricing'!$I42*100)</f>
        <v>1.7485327417269996</v>
      </c>
      <c r="R42" s="116">
        <f t="shared" si="13"/>
        <v>1.7485327417269996</v>
      </c>
      <c r="S42" s="115" t="str">
        <v>USD_CURVE_12M_7Y</v>
      </c>
      <c r="T42" s="116">
        <f>IF(S42="","",'1Y Pricing'!$I42*100)</f>
        <v>1.9956752749995987</v>
      </c>
      <c r="U42" s="116">
        <f t="shared" si="14"/>
        <v>1.9956752749995987</v>
      </c>
      <c r="V42" s="115" t="str">
        <v>USD_CURVE_OIS_7Y</v>
      </c>
      <c r="W42" s="120">
        <f>IF(V42="","",'ON Pricing'!$G42*100)</f>
        <v>1.4280000000005735</v>
      </c>
      <c r="X42" s="120">
        <f t="shared" si="15"/>
        <v>1.4280000000005735</v>
      </c>
      <c r="Y42" s="115" t="str">
        <v>USD_CURVE_STD_7Y</v>
      </c>
      <c r="Z42" s="120">
        <f>IF(Y42="","",'STD Pricing'!$G42*100)</f>
        <v>1.6550022447814106</v>
      </c>
      <c r="AA42" s="120">
        <f t="shared" si="5"/>
        <v>1.6550022447814106</v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92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USD_CURVE_1M_8Y</v>
      </c>
      <c r="K43" s="120">
        <f>IF(J43="","",'1M Pricing'!$I43*100)</f>
        <v>1.6638103927147974</v>
      </c>
      <c r="L43" s="120">
        <f t="shared" si="11"/>
        <v>1.6638103927147974</v>
      </c>
      <c r="M43" s="115" t="str">
        <v>USD_CURVE_3M_8Y</v>
      </c>
      <c r="N43" s="120">
        <f>IF(M43="","",'3M Pricing'!$I43*100)</f>
        <v>1.7806857853603415</v>
      </c>
      <c r="O43" s="116">
        <f t="shared" si="12"/>
        <v>1.7806857853603415</v>
      </c>
      <c r="P43" s="115" t="str">
        <v>USD_CURVE_6M_8Y</v>
      </c>
      <c r="Q43" s="116">
        <f>IF(P43="","",'6M Pricing'!$I43*100)</f>
        <v>1.8759456334123439</v>
      </c>
      <c r="R43" s="116">
        <f t="shared" si="13"/>
        <v>1.8759456334123439</v>
      </c>
      <c r="S43" s="115" t="str">
        <v>USD_CURVE_12M_8Y</v>
      </c>
      <c r="T43" s="116">
        <f>IF(S43="","",'1Y Pricing'!$I43*100)</f>
        <v>2.1099039267406154</v>
      </c>
      <c r="U43" s="116">
        <f t="shared" si="14"/>
        <v>2.1099039267406154</v>
      </c>
      <c r="V43" s="115" t="str">
        <v>USD_CURVE_OIS_8Y</v>
      </c>
      <c r="W43" s="120">
        <f>IF(V43="","",'ON Pricing'!$G43*100)</f>
        <v>1.5530000000004391</v>
      </c>
      <c r="X43" s="120">
        <f t="shared" si="15"/>
        <v>1.5530000000004391</v>
      </c>
      <c r="Y43" s="115" t="str">
        <v>USD_CURVE_STD_8Y</v>
      </c>
      <c r="Z43" s="120">
        <f>IF(Y43="","",'STD Pricing'!$G43*100)</f>
        <v>1.7806538736554098</v>
      </c>
      <c r="AA43" s="120">
        <f t="shared" si="5"/>
        <v>1.7806538736554098</v>
      </c>
      <c r="AC43" s="143">
        <f>IF($C43=" ","",ROUND(ABS(_xll.RtGet(SourceAlias,$J43,BID)-K43),4))</f>
        <v>2.9999999999999997E-4</v>
      </c>
      <c r="AD43" s="143">
        <f>IF($C43=" ","",ROUND(ABS(_xll.RtGet(SourceAlias,$J43,ASK)-L43),4))</f>
        <v>2.9999999999999997E-4</v>
      </c>
      <c r="AE43" s="143">
        <f>IF($D43=" ","",ROUND(ABS(_xll.RtGet(SourceAlias,$M43,BID)-N43),4))</f>
        <v>2.9999999999999997E-4</v>
      </c>
      <c r="AF43" s="143">
        <f>IF($D43=" ","",ROUND(ABS(_xll.RtGet(SourceAlias,$M43,ASK)-O43),4))</f>
        <v>2.9999999999999997E-4</v>
      </c>
      <c r="AG43" s="143">
        <f>IF($E43=" ","",ROUND(ABS(_xll.RtGet(SourceAlias,$P43,BID)-Q43),4))</f>
        <v>5.9999999999999995E-4</v>
      </c>
      <c r="AH43" s="143">
        <f>IF($E43=" ","",ROUND(ABS(_xll.RtGet(SourceAlias,$P43,ASK)-R43),4))</f>
        <v>5.9999999999999995E-4</v>
      </c>
      <c r="AI43" s="143">
        <f>IF($F43=" ","",ROUND(ABS(_xll.RtGet(SourceAlias,$S43,BID)-T43),4))</f>
        <v>5.9999999999999995E-4</v>
      </c>
      <c r="AJ43" s="143">
        <f>IF($F43=" ","",ROUND(ABS(_xll.RtGet(SourceAlias,$S43,ASK)-U43),4))</f>
        <v>5.9999999999999995E-4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0</v>
      </c>
      <c r="AN43" s="143">
        <f>IF($H43=" ","",ROUND(ABS(_xll.RtGet(SourceAlias,$Y43,ASK)-AA43),4))</f>
        <v>0</v>
      </c>
    </row>
    <row r="44" spans="1:40" x14ac:dyDescent="0.2">
      <c r="A44" s="192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USD_CURVE_1M_9Y</v>
      </c>
      <c r="K44" s="120">
        <f>IF(J44="","",'1M Pricing'!$I44*100)</f>
        <v>1.7701132884096253</v>
      </c>
      <c r="L44" s="120">
        <f t="shared" si="11"/>
        <v>1.7701132884096253</v>
      </c>
      <c r="M44" s="115" t="str">
        <v>USD_CURVE_3M_9Y</v>
      </c>
      <c r="N44" s="120">
        <f>IF(M44="","",'3M Pricing'!$I44*100)</f>
        <v>1.8830021829369079</v>
      </c>
      <c r="O44" s="116">
        <f t="shared" si="12"/>
        <v>1.8830021829369079</v>
      </c>
      <c r="P44" s="115" t="str">
        <v>USD_CURVE_6M_9Y</v>
      </c>
      <c r="Q44" s="116">
        <f>IF(P44="","",'6M Pricing'!$I44*100)</f>
        <v>1.9816435878980643</v>
      </c>
      <c r="R44" s="116">
        <f t="shared" si="13"/>
        <v>1.9816435878980643</v>
      </c>
      <c r="S44" s="115" t="str">
        <v>USD_CURVE_12M_9Y</v>
      </c>
      <c r="T44" s="116">
        <f>IF(S44="","",'1Y Pricing'!$I44*100)</f>
        <v>2.2025736803854756</v>
      </c>
      <c r="U44" s="116">
        <f t="shared" si="14"/>
        <v>2.2025736803854756</v>
      </c>
      <c r="V44" s="115" t="str">
        <v>USD_CURVE_OIS_9Y</v>
      </c>
      <c r="W44" s="120">
        <f>IF(V44="","",'ON Pricing'!$G44*100)</f>
        <v>1.6620000000000004</v>
      </c>
      <c r="X44" s="120">
        <f t="shared" si="15"/>
        <v>1.6620000000000004</v>
      </c>
      <c r="Y44" s="115" t="str">
        <v>USD_CURVE_STD_9Y</v>
      </c>
      <c r="Z44" s="120">
        <f>IF(Y44="","",'STD Pricing'!$G44*100)</f>
        <v>1.883001263953568</v>
      </c>
      <c r="AA44" s="120">
        <f t="shared" si="5"/>
        <v>1.883001263953568</v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0</v>
      </c>
      <c r="AN44" s="143">
        <f>IF($H44=" ","",ROUND(ABS(_xll.RtGet(SourceAlias,$Y44,ASK)-AA44),4))</f>
        <v>0</v>
      </c>
    </row>
    <row r="45" spans="1:40" x14ac:dyDescent="0.2">
      <c r="A45" s="192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USD_CURVE_1M_10Y</v>
      </c>
      <c r="K45" s="120">
        <f>IF(J45="","",'1M Pricing'!$I45*100)</f>
        <v>1.8610860872172341</v>
      </c>
      <c r="L45" s="120">
        <f t="shared" si="11"/>
        <v>1.8610860872172341</v>
      </c>
      <c r="M45" s="115" t="str">
        <v>USD_CURVE_3M_10Y</v>
      </c>
      <c r="N45" s="120">
        <f>IF(M45="","",'3M Pricing'!$I45*100)</f>
        <v>1.9720020818065132</v>
      </c>
      <c r="O45" s="116">
        <f t="shared" si="12"/>
        <v>1.9720020818065132</v>
      </c>
      <c r="P45" s="115" t="str">
        <v>USD_CURVE_6M_10Y</v>
      </c>
      <c r="Q45" s="116">
        <f>IF(P45="","",'6M Pricing'!$I45*100)</f>
        <v>2.0726881073942995</v>
      </c>
      <c r="R45" s="116">
        <f t="shared" si="13"/>
        <v>2.0726881073942995</v>
      </c>
      <c r="S45" s="115" t="str">
        <v>USD_CURVE_12M_10Y</v>
      </c>
      <c r="T45" s="116">
        <f>IF(S45="","",'1Y Pricing'!$I45*100)</f>
        <v>2.2816058087713231</v>
      </c>
      <c r="U45" s="116">
        <f t="shared" si="14"/>
        <v>2.2816058087713231</v>
      </c>
      <c r="V45" s="115" t="str">
        <v>USD_CURVE_OIS_10Y</v>
      </c>
      <c r="W45" s="120">
        <f>IF(V45="","",'ON Pricing'!$G45*100)</f>
        <v>1.7509999999999977</v>
      </c>
      <c r="X45" s="120">
        <f t="shared" si="15"/>
        <v>1.7509999999999977</v>
      </c>
      <c r="Y45" s="115" t="str">
        <v>USD_CURVE_STD_10Y</v>
      </c>
      <c r="Z45" s="120">
        <f>IF(Y45="","",'STD Pricing'!$G45*100)</f>
        <v>1.9720012058378904</v>
      </c>
      <c r="AA45" s="120">
        <f t="shared" si="5"/>
        <v>1.9720012058378904</v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0</v>
      </c>
      <c r="AN45" s="143">
        <f>IF($H45=" ","",ROUND(ABS(_xll.RtGet(SourceAlias,$Y45,ASK)-AA45),4))</f>
        <v>0</v>
      </c>
    </row>
    <row r="46" spans="1:40" x14ac:dyDescent="0.2">
      <c r="A46" s="192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USD_CURVE_1M_11Y</v>
      </c>
      <c r="K46" s="120">
        <f>IF(J46="","",'1M Pricing'!$I46*100)</f>
        <v>1.9403537719339461</v>
      </c>
      <c r="L46" s="120">
        <f t="shared" si="11"/>
        <v>1.9403537719339461</v>
      </c>
      <c r="M46" s="115" t="str">
        <v>USD_CURVE_3M_11Y</v>
      </c>
      <c r="N46" s="120">
        <f>IF(M46="","",'3M Pricing'!$I46*100)</f>
        <v>2.0492210832876356</v>
      </c>
      <c r="O46" s="116">
        <f t="shared" si="12"/>
        <v>2.0492210832876356</v>
      </c>
      <c r="P46" s="115" t="str">
        <v>USD_CURVE_6M_11Y</v>
      </c>
      <c r="Q46" s="116">
        <f>IF(P46="","",'6M Pricing'!$I46*100)</f>
        <v>2.1519235607225391</v>
      </c>
      <c r="R46" s="116">
        <f t="shared" si="13"/>
        <v>2.1519235607225391</v>
      </c>
      <c r="S46" s="115" t="str">
        <v>USD_CURVE_12M_11Y</v>
      </c>
      <c r="T46" s="116">
        <f>IF(S46="","",'1Y Pricing'!$I46*100)</f>
        <v>2.3513570641344876</v>
      </c>
      <c r="U46" s="116">
        <f t="shared" si="14"/>
        <v>2.3513570641344876</v>
      </c>
      <c r="V46" s="115" t="str">
        <v>USD_CURVE_OIS_11Y</v>
      </c>
      <c r="W46" s="120">
        <f>IF(V46="","",'ON Pricing'!$G46*100)</f>
        <v>1.8282674859055592</v>
      </c>
      <c r="X46" s="120">
        <f t="shared" si="15"/>
        <v>1.8282674859055592</v>
      </c>
      <c r="Y46" s="115" t="str">
        <v>USD_CURVE_STD_11Y</v>
      </c>
      <c r="Z46" s="120">
        <f>IF(Y46="","",'STD Pricing'!$G46*100)</f>
        <v>2.0440311242524607</v>
      </c>
      <c r="AA46" s="120">
        <f t="shared" si="5"/>
        <v>2.0440311242524607</v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5.1999999999999998E-3</v>
      </c>
      <c r="AN46" s="143">
        <f>IF($H46=" ","",ROUND(ABS(_xll.RtGet(SourceAlias,$Y46,ASK)-AA46),4))</f>
        <v>5.1999999999999998E-3</v>
      </c>
    </row>
    <row r="47" spans="1:40" x14ac:dyDescent="0.2">
      <c r="A47" s="192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USD_CURVE_1M_12Y</v>
      </c>
      <c r="K47" s="120">
        <f>IF(J47="","",'1M Pricing'!$I47*100)</f>
        <v>2.0080518042309494</v>
      </c>
      <c r="L47" s="120">
        <f t="shared" si="11"/>
        <v>2.0080518042309494</v>
      </c>
      <c r="M47" s="115" t="str">
        <v>USD_CURVE_3M_12Y</v>
      </c>
      <c r="N47" s="120">
        <f>IF(M47="","",'3M Pricing'!$I47*100)</f>
        <v>2.1150019056605656</v>
      </c>
      <c r="O47" s="116">
        <f t="shared" si="12"/>
        <v>2.1150019056605656</v>
      </c>
      <c r="P47" s="115" t="str">
        <v>USD_CURVE_6M_12Y</v>
      </c>
      <c r="Q47" s="116">
        <f>IF(P47="","",'6M Pricing'!$I47*100)</f>
        <v>2.2197687946082212</v>
      </c>
      <c r="R47" s="116">
        <f t="shared" si="13"/>
        <v>2.2197687946082212</v>
      </c>
      <c r="S47" s="115" t="str">
        <v>USD_CURVE_12M_12Y</v>
      </c>
      <c r="T47" s="116">
        <f>IF(S47="","",'1Y Pricing'!$I47*100)</f>
        <v>2.4083948763256173</v>
      </c>
      <c r="U47" s="116">
        <f t="shared" si="14"/>
        <v>2.4083948763256173</v>
      </c>
      <c r="V47" s="115" t="str">
        <v>USD_CURVE_OIS_12Y</v>
      </c>
      <c r="W47" s="120">
        <f>IF(V47="","",'ON Pricing'!$G47*100)</f>
        <v>1.8950000000009029</v>
      </c>
      <c r="X47" s="120">
        <f t="shared" si="15"/>
        <v>1.8950000000009029</v>
      </c>
      <c r="Y47" s="115" t="str">
        <v>USD_CURVE_STD_12Y</v>
      </c>
      <c r="Z47" s="120">
        <f>IF(Y47="","",'STD Pricing'!$G47*100)</f>
        <v>2.1150011049477997</v>
      </c>
      <c r="AA47" s="120">
        <f t="shared" si="5"/>
        <v>2.1150011049477997</v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0</v>
      </c>
      <c r="AN47" s="143">
        <f>IF($H47=" ","",ROUND(ABS(_xll.RtGet(SourceAlias,$Y47,ASK)-AA47),4))</f>
        <v>0</v>
      </c>
    </row>
    <row r="48" spans="1:40" x14ac:dyDescent="0.2">
      <c r="A48" s="192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USD_CURVE_1M_13Y</v>
      </c>
      <c r="K48" s="120">
        <f>IF(J48="","",'1M Pricing'!$I48*100)</f>
        <v>2.0648734994084998</v>
      </c>
      <c r="L48" s="120">
        <f t="shared" si="11"/>
        <v>2.0648734994084998</v>
      </c>
      <c r="M48" s="115" t="str">
        <v>USD_CURVE_3M_13Y</v>
      </c>
      <c r="N48" s="120">
        <f>IF(M48="","",'3M Pricing'!$I48*100)</f>
        <v>2.1706781400479715</v>
      </c>
      <c r="O48" s="116">
        <f t="shared" si="12"/>
        <v>2.1706781400479715</v>
      </c>
      <c r="P48" s="115" t="str">
        <v>USD_CURVE_6M_13Y</v>
      </c>
      <c r="Q48" s="116">
        <f>IF(P48="","",'6M Pricing'!$I48*100)</f>
        <v>2.2772183552001799</v>
      </c>
      <c r="R48" s="116">
        <f t="shared" si="13"/>
        <v>2.2772183552001799</v>
      </c>
      <c r="S48" s="115" t="str">
        <v>USD_CURVE_12M_13Y</v>
      </c>
      <c r="T48" s="116">
        <f>IF(S48="","",'1Y Pricing'!$I48*100)</f>
        <v>2.457305020770574</v>
      </c>
      <c r="U48" s="116">
        <f t="shared" si="14"/>
        <v>2.457305020770574</v>
      </c>
      <c r="V48" s="115" t="str">
        <v>USD_CURVE_OIS_13Y</v>
      </c>
      <c r="W48" s="120">
        <f>IF(V48="","",'ON Pricing'!$G48*100)</f>
        <v>1.9513031967403844</v>
      </c>
      <c r="X48" s="120">
        <f t="shared" si="15"/>
        <v>1.9513031967403844</v>
      </c>
      <c r="Y48" s="115" t="str">
        <v>USD_CURVE_STD_13Y</v>
      </c>
      <c r="Z48" s="120">
        <f>IF(Y48="","",'STD Pricing'!$G48*100)</f>
        <v>2.1638169236273241</v>
      </c>
      <c r="AA48" s="120">
        <f t="shared" si="5"/>
        <v>2.1638169236273241</v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1E-4</v>
      </c>
      <c r="AJ48" s="143">
        <f>IF($F48=" ","",ROUND(ABS(_xll.RtGet(SourceAlias,$S48,ASK)-U48),4))</f>
        <v>1E-4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>
        <f>IF($H48=" ","",ROUND(ABS(_xll.RtGet(SourceAlias,$Y48,BID)-Z48),4))</f>
        <v>6.7000000000000002E-3</v>
      </c>
      <c r="AN48" s="143">
        <f>IF($H48=" ","",ROUND(ABS(_xll.RtGet(SourceAlias,$Y48,ASK)-AA48),4))</f>
        <v>6.7000000000000002E-3</v>
      </c>
    </row>
    <row r="49" spans="1:40" x14ac:dyDescent="0.2">
      <c r="A49" s="192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USD_CURVE_1M_14Y</v>
      </c>
      <c r="K49" s="120">
        <f>IF(J49="","",'1M Pricing'!$I49*100)</f>
        <v>2.1122029154520106</v>
      </c>
      <c r="L49" s="120">
        <f t="shared" si="11"/>
        <v>2.1122029154520106</v>
      </c>
      <c r="M49" s="115" t="str">
        <v>USD_CURVE_3M_14Y</v>
      </c>
      <c r="N49" s="120">
        <f>IF(M49="","",'3M Pricing'!$I49*100)</f>
        <v>2.2174561438706299</v>
      </c>
      <c r="O49" s="116">
        <f t="shared" si="12"/>
        <v>2.2174561438706299</v>
      </c>
      <c r="P49" s="115" t="str">
        <v>USD_CURVE_6M_14Y</v>
      </c>
      <c r="Q49" s="116">
        <f>IF(P49="","",'6M Pricing'!$I49*100)</f>
        <v>2.3253568000823268</v>
      </c>
      <c r="R49" s="116">
        <f t="shared" si="13"/>
        <v>2.3253568000823268</v>
      </c>
      <c r="S49" s="115" t="str">
        <v>USD_CURVE_12M_14Y</v>
      </c>
      <c r="T49" s="116">
        <f>IF(S49="","",'1Y Pricing'!$I49*100)</f>
        <v>2.4999063722948427</v>
      </c>
      <c r="U49" s="116">
        <f t="shared" si="14"/>
        <v>2.4999063722948427</v>
      </c>
      <c r="V49" s="115" t="str">
        <v>USD_CURVE_OIS_14Y</v>
      </c>
      <c r="W49" s="120">
        <f>IF(V49="","",'ON Pricing'!$G49*100)</f>
        <v>1.9980060523488128</v>
      </c>
      <c r="X49" s="120">
        <f t="shared" si="15"/>
        <v>1.9980060523488128</v>
      </c>
      <c r="Y49" s="115" t="str">
        <v>USD_CURVE_STD_14Y</v>
      </c>
      <c r="Z49" s="120">
        <f>IF(Y49="","",'STD Pricing'!$G49*100)</f>
        <v>2.2112921076302361</v>
      </c>
      <c r="AA49" s="120">
        <f t="shared" si="5"/>
        <v>2.2112921076302361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1E-4</v>
      </c>
      <c r="AJ49" s="143">
        <f>IF($F49=" ","",ROUND(ABS(_xll.RtGet(SourceAlias,$S49,ASK)-U49),4))</f>
        <v>1E-4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6.0000000000000001E-3</v>
      </c>
      <c r="AN49" s="143">
        <f>IF($H49=" ","",ROUND(ABS(_xll.RtGet(SourceAlias,$Y49,ASK)-AA49),4))</f>
        <v>6.0000000000000001E-3</v>
      </c>
    </row>
    <row r="50" spans="1:40" x14ac:dyDescent="0.2">
      <c r="A50" s="192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USD_CURVE_1M_15Y</v>
      </c>
      <c r="K50" s="120">
        <f>IF(J50="","",'1M Pricing'!$I50*100)</f>
        <v>2.1530038169037686</v>
      </c>
      <c r="L50" s="120">
        <f t="shared" si="11"/>
        <v>2.1530038169037686</v>
      </c>
      <c r="M50" s="115" t="str">
        <v>USD_CURVE_3M_15Y</v>
      </c>
      <c r="N50" s="120">
        <f>IF(M50="","",'3M Pricing'!$I50*100)</f>
        <v>2.2580012571804664</v>
      </c>
      <c r="O50" s="116">
        <f t="shared" si="12"/>
        <v>2.2580012571804664</v>
      </c>
      <c r="P50" s="115" t="str">
        <v>USD_CURVE_6M_15Y</v>
      </c>
      <c r="Q50" s="116">
        <f>IF(P50="","",'6M Pricing'!$I50*100)</f>
        <v>2.3668518031392178</v>
      </c>
      <c r="R50" s="116">
        <f t="shared" si="13"/>
        <v>2.3668518031392178</v>
      </c>
      <c r="S50" s="115" t="str">
        <v>USD_CURVE_12M_15Y</v>
      </c>
      <c r="T50" s="116">
        <f>IF(S50="","",'1Y Pricing'!$I50*100)</f>
        <v>2.5376837806979928</v>
      </c>
      <c r="U50" s="116">
        <f t="shared" si="14"/>
        <v>2.5376837806979928</v>
      </c>
      <c r="V50" s="115" t="str">
        <v>USD_CURVE_OIS_15Y</v>
      </c>
      <c r="W50" s="120">
        <f>IF(V50="","",'ON Pricing'!$G50*100)</f>
        <v>2.0380000000012304</v>
      </c>
      <c r="X50" s="120">
        <f t="shared" si="15"/>
        <v>2.0380000000012304</v>
      </c>
      <c r="Y50" s="115" t="str">
        <v>USD_CURVE_STD_15Y</v>
      </c>
      <c r="Z50" s="120">
        <f>IF(Y50="","",'STD Pricing'!$G50*100)</f>
        <v>2.2580008881153377</v>
      </c>
      <c r="AA50" s="120">
        <f t="shared" si="5"/>
        <v>2.2580008881153377</v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0</v>
      </c>
      <c r="AN50" s="143">
        <f>IF($H50=" ","",ROUND(ABS(_xll.RtGet(SourceAlias,$Y50,ASK)-AA50),4))</f>
        <v>0</v>
      </c>
    </row>
    <row r="51" spans="1:40" x14ac:dyDescent="0.2">
      <c r="A51" s="192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USD_CURVE_1M_16Y</v>
      </c>
      <c r="K51" s="120">
        <f>IF(J51="","",'1M Pricing'!$I51*100)</f>
        <v>2.1889045712266544</v>
      </c>
      <c r="L51" s="120">
        <f t="shared" si="11"/>
        <v>2.1889045712266544</v>
      </c>
      <c r="M51" s="115" t="str">
        <v>USD_CURVE_3M_16Y</v>
      </c>
      <c r="N51" s="120">
        <f>IF(M51="","",'3M Pricing'!$I51*100)</f>
        <v>2.2937612373772849</v>
      </c>
      <c r="O51" s="116">
        <f t="shared" si="12"/>
        <v>2.2937612373772849</v>
      </c>
      <c r="P51" s="115" t="str">
        <v>USD_CURVE_6M_16Y</v>
      </c>
      <c r="Q51" s="116">
        <f>IF(P51="","",'6M Pricing'!$I51*100)</f>
        <v>2.4031673292348432</v>
      </c>
      <c r="R51" s="116">
        <f t="shared" si="13"/>
        <v>2.4031673292348432</v>
      </c>
      <c r="S51" s="115" t="str">
        <v>USD_CURVE_12M_16Y</v>
      </c>
      <c r="T51" s="116">
        <f>IF(S51="","",'1Y Pricing'!$I51*100)</f>
        <v>2.5709660143774657</v>
      </c>
      <c r="U51" s="116">
        <f t="shared" si="14"/>
        <v>2.5709660143774657</v>
      </c>
      <c r="V51" s="115" t="str">
        <v>USD_CURVE_OIS_16Y</v>
      </c>
      <c r="W51" s="120">
        <f>IF(V51="","",'ON Pricing'!$G51*100)</f>
        <v>2.0730767126038643</v>
      </c>
      <c r="X51" s="120">
        <f t="shared" si="15"/>
        <v>2.0730767126038643</v>
      </c>
      <c r="Y51" s="115" t="str">
        <v>USD_CURVE_STD_16Y</v>
      </c>
      <c r="Z51" s="120">
        <f>IF(Y51="","",'STD Pricing'!$G51*100)</f>
        <v>2.2867967709693482</v>
      </c>
      <c r="AA51" s="120">
        <f t="shared" si="5"/>
        <v>2.2867967709693482</v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>
        <f>IF($H51=" ","",ROUND(ABS(_xll.RtGet(SourceAlias,$Y51,BID)-Z51),4))</f>
        <v>7.0000000000000001E-3</v>
      </c>
      <c r="AN51" s="143">
        <f>IF($H51=" ","",ROUND(ABS(_xll.RtGet(SourceAlias,$Y51,ASK)-AA51),4))</f>
        <v>7.0000000000000001E-3</v>
      </c>
    </row>
    <row r="52" spans="1:40" x14ac:dyDescent="0.2">
      <c r="A52" s="192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USD_CURVE_1M_17Y</v>
      </c>
      <c r="K52" s="120">
        <f>IF(J52="","",'1M Pricing'!$I52*100)</f>
        <v>2.2204852886461026</v>
      </c>
      <c r="L52" s="120">
        <f t="shared" si="11"/>
        <v>2.2204852886461026</v>
      </c>
      <c r="M52" s="115" t="str">
        <v>USD_CURVE_3M_17Y</v>
      </c>
      <c r="N52" s="120">
        <f>IF(M52="","",'3M Pricing'!$I52*100)</f>
        <v>2.3252813722852332</v>
      </c>
      <c r="O52" s="116">
        <f t="shared" si="12"/>
        <v>2.3252813722852332</v>
      </c>
      <c r="P52" s="115" t="str">
        <v>USD_CURVE_6M_17Y</v>
      </c>
      <c r="Q52" s="116">
        <f>IF(P52="","",'6M Pricing'!$I52*100)</f>
        <v>2.4349640502578471</v>
      </c>
      <c r="R52" s="116">
        <f t="shared" si="13"/>
        <v>2.4349640502578471</v>
      </c>
      <c r="S52" s="115" t="str">
        <v>USD_CURVE_12M_17Y</v>
      </c>
      <c r="T52" s="116">
        <f>IF(S52="","",'1Y Pricing'!$I52*100)</f>
        <v>2.6000341729231402</v>
      </c>
      <c r="U52" s="116">
        <f t="shared" si="14"/>
        <v>2.6000341729231402</v>
      </c>
      <c r="V52" s="115" t="str">
        <v>USD_CURVE_OIS_17Y</v>
      </c>
      <c r="W52" s="120">
        <f>IF(V52="","",'ON Pricing'!$G52*100)</f>
        <v>2.1037714868235096</v>
      </c>
      <c r="X52" s="120">
        <f t="shared" si="15"/>
        <v>2.1037714868235096</v>
      </c>
      <c r="Y52" s="115" t="str">
        <v>USD_CURVE_STD_17Y</v>
      </c>
      <c r="Z52" s="120">
        <f>IF(Y52="","",'STD Pricing'!$G52*100)</f>
        <v>2.3151280968741776</v>
      </c>
      <c r="AA52" s="120">
        <f t="shared" si="5"/>
        <v>2.3151280968741776</v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1E-4</v>
      </c>
      <c r="AH52" s="143">
        <f>IF($E52=" ","",ROUND(ABS(_xll.RtGet(SourceAlias,$P52,ASK)-R52),4))</f>
        <v>1E-4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1.0200000000000001E-2</v>
      </c>
      <c r="AN52" s="143">
        <f>IF($H52=" ","",ROUND(ABS(_xll.RtGet(SourceAlias,$Y52,ASK)-AA52),4))</f>
        <v>1.0200000000000001E-2</v>
      </c>
    </row>
    <row r="53" spans="1:40" x14ac:dyDescent="0.2">
      <c r="A53" s="192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USD_CURVE_1M_18Y</v>
      </c>
      <c r="K53" s="120">
        <f>IF(J53="","",'1M Pricing'!$I53*100)</f>
        <v>2.2479286975795407</v>
      </c>
      <c r="L53" s="120">
        <f t="shared" si="11"/>
        <v>2.2479286975795407</v>
      </c>
      <c r="M53" s="115" t="str">
        <v>USD_CURVE_3M_18Y</v>
      </c>
      <c r="N53" s="120">
        <f>IF(M53="","",'3M Pricing'!$I53*100)</f>
        <v>2.3527402161717803</v>
      </c>
      <c r="O53" s="116">
        <f t="shared" si="12"/>
        <v>2.3527402161717803</v>
      </c>
      <c r="P53" s="115" t="str">
        <v>USD_CURVE_6M_18Y</v>
      </c>
      <c r="Q53" s="116">
        <f>IF(P53="","",'6M Pricing'!$I53*100)</f>
        <v>2.4625332923601828</v>
      </c>
      <c r="R53" s="116">
        <f t="shared" si="13"/>
        <v>2.4625332923601828</v>
      </c>
      <c r="S53" s="115" t="str">
        <v>USD_CURVE_12M_18Y</v>
      </c>
      <c r="T53" s="116">
        <f>IF(S53="","",'1Y Pricing'!$I53*100)</f>
        <v>2.6250288230518315</v>
      </c>
      <c r="U53" s="116">
        <f t="shared" si="14"/>
        <v>2.6250288230518315</v>
      </c>
      <c r="V53" s="115" t="str">
        <v>USD_CURVE_OIS_18Y</v>
      </c>
      <c r="W53" s="120">
        <f>IF(V53="","",'ON Pricing'!$G53*100)</f>
        <v>2.1303604044250606</v>
      </c>
      <c r="X53" s="120">
        <f t="shared" si="15"/>
        <v>2.1303604044250606</v>
      </c>
      <c r="Y53" s="115" t="str">
        <v>USD_CURVE_STD_18Y</v>
      </c>
      <c r="Z53" s="120">
        <f>IF(Y53="","",'STD Pricing'!$G53*100)</f>
        <v>2.342859354274121</v>
      </c>
      <c r="AA53" s="120">
        <f t="shared" si="5"/>
        <v>2.342859354274121</v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1E-4</v>
      </c>
      <c r="AH53" s="143">
        <f>IF($E53=" ","",ROUND(ABS(_xll.RtGet(SourceAlias,$P53,ASK)-R53),4))</f>
        <v>1E-4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>
        <f>IF($H53=" ","",ROUND(ABS(_xll.RtGet(SourceAlias,$Y53,BID)-Z53),4))</f>
        <v>9.9000000000000008E-3</v>
      </c>
      <c r="AN53" s="143">
        <f>IF($H53=" ","",ROUND(ABS(_xll.RtGet(SourceAlias,$Y53,ASK)-AA53),4))</f>
        <v>9.9000000000000008E-3</v>
      </c>
    </row>
    <row r="54" spans="1:40" x14ac:dyDescent="0.2">
      <c r="A54" s="192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USD_CURVE_1M_19Y</v>
      </c>
      <c r="K54" s="120">
        <f>IF(J54="","",'1M Pricing'!$I54*100)</f>
        <v>2.2717556904506404</v>
      </c>
      <c r="L54" s="120">
        <f t="shared" si="11"/>
        <v>2.2717556904506404</v>
      </c>
      <c r="M54" s="115" t="str">
        <v>USD_CURVE_3M_19Y</v>
      </c>
      <c r="N54" s="120">
        <f>IF(M54="","",'3M Pricing'!$I54*100)</f>
        <v>2.3766564764081313</v>
      </c>
      <c r="O54" s="116">
        <f t="shared" si="12"/>
        <v>2.3766564764081313</v>
      </c>
      <c r="P54" s="115" t="str">
        <v>USD_CURVE_6M_19Y</v>
      </c>
      <c r="Q54" s="116">
        <f>IF(P54="","",'6M Pricing'!$I54*100)</f>
        <v>2.4864846911818779</v>
      </c>
      <c r="R54" s="116">
        <f t="shared" si="13"/>
        <v>2.4864846911818779</v>
      </c>
      <c r="S54" s="115" t="str">
        <v>USD_CURVE_12M_19Y</v>
      </c>
      <c r="T54" s="116">
        <f>IF(S54="","",'1Y Pricing'!$I54*100)</f>
        <v>2.6464145505071328</v>
      </c>
      <c r="U54" s="116">
        <f t="shared" si="14"/>
        <v>2.6464145505071328</v>
      </c>
      <c r="V54" s="115" t="str">
        <v>USD_CURVE_OIS_19Y</v>
      </c>
      <c r="W54" s="120">
        <f>IF(V54="","",'ON Pricing'!$G54*100)</f>
        <v>2.1534858030025092</v>
      </c>
      <c r="X54" s="120">
        <f t="shared" si="15"/>
        <v>2.1534858030025092</v>
      </c>
      <c r="Y54" s="115" t="str">
        <v>USD_CURVE_STD_19Y</v>
      </c>
      <c r="Z54" s="120">
        <f>IF(Y54="","",'STD Pricing'!$G54*100)</f>
        <v>2.3702499259935395</v>
      </c>
      <c r="AA54" s="120">
        <f t="shared" si="5"/>
        <v>2.3702499259935395</v>
      </c>
      <c r="AC54" s="143">
        <f>IF($C54=" ","",ROUND(ABS(_xll.RtGet(SourceAlias,$J54,BID)-K54),4))</f>
        <v>1E-4</v>
      </c>
      <c r="AD54" s="143">
        <f>IF($C54=" ","",ROUND(ABS(_xll.RtGet(SourceAlias,$J54,ASK)-L54),4))</f>
        <v>1E-4</v>
      </c>
      <c r="AE54" s="143">
        <f>IF($D54=" ","",ROUND(ABS(_xll.RtGet(SourceAlias,$M54,BID)-N54),4))</f>
        <v>1E-4</v>
      </c>
      <c r="AF54" s="143">
        <f>IF($D54=" ","",ROUND(ABS(_xll.RtGet(SourceAlias,$M54,ASK)-O54),4))</f>
        <v>1E-4</v>
      </c>
      <c r="AG54" s="143">
        <f>IF($E54=" ","",ROUND(ABS(_xll.RtGet(SourceAlias,$P54,BID)-Q54),4))</f>
        <v>1E-4</v>
      </c>
      <c r="AH54" s="143">
        <f>IF($E54=" ","",ROUND(ABS(_xll.RtGet(SourceAlias,$P54,ASK)-R54),4))</f>
        <v>1E-4</v>
      </c>
      <c r="AI54" s="143">
        <f>IF($F54=" ","",ROUND(ABS(_xll.RtGet(SourceAlias,$S54,BID)-T54),4))</f>
        <v>1E-4</v>
      </c>
      <c r="AJ54" s="143">
        <f>IF($F54=" ","",ROUND(ABS(_xll.RtGet(SourceAlias,$S54,ASK)-U54),4))</f>
        <v>1E-4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6.4000000000000003E-3</v>
      </c>
      <c r="AN54" s="143">
        <f>IF($H54=" ","",ROUND(ABS(_xll.RtGet(SourceAlias,$Y54,ASK)-AA54),4))</f>
        <v>6.4000000000000003E-3</v>
      </c>
    </row>
    <row r="55" spans="1:40" x14ac:dyDescent="0.2">
      <c r="A55" s="192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USD_CURVE_1M_20Y</v>
      </c>
      <c r="K55" s="120">
        <f>IF(J55="","",'1M Pricing'!$I55*100)</f>
        <v>2.2918879763195421</v>
      </c>
      <c r="L55" s="120">
        <f t="shared" si="11"/>
        <v>2.2918879763195421</v>
      </c>
      <c r="M55" s="115" t="str">
        <v>USD_CURVE_3M_20Y</v>
      </c>
      <c r="N55" s="120">
        <f>IF(M55="","",'3M Pricing'!$I55*100)</f>
        <v>2.3969461557180791</v>
      </c>
      <c r="O55" s="116">
        <f t="shared" si="12"/>
        <v>2.3969461557180791</v>
      </c>
      <c r="P55" s="115" t="str">
        <v>USD_CURVE_6M_20Y</v>
      </c>
      <c r="Q55" s="116">
        <f>IF(P55="","",'6M Pricing'!$I55*100)</f>
        <v>2.5068010583384299</v>
      </c>
      <c r="R55" s="116">
        <f t="shared" si="13"/>
        <v>2.5068010583384299</v>
      </c>
      <c r="S55" s="115" t="str">
        <v>USD_CURVE_12M_20Y</v>
      </c>
      <c r="T55" s="116">
        <f>IF(S55="","",'1Y Pricing'!$I55*100)</f>
        <v>2.6641082219918841</v>
      </c>
      <c r="U55" s="116">
        <f t="shared" si="14"/>
        <v>2.6641082219918841</v>
      </c>
      <c r="V55" s="115" t="str">
        <v>USD_CURVE_OIS_20Y</v>
      </c>
      <c r="W55" s="120">
        <f>IF(V55="","",'ON Pricing'!$G55*100)</f>
        <v>2.1729999999986882</v>
      </c>
      <c r="X55" s="120">
        <f t="shared" si="15"/>
        <v>2.1729999999986882</v>
      </c>
      <c r="Y55" s="115" t="str">
        <v>USD_CURVE_STD_20Y</v>
      </c>
      <c r="Z55" s="120">
        <f>IF(Y55="","",'STD Pricing'!$G55*100)</f>
        <v>2.3969241711022096</v>
      </c>
      <c r="AA55" s="120">
        <f t="shared" si="5"/>
        <v>2.3969241711022096</v>
      </c>
      <c r="AC55" s="143">
        <f>IF($C55=" ","",ROUND(ABS(_xll.RtGet(SourceAlias,$J55,BID)-K55),4))</f>
        <v>1E-4</v>
      </c>
      <c r="AD55" s="143">
        <f>IF($C55=" ","",ROUND(ABS(_xll.RtGet(SourceAlias,$J55,ASK)-L55),4))</f>
        <v>1E-4</v>
      </c>
      <c r="AE55" s="143">
        <f>IF($D55=" ","",ROUND(ABS(_xll.RtGet(SourceAlias,$M55,BID)-N55),4))</f>
        <v>1E-4</v>
      </c>
      <c r="AF55" s="143">
        <f>IF($D55=" ","",ROUND(ABS(_xll.RtGet(SourceAlias,$M55,ASK)-O55),4))</f>
        <v>1E-4</v>
      </c>
      <c r="AG55" s="143">
        <f>IF($E55=" ","",ROUND(ABS(_xll.RtGet(SourceAlias,$P55,BID)-Q55),4))</f>
        <v>1E-4</v>
      </c>
      <c r="AH55" s="143">
        <f>IF($E55=" ","",ROUND(ABS(_xll.RtGet(SourceAlias,$P55,ASK)-R55),4))</f>
        <v>1E-4</v>
      </c>
      <c r="AI55" s="143">
        <f>IF($F55=" ","",ROUND(ABS(_xll.RtGet(SourceAlias,$S55,BID)-T55),4))</f>
        <v>1E-4</v>
      </c>
      <c r="AJ55" s="143">
        <f>IF($F55=" ","",ROUND(ABS(_xll.RtGet(SourceAlias,$S55,ASK)-U55),4))</f>
        <v>1E-4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0</v>
      </c>
      <c r="AN55" s="143">
        <f>IF($H55=" ","",ROUND(ABS(_xll.RtGet(SourceAlias,$Y55,ASK)-AA55),4))</f>
        <v>0</v>
      </c>
    </row>
    <row r="56" spans="1:40" x14ac:dyDescent="0.2">
      <c r="A56" s="192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USD_CURVE_1M_21Y</v>
      </c>
      <c r="K56" s="120">
        <f>IF(J56="","",'1M Pricing'!$I56*100)</f>
        <v>2.3089068904530099</v>
      </c>
      <c r="L56" s="120">
        <f t="shared" si="11"/>
        <v>2.3089068904530099</v>
      </c>
      <c r="M56" s="115" t="str">
        <v>USD_CURVE_3M_21Y</v>
      </c>
      <c r="N56" s="120">
        <f>IF(M56="","",'3M Pricing'!$I56*100)</f>
        <v>2.414183198226739</v>
      </c>
      <c r="O56" s="116">
        <f t="shared" si="12"/>
        <v>2.414183198226739</v>
      </c>
      <c r="P56" s="115" t="str">
        <v>USD_CURVE_6M_21Y</v>
      </c>
      <c r="Q56" s="116">
        <f>IF(P56="","",'6M Pricing'!$I56*100)</f>
        <v>2.5240972762400262</v>
      </c>
      <c r="R56" s="116">
        <f t="shared" si="13"/>
        <v>2.5240972762400262</v>
      </c>
      <c r="S56" s="115" t="str">
        <v>USD_CURVE_12M_21Y</v>
      </c>
      <c r="T56" s="116">
        <f>IF(S56="","",'1Y Pricing'!$I56*100)</f>
        <v>2.678649122102946</v>
      </c>
      <c r="U56" s="116">
        <f t="shared" si="14"/>
        <v>2.678649122102946</v>
      </c>
      <c r="V56" s="115" t="str">
        <v>USD_CURVE_OIS_21Y</v>
      </c>
      <c r="W56" s="120">
        <f>IF(V56="","",'ON Pricing'!$G56*100)</f>
        <v>2.1895301045527327</v>
      </c>
      <c r="X56" s="120">
        <f t="shared" si="15"/>
        <v>2.1895301045527327</v>
      </c>
      <c r="Y56" s="115" t="str">
        <v>USD_CURVE_STD_21Y</v>
      </c>
      <c r="Z56" s="120">
        <f>IF(Y56="","",'STD Pricing'!$G56*100)</f>
        <v>2.4109658938215559</v>
      </c>
      <c r="AA56" s="120">
        <f t="shared" si="5"/>
        <v>2.4109658938215559</v>
      </c>
      <c r="AC56" s="143">
        <f>IF($C56=" ","",ROUND(ABS(_xll.RtGet(SourceAlias,$J56,BID)-K56),4))</f>
        <v>1E-4</v>
      </c>
      <c r="AD56" s="143">
        <f>IF($C56=" ","",ROUND(ABS(_xll.RtGet(SourceAlias,$J56,ASK)-L56),4))</f>
        <v>1E-4</v>
      </c>
      <c r="AE56" s="143">
        <f>IF($D56=" ","",ROUND(ABS(_xll.RtGet(SourceAlias,$M56,BID)-N56),4))</f>
        <v>1E-4</v>
      </c>
      <c r="AF56" s="143">
        <f>IF($D56=" ","",ROUND(ABS(_xll.RtGet(SourceAlias,$M56,ASK)-O56),4))</f>
        <v>1E-4</v>
      </c>
      <c r="AG56" s="143">
        <f>IF($E56=" ","",ROUND(ABS(_xll.RtGet(SourceAlias,$P56,BID)-Q56),4))</f>
        <v>1E-4</v>
      </c>
      <c r="AH56" s="143">
        <f>IF($E56=" ","",ROUND(ABS(_xll.RtGet(SourceAlias,$P56,ASK)-R56),4))</f>
        <v>1E-4</v>
      </c>
      <c r="AI56" s="143">
        <f>IF($F56=" ","",ROUND(ABS(_xll.RtGet(SourceAlias,$S56,BID)-T56),4))</f>
        <v>1E-4</v>
      </c>
      <c r="AJ56" s="143">
        <f>IF($F56=" ","",ROUND(ABS(_xll.RtGet(SourceAlias,$S56,ASK)-U56),4))</f>
        <v>1E-4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3.3E-3</v>
      </c>
      <c r="AN56" s="143">
        <f>IF($H56=" ","",ROUND(ABS(_xll.RtGet(SourceAlias,$Y56,ASK)-AA56),4))</f>
        <v>3.3E-3</v>
      </c>
    </row>
    <row r="57" spans="1:40" x14ac:dyDescent="0.2">
      <c r="A57" s="192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USD_CURVE_1M_22Y</v>
      </c>
      <c r="K57" s="120">
        <f>IF(J57="","",'1M Pricing'!$I57*100)</f>
        <v>2.323421391474692</v>
      </c>
      <c r="L57" s="120">
        <f t="shared" si="11"/>
        <v>2.323421391474692</v>
      </c>
      <c r="M57" s="115" t="str">
        <v>USD_CURVE_3M_22Y</v>
      </c>
      <c r="N57" s="120">
        <f>IF(M57="","",'3M Pricing'!$I57*100)</f>
        <v>2.4289415827632097</v>
      </c>
      <c r="O57" s="116">
        <f t="shared" si="12"/>
        <v>2.4289415827632097</v>
      </c>
      <c r="P57" s="115" t="str">
        <v>USD_CURVE_6M_22Y</v>
      </c>
      <c r="Q57" s="116">
        <f>IF(P57="","",'6M Pricing'!$I57*100)</f>
        <v>2.5389211763454576</v>
      </c>
      <c r="R57" s="116">
        <f t="shared" si="13"/>
        <v>2.5389211763454576</v>
      </c>
      <c r="S57" s="115" t="str">
        <v>USD_CURVE_12M_22Y</v>
      </c>
      <c r="T57" s="116">
        <f>IF(S57="","",'1Y Pricing'!$I57*100)</f>
        <v>2.6906495963747381</v>
      </c>
      <c r="U57" s="116">
        <f t="shared" si="14"/>
        <v>2.6906495963747381</v>
      </c>
      <c r="V57" s="115" t="str">
        <v>USD_CURVE_OIS_22Y</v>
      </c>
      <c r="W57" s="120">
        <f>IF(V57="","",'ON Pricing'!$G57*100)</f>
        <v>2.203758414563501</v>
      </c>
      <c r="X57" s="120">
        <f t="shared" si="15"/>
        <v>2.203758414563501</v>
      </c>
      <c r="Y57" s="115" t="str">
        <v>USD_CURVE_STD_22Y</v>
      </c>
      <c r="Z57" s="120">
        <f>IF(Y57="","",'STD Pricing'!$G57*100)</f>
        <v>2.42464204084254</v>
      </c>
      <c r="AA57" s="120">
        <f t="shared" si="5"/>
        <v>2.42464204084254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1E-4</v>
      </c>
      <c r="AH57" s="143">
        <f>IF($E57=" ","",ROUND(ABS(_xll.RtGet(SourceAlias,$P57,ASK)-R57),4))</f>
        <v>1E-4</v>
      </c>
      <c r="AI57" s="143">
        <f>IF($F57=" ","",ROUND(ABS(_xll.RtGet(SourceAlias,$S57,BID)-T57),4))</f>
        <v>1E-4</v>
      </c>
      <c r="AJ57" s="143">
        <f>IF($F57=" ","",ROUND(ABS(_xll.RtGet(SourceAlias,$S57,ASK)-U57),4))</f>
        <v>1E-4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4.3E-3</v>
      </c>
      <c r="AN57" s="143">
        <f>IF($H57=" ","",ROUND(ABS(_xll.RtGet(SourceAlias,$Y57,ASK)-AA57),4))</f>
        <v>4.3E-3</v>
      </c>
    </row>
    <row r="58" spans="1:40" x14ac:dyDescent="0.2">
      <c r="A58" s="192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USD_CURVE_1M_23Y</v>
      </c>
      <c r="K58" s="120">
        <f>IF(J58="","",'1M Pricing'!$I58*100)</f>
        <v>2.3360752814872732</v>
      </c>
      <c r="L58" s="120">
        <f t="shared" si="11"/>
        <v>2.3360752814872732</v>
      </c>
      <c r="M58" s="115" t="str">
        <v>USD_CURVE_3M_23Y</v>
      </c>
      <c r="N58" s="120">
        <f>IF(M58="","",'3M Pricing'!$I58*100)</f>
        <v>2.4418310504787066</v>
      </c>
      <c r="O58" s="116">
        <f t="shared" si="12"/>
        <v>2.4418310504787066</v>
      </c>
      <c r="P58" s="115" t="str">
        <v>USD_CURVE_6M_23Y</v>
      </c>
      <c r="Q58" s="116">
        <f>IF(P58="","",'6M Pricing'!$I58*100)</f>
        <v>2.5518483335325222</v>
      </c>
      <c r="R58" s="116">
        <f t="shared" si="13"/>
        <v>2.5518483335325222</v>
      </c>
      <c r="S58" s="115" t="str">
        <v>USD_CURVE_12M_23Y</v>
      </c>
      <c r="T58" s="116">
        <f>IF(S58="","",'1Y Pricing'!$I58*100)</f>
        <v>2.7007554601692232</v>
      </c>
      <c r="U58" s="116">
        <f t="shared" si="14"/>
        <v>2.7007554601692232</v>
      </c>
      <c r="V58" s="115" t="str">
        <v>USD_CURVE_OIS_23Y</v>
      </c>
      <c r="W58" s="120">
        <f>IF(V58="","",'ON Pricing'!$G58*100)</f>
        <v>2.2162455924704854</v>
      </c>
      <c r="X58" s="120">
        <f t="shared" si="15"/>
        <v>2.2162455924704854</v>
      </c>
      <c r="Y58" s="115" t="str">
        <v>USD_CURVE_STD_23Y</v>
      </c>
      <c r="Z58" s="120">
        <f>IF(Y58="","",'STD Pricing'!$G58*100)</f>
        <v>2.4380088676270666</v>
      </c>
      <c r="AA58" s="120">
        <f t="shared" si="5"/>
        <v>2.4380088676270666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1E-4</v>
      </c>
      <c r="AH58" s="143">
        <f>IF($E58=" ","",ROUND(ABS(_xll.RtGet(SourceAlias,$P58,ASK)-R58),4))</f>
        <v>1E-4</v>
      </c>
      <c r="AI58" s="143">
        <f>IF($F58=" ","",ROUND(ABS(_xll.RtGet(SourceAlias,$S58,BID)-T58),4))</f>
        <v>1E-4</v>
      </c>
      <c r="AJ58" s="143">
        <f>IF($F58=" ","",ROUND(ABS(_xll.RtGet(SourceAlias,$S58,ASK)-U58),4))</f>
        <v>1E-4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3.8999999999999998E-3</v>
      </c>
      <c r="AN58" s="143">
        <f>IF($H58=" ","",ROUND(ABS(_xll.RtGet(SourceAlias,$Y58,ASK)-AA58),4))</f>
        <v>3.8999999999999998E-3</v>
      </c>
    </row>
    <row r="59" spans="1:40" x14ac:dyDescent="0.2">
      <c r="A59" s="192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USD_CURVE_1M_24Y</v>
      </c>
      <c r="K59" s="120">
        <f>IF(J59="","",'1M Pricing'!$I59*100)</f>
        <v>2.34739459688313</v>
      </c>
      <c r="L59" s="120">
        <f t="shared" si="11"/>
        <v>2.34739459688313</v>
      </c>
      <c r="M59" s="115" t="str">
        <v>USD_CURVE_3M_24Y</v>
      </c>
      <c r="N59" s="120">
        <f>IF(M59="","",'3M Pricing'!$I59*100)</f>
        <v>2.4533501410566254</v>
      </c>
      <c r="O59" s="116">
        <f t="shared" si="12"/>
        <v>2.4533501410566254</v>
      </c>
      <c r="P59" s="115" t="str">
        <v>USD_CURVE_6M_24Y</v>
      </c>
      <c r="Q59" s="116">
        <f>IF(P59="","",'6M Pricing'!$I59*100)</f>
        <v>2.5633497836871317</v>
      </c>
      <c r="R59" s="116">
        <f t="shared" si="13"/>
        <v>2.5633497836871317</v>
      </c>
      <c r="S59" s="115" t="str">
        <v>USD_CURVE_12M_24Y</v>
      </c>
      <c r="T59" s="116">
        <f>IF(S59="","",'1Y Pricing'!$I59*100)</f>
        <v>2.7094947098404036</v>
      </c>
      <c r="U59" s="116">
        <f t="shared" si="14"/>
        <v>2.7094947098404036</v>
      </c>
      <c r="V59" s="115" t="str">
        <v>USD_CURVE_OIS_24Y</v>
      </c>
      <c r="W59" s="120">
        <f>IF(V59="","",'ON Pricing'!$G59*100)</f>
        <v>2.227492280783796</v>
      </c>
      <c r="X59" s="120">
        <f t="shared" si="15"/>
        <v>2.227492280783796</v>
      </c>
      <c r="Y59" s="115" t="str">
        <v>USD_CURVE_STD_24Y</v>
      </c>
      <c r="Z59" s="120">
        <f>IF(Y59="","",'STD Pricing'!$G59*100)</f>
        <v>2.4510853534246158</v>
      </c>
      <c r="AA59" s="120">
        <f t="shared" si="5"/>
        <v>2.4510853534246158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1E-4</v>
      </c>
      <c r="AH59" s="143">
        <f>IF($E59=" ","",ROUND(ABS(_xll.RtGet(SourceAlias,$P59,ASK)-R59),4))</f>
        <v>1E-4</v>
      </c>
      <c r="AI59" s="143">
        <f>IF($F59=" ","",ROUND(ABS(_xll.RtGet(SourceAlias,$S59,BID)-T59),4))</f>
        <v>1E-4</v>
      </c>
      <c r="AJ59" s="143">
        <f>IF($F59=" ","",ROUND(ABS(_xll.RtGet(SourceAlias,$S59,ASK)-U59),4))</f>
        <v>1E-4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2.3E-3</v>
      </c>
      <c r="AN59" s="143">
        <f>IF($H59=" ","",ROUND(ABS(_xll.RtGet(SourceAlias,$Y59,ASK)-AA59),4))</f>
        <v>2.3E-3</v>
      </c>
    </row>
    <row r="60" spans="1:40" x14ac:dyDescent="0.2">
      <c r="A60" s="192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USD_CURVE_1M_25Y</v>
      </c>
      <c r="K60" s="120">
        <f>IF(J60="","",'1M Pricing'!$I60*100)</f>
        <v>2.3578719633895822</v>
      </c>
      <c r="L60" s="120">
        <f t="shared" si="11"/>
        <v>2.3578719633895822</v>
      </c>
      <c r="M60" s="115" t="str">
        <v>USD_CURVE_3M_25Y</v>
      </c>
      <c r="N60" s="120">
        <f>IF(M60="","",'3M Pricing'!$I60*100)</f>
        <v>2.463970099474567</v>
      </c>
      <c r="O60" s="116">
        <f t="shared" si="12"/>
        <v>2.463970099474567</v>
      </c>
      <c r="P60" s="115" t="str">
        <v>USD_CURVE_6M_25Y</v>
      </c>
      <c r="Q60" s="116">
        <f>IF(P60="","",'6M Pricing'!$I60*100)</f>
        <v>2.5738743090142799</v>
      </c>
      <c r="R60" s="116">
        <f t="shared" si="13"/>
        <v>2.5738743090142799</v>
      </c>
      <c r="S60" s="115" t="str">
        <v>USD_CURVE_12M_25Y</v>
      </c>
      <c r="T60" s="116">
        <f>IF(S60="","",'1Y Pricing'!$I60*100)</f>
        <v>2.7173491522966229</v>
      </c>
      <c r="U60" s="116">
        <f t="shared" si="14"/>
        <v>2.7173491522966229</v>
      </c>
      <c r="V60" s="115" t="str">
        <v>USD_CURVE_OIS_25Y</v>
      </c>
      <c r="W60" s="120">
        <f>IF(V60="","",'ON Pricing'!$G60*100)</f>
        <v>2.2380000000008402</v>
      </c>
      <c r="X60" s="120">
        <f t="shared" si="15"/>
        <v>2.2380000000008402</v>
      </c>
      <c r="Y60" s="115" t="str">
        <v>USD_CURVE_STD_25Y</v>
      </c>
      <c r="Z60" s="120">
        <f>IF(Y60="","",'STD Pricing'!$G60*100)</f>
        <v>2.4639623127102732</v>
      </c>
      <c r="AA60" s="120">
        <f t="shared" si="5"/>
        <v>2.4639623127102732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1E-4</v>
      </c>
      <c r="AH60" s="143">
        <f>IF($E60=" ","",ROUND(ABS(_xll.RtGet(SourceAlias,$P60,ASK)-R60),4))</f>
        <v>1E-4</v>
      </c>
      <c r="AI60" s="143">
        <f>IF($F60=" ","",ROUND(ABS(_xll.RtGet(SourceAlias,$S60,BID)-T60),4))</f>
        <v>1E-4</v>
      </c>
      <c r="AJ60" s="143">
        <f>IF($F60=" ","",ROUND(ABS(_xll.RtGet(SourceAlias,$S60,ASK)-U60),4))</f>
        <v>1E-4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0</v>
      </c>
      <c r="AN60" s="143">
        <f>IF($H60=" ","",ROUND(ABS(_xll.RtGet(SourceAlias,$Y60,ASK)-AA60),4))</f>
        <v>0</v>
      </c>
    </row>
    <row r="61" spans="1:40" x14ac:dyDescent="0.2">
      <c r="A61" s="192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USD_CURVE_1M_26Y</v>
      </c>
      <c r="K61" s="120">
        <f>IF(J61="","",'1M Pricing'!$I61*100)</f>
        <v>2.3676356288802509</v>
      </c>
      <c r="L61" s="120">
        <f t="shared" si="11"/>
        <v>2.3676356288802509</v>
      </c>
      <c r="M61" s="115" t="str">
        <v>USD_CURVE_3M_26Y</v>
      </c>
      <c r="N61" s="120">
        <f>IF(M61="","",'3M Pricing'!$I61*100)</f>
        <v>2.4738052348815329</v>
      </c>
      <c r="O61" s="116">
        <f t="shared" si="12"/>
        <v>2.4738052348815329</v>
      </c>
      <c r="P61" s="115" t="str">
        <v>USD_CURVE_6M_26Y</v>
      </c>
      <c r="Q61" s="116">
        <f>IF(P61="","",'6M Pricing'!$I61*100)</f>
        <v>2.5835298286480315</v>
      </c>
      <c r="R61" s="116">
        <f t="shared" si="13"/>
        <v>2.5835298286480315</v>
      </c>
      <c r="S61" s="115" t="str">
        <v>USD_CURVE_12M_26Y</v>
      </c>
      <c r="T61" s="116">
        <f>IF(S61="","",'1Y Pricing'!$I61*100)</f>
        <v>2.7245131568930696</v>
      </c>
      <c r="U61" s="116">
        <f t="shared" si="14"/>
        <v>2.7245131568930696</v>
      </c>
      <c r="V61" s="115" t="str">
        <v>USD_CURVE_OIS_26Y</v>
      </c>
      <c r="W61" s="120">
        <f>IF(V61="","",'ON Pricing'!$G61*100)</f>
        <v>2.2477752591884692</v>
      </c>
      <c r="X61" s="120">
        <f t="shared" si="15"/>
        <v>2.2477752591884692</v>
      </c>
      <c r="Y61" s="115" t="str">
        <v>USD_CURVE_STD_26Y</v>
      </c>
      <c r="Z61" s="120">
        <f>IF(Y61="","",'STD Pricing'!$G61*100)</f>
        <v>2.4725464351225601</v>
      </c>
      <c r="AA61" s="120">
        <f t="shared" si="5"/>
        <v>2.4725464351225601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1E-4</v>
      </c>
      <c r="AH61" s="143">
        <f>IF($E61=" ","",ROUND(ABS(_xll.RtGet(SourceAlias,$P61,ASK)-R61),4))</f>
        <v>1E-4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1.2999999999999999E-3</v>
      </c>
      <c r="AN61" s="143">
        <f>IF($H61=" ","",ROUND(ABS(_xll.RtGet(SourceAlias,$Y61,ASK)-AA61),4))</f>
        <v>1.2999999999999999E-3</v>
      </c>
    </row>
    <row r="62" spans="1:40" x14ac:dyDescent="0.2">
      <c r="A62" s="192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USD_CURVE_1M_27Y</v>
      </c>
      <c r="K62" s="120">
        <f>IF(J62="","",'1M Pricing'!$I62*100)</f>
        <v>2.3767418074082003</v>
      </c>
      <c r="L62" s="120">
        <f t="shared" si="11"/>
        <v>2.3767418074082003</v>
      </c>
      <c r="M62" s="115" t="str">
        <v>USD_CURVE_3M_27Y</v>
      </c>
      <c r="N62" s="120">
        <f>IF(M62="","",'3M Pricing'!$I62*100)</f>
        <v>2.482930449455091</v>
      </c>
      <c r="O62" s="116">
        <f t="shared" si="12"/>
        <v>2.482930449455091</v>
      </c>
      <c r="P62" s="115" t="str">
        <v>USD_CURVE_6M_27Y</v>
      </c>
      <c r="Q62" s="116">
        <f>IF(P62="","",'6M Pricing'!$I62*100)</f>
        <v>2.5924285505995117</v>
      </c>
      <c r="R62" s="116">
        <f t="shared" si="13"/>
        <v>2.5924285505995117</v>
      </c>
      <c r="S62" s="115" t="str">
        <v>USD_CURVE_12M_27Y</v>
      </c>
      <c r="T62" s="116">
        <f>IF(S62="","",'1Y Pricing'!$I62*100)</f>
        <v>2.731170321616597</v>
      </c>
      <c r="U62" s="116">
        <f t="shared" si="14"/>
        <v>2.731170321616597</v>
      </c>
      <c r="V62" s="115" t="str">
        <v>USD_CURVE_OIS_27Y</v>
      </c>
      <c r="W62" s="120">
        <f>IF(V62="","",'ON Pricing'!$G62*100)</f>
        <v>2.2568806894739923</v>
      </c>
      <c r="X62" s="120">
        <f t="shared" si="15"/>
        <v>2.2568806894739923</v>
      </c>
      <c r="Y62" s="115" t="str">
        <v>USD_CURVE_STD_27Y</v>
      </c>
      <c r="Z62" s="120">
        <f>IF(Y62="","",'STD Pricing'!$G62*100)</f>
        <v>2.4809295128190394</v>
      </c>
      <c r="AA62" s="120">
        <f t="shared" si="5"/>
        <v>2.4809295128190394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2E-3</v>
      </c>
      <c r="AN62" s="143">
        <f>IF($H62=" ","",ROUND(ABS(_xll.RtGet(SourceAlias,$Y62,ASK)-AA62),4))</f>
        <v>2E-3</v>
      </c>
    </row>
    <row r="63" spans="1:40" x14ac:dyDescent="0.2">
      <c r="A63" s="192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USD_CURVE_1M_28Y</v>
      </c>
      <c r="K63" s="120">
        <f>IF(J63="","",'1M Pricing'!$I63*100)</f>
        <v>2.3850366644258671</v>
      </c>
      <c r="L63" s="120">
        <f t="shared" si="11"/>
        <v>2.3850366644258671</v>
      </c>
      <c r="M63" s="115" t="str">
        <v>USD_CURVE_3M_28Y</v>
      </c>
      <c r="N63" s="120">
        <f>IF(M63="","",'3M Pricing'!$I63*100)</f>
        <v>2.4912118216802885</v>
      </c>
      <c r="O63" s="116">
        <f t="shared" si="12"/>
        <v>2.4912118216802885</v>
      </c>
      <c r="P63" s="115" t="str">
        <v>USD_CURVE_6M_28Y</v>
      </c>
      <c r="Q63" s="116">
        <f>IF(P63="","",'6M Pricing'!$I63*100)</f>
        <v>2.6004785305990592</v>
      </c>
      <c r="R63" s="116">
        <f t="shared" si="13"/>
        <v>2.6004785305990592</v>
      </c>
      <c r="S63" s="115" t="str">
        <v>USD_CURVE_12M_28Y</v>
      </c>
      <c r="T63" s="116">
        <f>IF(S63="","",'1Y Pricing'!$I63*100)</f>
        <v>2.737329399845208</v>
      </c>
      <c r="U63" s="116">
        <f t="shared" si="14"/>
        <v>2.737329399845208</v>
      </c>
      <c r="V63" s="115" t="str">
        <v>USD_CURVE_OIS_28Y</v>
      </c>
      <c r="W63" s="120">
        <f>IF(V63="","",'ON Pricing'!$G63*100)</f>
        <v>2.2650499023037227</v>
      </c>
      <c r="X63" s="120">
        <f t="shared" si="15"/>
        <v>2.2650499023037227</v>
      </c>
      <c r="Y63" s="115" t="str">
        <v>USD_CURVE_STD_28Y</v>
      </c>
      <c r="Z63" s="120">
        <f>IF(Y63="","",'STD Pricing'!$G63*100)</f>
        <v>2.4891095426126149</v>
      </c>
      <c r="AA63" s="120">
        <f t="shared" si="5"/>
        <v>2.4891095426126149</v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2.0999999999999999E-3</v>
      </c>
      <c r="AN63" s="143">
        <f>IF($H63=" ","",ROUND(ABS(_xll.RtGet(SourceAlias,$Y63,ASK)-AA63),4))</f>
        <v>2.0999999999999999E-3</v>
      </c>
    </row>
    <row r="64" spans="1:40" x14ac:dyDescent="0.2">
      <c r="A64" s="192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USD_CURVE_1M_29Y</v>
      </c>
      <c r="K64" s="120">
        <f>IF(J64="","",'1M Pricing'!$I64*100)</f>
        <v>2.3924411245773292</v>
      </c>
      <c r="L64" s="120">
        <f t="shared" si="11"/>
        <v>2.3924411245773292</v>
      </c>
      <c r="M64" s="115" t="str">
        <v>USD_CURVE_3M_29Y</v>
      </c>
      <c r="N64" s="120">
        <f>IF(M64="","",'3M Pricing'!$I64*100)</f>
        <v>2.4985874219656279</v>
      </c>
      <c r="O64" s="116">
        <f t="shared" si="12"/>
        <v>2.4985874219656279</v>
      </c>
      <c r="P64" s="115" t="str">
        <v>USD_CURVE_6M_29Y</v>
      </c>
      <c r="Q64" s="116">
        <f>IF(P64="","",'6M Pricing'!$I64*100)</f>
        <v>2.6076524775917953</v>
      </c>
      <c r="R64" s="116">
        <f t="shared" si="13"/>
        <v>2.6076524775917953</v>
      </c>
      <c r="S64" s="115" t="str">
        <v>USD_CURVE_12M_29Y</v>
      </c>
      <c r="T64" s="116">
        <f>IF(S64="","",'1Y Pricing'!$I64*100)</f>
        <v>2.7430372441641242</v>
      </c>
      <c r="U64" s="116">
        <f t="shared" si="14"/>
        <v>2.7430372441641242</v>
      </c>
      <c r="V64" s="115" t="str">
        <v>USD_CURVE_OIS_29Y</v>
      </c>
      <c r="W64" s="120">
        <f>IF(V64="","",'ON Pricing'!$G64*100)</f>
        <v>2.2721338975619019</v>
      </c>
      <c r="X64" s="120">
        <f t="shared" si="15"/>
        <v>2.2721338975619019</v>
      </c>
      <c r="Y64" s="115" t="str">
        <v>USD_CURVE_STD_29Y</v>
      </c>
      <c r="Z64" s="120">
        <f>IF(Y64="","",'STD Pricing'!$G64*100)</f>
        <v>2.4971222232958921</v>
      </c>
      <c r="AA64" s="120">
        <f t="shared" si="5"/>
        <v>2.4971222232958921</v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1.5E-3</v>
      </c>
      <c r="AN64" s="143">
        <f>IF($H64=" ","",ROUND(ABS(_xll.RtGet(SourceAlias,$Y64,ASK)-AA64),4))</f>
        <v>1.5E-3</v>
      </c>
    </row>
    <row r="65" spans="1:40" x14ac:dyDescent="0.2">
      <c r="A65" s="192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USD_CURVE_1M_30Y</v>
      </c>
      <c r="K65" s="120">
        <f>IF(J65="","",'1M Pricing'!$I65*100)</f>
        <v>2.3988659578090954</v>
      </c>
      <c r="L65" s="120">
        <f t="shared" si="11"/>
        <v>2.3988659578090954</v>
      </c>
      <c r="M65" s="115" t="str">
        <v>USD_CURVE_3M_30Y</v>
      </c>
      <c r="N65" s="120">
        <f>IF(M65="","",'3M Pricing'!$I65*100)</f>
        <v>2.5049824689281688</v>
      </c>
      <c r="O65" s="116">
        <f t="shared" si="12"/>
        <v>2.5049824689281688</v>
      </c>
      <c r="P65" s="115" t="str">
        <v>USD_CURVE_6M_30Y</v>
      </c>
      <c r="Q65" s="116">
        <f>IF(P65="","",'6M Pricing'!$I65*100)</f>
        <v>2.6139053847270124</v>
      </c>
      <c r="R65" s="116">
        <f t="shared" si="13"/>
        <v>2.6139053847270124</v>
      </c>
      <c r="S65" s="115" t="str">
        <v>USD_CURVE_12M_30Y</v>
      </c>
      <c r="T65" s="116">
        <f>IF(S65="","",'1Y Pricing'!$I65*100)</f>
        <v>2.7483165017646356</v>
      </c>
      <c r="U65" s="116">
        <f t="shared" si="14"/>
        <v>2.7483165017646356</v>
      </c>
      <c r="V65" s="115" t="str">
        <v>USD_CURVE_OIS_30Y</v>
      </c>
      <c r="W65" s="120">
        <f>IF(V65="","",'ON Pricing'!$G65*100)</f>
        <v>2.2779999999994187</v>
      </c>
      <c r="X65" s="120">
        <f t="shared" si="15"/>
        <v>2.2779999999994187</v>
      </c>
      <c r="Y65" s="115" t="str">
        <v>USD_CURVE_STD_30Y</v>
      </c>
      <c r="Z65" s="120">
        <f>IF(Y65="","",'STD Pricing'!$G65*100)</f>
        <v>2.5049761924277107</v>
      </c>
      <c r="AA65" s="120">
        <f t="shared" si="5"/>
        <v>2.5049761924277107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0</v>
      </c>
      <c r="AN65" s="143">
        <f>IF($H65=" ","",ROUND(ABS(_xll.RtGet(SourceAlias,$Y65,ASK)-AA65),4))</f>
        <v>0</v>
      </c>
    </row>
    <row r="66" spans="1:40" x14ac:dyDescent="0.2">
      <c r="A66" s="192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USD_CURVE_1M_40Y</v>
      </c>
      <c r="K66" s="120">
        <f>IF(J66="","",'1M Pricing'!$I66*100)</f>
        <v>2.4188808941098374</v>
      </c>
      <c r="L66" s="120">
        <f t="shared" si="11"/>
        <v>2.4188808941098374</v>
      </c>
      <c r="M66" s="115" t="str">
        <v>USD_CURVE_3M_40Y</v>
      </c>
      <c r="N66" s="120">
        <f>IF(M66="","",'3M Pricing'!$I66*100)</f>
        <v>2.5250001595904403</v>
      </c>
      <c r="O66" s="116">
        <f t="shared" si="12"/>
        <v>2.5250001595904403</v>
      </c>
      <c r="P66" s="115" t="str">
        <v>USD_CURVE_6M_40Y</v>
      </c>
      <c r="Q66" s="116">
        <f>IF(P66="","",'6M Pricing'!$I66*100)</f>
        <v>2.6339427400265949</v>
      </c>
      <c r="R66" s="116">
        <f t="shared" si="13"/>
        <v>2.6339427400265949</v>
      </c>
      <c r="S66" s="115" t="str">
        <v>USD_CURVE_12M_40Y</v>
      </c>
      <c r="T66" s="116">
        <f>IF(S66="","",'1Y Pricing'!$I66*100)</f>
        <v>2.7683549687536586</v>
      </c>
      <c r="U66" s="116">
        <f t="shared" si="14"/>
        <v>2.7683549687536586</v>
      </c>
      <c r="V66" s="115" t="str">
        <v>USD_CURVE_OIS_40Y</v>
      </c>
      <c r="W66" s="120">
        <f>IF(V66="","",'ON Pricing'!$G66*100)</f>
        <v>2.2880000000032057</v>
      </c>
      <c r="X66" s="120">
        <f t="shared" si="15"/>
        <v>2.2880000000032057</v>
      </c>
      <c r="Y66" s="115" t="str">
        <v>USD_CURVE_STD_40Y</v>
      </c>
      <c r="Z66" s="120">
        <f>IF(Y66="","",'STD Pricing'!$G66*100)</f>
        <v>2.5249990727587934</v>
      </c>
      <c r="AA66" s="120">
        <f t="shared" si="5"/>
        <v>2.5249990727587934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0</v>
      </c>
      <c r="AN66" s="143">
        <f>IF($H66=" ","",ROUND(ABS(_xll.RtGet(SourceAlias,$Y66,ASK)-AA66),4))</f>
        <v>0</v>
      </c>
    </row>
    <row r="67" spans="1:40" x14ac:dyDescent="0.2">
      <c r="A67" s="192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USD_CURVE_1M_50Y</v>
      </c>
      <c r="K67" s="120">
        <f>IF(J67="","",'1M Pricing'!$I67*100)</f>
        <v>2.4008893592707885</v>
      </c>
      <c r="L67" s="120">
        <f t="shared" si="11"/>
        <v>2.4008893592707885</v>
      </c>
      <c r="M67" s="115" t="str">
        <v>USD_CURVE_3M_50Y</v>
      </c>
      <c r="N67" s="120">
        <f>IF(M67="","",'3M Pricing'!$I67*100)</f>
        <v>2.507000004977705</v>
      </c>
      <c r="O67" s="116">
        <f t="shared" si="12"/>
        <v>2.507000004977705</v>
      </c>
      <c r="P67" s="115" t="str">
        <v>USD_CURVE_6M_50Y</v>
      </c>
      <c r="Q67" s="116">
        <f>IF(P67="","",'6M Pricing'!$I67*100)</f>
        <v>2.6159350528397436</v>
      </c>
      <c r="R67" s="116">
        <f t="shared" si="13"/>
        <v>2.6159350528397436</v>
      </c>
      <c r="S67" s="115" t="str">
        <v>USD_CURVE_12M_50Y</v>
      </c>
      <c r="T67" s="116">
        <f>IF(S67="","",'1Y Pricing'!$I67*100)</f>
        <v>2.7503382193978232</v>
      </c>
      <c r="U67" s="116">
        <f t="shared" si="14"/>
        <v>2.7503382193978232</v>
      </c>
      <c r="V67" s="115" t="str">
        <v>USD_CURVE_OIS_50Y</v>
      </c>
      <c r="W67" s="120">
        <f>IF(V67="","",'ON Pricing'!$G67*100)</f>
        <v>2.2720000000008822</v>
      </c>
      <c r="X67" s="120">
        <f t="shared" si="15"/>
        <v>2.2720000000008822</v>
      </c>
      <c r="Y67" s="115" t="str">
        <v>USD_CURVE_STD_50Y</v>
      </c>
      <c r="Z67" s="120">
        <f>IF(Y67="","",'STD Pricing'!$G67*100)</f>
        <v>2.5069990388554944</v>
      </c>
      <c r="AA67" s="120">
        <f t="shared" si="5"/>
        <v>2.5069990388554944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ht="11.25" customHeight="1" x14ac:dyDescent="0.2">
      <c r="A68" s="193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3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3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21" t="str">
        <v>USD_CURVE_1M_60Y</v>
      </c>
      <c r="K68" s="164">
        <f>IF(J68="","",'1M Pricing'!$I68*100)</f>
        <v>2.3845245929972956</v>
      </c>
      <c r="L68" s="164">
        <f t="shared" si="11"/>
        <v>2.3845245929972956</v>
      </c>
      <c r="M68" s="121" t="str">
        <v>USD_CURVE_3M_60Y</v>
      </c>
      <c r="N68" s="164">
        <f>IF(M68="","",'3M Pricing'!$I68*100)</f>
        <v>2.4906107467060155</v>
      </c>
      <c r="O68" s="119">
        <f t="shared" si="12"/>
        <v>2.4906107467060155</v>
      </c>
      <c r="P68" s="121" t="str">
        <v>USD_CURVE_6M_60Y</v>
      </c>
      <c r="Q68" s="119">
        <f>IF(P68="","",'6M Pricing'!$I68*100)</f>
        <v>2.5995399551000666</v>
      </c>
      <c r="R68" s="119">
        <f t="shared" si="13"/>
        <v>2.5995399551000666</v>
      </c>
      <c r="S68" s="121" t="str">
        <v>USD_CURVE_12M_60Y</v>
      </c>
      <c r="T68" s="119">
        <f>IF(S68="","",'1Y Pricing'!$I68*100)</f>
        <v>2.7339360342045405</v>
      </c>
      <c r="U68" s="119">
        <f t="shared" si="14"/>
        <v>2.7339360342045405</v>
      </c>
      <c r="V68" s="121" t="str">
        <v>USD_CURVE_OIS_60Y</v>
      </c>
      <c r="W68" s="164">
        <f>IF(V68="","",'ON Pricing'!$G68*100)</f>
        <v>2.2591032897548979</v>
      </c>
      <c r="X68" s="164">
        <f t="shared" si="15"/>
        <v>2.2591032897548979</v>
      </c>
      <c r="Y68" s="121" t="str">
        <v>USD_CURVE_STD_60Y</v>
      </c>
      <c r="Z68" s="164" t="e">
        <f>IF(Y68="","",'STD Pricing'!$G68*100)</f>
        <v>#NUM!</v>
      </c>
      <c r="AA68" s="164" t="e">
        <f t="shared" si="5"/>
        <v>#NUM!</v>
      </c>
      <c r="AC68" s="165">
        <f>IF($C68=" ","",ROUND(ABS(_xll.RtGet(SourceAlias,$J68,BID)-K68),4))</f>
        <v>0</v>
      </c>
      <c r="AD68" s="165">
        <f>IF($C68=" ","",ROUND(ABS(_xll.RtGet(SourceAlias,$J68,ASK)-L68),4))</f>
        <v>0</v>
      </c>
      <c r="AE68" s="165">
        <f>IF($D68=" ","",ROUND(ABS(_xll.RtGet(SourceAlias,$M68,BID)-N68),4))</f>
        <v>0</v>
      </c>
      <c r="AF68" s="165">
        <f>IF($D68=" ","",ROUND(ABS(_xll.RtGet(SourceAlias,$M68,ASK)-O68),4))</f>
        <v>0</v>
      </c>
      <c r="AG68" s="165">
        <f>IF($E68=" ","",ROUND(ABS(_xll.RtGet(SourceAlias,$P68,BID)-Q68),4))</f>
        <v>0</v>
      </c>
      <c r="AH68" s="165">
        <f>IF($E68=" ","",ROUND(ABS(_xll.RtGet(SourceAlias,$P68,ASK)-R68),4))</f>
        <v>0</v>
      </c>
      <c r="AI68" s="165">
        <f>IF($F68=" ","",ROUND(ABS(_xll.RtGet(SourceAlias,$S68,BID)-T68),4))</f>
        <v>0</v>
      </c>
      <c r="AJ68" s="165">
        <f>IF($F68=" ","",ROUND(ABS(_xll.RtGet(SourceAlias,$S68,ASK)-U68),4))</f>
        <v>0</v>
      </c>
      <c r="AK68" s="165">
        <f>IF($G68=" ","",ROUND(ABS(_xll.RtGet(SourceAlias,$V68,BID)-W68),4))</f>
        <v>0</v>
      </c>
      <c r="AL68" s="165">
        <f>IF($G68=" ","",ROUND(ABS(_xll.RtGet(SourceAlias,$V68,ASK)-X68),4))</f>
        <v>0</v>
      </c>
      <c r="AM68" s="165" t="e">
        <f>IF($H68=" ","",ROUND(ABS(_xll.RtGet(SourceAlias,$Y68,BID)-Z68),4))</f>
        <v>#NUM!</v>
      </c>
      <c r="AN68" s="165" t="e">
        <f>IF($H68=" ","",ROUND(ABS(_xll.RtGet(SourceAlias,$Y68,ASK)-AA68),4))</f>
        <v>#NUM!</v>
      </c>
    </row>
  </sheetData>
  <mergeCells count="3">
    <mergeCell ref="A6:A24"/>
    <mergeCell ref="A25:A32"/>
    <mergeCell ref="A33:A68"/>
  </mergeCells>
  <conditionalFormatting sqref="C2">
    <cfRule type="cellIs" dxfId="2" priority="3" operator="equal">
      <formula>"abcd"</formula>
    </cfRule>
  </conditionalFormatting>
  <conditionalFormatting sqref="C6:G38">
    <cfRule type="containsText" dxfId="1" priority="2" operator="containsText" text="Failure">
      <formula>NOT(ISERROR(SEARCH("Failure",C6)))</formula>
    </cfRule>
  </conditionalFormatting>
  <conditionalFormatting sqref="H6:H38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>_xll.qlInterestRateIndexFixingDate(IborIndex,EffectiveDate,Trigger)</f>
        <v>42282</v>
      </c>
      <c r="G9" s="54">
        <f>_xll.qlInterestRateIndexValueDate(M9,F9)</f>
        <v>42284</v>
      </c>
      <c r="H9" s="54">
        <f>_xll.qlInterestRateIndexMaturity(M9,G9)</f>
        <v>42291</v>
      </c>
      <c r="I9" s="61">
        <f>_xll.qlIndexFixing(M9,F9,TRUE,AllTriggers)</f>
        <v>1.9590000000123198E-3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obj_00369#0000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f>_xll.qlInterestRateIndexFixingDate(IborIndex,EffectiveDate,Trigger)</f>
        <v>42282</v>
      </c>
      <c r="G10" s="54">
        <f>_xll.qlInterestRateIndexValueDate(M10,F10)</f>
        <v>42284</v>
      </c>
      <c r="H10" s="54">
        <f>_xll.qlInterestRateIndexMaturity(M10,G10)</f>
        <v>42298</v>
      </c>
      <c r="I10" s="61">
        <f>_xll.qlIndexFixing(M10,F10,TRUE,AllTriggers)</f>
        <v>1.9492208162124364E-3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obj_003ed#0000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f>_xll.qlInterestRateIndexFixingDate(IborIndex,EffectiveDate,Trigger)</f>
        <v>42282</v>
      </c>
      <c r="G11" s="54">
        <f>_xll.qlInterestRateIndexValueDate(M11,F11)</f>
        <v>42284</v>
      </c>
      <c r="H11" s="54">
        <f>_xll.qlInterestRateIndexMaturity(M11,G11)</f>
        <v>42305</v>
      </c>
      <c r="I11" s="61">
        <f>_xll.qlIndexFixing(M11,F11,TRUE,AllTriggers)</f>
        <v>1.9433189549365537E-3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obj_003d3#0000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f>_xll.qlInterestRateIndexFixingDate(IborIndex,EffectiveDate,Trigger)</f>
        <v>42282</v>
      </c>
      <c r="G12" s="54">
        <f>_xll.qlInterestRateIndexValueDate(IborIndex,F12)</f>
        <v>42284</v>
      </c>
      <c r="H12" s="54">
        <f>_xll.qlInterestRateIndexMaturity(IborIndex,G12)</f>
        <v>42317</v>
      </c>
      <c r="I12" s="61">
        <f>_xll.qlIndexFixing(M12,F12,TRUE,AllTriggers)</f>
        <v>1.9469999989997111E-3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obj_00430#0000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f>_xll.qlInterestRateIndexFixingDate(IborIndex,EffectiveDate,Trigger)</f>
        <v>42282</v>
      </c>
      <c r="G13" s="54">
        <f>_xll.qlInterestRateIndexValueDate(M13,F13)</f>
        <v>42284</v>
      </c>
      <c r="H13" s="54">
        <f>_xll.qlInterestRateIndexMaturity(M13,G13)</f>
        <v>42345</v>
      </c>
      <c r="I13" s="61">
        <f>_xll.qlIndexFixing(M13,F13,TRUE,AllTriggers)</f>
        <v>2.0123517527851661E-3</v>
      </c>
      <c r="J13" s="61" t="str">
        <f t="shared" si="0"/>
        <v>USD_CURVE_DEP1M_2M</v>
      </c>
      <c r="K13" s="61"/>
      <c r="M13" s="52" t="str">
        <f>_xll.qlLibor(,Currency,D13,YieldCurve,,Trigger)</f>
        <v>obj_00419#0000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f>_xll.qlInterestRateIndexFixingDate(IborIndex,EffectiveDate,Trigger)</f>
        <v>42282</v>
      </c>
      <c r="G14" s="54">
        <f>_xll.qlInterestRateIndexValueDate(M14,F14)</f>
        <v>42284</v>
      </c>
      <c r="H14" s="54">
        <f>_xll.qlInterestRateIndexMaturity(M14,G14)</f>
        <v>42376</v>
      </c>
      <c r="I14" s="61">
        <f>_xll.qlIndexFixing(M14,F14,TRUE,AllTriggers)</f>
        <v>2.140084400177226E-3</v>
      </c>
      <c r="J14" s="61" t="str">
        <f t="shared" si="0"/>
        <v>USD_CURVE_DEP1M_3M</v>
      </c>
      <c r="K14" s="61"/>
      <c r="M14" s="52" t="str">
        <f>_xll.qlLibor(,Currency,D14,YieldCurve,,Trigger)</f>
        <v>obj_0041c#0000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f>_xll.qlInterestRateIndexFixingDate(IborIndex,EffectiveDate,Trigger)</f>
        <v>42282</v>
      </c>
      <c r="G15" s="54">
        <f>_xll.qlInterestRateIndexValueDate(M15,F15)</f>
        <v>42284</v>
      </c>
      <c r="H15" s="54">
        <f>_xll.qlInterestRateIndexMaturity(M15,G15)</f>
        <v>42408</v>
      </c>
      <c r="I15" s="61">
        <f>_xll.qlIndexFixing(M15,F15,TRUE,AllTriggers)</f>
        <v>2.3120477329508665E-3</v>
      </c>
      <c r="J15" s="61" t="str">
        <f t="shared" si="0"/>
        <v>USD_CURVE_DEP1M_4M</v>
      </c>
      <c r="K15" s="61"/>
      <c r="M15" s="81" t="str">
        <f>_xll.qlLibor(,Currency,D15,YieldCurve,,Trigger)</f>
        <v>obj_00410#0000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f>_xll.qlInterestRateIndexFixingDate(IborIndex,EffectiveDate,Trigger)</f>
        <v>42282</v>
      </c>
      <c r="G16" s="54">
        <f>_xll.qlInterestRateIndexValueDate(M16,F16)</f>
        <v>42284</v>
      </c>
      <c r="H16" s="54">
        <f>_xll.qlInterestRateIndexMaturity(M16,G16)</f>
        <v>42436</v>
      </c>
      <c r="I16" s="61">
        <f>_xll.qlIndexFixing(M16,F16,TRUE,AllTriggers)</f>
        <v>2.470483633140467E-3</v>
      </c>
      <c r="J16" s="61" t="str">
        <f t="shared" si="0"/>
        <v>USD_CURVE_DEP1M_5M</v>
      </c>
      <c r="K16" s="61"/>
      <c r="M16" s="52" t="str">
        <f>_xll.qlLibor(,Currency,D16,YieldCurve,,Trigger)</f>
        <v>obj_003d8#0000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f>_xll.qlInterestRateIndexFixingDate(IborIndex,EffectiveDate,Trigger)</f>
        <v>42282</v>
      </c>
      <c r="G17" s="54">
        <f>_xll.qlInterestRateIndexValueDate(M17,F17)</f>
        <v>42284</v>
      </c>
      <c r="H17" s="54">
        <f>_xll.qlInterestRateIndexMaturity(M17,G17)</f>
        <v>42467</v>
      </c>
      <c r="I17" s="61">
        <f>_xll.qlIndexFixing(M17,F17,TRUE,AllTriggers)</f>
        <v>2.6403009846692293E-3</v>
      </c>
      <c r="J17" s="61" t="str">
        <f t="shared" si="0"/>
        <v>USD_CURVE_DEP1M_6M</v>
      </c>
      <c r="K17" s="61"/>
      <c r="M17" s="52" t="str">
        <f>_xll.qlLibor(,Currency,D17,YieldCurve,,Trigger)</f>
        <v>obj_00414#0000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f>_xll.qlInterestRateIndexFixingDate(IborIndex,EffectiveDate,Trigger)</f>
        <v>42282</v>
      </c>
      <c r="G18" s="54">
        <f>_xll.qlInterestRateIndexValueDate(M18,F18)</f>
        <v>42284</v>
      </c>
      <c r="H18" s="54">
        <f>_xll.qlInterestRateIndexMaturity(M18,G18)</f>
        <v>42499</v>
      </c>
      <c r="I18" s="61">
        <f>_xll.qlIndexFixing(M18,F18,TRUE,AllTriggers)</f>
        <v>2.8056707999112645E-3</v>
      </c>
      <c r="J18" s="61" t="str">
        <f t="shared" si="0"/>
        <v>USD_CURVE_DEP1M_7M</v>
      </c>
      <c r="K18" s="61"/>
      <c r="M18" s="52" t="str">
        <f>_xll.qlLibor(,Currency,D18,YieldCurve,,Trigger)</f>
        <v>obj_003d4#0000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f>_xll.qlInterestRateIndexFixingDate(IborIndex,EffectiveDate,Trigger)</f>
        <v>42282</v>
      </c>
      <c r="G19" s="54">
        <f>_xll.qlInterestRateIndexValueDate(M19,F19)</f>
        <v>42284</v>
      </c>
      <c r="H19" s="54">
        <f>_xll.qlInterestRateIndexMaturity(M19,G19)</f>
        <v>42528</v>
      </c>
      <c r="I19" s="61">
        <f>_xll.qlIndexFixing(M19,F19,TRUE,AllTriggers)</f>
        <v>2.9536725373869844E-3</v>
      </c>
      <c r="J19" s="61" t="str">
        <f t="shared" si="0"/>
        <v>USD_CURVE_DEP1M_8M</v>
      </c>
      <c r="K19" s="61"/>
      <c r="M19" s="81" t="str">
        <f>_xll.qlLibor(,Currency,D19,YieldCurve,,Trigger)</f>
        <v>obj_00424#0000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f>_xll.qlInterestRateIndexFixingDate(IborIndex,EffectiveDate,Trigger)</f>
        <v>42282</v>
      </c>
      <c r="G20" s="54">
        <f>_xll.qlInterestRateIndexValueDate(M20,F20)</f>
        <v>42284</v>
      </c>
      <c r="H20" s="54">
        <f>_xll.qlInterestRateIndexMaturity(M20,G20)</f>
        <v>42558</v>
      </c>
      <c r="I20" s="61">
        <f>_xll.qlIndexFixing(M20,F20,TRUE,AllTriggers)</f>
        <v>3.1105815947664308E-3</v>
      </c>
      <c r="J20" s="61" t="str">
        <f t="shared" si="0"/>
        <v>USD_CURVE_DEP1M_9M</v>
      </c>
      <c r="K20" s="61"/>
      <c r="M20" s="52" t="str">
        <f>_xll.qlLibor(,Currency,D20,YieldCurve,,Trigger)</f>
        <v>obj_003fa#0000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8"/>
      <c r="R23" s="23"/>
      <c r="S23" s="23"/>
    </row>
    <row r="24" spans="1:19" x14ac:dyDescent="0.2">
      <c r="A24" s="23"/>
      <c r="B24" s="23">
        <f>_xll.qlDayCounterYearFraction("actual/360",SettlementDate,C24,,,Trigger)</f>
        <v>0.7</v>
      </c>
      <c r="C24" s="168">
        <f>_xll.qlIMMNextDate(_xll.qlIMMNextCode(_xll.qlIMMNextCode(EvaluationDate+FuturesRollDays)))</f>
        <v>42536</v>
      </c>
      <c r="D24" s="170" t="str">
        <f>"#"&amp;YEAR(C24)&amp;IF(LEN(MONTH(C24))=1,"0","")&amp;MONTH(C24)&amp;IF(LEN(DAY(C24))=1,"0","")&amp;DAY(C24)</f>
        <v>#20160615</v>
      </c>
      <c r="E24" s="171" t="s">
        <v>112</v>
      </c>
      <c r="F24" s="172"/>
      <c r="G24" s="172"/>
      <c r="H24" s="172"/>
      <c r="I24" s="173">
        <f>(_xll.qlYieldTSDiscount(YieldCurve,SettlementDate,,AllTriggers)/_xll.qlYieldTSDiscount(YieldCurve,C24,,AllTriggers)-1)/B24</f>
        <v>2.9949700199919226E-3</v>
      </c>
      <c r="J24" s="173" t="str">
        <f>Currency&amp;"_CURVE_DEP"&amp;CurveTenor&amp;"_"&amp;D24</f>
        <v>USD_CURVE_DEP1M_#20160615</v>
      </c>
      <c r="K24" s="173"/>
      <c r="M24" s="35" t="s">
        <v>118</v>
      </c>
      <c r="R24" s="23"/>
      <c r="S24" s="23"/>
    </row>
    <row r="25" spans="1:19" x14ac:dyDescent="0.2">
      <c r="A25" s="23"/>
      <c r="B25" s="23"/>
      <c r="C25" s="23" t="b">
        <v>1</v>
      </c>
      <c r="D25" s="106" t="str">
        <f t="array" ref="D25:D32">_xll.qlIMMNextCodes(EvaluationDate,C25:C32)</f>
        <v>Z5</v>
      </c>
      <c r="E25" s="62" t="s">
        <v>101</v>
      </c>
      <c r="F25" s="63">
        <f>_xll.qlInterestRateIndexFixingDate(IborIndex,G25)</f>
        <v>42352</v>
      </c>
      <c r="G25" s="63">
        <f>_xll.qlIMMdate(D25,,Trigger)</f>
        <v>42354</v>
      </c>
      <c r="H25" s="63">
        <f>_xll.qlInterestRateIndexMaturity(IborIndex,G25)</f>
        <v>42388</v>
      </c>
      <c r="I25" s="189">
        <f>(1-_xll.qlIndexFixing($M$25,F25,TRUE,AllTriggers))*100</f>
        <v>99.711390137525342</v>
      </c>
      <c r="J25" s="61" t="str">
        <f t="shared" ref="J25:J32" si="1">Currency&amp;"_CURVE_"&amp;E25&amp;CurveTenor&amp;"_"&amp;D25</f>
        <v>USD_CURVE_FUT1M_Z5</v>
      </c>
      <c r="K25" s="61"/>
      <c r="M25" s="65" t="str">
        <f>_xll.qlLibor(,Currency,"3M",YieldCurve,,Trigger)</f>
        <v>obj_0036a#0000</v>
      </c>
      <c r="R25" s="23"/>
      <c r="S25" s="23"/>
    </row>
    <row r="26" spans="1:19" x14ac:dyDescent="0.2">
      <c r="A26" s="23"/>
      <c r="B26" s="23"/>
      <c r="C26" s="23" t="b">
        <v>1</v>
      </c>
      <c r="D26" s="102" t="str">
        <v>H6</v>
      </c>
      <c r="E26" s="53" t="s">
        <v>101</v>
      </c>
      <c r="F26" s="54">
        <f>_xll.qlInterestRateIndexFixingDate(IborIndex,G26)</f>
        <v>42443</v>
      </c>
      <c r="G26" s="54">
        <f>_xll.qlIMMdate(D26,,Trigger)</f>
        <v>42445</v>
      </c>
      <c r="H26" s="54">
        <f>_xll.qlInterestRateIndexMaturity(IborIndex,G26)</f>
        <v>42478</v>
      </c>
      <c r="I26" s="190">
        <f>(1-_xll.qlIndexFixing($M$25,F26,TRUE,AllTriggers))*100</f>
        <v>99.616520684223758</v>
      </c>
      <c r="J26" s="61" t="str">
        <f t="shared" si="1"/>
        <v>USD_CURVE_FUT1M_H6</v>
      </c>
      <c r="K26" s="61"/>
      <c r="R26" s="23"/>
      <c r="S26" s="23"/>
    </row>
    <row r="27" spans="1:19" x14ac:dyDescent="0.2">
      <c r="A27" s="23"/>
      <c r="B27" s="23"/>
      <c r="C27" s="23" t="b">
        <v>1</v>
      </c>
      <c r="D27" s="102" t="str">
        <v>M6</v>
      </c>
      <c r="E27" s="53" t="s">
        <v>101</v>
      </c>
      <c r="F27" s="54">
        <f>_xll.qlInterestRateIndexFixingDate(IborIndex,G27)</f>
        <v>42534</v>
      </c>
      <c r="G27" s="54">
        <f>_xll.qlIMMdate(D27,,Trigger)</f>
        <v>42536</v>
      </c>
      <c r="H27" s="54">
        <f>_xll.qlInterestRateIndexMaturity(IborIndex,G27)</f>
        <v>42566</v>
      </c>
      <c r="I27" s="190">
        <f>(1-_xll.qlIndexFixing($M$25,F27,TRUE,AllTriggers))*100</f>
        <v>99.512016214017393</v>
      </c>
      <c r="J27" s="61" t="str">
        <f t="shared" si="1"/>
        <v>USD_CURVE_FUT1M_M6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02" t="str">
        <v>U6</v>
      </c>
      <c r="E28" s="53" t="s">
        <v>101</v>
      </c>
      <c r="F28" s="54">
        <f>_xll.qlInterestRateIndexFixingDate(IborIndex,G28)</f>
        <v>42632</v>
      </c>
      <c r="G28" s="54">
        <f>_xll.qlIMMdate(D28,,Trigger)</f>
        <v>42634</v>
      </c>
      <c r="H28" s="54">
        <f>_xll.qlInterestRateIndexMaturity(IborIndex,G28)</f>
        <v>42664</v>
      </c>
      <c r="I28" s="190">
        <f>(1-_xll.qlIndexFixing($M$25,F28,TRUE,AllTriggers))*100</f>
        <v>99.380949005039014</v>
      </c>
      <c r="J28" s="61" t="str">
        <f t="shared" si="1"/>
        <v>USD_CURVE_FUT1M_U6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02" t="str">
        <v>Z6</v>
      </c>
      <c r="E29" s="53" t="s">
        <v>101</v>
      </c>
      <c r="F29" s="54">
        <f>_xll.qlInterestRateIndexFixingDate(IborIndex,G29)</f>
        <v>42723</v>
      </c>
      <c r="G29" s="54">
        <f>_xll.qlIMMdate(D29,,Trigger)</f>
        <v>42725</v>
      </c>
      <c r="H29" s="54">
        <f>_xll.qlInterestRateIndexMaturity(IborIndex,G29)</f>
        <v>42758</v>
      </c>
      <c r="I29" s="190">
        <f>(1-_xll.qlIndexFixing($M$25,F29,TRUE,AllTriggers))*100</f>
        <v>99.258101038147288</v>
      </c>
      <c r="J29" s="61" t="str">
        <f t="shared" si="1"/>
        <v>USD_CURVE_FUT1M_Z6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02" t="str">
        <v>H7</v>
      </c>
      <c r="E30" s="53" t="s">
        <v>101</v>
      </c>
      <c r="F30" s="54">
        <f>_xll.qlInterestRateIndexFixingDate(IborIndex,G30)</f>
        <v>42807</v>
      </c>
      <c r="G30" s="54">
        <f>_xll.qlIMMdate(D30,,Trigger)</f>
        <v>42809</v>
      </c>
      <c r="H30" s="54">
        <f>_xll.qlInterestRateIndexMaturity(IborIndex,G30)</f>
        <v>42843</v>
      </c>
      <c r="I30" s="190">
        <f>(1-_xll.qlIndexFixing($M$25,F30,TRUE,AllTriggers))*100</f>
        <v>99.144235848166332</v>
      </c>
      <c r="J30" s="61" t="str">
        <f t="shared" si="1"/>
        <v>USD_CURVE_FUT1M_H7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02" t="str">
        <v>M7</v>
      </c>
      <c r="E31" s="53" t="s">
        <v>101</v>
      </c>
      <c r="F31" s="54">
        <f>_xll.qlInterestRateIndexFixingDate(IborIndex,G31)</f>
        <v>42905</v>
      </c>
      <c r="G31" s="54">
        <f>_xll.qlIMMdate(D31,,Trigger)</f>
        <v>42907</v>
      </c>
      <c r="H31" s="54">
        <f>_xll.qlInterestRateIndexMaturity(IborIndex,G31)</f>
        <v>42937</v>
      </c>
      <c r="I31" s="190">
        <f>(1-_xll.qlIndexFixing($M$25,F31,TRUE,AllTriggers))*100</f>
        <v>99.014829148077027</v>
      </c>
      <c r="J31" s="61" t="str">
        <f t="shared" si="1"/>
        <v>USD_CURVE_FUT1M_M7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02" t="str">
        <v>U7</v>
      </c>
      <c r="E32" s="53" t="s">
        <v>101</v>
      </c>
      <c r="F32" s="54">
        <f>_xll.qlInterestRateIndexFixingDate(IborIndex,G32)</f>
        <v>42996</v>
      </c>
      <c r="G32" s="54">
        <f>_xll.qlIMMdate(D32,,Trigger)</f>
        <v>42998</v>
      </c>
      <c r="H32" s="54">
        <f>_xll.qlInterestRateIndexMaturity(IborIndex,G32)</f>
        <v>43028</v>
      </c>
      <c r="I32" s="190">
        <f>(1-_xll.qlIndexFixing($M$25,F32,TRUE,AllTriggers))*100</f>
        <v>98.897607208381515</v>
      </c>
      <c r="J32" s="61" t="str">
        <f t="shared" si="1"/>
        <v>USD_CURVE_FUT1M_U7</v>
      </c>
      <c r="K32" s="61"/>
      <c r="M32" s="59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9" x14ac:dyDescent="0.2">
      <c r="D33" s="45" t="s">
        <v>22</v>
      </c>
      <c r="E33" s="62" t="s">
        <v>95</v>
      </c>
      <c r="F33" s="63">
        <f>_xll.qlInterestRateIndexFixingDate(IborIndex,EffectiveDate,Trigger)</f>
        <v>42282</v>
      </c>
      <c r="G33" s="63">
        <f>_xll.qlInterestRateIndexValueDate(M33,F33)</f>
        <v>42284</v>
      </c>
      <c r="H33" s="63">
        <f>_xll.qlInterestRateIndexMaturity(M33,G33)</f>
        <v>42650</v>
      </c>
      <c r="I33" s="60">
        <f>_xll.qlIndexFixing(M33,F33,TRUE,AllTriggers)</f>
        <v>3.6299999999440348E-3</v>
      </c>
      <c r="J33" s="60" t="str">
        <f t="shared" ref="J33:J61" si="2">Currency&amp;"_CURVE_"&amp;CurveTenor&amp;"_"&amp;D33</f>
        <v>USD_CURVE_1M_1Y</v>
      </c>
      <c r="K33" s="60" t="s">
        <v>153</v>
      </c>
      <c r="L33" s="51"/>
      <c r="M33" s="52" t="str">
        <f>_xll.qlSwapIndex(,"NoFix",D33,2,Currency,Calendar,FixedLegTenor,FixedLegBDC,FixedLegDayCounter,IborIndex,DiscountingCurve,,Trigger)</f>
        <v>obj_00395#0000</v>
      </c>
      <c r="N33" s="34"/>
      <c r="O33" s="36" t="s">
        <v>22</v>
      </c>
      <c r="P33" s="36" t="s">
        <v>39</v>
      </c>
      <c r="Q33" s="36" t="s">
        <v>96</v>
      </c>
      <c r="S33" s="23"/>
    </row>
    <row r="34" spans="4:19" x14ac:dyDescent="0.2">
      <c r="D34" s="46"/>
      <c r="E34" s="53"/>
      <c r="F34" s="54"/>
      <c r="G34" s="54"/>
      <c r="H34" s="54"/>
      <c r="I34" s="61"/>
      <c r="J34" s="61"/>
      <c r="K34" s="61"/>
      <c r="L34" s="51"/>
      <c r="M34" s="52"/>
      <c r="N34" s="34"/>
      <c r="O34" s="37"/>
      <c r="P34" s="37"/>
      <c r="Q34" s="37"/>
      <c r="S34" s="23"/>
    </row>
    <row r="35" spans="4:19" x14ac:dyDescent="0.2">
      <c r="D35" s="46"/>
      <c r="E35" s="13"/>
      <c r="F35" s="54"/>
      <c r="G35" s="54"/>
      <c r="H35" s="54"/>
      <c r="I35" s="61"/>
      <c r="J35" s="61"/>
      <c r="K35" s="61"/>
      <c r="L35" s="51"/>
      <c r="M35" s="52"/>
      <c r="N35" s="34"/>
      <c r="O35" s="37"/>
      <c r="P35" s="37"/>
      <c r="Q35" s="37"/>
      <c r="S35" s="23"/>
    </row>
    <row r="36" spans="4:19" x14ac:dyDescent="0.2">
      <c r="D36" s="46"/>
      <c r="E36" s="1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4:19" x14ac:dyDescent="0.2">
      <c r="D37" s="46" t="s">
        <v>23</v>
      </c>
      <c r="E37" s="13" t="s">
        <v>95</v>
      </c>
      <c r="F37" s="54">
        <f>_xll.qlInterestRateIndexFixingDate(IborIndex,EffectiveDate,Trigger)</f>
        <v>42282</v>
      </c>
      <c r="G37" s="54">
        <f>_xll.qlInterestRateIndexValueDate(M37,F37)</f>
        <v>42284</v>
      </c>
      <c r="H37" s="54">
        <f>_xll.qlInterestRateIndexMaturity(M37,G37)</f>
        <v>43017</v>
      </c>
      <c r="I37" s="61">
        <f>_xll.qlIndexFixing(M37,F37,TRUE,AllTriggers)</f>
        <v>5.9506875221066536E-3</v>
      </c>
      <c r="J37" s="61" t="str">
        <f t="shared" si="2"/>
        <v>USD_CURVE_1M_2Y</v>
      </c>
      <c r="K37" s="61" t="s">
        <v>154</v>
      </c>
      <c r="L37" s="51"/>
      <c r="M37" s="52" t="str">
        <f>_xll.qlSwapIndex(,"NoFix",D37,2,Currency,Calendar,FixedLegTenor,FixedLegBDC,FixedLegDayCounter,IborIndex,DiscountingCurve,,Trigger)</f>
        <v>obj_0039b#0000</v>
      </c>
      <c r="N37" s="34"/>
      <c r="O37" s="37"/>
      <c r="P37" s="37"/>
      <c r="Q37" s="37"/>
      <c r="S37" s="23"/>
    </row>
    <row r="38" spans="4:19" x14ac:dyDescent="0.2">
      <c r="D38" s="46" t="s">
        <v>24</v>
      </c>
      <c r="E38" s="13" t="s">
        <v>95</v>
      </c>
      <c r="F38" s="54">
        <f>_xll.qlInterestRateIndexFixingDate(IborIndex,EffectiveDate,Trigger)</f>
        <v>42282</v>
      </c>
      <c r="G38" s="54">
        <f>_xll.qlInterestRateIndexValueDate(M38,F38)</f>
        <v>42284</v>
      </c>
      <c r="H38" s="54">
        <f>_xll.qlInterestRateIndexMaturity(M38,G38)</f>
        <v>43381</v>
      </c>
      <c r="I38" s="61">
        <f>_xll.qlIndexFixing(M38,F38,TRUE,AllTriggers)</f>
        <v>8.2299785704089169E-3</v>
      </c>
      <c r="J38" s="61" t="str">
        <f t="shared" si="2"/>
        <v>USD_CURVE_1M_3Y</v>
      </c>
      <c r="K38" s="61" t="s">
        <v>155</v>
      </c>
      <c r="L38" s="23"/>
      <c r="M38" s="52" t="str">
        <f>_xll.qlSwapIndex(,"NoFix",D38,2,Currency,Calendar,FixedLegTenor,FixedLegBDC,FixedLegDayCounter,IborIndex,DiscountingCurve,,Trigger)</f>
        <v>obj_003a5#0000</v>
      </c>
      <c r="N38" s="34"/>
      <c r="O38" s="37"/>
      <c r="P38" s="34"/>
      <c r="Q38" s="37"/>
      <c r="S38" s="23"/>
    </row>
    <row r="39" spans="4:19" x14ac:dyDescent="0.2">
      <c r="D39" s="46" t="s">
        <v>25</v>
      </c>
      <c r="E39" s="13" t="s">
        <v>95</v>
      </c>
      <c r="F39" s="54">
        <f>_xll.qlInterestRateIndexFixingDate(IborIndex,EffectiveDate,Trigger)</f>
        <v>42282</v>
      </c>
      <c r="G39" s="54">
        <f>_xll.qlInterestRateIndexValueDate(M39,F39)</f>
        <v>42284</v>
      </c>
      <c r="H39" s="54">
        <f>_xll.qlInterestRateIndexMaturity(M39,G39)</f>
        <v>43745</v>
      </c>
      <c r="I39" s="61">
        <f>_xll.qlIndexFixing(M39,F39,TRUE,AllTriggers)</f>
        <v>1.026458861791749E-2</v>
      </c>
      <c r="J39" s="61" t="str">
        <f t="shared" si="2"/>
        <v>USD_CURVE_1M_4Y</v>
      </c>
      <c r="K39" s="61" t="s">
        <v>156</v>
      </c>
      <c r="L39" s="23"/>
      <c r="M39" s="52" t="str">
        <f>_xll.qlSwapIndex(,"NoFix",D39,2,Currency,Calendar,FixedLegTenor,FixedLegBDC,FixedLegDayCounter,IborIndex,DiscountingCurve,,Trigger)</f>
        <v>obj_003c5#0000</v>
      </c>
      <c r="N39" s="34"/>
      <c r="O39" s="37"/>
      <c r="P39" s="37"/>
      <c r="Q39" s="34"/>
      <c r="S39" s="23"/>
    </row>
    <row r="40" spans="4:19" x14ac:dyDescent="0.2">
      <c r="D40" s="46" t="s">
        <v>26</v>
      </c>
      <c r="E40" s="13" t="s">
        <v>95</v>
      </c>
      <c r="F40" s="54">
        <f>_xll.qlInterestRateIndexFixingDate(IborIndex,EffectiveDate,Trigger)</f>
        <v>42282</v>
      </c>
      <c r="G40" s="54">
        <f>_xll.qlInterestRateIndexValueDate(M40,F40)</f>
        <v>42284</v>
      </c>
      <c r="H40" s="54">
        <f>_xll.qlInterestRateIndexMaturity(M40,G40)</f>
        <v>44111</v>
      </c>
      <c r="I40" s="61">
        <f>_xll.qlIndexFixing(M40,F40,TRUE,AllTriggers)</f>
        <v>1.2133259098631867E-2</v>
      </c>
      <c r="J40" s="61" t="str">
        <f t="shared" si="2"/>
        <v>USD_CURVE_1M_5Y</v>
      </c>
      <c r="K40" s="61" t="s">
        <v>157</v>
      </c>
      <c r="L40" s="23"/>
      <c r="M40" s="52" t="str">
        <f>_xll.qlSwapIndex(,"NoFix",D40,2,Currency,Calendar,FixedLegTenor,FixedLegBDC,FixedLegDayCounter,IborIndex,DiscountingCurve,,Trigger)</f>
        <v>obj_00392#0000</v>
      </c>
      <c r="N40" s="34"/>
      <c r="O40" s="37"/>
      <c r="P40" s="34"/>
      <c r="Q40" s="37"/>
      <c r="S40" s="23"/>
    </row>
    <row r="41" spans="4:19" x14ac:dyDescent="0.2">
      <c r="D41" s="46" t="s">
        <v>69</v>
      </c>
      <c r="E41" s="13" t="s">
        <v>95</v>
      </c>
      <c r="F41" s="54">
        <f>_xll.qlInterestRateIndexFixingDate(IborIndex,EffectiveDate,Trigger)</f>
        <v>42282</v>
      </c>
      <c r="G41" s="54">
        <f>_xll.qlInterestRateIndexValueDate(M41,F41)</f>
        <v>42284</v>
      </c>
      <c r="H41" s="54">
        <f>_xll.qlInterestRateIndexMaturity(M41,G41)</f>
        <v>44476</v>
      </c>
      <c r="I41" s="61">
        <f>_xll.qlIndexFixing(M41,F41,TRUE,AllTriggers)</f>
        <v>1.3852402196704302E-2</v>
      </c>
      <c r="J41" s="61" t="str">
        <f t="shared" si="2"/>
        <v>USD_CURVE_1M_6Y</v>
      </c>
      <c r="K41" s="61" t="s">
        <v>158</v>
      </c>
      <c r="L41" s="23"/>
      <c r="M41" s="52" t="str">
        <f>_xll.qlSwapIndex(,"NoFix",D41,2,Currency,Calendar,FixedLegTenor,FixedLegBDC,FixedLegDayCounter,IborIndex,DiscountingCurve,,Trigger)</f>
        <v>obj_003bc#0000</v>
      </c>
      <c r="N41" s="34"/>
      <c r="O41" s="37"/>
      <c r="P41" s="34"/>
      <c r="Q41" s="37"/>
      <c r="S41" s="23"/>
    </row>
    <row r="42" spans="4:19" x14ac:dyDescent="0.2">
      <c r="D42" s="46" t="s">
        <v>27</v>
      </c>
      <c r="E42" s="13" t="s">
        <v>95</v>
      </c>
      <c r="F42" s="54">
        <f>_xll.qlInterestRateIndexFixingDate(IborIndex,EffectiveDate,Trigger)</f>
        <v>42282</v>
      </c>
      <c r="G42" s="54">
        <f>_xll.qlInterestRateIndexValueDate(M42,F42)</f>
        <v>42284</v>
      </c>
      <c r="H42" s="54">
        <f>_xll.qlInterestRateIndexMaturity(M42,G42)</f>
        <v>44841</v>
      </c>
      <c r="I42" s="61">
        <f>_xll.qlIndexFixing(M42,F42,TRUE,AllTriggers)</f>
        <v>1.5351823742549892E-2</v>
      </c>
      <c r="J42" s="61" t="str">
        <f t="shared" si="2"/>
        <v>USD_CURVE_1M_7Y</v>
      </c>
      <c r="K42" s="61" t="s">
        <v>159</v>
      </c>
      <c r="L42" s="23"/>
      <c r="M42" s="52" t="str">
        <f>_xll.qlSwapIndex(,"NoFix",D42,2,Currency,Calendar,FixedLegTenor,FixedLegBDC,FixedLegDayCounter,IborIndex,DiscountingCurve,,Trigger)</f>
        <v>obj_003a6#0000</v>
      </c>
      <c r="N42" s="34"/>
      <c r="O42" s="37"/>
      <c r="P42" s="34"/>
      <c r="Q42" s="37"/>
      <c r="S42" s="23"/>
    </row>
    <row r="43" spans="4:19" x14ac:dyDescent="0.2">
      <c r="D43" s="46" t="s">
        <v>70</v>
      </c>
      <c r="E43" s="13" t="s">
        <v>95</v>
      </c>
      <c r="F43" s="54">
        <f>_xll.qlInterestRateIndexFixingDate(IborIndex,EffectiveDate,Trigger)</f>
        <v>42282</v>
      </c>
      <c r="G43" s="54">
        <f>_xll.qlInterestRateIndexValueDate(M43,F43)</f>
        <v>42284</v>
      </c>
      <c r="H43" s="54">
        <f>_xll.qlInterestRateIndexMaturity(M43,G43)</f>
        <v>45208</v>
      </c>
      <c r="I43" s="61">
        <f>_xll.qlIndexFixing(M43,F43,TRUE,AllTriggers)</f>
        <v>1.6638103927147974E-2</v>
      </c>
      <c r="J43" s="61" t="str">
        <f t="shared" si="2"/>
        <v>USD_CURVE_1M_8Y</v>
      </c>
      <c r="K43" s="61" t="s">
        <v>160</v>
      </c>
      <c r="L43" s="23"/>
      <c r="M43" s="52" t="str">
        <f>_xll.qlSwapIndex(,"NoFix",D43,2,Currency,Calendar,FixedLegTenor,FixedLegBDC,FixedLegDayCounter,IborIndex,DiscountingCurve,,Trigger)</f>
        <v>obj_003c4#0000</v>
      </c>
      <c r="N43" s="37"/>
      <c r="O43" s="37"/>
      <c r="P43" s="23"/>
      <c r="Q43" s="23"/>
      <c r="S43" s="23"/>
    </row>
    <row r="44" spans="4:19" x14ac:dyDescent="0.2">
      <c r="D44" s="46" t="s">
        <v>71</v>
      </c>
      <c r="E44" s="13" t="s">
        <v>95</v>
      </c>
      <c r="F44" s="54">
        <f>_xll.qlInterestRateIndexFixingDate(IborIndex,EffectiveDate,Trigger)</f>
        <v>42282</v>
      </c>
      <c r="G44" s="54">
        <f>_xll.qlInterestRateIndexValueDate(M44,F44)</f>
        <v>42284</v>
      </c>
      <c r="H44" s="54">
        <f>_xll.qlInterestRateIndexMaturity(M44,G44)</f>
        <v>45572</v>
      </c>
      <c r="I44" s="61">
        <f>_xll.qlIndexFixing(M44,F44,TRUE,AllTriggers)</f>
        <v>1.7701132884096252E-2</v>
      </c>
      <c r="J44" s="61" t="str">
        <f t="shared" si="2"/>
        <v>USD_CURVE_1M_9Y</v>
      </c>
      <c r="K44" s="61" t="s">
        <v>161</v>
      </c>
      <c r="L44" s="23"/>
      <c r="M44" s="52" t="str">
        <f>_xll.qlSwapIndex(,"NoFix",D44,2,Currency,Calendar,FixedLegTenor,FixedLegBDC,FixedLegDayCounter,IborIndex,DiscountingCurve,,Trigger)</f>
        <v>obj_003c6#0000</v>
      </c>
      <c r="N44" s="37"/>
      <c r="O44" s="37"/>
      <c r="P44" s="23"/>
      <c r="Q44" s="23"/>
      <c r="S44" s="23"/>
    </row>
    <row r="45" spans="4:19" x14ac:dyDescent="0.2">
      <c r="D45" s="46" t="s">
        <v>28</v>
      </c>
      <c r="E45" s="13" t="s">
        <v>95</v>
      </c>
      <c r="F45" s="54">
        <f>_xll.qlInterestRateIndexFixingDate(IborIndex,EffectiveDate,Trigger)</f>
        <v>42282</v>
      </c>
      <c r="G45" s="54">
        <f>_xll.qlInterestRateIndexValueDate(M45,F45)</f>
        <v>42284</v>
      </c>
      <c r="H45" s="54">
        <f>_xll.qlInterestRateIndexMaturity(M45,G45)</f>
        <v>45937</v>
      </c>
      <c r="I45" s="61">
        <f>_xll.qlIndexFixing(M45,F45,TRUE,AllTriggers)</f>
        <v>1.8610860872172341E-2</v>
      </c>
      <c r="J45" s="61" t="str">
        <f t="shared" si="2"/>
        <v>USD_CURVE_1M_10Y</v>
      </c>
      <c r="K45" s="61" t="s">
        <v>162</v>
      </c>
      <c r="L45" s="23"/>
      <c r="M45" s="52" t="str">
        <f>_xll.qlSwapIndex(,"NoFix",D45,2,Currency,Calendar,FixedLegTenor,FixedLegBDC,FixedLegDayCounter,IborIndex,DiscountingCurve,,Trigger)</f>
        <v>obj_0039a#0000</v>
      </c>
      <c r="N45" s="37"/>
      <c r="O45" s="37"/>
      <c r="P45" s="23"/>
      <c r="Q45" s="23"/>
      <c r="S45" s="23"/>
    </row>
    <row r="46" spans="4:19" x14ac:dyDescent="0.2">
      <c r="D46" s="46" t="s">
        <v>72</v>
      </c>
      <c r="E46" s="13" t="s">
        <v>95</v>
      </c>
      <c r="F46" s="54">
        <f>_xll.qlInterestRateIndexFixingDate(IborIndex,EffectiveDate,Trigger)</f>
        <v>42282</v>
      </c>
      <c r="G46" s="54">
        <f>_xll.qlInterestRateIndexValueDate(M46,F46)</f>
        <v>42284</v>
      </c>
      <c r="H46" s="54">
        <f>_xll.qlInterestRateIndexMaturity(M46,G46)</f>
        <v>46302</v>
      </c>
      <c r="I46" s="61">
        <f>_xll.qlIndexFixing(M46,F46,TRUE,AllTriggers)</f>
        <v>1.9403537719339461E-2</v>
      </c>
      <c r="J46" s="61" t="str">
        <f t="shared" si="2"/>
        <v>USD_CURVE_1M_11Y</v>
      </c>
      <c r="K46" s="61" t="s">
        <v>163</v>
      </c>
      <c r="L46" s="37"/>
      <c r="M46" s="52" t="str">
        <f>_xll.qlSwapIndex(,"NoFix",D46,2,Currency,Calendar,FixedLegTenor,FixedLegBDC,FixedLegDayCounter,IborIndex,DiscountingCurve,,Trigger)</f>
        <v>obj_003a3#0000</v>
      </c>
      <c r="N46" s="37"/>
      <c r="O46" s="37"/>
      <c r="P46" s="23"/>
      <c r="Q46" s="23"/>
    </row>
    <row r="47" spans="4:19" x14ac:dyDescent="0.2">
      <c r="D47" s="46" t="s">
        <v>29</v>
      </c>
      <c r="E47" s="13" t="s">
        <v>95</v>
      </c>
      <c r="F47" s="54">
        <f>_xll.qlInterestRateIndexFixingDate(IborIndex,EffectiveDate,Trigger)</f>
        <v>42282</v>
      </c>
      <c r="G47" s="54">
        <f>_xll.qlInterestRateIndexValueDate(M47,F47)</f>
        <v>42284</v>
      </c>
      <c r="H47" s="54">
        <f>_xll.qlInterestRateIndexMaturity(M47,G47)</f>
        <v>46667</v>
      </c>
      <c r="I47" s="61">
        <f>_xll.qlIndexFixing(M47,F47,TRUE,AllTriggers)</f>
        <v>2.0080518042309495E-2</v>
      </c>
      <c r="J47" s="61" t="str">
        <f t="shared" si="2"/>
        <v>USD_CURVE_1M_12Y</v>
      </c>
      <c r="K47" s="61" t="s">
        <v>164</v>
      </c>
      <c r="L47" s="37"/>
      <c r="M47" s="52" t="str">
        <f>_xll.qlSwapIndex(,"NoFix",D47,2,Currency,Calendar,FixedLegTenor,FixedLegBDC,FixedLegDayCounter,IborIndex,DiscountingCurve,,Trigger)</f>
        <v>obj_003c3#0000</v>
      </c>
      <c r="O47" s="37"/>
    </row>
    <row r="48" spans="4:19" x14ac:dyDescent="0.2">
      <c r="D48" s="46" t="s">
        <v>73</v>
      </c>
      <c r="E48" s="13" t="s">
        <v>95</v>
      </c>
      <c r="F48" s="54">
        <f>_xll.qlInterestRateIndexFixingDate(IborIndex,EffectiveDate,Trigger)</f>
        <v>42282</v>
      </c>
      <c r="G48" s="54">
        <f>_xll.qlInterestRateIndexValueDate(M48,F48)</f>
        <v>42284</v>
      </c>
      <c r="H48" s="54">
        <f>_xll.qlInterestRateIndexMaturity(M48,G48)</f>
        <v>47035</v>
      </c>
      <c r="I48" s="61">
        <f>_xll.qlIndexFixing(M48,F48,TRUE,AllTriggers)</f>
        <v>2.0648734994084997E-2</v>
      </c>
      <c r="J48" s="61" t="str">
        <f t="shared" si="2"/>
        <v>USD_CURVE_1M_13Y</v>
      </c>
      <c r="K48" s="61" t="s">
        <v>165</v>
      </c>
      <c r="M48" s="52" t="str">
        <f>_xll.qlSwapIndex(,"NoFix",D48,2,Currency,Calendar,FixedLegTenor,FixedLegBDC,FixedLegDayCounter,IborIndex,DiscountingCurve,,Trigger)</f>
        <v>obj_00391#0000</v>
      </c>
      <c r="O48" s="37"/>
    </row>
    <row r="49" spans="4:15" x14ac:dyDescent="0.2">
      <c r="D49" s="46" t="s">
        <v>74</v>
      </c>
      <c r="E49" s="13" t="s">
        <v>95</v>
      </c>
      <c r="F49" s="54">
        <f>_xll.qlInterestRateIndexFixingDate(IborIndex,EffectiveDate,Trigger)</f>
        <v>42282</v>
      </c>
      <c r="G49" s="54">
        <f>_xll.qlInterestRateIndexValueDate(M49,F49)</f>
        <v>42284</v>
      </c>
      <c r="H49" s="54">
        <f>_xll.qlInterestRateIndexMaturity(M49,G49)</f>
        <v>47399</v>
      </c>
      <c r="I49" s="61">
        <f>_xll.qlIndexFixing(M49,F49,TRUE,AllTriggers)</f>
        <v>2.1122029154520106E-2</v>
      </c>
      <c r="J49" s="61" t="str">
        <f t="shared" si="2"/>
        <v>USD_CURVE_1M_14Y</v>
      </c>
      <c r="K49" s="61" t="s">
        <v>166</v>
      </c>
      <c r="M49" s="52" t="str">
        <f>_xll.qlSwapIndex(,"NoFix",D49,2,Currency,Calendar,FixedLegTenor,FixedLegBDC,FixedLegDayCounter,IborIndex,DiscountingCurve,,Trigger)</f>
        <v>obj_003bb#0000</v>
      </c>
      <c r="O49" s="37"/>
    </row>
    <row r="50" spans="4:15" x14ac:dyDescent="0.2">
      <c r="D50" s="46" t="s">
        <v>30</v>
      </c>
      <c r="E50" s="13" t="s">
        <v>95</v>
      </c>
      <c r="F50" s="54">
        <f>_xll.qlInterestRateIndexFixingDate(IborIndex,EffectiveDate,Trigger)</f>
        <v>42282</v>
      </c>
      <c r="G50" s="54">
        <f>_xll.qlInterestRateIndexValueDate(M50,F50)</f>
        <v>42284</v>
      </c>
      <c r="H50" s="54">
        <f>_xll.qlInterestRateIndexMaturity(M50,G50)</f>
        <v>47763</v>
      </c>
      <c r="I50" s="61">
        <f>_xll.qlIndexFixing(M50,F50,TRUE,AllTriggers)</f>
        <v>2.1530038169037684E-2</v>
      </c>
      <c r="J50" s="61" t="str">
        <f t="shared" si="2"/>
        <v>USD_CURVE_1M_15Y</v>
      </c>
      <c r="K50" s="61" t="s">
        <v>167</v>
      </c>
      <c r="M50" s="52" t="str">
        <f>_xll.qlSwapIndex(,"NoFix",D50,2,Currency,Calendar,FixedLegTenor,FixedLegBDC,FixedLegDayCounter,IborIndex,DiscountingCurve,,Trigger)</f>
        <v>obj_003a4#0000</v>
      </c>
      <c r="O50" s="37"/>
    </row>
    <row r="51" spans="4:15" x14ac:dyDescent="0.2">
      <c r="D51" s="46" t="s">
        <v>75</v>
      </c>
      <c r="E51" s="13" t="s">
        <v>95</v>
      </c>
      <c r="F51" s="54">
        <f>_xll.qlInterestRateIndexFixingDate(IborIndex,EffectiveDate,Trigger)</f>
        <v>42282</v>
      </c>
      <c r="G51" s="54">
        <f>_xll.qlInterestRateIndexValueDate(M51,F51)</f>
        <v>42284</v>
      </c>
      <c r="H51" s="54">
        <f>_xll.qlInterestRateIndexMaturity(M51,G51)</f>
        <v>48128</v>
      </c>
      <c r="I51" s="61">
        <f>_xll.qlIndexFixing(M51,F51,TRUE,AllTriggers)</f>
        <v>2.1889045712266544E-2</v>
      </c>
      <c r="J51" s="61" t="str">
        <f t="shared" si="2"/>
        <v>USD_CURVE_1M_16Y</v>
      </c>
      <c r="K51" s="61" t="s">
        <v>168</v>
      </c>
      <c r="M51" s="52" t="str">
        <f>_xll.qlSwapIndex(,"NoFix",D51,2,Currency,Calendar,FixedLegTenor,FixedLegBDC,FixedLegDayCounter,IborIndex,DiscountingCurve,,Trigger)</f>
        <v>obj_003cc#0000</v>
      </c>
      <c r="O51" s="37"/>
    </row>
    <row r="52" spans="4:15" x14ac:dyDescent="0.2">
      <c r="D52" s="46" t="s">
        <v>76</v>
      </c>
      <c r="E52" s="13" t="s">
        <v>95</v>
      </c>
      <c r="F52" s="54">
        <f>_xll.qlInterestRateIndexFixingDate(IborIndex,EffectiveDate,Trigger)</f>
        <v>42282</v>
      </c>
      <c r="G52" s="54">
        <f>_xll.qlInterestRateIndexValueDate(M52,F52)</f>
        <v>42284</v>
      </c>
      <c r="H52" s="54">
        <f>_xll.qlInterestRateIndexMaturity(M52,G52)</f>
        <v>48494</v>
      </c>
      <c r="I52" s="61">
        <f>_xll.qlIndexFixing(M52,F52,TRUE,AllTriggers)</f>
        <v>2.2204852886461027E-2</v>
      </c>
      <c r="J52" s="61" t="str">
        <f t="shared" si="2"/>
        <v>USD_CURVE_1M_17Y</v>
      </c>
      <c r="K52" s="61" t="s">
        <v>169</v>
      </c>
      <c r="M52" s="52" t="str">
        <f>_xll.qlSwapIndex(,"NoFix",D52,2,Currency,Calendar,FixedLegTenor,FixedLegBDC,FixedLegDayCounter,IborIndex,DiscountingCurve,,Trigger)</f>
        <v>obj_003ce#0000</v>
      </c>
      <c r="O52" s="37"/>
    </row>
    <row r="53" spans="4:15" x14ac:dyDescent="0.2">
      <c r="D53" s="46" t="s">
        <v>77</v>
      </c>
      <c r="E53" s="13" t="s">
        <v>95</v>
      </c>
      <c r="F53" s="54">
        <f>_xll.qlInterestRateIndexFixingDate(IborIndex,EffectiveDate,Trigger)</f>
        <v>42282</v>
      </c>
      <c r="G53" s="54">
        <f>_xll.qlInterestRateIndexValueDate(M53,F53)</f>
        <v>42284</v>
      </c>
      <c r="H53" s="54">
        <f>_xll.qlInterestRateIndexMaturity(M53,G53)</f>
        <v>48859</v>
      </c>
      <c r="I53" s="61">
        <f>_xll.qlIndexFixing(M53,F53,TRUE,AllTriggers)</f>
        <v>2.2479286975795407E-2</v>
      </c>
      <c r="J53" s="61" t="str">
        <f t="shared" si="2"/>
        <v>USD_CURVE_1M_18Y</v>
      </c>
      <c r="K53" s="61" t="s">
        <v>170</v>
      </c>
      <c r="M53" s="52" t="str">
        <f>_xll.qlSwapIndex(,"NoFix",D53,2,Currency,Calendar,FixedLegTenor,FixedLegBDC,FixedLegDayCounter,IborIndex,DiscountingCurve,,Trigger)</f>
        <v>obj_003a0#0000</v>
      </c>
      <c r="O53" s="37"/>
    </row>
    <row r="54" spans="4:15" x14ac:dyDescent="0.2">
      <c r="D54" s="46" t="s">
        <v>78</v>
      </c>
      <c r="E54" s="13" t="s">
        <v>95</v>
      </c>
      <c r="F54" s="54">
        <f>_xll.qlInterestRateIndexFixingDate(IborIndex,EffectiveDate,Trigger)</f>
        <v>42282</v>
      </c>
      <c r="G54" s="54">
        <f>_xll.qlInterestRateIndexValueDate(M54,F54)</f>
        <v>42284</v>
      </c>
      <c r="H54" s="54">
        <f>_xll.qlInterestRateIndexMaturity(M54,G54)</f>
        <v>49226</v>
      </c>
      <c r="I54" s="61">
        <f>_xll.qlIndexFixing(M54,F54,TRUE,AllTriggers)</f>
        <v>2.2717556904506404E-2</v>
      </c>
      <c r="J54" s="61" t="str">
        <f t="shared" si="2"/>
        <v>USD_CURVE_1M_19Y</v>
      </c>
      <c r="K54" s="61" t="s">
        <v>171</v>
      </c>
      <c r="M54" s="52" t="str">
        <f>_xll.qlSwapIndex(,"NoFix",D54,2,Currency,Calendar,FixedLegTenor,FixedLegBDC,FixedLegDayCounter,IborIndex,DiscountingCurve,,Trigger)</f>
        <v>obj_003ad#0000</v>
      </c>
      <c r="O54" s="37"/>
    </row>
    <row r="55" spans="4:15" x14ac:dyDescent="0.2">
      <c r="D55" s="46" t="s">
        <v>79</v>
      </c>
      <c r="E55" s="13" t="s">
        <v>95</v>
      </c>
      <c r="F55" s="54">
        <f>_xll.qlInterestRateIndexFixingDate(IborIndex,EffectiveDate,Trigger)</f>
        <v>42282</v>
      </c>
      <c r="G55" s="54">
        <f>_xll.qlInterestRateIndexValueDate(M55,F55)</f>
        <v>42284</v>
      </c>
      <c r="H55" s="54">
        <f>_xll.qlInterestRateIndexMaturity(M55,G55)</f>
        <v>49590</v>
      </c>
      <c r="I55" s="61">
        <f>_xll.qlIndexFixing(M55,F55,TRUE,AllTriggers)</f>
        <v>2.291887976319542E-2</v>
      </c>
      <c r="J55" s="61" t="str">
        <f t="shared" si="2"/>
        <v>USD_CURVE_1M_20Y</v>
      </c>
      <c r="K55" s="61" t="s">
        <v>172</v>
      </c>
      <c r="M55" s="52" t="str">
        <f>_xll.qlSwapIndex(,"NoFix",D55,2,Currency,Calendar,FixedLegTenor,FixedLegBDC,FixedLegDayCounter,IborIndex,DiscountingCurve,,Trigger)</f>
        <v>obj_003cd#0000</v>
      </c>
      <c r="O55" s="37"/>
    </row>
    <row r="56" spans="4:15" x14ac:dyDescent="0.2">
      <c r="D56" s="46" t="s">
        <v>80</v>
      </c>
      <c r="E56" s="13" t="s">
        <v>95</v>
      </c>
      <c r="F56" s="54">
        <f>_xll.qlInterestRateIndexFixingDate(IborIndex,EffectiveDate,Trigger)</f>
        <v>42282</v>
      </c>
      <c r="G56" s="54">
        <f>_xll.qlInterestRateIndexValueDate(M56,F56)</f>
        <v>42284</v>
      </c>
      <c r="H56" s="54">
        <f>_xll.qlInterestRateIndexMaturity(M56,G56)</f>
        <v>49955</v>
      </c>
      <c r="I56" s="61">
        <f>_xll.qlIndexFixing(M56,F56,TRUE,AllTriggers)</f>
        <v>2.3089068904530101E-2</v>
      </c>
      <c r="J56" s="61" t="str">
        <f t="shared" si="2"/>
        <v>USD_CURVE_1M_21Y</v>
      </c>
      <c r="K56" s="61" t="s">
        <v>173</v>
      </c>
      <c r="M56" s="52" t="str">
        <f>_xll.qlSwapIndex(,"NoFix",D56,2,Currency,Calendar,FixedLegTenor,FixedLegBDC,FixedLegDayCounter,IborIndex,DiscountingCurve,,Trigger)</f>
        <v>obj_00397#0000</v>
      </c>
      <c r="O56" s="37"/>
    </row>
    <row r="57" spans="4:15" x14ac:dyDescent="0.2">
      <c r="D57" s="46" t="s">
        <v>81</v>
      </c>
      <c r="E57" s="13" t="s">
        <v>95</v>
      </c>
      <c r="F57" s="54">
        <f>_xll.qlInterestRateIndexFixingDate(IborIndex,EffectiveDate,Trigger)</f>
        <v>42282</v>
      </c>
      <c r="G57" s="54">
        <f>_xll.qlInterestRateIndexValueDate(M57,F57)</f>
        <v>42284</v>
      </c>
      <c r="H57" s="54">
        <f>_xll.qlInterestRateIndexMaturity(M57,G57)</f>
        <v>50320</v>
      </c>
      <c r="I57" s="61">
        <f>_xll.qlIndexFixing(M57,F57,TRUE,AllTriggers)</f>
        <v>2.3234213914746921E-2</v>
      </c>
      <c r="J57" s="61" t="str">
        <f t="shared" si="2"/>
        <v>USD_CURVE_1M_22Y</v>
      </c>
      <c r="K57" s="61" t="s">
        <v>174</v>
      </c>
      <c r="M57" s="52" t="str">
        <f>_xll.qlSwapIndex(,"NoFix",D57,2,Currency,Calendar,FixedLegTenor,FixedLegBDC,FixedLegDayCounter,IborIndex,DiscountingCurve,,Trigger)</f>
        <v>obj_003c0#0000</v>
      </c>
      <c r="O57" s="37"/>
    </row>
    <row r="58" spans="4:15" x14ac:dyDescent="0.2">
      <c r="D58" s="46" t="s">
        <v>82</v>
      </c>
      <c r="E58" s="13" t="s">
        <v>95</v>
      </c>
      <c r="F58" s="54">
        <f>_xll.qlInterestRateIndexFixingDate(IborIndex,EffectiveDate,Trigger)</f>
        <v>42282</v>
      </c>
      <c r="G58" s="54">
        <f>_xll.qlInterestRateIndexValueDate(M58,F58)</f>
        <v>42284</v>
      </c>
      <c r="H58" s="54">
        <f>_xll.qlInterestRateIndexMaturity(M58,G58)</f>
        <v>50685</v>
      </c>
      <c r="I58" s="61">
        <f>_xll.qlIndexFixing(M58,F58,TRUE,AllTriggers)</f>
        <v>2.3360752814872734E-2</v>
      </c>
      <c r="J58" s="61" t="str">
        <f t="shared" si="2"/>
        <v>USD_CURVE_1M_23Y</v>
      </c>
      <c r="K58" s="61" t="s">
        <v>175</v>
      </c>
      <c r="M58" s="52" t="str">
        <f>_xll.qlSwapIndex(,"NoFix",D58,2,Currency,Calendar,FixedLegTenor,FixedLegBDC,FixedLegDayCounter,IborIndex,DiscountingCurve,,Trigger)</f>
        <v>obj_003ae#0000</v>
      </c>
      <c r="O58" s="37"/>
    </row>
    <row r="59" spans="4:15" x14ac:dyDescent="0.2">
      <c r="D59" s="46" t="s">
        <v>83</v>
      </c>
      <c r="E59" s="13" t="s">
        <v>95</v>
      </c>
      <c r="F59" s="54">
        <f>_xll.qlInterestRateIndexFixingDate(IborIndex,EffectiveDate,Trigger)</f>
        <v>42282</v>
      </c>
      <c r="G59" s="54">
        <f>_xll.qlInterestRateIndexValueDate(M59,F59)</f>
        <v>42284</v>
      </c>
      <c r="H59" s="54">
        <f>_xll.qlInterestRateIndexMaturity(M59,G59)</f>
        <v>51050</v>
      </c>
      <c r="I59" s="61">
        <f>_xll.qlIndexFixing(M59,F59,TRUE,AllTriggers)</f>
        <v>2.3473945968831299E-2</v>
      </c>
      <c r="J59" s="61" t="str">
        <f t="shared" si="2"/>
        <v>USD_CURVE_1M_24Y</v>
      </c>
      <c r="K59" s="61" t="s">
        <v>176</v>
      </c>
      <c r="M59" s="52" t="str">
        <f>_xll.qlSwapIndex(,"NoFix",D59,2,Currency,Calendar,FixedLegTenor,FixedLegBDC,FixedLegDayCounter,IborIndex,DiscountingCurve,,Trigger)</f>
        <v>obj_003b3#0000</v>
      </c>
    </row>
    <row r="60" spans="4:15" x14ac:dyDescent="0.2">
      <c r="D60" s="46" t="s">
        <v>84</v>
      </c>
      <c r="E60" s="13" t="s">
        <v>95</v>
      </c>
      <c r="F60" s="54">
        <f>_xll.qlInterestRateIndexFixingDate(IborIndex,EffectiveDate,Trigger)</f>
        <v>42282</v>
      </c>
      <c r="G60" s="54">
        <f>_xll.qlInterestRateIndexValueDate(M60,F60)</f>
        <v>42284</v>
      </c>
      <c r="H60" s="54">
        <f>_xll.qlInterestRateIndexMaturity(M60,G60)</f>
        <v>51417</v>
      </c>
      <c r="I60" s="61">
        <f>_xll.qlIndexFixing(M60,F60,TRUE,AllTriggers)</f>
        <v>2.3578719633895823E-2</v>
      </c>
      <c r="J60" s="61" t="str">
        <f t="shared" si="2"/>
        <v>USD_CURVE_1M_25Y</v>
      </c>
      <c r="K60" s="61" t="s">
        <v>177</v>
      </c>
      <c r="M60" s="52" t="str">
        <f>_xll.qlSwapIndex(,"NoFix",D60,2,Currency,Calendar,FixedLegTenor,FixedLegBDC,FixedLegDayCounter,IborIndex,DiscountingCurve,,Trigger)</f>
        <v>obj_003b4#0000</v>
      </c>
    </row>
    <row r="61" spans="4:15" x14ac:dyDescent="0.2">
      <c r="D61" s="46" t="s">
        <v>85</v>
      </c>
      <c r="E61" s="13" t="s">
        <v>95</v>
      </c>
      <c r="F61" s="54">
        <f>_xll.qlInterestRateIndexFixingDate(IborIndex,EffectiveDate,Trigger)</f>
        <v>42282</v>
      </c>
      <c r="G61" s="54">
        <f>_xll.qlInterestRateIndexValueDate(M61,F61)</f>
        <v>42284</v>
      </c>
      <c r="H61" s="54">
        <f>_xll.qlInterestRateIndexMaturity(M61,G61)</f>
        <v>51781</v>
      </c>
      <c r="I61" s="61">
        <f>_xll.qlIndexFixing(M61,F61,TRUE,AllTriggers)</f>
        <v>2.3676356288802509E-2</v>
      </c>
      <c r="J61" s="61" t="str">
        <f t="shared" si="2"/>
        <v>USD_CURVE_1M_26Y</v>
      </c>
      <c r="K61" s="61" t="s">
        <v>178</v>
      </c>
      <c r="M61" s="52" t="str">
        <f>_xll.qlSwapIndex(,"NoFix",D61,2,Currency,Calendar,FixedLegTenor,FixedLegBDC,FixedLegDayCounter,IborIndex,DiscountingCurve,,Trigger)</f>
        <v>obj_0039f#0000</v>
      </c>
    </row>
    <row r="62" spans="4:15" x14ac:dyDescent="0.2">
      <c r="D62" s="46" t="s">
        <v>86</v>
      </c>
      <c r="E62" s="13" t="s">
        <v>95</v>
      </c>
      <c r="F62" s="54">
        <f>_xll.qlInterestRateIndexFixingDate(IborIndex,EffectiveDate,Trigger)</f>
        <v>42282</v>
      </c>
      <c r="G62" s="54">
        <f>_xll.qlInterestRateIndexValueDate(M62,F62)</f>
        <v>42284</v>
      </c>
      <c r="H62" s="54">
        <f>_xll.qlInterestRateIndexMaturity(M62,G62)</f>
        <v>52146</v>
      </c>
      <c r="I62" s="61">
        <f>_xll.qlIndexFixing(M62,F62,TRUE,AllTriggers)</f>
        <v>2.3767418074082003E-2</v>
      </c>
      <c r="J62" s="61" t="str">
        <f t="shared" ref="J62:J68" si="3">Currency&amp;"_CURVE_"&amp;CurveTenor&amp;"_"&amp;D62</f>
        <v>USD_CURVE_1M_27Y</v>
      </c>
      <c r="K62" s="61" t="s">
        <v>179</v>
      </c>
      <c r="M62" s="52" t="str">
        <f>_xll.qlSwapIndex(,"NoFix",D62,2,Currency,Calendar,FixedLegTenor,FixedLegBDC,FixedLegDayCounter,IborIndex,DiscountingCurve,,Trigger)</f>
        <v>obj_003ab#0000</v>
      </c>
    </row>
    <row r="63" spans="4:15" x14ac:dyDescent="0.2">
      <c r="D63" s="46" t="s">
        <v>87</v>
      </c>
      <c r="E63" s="13" t="s">
        <v>95</v>
      </c>
      <c r="F63" s="54">
        <f>_xll.qlInterestRateIndexFixingDate(IborIndex,EffectiveDate,Trigger)</f>
        <v>42282</v>
      </c>
      <c r="G63" s="54">
        <f>_xll.qlInterestRateIndexValueDate(M63,F63)</f>
        <v>42284</v>
      </c>
      <c r="H63" s="54">
        <f>_xll.qlInterestRateIndexMaturity(M63,G63)</f>
        <v>52511</v>
      </c>
      <c r="I63" s="61">
        <f>_xll.qlIndexFixing(M63,F63,TRUE,AllTriggers)</f>
        <v>2.3850366644258672E-2</v>
      </c>
      <c r="J63" s="61" t="str">
        <f t="shared" si="3"/>
        <v>USD_CURVE_1M_28Y</v>
      </c>
      <c r="K63" s="61" t="s">
        <v>180</v>
      </c>
      <c r="M63" s="52" t="str">
        <f>_xll.qlSwapIndex(,"NoFix",D63,2,Currency,Calendar,FixedLegTenor,FixedLegBDC,FixedLegDayCounter,IborIndex,DiscountingCurve,,Trigger)</f>
        <v>obj_003cb#0000</v>
      </c>
    </row>
    <row r="64" spans="4:15" x14ac:dyDescent="0.2">
      <c r="D64" s="46" t="s">
        <v>88</v>
      </c>
      <c r="E64" s="13" t="s">
        <v>95</v>
      </c>
      <c r="F64" s="54">
        <f>_xll.qlInterestRateIndexFixingDate(IborIndex,EffectiveDate,Trigger)</f>
        <v>42282</v>
      </c>
      <c r="G64" s="54">
        <f>_xll.qlInterestRateIndexValueDate(M64,F64)</f>
        <v>42284</v>
      </c>
      <c r="H64" s="54">
        <f>_xll.qlInterestRateIndexMaturity(M64,G64)</f>
        <v>52877</v>
      </c>
      <c r="I64" s="61">
        <f>_xll.qlIndexFixing(M64,F64,TRUE,AllTriggers)</f>
        <v>2.3924411245773294E-2</v>
      </c>
      <c r="J64" s="61" t="str">
        <f t="shared" si="3"/>
        <v>USD_CURVE_1M_29Y</v>
      </c>
      <c r="K64" s="61" t="s">
        <v>181</v>
      </c>
      <c r="M64" s="52" t="str">
        <f>_xll.qlSwapIndex(,"NoFix",D64,2,Currency,Calendar,FixedLegTenor,FixedLegBDC,FixedLegDayCounter,IborIndex,DiscountingCurve,,Trigger)</f>
        <v>obj_003b7#0000</v>
      </c>
    </row>
    <row r="65" spans="4:13" x14ac:dyDescent="0.2">
      <c r="D65" s="46" t="s">
        <v>89</v>
      </c>
      <c r="E65" s="13" t="s">
        <v>95</v>
      </c>
      <c r="F65" s="54">
        <f>_xll.qlInterestRateIndexFixingDate(IborIndex,EffectiveDate,Trigger)</f>
        <v>42282</v>
      </c>
      <c r="G65" s="54">
        <f>_xll.qlInterestRateIndexValueDate(M65,F65)</f>
        <v>42284</v>
      </c>
      <c r="H65" s="54">
        <f>_xll.qlInterestRateIndexMaturity(M65,G65)</f>
        <v>53244</v>
      </c>
      <c r="I65" s="61">
        <f>_xll.qlIndexFixing(M65,F65,TRUE,AllTriggers)</f>
        <v>2.3988659578090956E-2</v>
      </c>
      <c r="J65" s="61" t="str">
        <f t="shared" si="3"/>
        <v>USD_CURVE_1M_30Y</v>
      </c>
      <c r="K65" s="61" t="s">
        <v>182</v>
      </c>
      <c r="M65" s="52" t="str">
        <f>_xll.qlSwapIndex(,"NoFix",D65,2,Currency,Calendar,FixedLegTenor,FixedLegBDC,FixedLegDayCounter,IborIndex,DiscountingCurve,,Trigger)</f>
        <v>obj_003bf#0000</v>
      </c>
    </row>
    <row r="66" spans="4:13" x14ac:dyDescent="0.2">
      <c r="D66" s="86" t="s">
        <v>90</v>
      </c>
      <c r="E66" s="77" t="s">
        <v>95</v>
      </c>
      <c r="F66" s="54">
        <f>_xll.qlInterestRateIndexFixingDate(IborIndex,EffectiveDate,Trigger)</f>
        <v>42282</v>
      </c>
      <c r="G66" s="54">
        <f>_xll.qlInterestRateIndexValueDate(M66,F66)</f>
        <v>42284</v>
      </c>
      <c r="H66" s="54">
        <f>_xll.qlInterestRateIndexMaturity(M66,G66)</f>
        <v>56894</v>
      </c>
      <c r="I66" s="61">
        <f>_xll.qlIndexFixing(M66,F66,TRUE,AllTriggers)</f>
        <v>2.4188808941098375E-2</v>
      </c>
      <c r="J66" s="61" t="str">
        <f t="shared" si="3"/>
        <v>USD_CURVE_1M_40Y</v>
      </c>
      <c r="K66" s="61" t="s">
        <v>183</v>
      </c>
      <c r="M66" s="52" t="str">
        <f>_xll.qlSwapIndex(,"NoFix",D66,2,Currency,Calendar,FixedLegTenor,FixedLegBDC,FixedLegDayCounter,IborIndex,DiscountingCurve,,Trigger)</f>
        <v>obj_003ac#0000</v>
      </c>
    </row>
    <row r="67" spans="4:13" x14ac:dyDescent="0.2">
      <c r="D67" s="86" t="s">
        <v>91</v>
      </c>
      <c r="E67" s="77" t="s">
        <v>95</v>
      </c>
      <c r="F67" s="54">
        <f>_xll.qlInterestRateIndexFixingDate(IborIndex,EffectiveDate,Trigger)</f>
        <v>42282</v>
      </c>
      <c r="G67" s="54">
        <f>_xll.qlInterestRateIndexValueDate(M67,F67)</f>
        <v>42284</v>
      </c>
      <c r="H67" s="54">
        <f>_xll.qlInterestRateIndexMaturity(M67,G67)</f>
        <v>60547</v>
      </c>
      <c r="I67" s="61">
        <f>_xll.qlIndexFixing(M67,F67,TRUE,AllTriggers)</f>
        <v>2.4008893592707886E-2</v>
      </c>
      <c r="J67" s="61" t="str">
        <f t="shared" si="3"/>
        <v>USD_CURVE_1M_50Y</v>
      </c>
      <c r="K67" s="61" t="s">
        <v>184</v>
      </c>
      <c r="M67" s="52" t="str">
        <f>_xll.qlSwapIndex(,"NoFix",D67,2,Currency,Calendar,FixedLegTenor,FixedLegBDC,FixedLegDayCounter,IborIndex,DiscountingCurve,,Trigger)</f>
        <v>obj_00396#0000</v>
      </c>
    </row>
    <row r="68" spans="4:13" x14ac:dyDescent="0.2">
      <c r="D68" s="89" t="s">
        <v>92</v>
      </c>
      <c r="E68" s="78" t="s">
        <v>95</v>
      </c>
      <c r="F68" s="56">
        <f>_xll.qlInterestRateIndexFixingDate(IborIndex,EffectiveDate,Trigger)</f>
        <v>42282</v>
      </c>
      <c r="G68" s="56">
        <f>_xll.qlInterestRateIndexValueDate(M68,F68)</f>
        <v>42284</v>
      </c>
      <c r="H68" s="56">
        <f>_xll.qlInterestRateIndexMaturity(M68,G68)</f>
        <v>64199</v>
      </c>
      <c r="I68" s="57">
        <f>_xll.qlIndexFixing(M68,F68,TRUE,AllTriggers)</f>
        <v>2.3845245929972954E-2</v>
      </c>
      <c r="J68" s="57" t="str">
        <f t="shared" si="3"/>
        <v>USD_CURVE_1M_60Y</v>
      </c>
      <c r="K68" s="57" t="s">
        <v>185</v>
      </c>
      <c r="M68" s="58" t="str">
        <f>_xll.qlSwapIndex(,"NoFix",D68,2,Currency,Calendar,FixedLegTenor,FixedLegBDC,FixedLegDayCounter,IborIndex,DiscountingCurve,,Trigger)</f>
        <v>obj_003b8#0000</v>
      </c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37"/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>_xll.qlInterestRateIndexFixingDate(IborIndex,EffectiveDate,Trigger)</f>
        <v>42282</v>
      </c>
      <c r="G9" s="87">
        <f>_xll.qlInterestRateIndexValueDate(M9,F9)</f>
        <v>42284</v>
      </c>
      <c r="H9" s="87">
        <f>_xll.qlInterestRateIndexMaturity(M9,G9)</f>
        <v>42291</v>
      </c>
      <c r="I9" s="79">
        <f>_xll.qlIndexFixing(M9,F9,TRUE,AllTriggers)</f>
        <v>3.2230785011539659E-3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obj_0037c#0000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f>_xll.qlInterestRateIndexFixingDate(IborIndex,EffectiveDate,Trigger)</f>
        <v>42282</v>
      </c>
      <c r="G10" s="87">
        <f>_xll.qlInterestRateIndexValueDate(M10,F10)</f>
        <v>42284</v>
      </c>
      <c r="H10" s="87">
        <f>_xll.qlInterestRateIndexMaturity(M10,G10)</f>
        <v>42298</v>
      </c>
      <c r="I10" s="79">
        <f>_xll.qlIndexFixing(M10,F10,TRUE,AllTriggers)</f>
        <v>3.2150600061488432E-3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obj_0038e#0000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f>_xll.qlInterestRateIndexFixingDate(IborIndex,EffectiveDate,Trigger)</f>
        <v>42282</v>
      </c>
      <c r="G11" s="87">
        <f>_xll.qlInterestRateIndexValueDate(M11,F11)</f>
        <v>42284</v>
      </c>
      <c r="H11" s="87">
        <f>_xll.qlInterestRateIndexMaturity(M11,G11)</f>
        <v>42305</v>
      </c>
      <c r="I11" s="79">
        <f>_xll.qlIndexFixing(M11,F11,TRUE,AllTriggers)</f>
        <v>3.2016271741763802E-3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obj_00385#0000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f>_xll.qlInterestRateIndexFixingDate(IborIndex,EffectiveDate,Trigger)</f>
        <v>42282</v>
      </c>
      <c r="G12" s="88">
        <f>_xll.qlInterestRateIndexValueDate(M12,F12)</f>
        <v>42284</v>
      </c>
      <c r="H12" s="87">
        <f>_xll.qlInterestRateIndexMaturity(M12,G12)</f>
        <v>42317</v>
      </c>
      <c r="I12" s="79">
        <f>_xll.qlIndexFixing(M12,F12,TRUE,AllTriggers)</f>
        <v>3.166000000000709E-3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obj_00379#0000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f>_xll.qlInterestRateIndexFixingDate(IborIndex,EffectiveDate,Trigger)</f>
        <v>42282</v>
      </c>
      <c r="G13" s="88">
        <f>_xll.qlInterestRateIndexValueDate(M13,F13)</f>
        <v>42284</v>
      </c>
      <c r="H13" s="87">
        <f>_xll.qlInterestRateIndexMaturity(M13,G13)</f>
        <v>42345</v>
      </c>
      <c r="I13" s="79">
        <f>_xll.qlIndexFixing(M13,F13,TRUE,AllTriggers)</f>
        <v>3.1549999999864993E-3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obj_00381#0000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f>_xll.qlInterestRateIndexFixingDate(IborIndex,EffectiveDate,Trigger)</f>
        <v>42282</v>
      </c>
      <c r="G14" s="88">
        <f>_xll.qlInterestRateIndexValueDate(M14,F14)</f>
        <v>42284</v>
      </c>
      <c r="H14" s="87">
        <f>_xll.qlInterestRateIndexMaturity(M14,G14)</f>
        <v>42376</v>
      </c>
      <c r="I14" s="79">
        <f>_xll.qlIndexFixing(M14,F14,TRUE,AllTriggers)</f>
        <v>3.2710000000002464E-3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obj_00382#0000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f>_xll.qlInterestRateIndexFixingDate(IborIndex,EffectiveDate,Trigger)</f>
        <v>42282</v>
      </c>
      <c r="G15" s="88">
        <f>_xll.qlInterestRateIndexValueDate(M15,F15)</f>
        <v>42284</v>
      </c>
      <c r="H15" s="87">
        <f>_xll.qlInterestRateIndexMaturity(M15,G15)</f>
        <v>42408</v>
      </c>
      <c r="I15" s="79">
        <f>_xll.qlIndexFixing(M15,F15,TRUE,AllTriggers)</f>
        <v>3.2272578630238202E-3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obj_0037a#0000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f>_xll.qlInterestRateIndexFixingDate(IborIndex,EffectiveDate,Trigger)</f>
        <v>42282</v>
      </c>
      <c r="G16" s="88">
        <f>_xll.qlInterestRateIndexValueDate(M16,F16)</f>
        <v>42284</v>
      </c>
      <c r="H16" s="87">
        <f>_xll.qlInterestRateIndexMaturity(M16,G16)</f>
        <v>42436</v>
      </c>
      <c r="I16" s="79">
        <f>_xll.qlIndexFixing(M16,F16,TRUE,AllTriggers)</f>
        <v>3.4560447872202336E-3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obj_00388#0000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f>_xll.qlInterestRateIndexFixingDate(IborIndex,EffectiveDate,Trigger)</f>
        <v>42282</v>
      </c>
      <c r="G17" s="88">
        <f>_xll.qlInterestRateIndexValueDate(M17,F17)</f>
        <v>42284</v>
      </c>
      <c r="H17" s="87">
        <f>_xll.qlInterestRateIndexMaturity(M17,G17)</f>
        <v>42467</v>
      </c>
      <c r="I17" s="79">
        <f>_xll.qlIndexFixing(M17,F17,TRUE,AllTriggers)</f>
        <v>3.6722957703709197E-3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obj_0037b#0000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f>_xll.qlInterestRateIndexFixingDate(IborIndex,EffectiveDate,Trigger)</f>
        <v>42282</v>
      </c>
      <c r="G18" s="88">
        <f>_xll.qlInterestRateIndexValueDate(M18,F18)</f>
        <v>42284</v>
      </c>
      <c r="H18" s="87">
        <f>_xll.qlInterestRateIndexMaturity(M18,G18)</f>
        <v>42499</v>
      </c>
      <c r="I18" s="79">
        <f>_xll.qlIndexFixing(M18,F18,TRUE,AllTriggers)</f>
        <v>3.8261412487570873E-3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obj_0037f#0000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f>_xll.qlInterestRateIndexFixingDate(IborIndex,EffectiveDate,Trigger)</f>
        <v>42282</v>
      </c>
      <c r="G19" s="88">
        <f>_xll.qlInterestRateIndexValueDate(M19,F19)</f>
        <v>42284</v>
      </c>
      <c r="H19" s="87">
        <f>_xll.qlInterestRateIndexMaturity(M19,G19)</f>
        <v>42528</v>
      </c>
      <c r="I19" s="79">
        <f>_xll.qlIndexFixing(M19,F19,TRUE,AllTriggers)</f>
        <v>3.9550916461777901E-3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obj_0038a#0000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f>_xll.qlInterestRateIndexFixingDate(IborIndex,EffectiveDate,Trigger)</f>
        <v>42282</v>
      </c>
      <c r="G20" s="88">
        <f>_xll.qlInterestRateIndexValueDate(M20,F20)</f>
        <v>42284</v>
      </c>
      <c r="H20" s="87">
        <f>_xll.qlInterestRateIndexMaturity(M20,G20)</f>
        <v>42558</v>
      </c>
      <c r="I20" s="79">
        <f>_xll.qlIndexFixing(M20,F20,TRUE,AllTriggers)</f>
        <v>4.1047376765932465E-3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obj_0038d#0000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23">
        <f>_xll.qlDayCounterYearFraction("actual/360",SettlementDate,C24,,,Trigger)</f>
        <v>0.7</v>
      </c>
      <c r="C24" s="168">
        <f>_xll.qlIMMNextDate(_xll.qlIMMNextCode(_xll.qlIMMNextCode(EvaluationDate+FuturesRollDays)))</f>
        <v>42536</v>
      </c>
      <c r="D24" s="175" t="str">
        <f>"#"&amp;YEAR(C24)&amp;IF(LEN(MONTH(C24))=1,"0","")&amp;MONTH(C24)&amp;IF(LEN(DAY(C24))=1,"0","")&amp;DAY(C24)</f>
        <v>#20160615</v>
      </c>
      <c r="E24" s="176" t="s">
        <v>112</v>
      </c>
      <c r="F24" s="174"/>
      <c r="G24" s="174"/>
      <c r="H24" s="174"/>
      <c r="I24" s="177">
        <f>(_xll.qlYieldTSDiscount(YieldCurve,SettlementDate,,AllTriggers)/_xll.qlYieldTSDiscount(YieldCurve,C24,,AllTriggers)-1)/B24</f>
        <v>3.9928298695505026E-3</v>
      </c>
      <c r="J24" s="174" t="str">
        <f>Currency&amp;"_CURVE_DEP"&amp;CurveTenor&amp;"_"&amp;D24</f>
        <v>USD_CURVE_DEP3M_#20160615</v>
      </c>
      <c r="K24" s="174"/>
      <c r="L24" s="51"/>
      <c r="R24" s="23"/>
      <c r="S24" s="23"/>
    </row>
    <row r="25" spans="1:19" x14ac:dyDescent="0.2">
      <c r="A25" s="23"/>
      <c r="B25" s="23"/>
      <c r="C25" s="23" t="b">
        <v>1</v>
      </c>
      <c r="D25" s="83" t="str">
        <f t="array" ref="D25:D32">_xll.qlIMMNextCodes(EvaluationDate,C25:C32)</f>
        <v>Z5</v>
      </c>
      <c r="E25" s="76" t="s">
        <v>101</v>
      </c>
      <c r="F25" s="84">
        <f>_xll.qlInterestRateIndexFixingDate(IborIndex,G25)</f>
        <v>42352</v>
      </c>
      <c r="G25" s="94">
        <f>_xll.qlIMMdate(D25)</f>
        <v>42354</v>
      </c>
      <c r="H25" s="84">
        <f>_xll.qlInterestRateIndexMaturity(IborIndex,G25)</f>
        <v>42445</v>
      </c>
      <c r="I25" s="161">
        <f>(1-_xll.qlIndexFixing(IborIndex,F25,TRUE,AllTriggers))*100</f>
        <v>99.62303330325004</v>
      </c>
      <c r="J25" s="90" t="str">
        <f t="shared" ref="J25:J32" si="1">Currency&amp;"_CURVE_"&amp;E25&amp;CurveTenor&amp;"_"&amp;D25</f>
        <v>USD_CURVE_FUT3M_Z5</v>
      </c>
      <c r="K25" s="90" t="str">
        <f>"ED"&amp;D25</f>
        <v>EDZ5</v>
      </c>
      <c r="R25" s="23"/>
      <c r="S25" s="23"/>
    </row>
    <row r="26" spans="1:19" x14ac:dyDescent="0.2">
      <c r="A26" s="23"/>
      <c r="B26" s="23"/>
      <c r="C26" s="23" t="b">
        <v>1</v>
      </c>
      <c r="D26" s="86" t="str">
        <v>H6</v>
      </c>
      <c r="E26" s="77" t="s">
        <v>101</v>
      </c>
      <c r="F26" s="87">
        <f>_xll.qlInterestRateIndexFixingDate(IborIndex,G26)</f>
        <v>42443</v>
      </c>
      <c r="G26" s="88">
        <f>_xll.qlIMMdate(D26)</f>
        <v>42445</v>
      </c>
      <c r="H26" s="87">
        <f>_xll.qlInterestRateIndexMaturity(IborIndex,G26)</f>
        <v>42537</v>
      </c>
      <c r="I26" s="162">
        <f>(1-_xll.qlIndexFixing(IborIndex,F26,TRUE,AllTriggers))*100</f>
        <v>99.519138471175438</v>
      </c>
      <c r="J26" s="79" t="str">
        <f t="shared" si="1"/>
        <v>USD_CURVE_FUT3M_H6</v>
      </c>
      <c r="K26" s="79" t="str">
        <f t="shared" ref="K26:K32" si="2">"ED"&amp;D26</f>
        <v>EDH6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M6</v>
      </c>
      <c r="E27" s="77" t="s">
        <v>101</v>
      </c>
      <c r="F27" s="87">
        <f>_xll.qlInterestRateIndexFixingDate(IborIndex,G27)</f>
        <v>42534</v>
      </c>
      <c r="G27" s="88">
        <f>_xll.qlIMMdate(D27)</f>
        <v>42536</v>
      </c>
      <c r="H27" s="87">
        <f>_xll.qlInterestRateIndexMaturity(IborIndex,G27)</f>
        <v>42628</v>
      </c>
      <c r="I27" s="162">
        <f>(1-_xll.qlIndexFixing(IborIndex,F27,TRUE,AllTriggers))*100</f>
        <v>99.410700761379672</v>
      </c>
      <c r="J27" s="79" t="str">
        <f t="shared" si="1"/>
        <v>USD_CURVE_FUT3M_M6</v>
      </c>
      <c r="K27" s="79" t="str">
        <f t="shared" si="2"/>
        <v>EDM6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U6</v>
      </c>
      <c r="E28" s="77" t="s">
        <v>101</v>
      </c>
      <c r="F28" s="87">
        <f>_xll.qlInterestRateIndexFixingDate(IborIndex,G28)</f>
        <v>42632</v>
      </c>
      <c r="G28" s="88">
        <f>_xll.qlIMMdate(D28)</f>
        <v>42634</v>
      </c>
      <c r="H28" s="87">
        <f>_xll.qlInterestRateIndexMaturity(IborIndex,G28)</f>
        <v>42725</v>
      </c>
      <c r="I28" s="162">
        <f>(1-_xll.qlIndexFixing(IborIndex,F28,TRUE,AllTriggers))*100</f>
        <v>99.27786780905727</v>
      </c>
      <c r="J28" s="79" t="str">
        <f t="shared" si="1"/>
        <v>USD_CURVE_FUT3M_U6</v>
      </c>
      <c r="K28" s="79" t="str">
        <f t="shared" si="2"/>
        <v>EDU6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Z6</v>
      </c>
      <c r="E29" s="77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42815</v>
      </c>
      <c r="I29" s="163">
        <f>(1-_xll.qlIndexFixing(IborIndex,F29,TRUE,AllTriggers))*100</f>
        <v>99.140326787930547</v>
      </c>
      <c r="J29" s="80" t="str">
        <f t="shared" si="1"/>
        <v>USD_CURVE_FUT3M_Z6</v>
      </c>
      <c r="K29" s="80" t="str">
        <f t="shared" si="2"/>
        <v>EDZ6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H7</v>
      </c>
      <c r="E30" s="77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42901</v>
      </c>
      <c r="I30" s="163">
        <f>(1-_xll.qlIndexFixing(IborIndex,F30,TRUE,AllTriggers))*100</f>
        <v>99.018056438885353</v>
      </c>
      <c r="J30" s="80" t="str">
        <f t="shared" si="1"/>
        <v>USD_CURVE_FUT3M_H7</v>
      </c>
      <c r="K30" s="80" t="str">
        <f t="shared" si="2"/>
        <v>EDH7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M7</v>
      </c>
      <c r="E31" s="77" t="s">
        <v>101</v>
      </c>
      <c r="F31" s="87">
        <f>_xll.qlInterestRateIndexFixingDate(IborIndex,G31)</f>
        <v>42905</v>
      </c>
      <c r="G31" s="88">
        <f>_xll.qlIMMdate(D31)</f>
        <v>42907</v>
      </c>
      <c r="H31" s="87">
        <f>_xll.qlInterestRateIndexMaturity(IborIndex,G31)</f>
        <v>42999</v>
      </c>
      <c r="I31" s="162">
        <f>(1-_xll.qlIndexFixing(IborIndex,F31,TRUE,AllTriggers))*100</f>
        <v>98.891636622897835</v>
      </c>
      <c r="J31" s="79" t="str">
        <f t="shared" si="1"/>
        <v>USD_CURVE_FUT3M_M7</v>
      </c>
      <c r="K31" s="79" t="str">
        <f t="shared" si="2"/>
        <v>EDM7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U7</v>
      </c>
      <c r="E32" s="77" t="s">
        <v>101</v>
      </c>
      <c r="F32" s="87">
        <f>_xll.qlInterestRateIndexFixingDate(IborIndex,G32)</f>
        <v>42996</v>
      </c>
      <c r="G32" s="88">
        <f>_xll.qlIMMdate(D32)</f>
        <v>42998</v>
      </c>
      <c r="H32" s="87">
        <f>_xll.qlInterestRateIndexMaturity(IborIndex,G32)</f>
        <v>43089</v>
      </c>
      <c r="I32" s="162">
        <f>(1-_xll.qlIndexFixing(IborIndex,F32,TRUE,AllTriggers))*100</f>
        <v>98.770349735416247</v>
      </c>
      <c r="J32" s="79" t="str">
        <f t="shared" si="1"/>
        <v>USD_CURVE_FUT3M_U7</v>
      </c>
      <c r="K32" s="79" t="str">
        <f t="shared" si="2"/>
        <v>EDU7</v>
      </c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7" x14ac:dyDescent="0.2">
      <c r="D33" s="83" t="s">
        <v>22</v>
      </c>
      <c r="E33" s="76" t="s">
        <v>95</v>
      </c>
      <c r="F33" s="94">
        <f>_xll.qlInterestRateIndexFixingDate(IborIndex,EffectiveDate,Trigger)</f>
        <v>42282</v>
      </c>
      <c r="G33" s="94">
        <f>_xll.qlInterestRateIndexValueDate(M33,F33)</f>
        <v>42284</v>
      </c>
      <c r="H33" s="94">
        <f>_xll.qlInterestRateIndexMaturity(M33,G33)</f>
        <v>42650</v>
      </c>
      <c r="I33" s="85">
        <f>_xll.qlIndexFixing(M33,F33,TRUE,AllTriggers)</f>
        <v>4.6339357193321004E-3</v>
      </c>
      <c r="J33" s="85" t="str">
        <f t="shared" ref="J33:J61" si="3">Currency&amp;"_CURVE_"&amp;CurveTenor&amp;"_"&amp;D33</f>
        <v>USD_CURVE_3M_1Y</v>
      </c>
      <c r="K33" s="85" t="s">
        <v>120</v>
      </c>
      <c r="L33" s="51"/>
      <c r="M33" s="52" t="str">
        <f>_xll.qlSwapIndex(,"NoFix",D33,2,Currency,Calendar,FixedLegTenor,FixedLegBDC,FixedLegDayCounter,IborIndex,DiscountingCurve,,Trigger)</f>
        <v>obj_0041e#0000</v>
      </c>
      <c r="N33" s="34"/>
      <c r="O33" s="36" t="s">
        <v>22</v>
      </c>
      <c r="P33" s="36" t="s">
        <v>39</v>
      </c>
      <c r="Q33" s="36" t="s">
        <v>96</v>
      </c>
    </row>
    <row r="34" spans="4:17" x14ac:dyDescent="0.2">
      <c r="D34" s="86"/>
      <c r="E34" s="77"/>
      <c r="F34" s="88"/>
      <c r="G34" s="88"/>
      <c r="H34" s="88"/>
      <c r="I34" s="80"/>
      <c r="J34" s="80"/>
      <c r="K34" s="80"/>
      <c r="L34" s="51"/>
      <c r="M34" s="52"/>
      <c r="N34" s="34"/>
      <c r="O34" s="37"/>
      <c r="P34" s="34"/>
      <c r="Q34" s="37"/>
    </row>
    <row r="35" spans="4:17" x14ac:dyDescent="0.2">
      <c r="D35" s="86"/>
      <c r="E35" s="77"/>
      <c r="F35" s="88"/>
      <c r="G35" s="88"/>
      <c r="H35" s="88"/>
      <c r="I35" s="80"/>
      <c r="J35" s="80"/>
      <c r="K35" s="80"/>
      <c r="L35" s="51"/>
      <c r="M35" s="52"/>
      <c r="N35" s="34"/>
      <c r="O35" s="37"/>
      <c r="P35" s="34"/>
      <c r="Q35" s="37"/>
    </row>
    <row r="36" spans="4:17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4:17" x14ac:dyDescent="0.2">
      <c r="D37" s="86" t="s">
        <v>23</v>
      </c>
      <c r="E37" s="77" t="s">
        <v>95</v>
      </c>
      <c r="F37" s="88">
        <f>_xll.qlInterestRateIndexFixingDate(IborIndex,EffectiveDate,Trigger)</f>
        <v>42282</v>
      </c>
      <c r="G37" s="88">
        <f>_xll.qlInterestRateIndexValueDate(M37,F37)</f>
        <v>42284</v>
      </c>
      <c r="H37" s="88">
        <f>_xll.qlInterestRateIndexMaturity(M37,G37)</f>
        <v>43017</v>
      </c>
      <c r="I37" s="80">
        <f>_xll.qlIndexFixing(M37,F37,TRUE,AllTriggers)</f>
        <v>7.0483960301472035E-3</v>
      </c>
      <c r="J37" s="80" t="str">
        <f t="shared" si="3"/>
        <v>USD_CURVE_3M_2Y</v>
      </c>
      <c r="K37" s="80" t="s">
        <v>121</v>
      </c>
      <c r="L37" s="51"/>
      <c r="M37" s="52" t="str">
        <f>_xll.qlSwapIndex(,"NoFix",D37,2,Currency,Calendar,FixedLegTenor,FixedLegBDC,FixedLegDayCounter,IborIndex,DiscountingCurve,,Trigger)</f>
        <v>obj_003e7#0000</v>
      </c>
      <c r="N37" s="34"/>
      <c r="O37" s="37"/>
      <c r="P37" s="34"/>
      <c r="Q37" s="37"/>
    </row>
    <row r="38" spans="4:17" x14ac:dyDescent="0.2">
      <c r="D38" s="86" t="s">
        <v>24</v>
      </c>
      <c r="E38" s="77" t="s">
        <v>95</v>
      </c>
      <c r="F38" s="88">
        <f>_xll.qlInterestRateIndexFixingDate(IborIndex,EffectiveDate,Trigger)</f>
        <v>42282</v>
      </c>
      <c r="G38" s="88">
        <f>_xll.qlInterestRateIndexValueDate(M38,F38)</f>
        <v>42284</v>
      </c>
      <c r="H38" s="88">
        <f>_xll.qlInterestRateIndexMaturity(M38,G38)</f>
        <v>43381</v>
      </c>
      <c r="I38" s="80">
        <f>_xll.qlIndexFixing(M38,F38,TRUE,AllTriggers)</f>
        <v>9.3339657427868143E-3</v>
      </c>
      <c r="J38" s="80" t="str">
        <f t="shared" si="3"/>
        <v>USD_CURVE_3M_3Y</v>
      </c>
      <c r="K38" s="80" t="s">
        <v>122</v>
      </c>
      <c r="L38" s="23"/>
      <c r="M38" s="52" t="str">
        <f>_xll.qlSwapIndex(,"NoFix",D38,2,Currency,Calendar,FixedLegTenor,FixedLegBDC,FixedLegDayCounter,IborIndex,DiscountingCurve,,Trigger)</f>
        <v>obj_003ec#0000</v>
      </c>
      <c r="N38" s="34"/>
      <c r="O38" s="37"/>
      <c r="P38" s="34"/>
      <c r="Q38" s="37"/>
    </row>
    <row r="39" spans="4:17" x14ac:dyDescent="0.2">
      <c r="D39" s="86" t="s">
        <v>25</v>
      </c>
      <c r="E39" s="77" t="s">
        <v>95</v>
      </c>
      <c r="F39" s="88">
        <f>_xll.qlInterestRateIndexFixingDate(IborIndex,EffectiveDate,Trigger)</f>
        <v>42282</v>
      </c>
      <c r="G39" s="88">
        <f>_xll.qlInterestRateIndexValueDate(M39,F39)</f>
        <v>42284</v>
      </c>
      <c r="H39" s="88">
        <f>_xll.qlInterestRateIndexMaturity(M39,G39)</f>
        <v>43745</v>
      </c>
      <c r="I39" s="80">
        <f>_xll.qlIndexFixing(M39,F39,TRUE,AllTriggers)</f>
        <v>1.145002992084267E-2</v>
      </c>
      <c r="J39" s="80" t="str">
        <f t="shared" si="3"/>
        <v>USD_CURVE_3M_4Y</v>
      </c>
      <c r="K39" s="80" t="s">
        <v>123</v>
      </c>
      <c r="L39" s="23"/>
      <c r="M39" s="52" t="str">
        <f>_xll.qlSwapIndex(,"NoFix",D39,2,Currency,Calendar,FixedLegTenor,FixedLegBDC,FixedLegDayCounter,IborIndex,DiscountingCurve,,Trigger)</f>
        <v>obj_0042e#0000</v>
      </c>
      <c r="N39" s="34"/>
      <c r="O39" s="37"/>
      <c r="P39" s="34"/>
      <c r="Q39" s="37"/>
    </row>
    <row r="40" spans="4:17" x14ac:dyDescent="0.2">
      <c r="D40" s="86" t="s">
        <v>26</v>
      </c>
      <c r="E40" s="77" t="s">
        <v>95</v>
      </c>
      <c r="F40" s="88">
        <f>_xll.qlInterestRateIndexFixingDate(IborIndex,EffectiveDate,Trigger)</f>
        <v>42282</v>
      </c>
      <c r="G40" s="88">
        <f>_xll.qlInterestRateIndexValueDate(M40,F40)</f>
        <v>42284</v>
      </c>
      <c r="H40" s="88">
        <f>_xll.qlInterestRateIndexMaturity(M40,G40)</f>
        <v>44111</v>
      </c>
      <c r="I40" s="80">
        <f>_xll.qlIndexFixing(M40,F40,TRUE,AllTriggers)</f>
        <v>1.3370028107977701E-2</v>
      </c>
      <c r="J40" s="80" t="str">
        <f t="shared" si="3"/>
        <v>USD_CURVE_3M_5Y</v>
      </c>
      <c r="K40" s="80" t="s">
        <v>124</v>
      </c>
      <c r="L40" s="23"/>
      <c r="M40" s="52" t="str">
        <f>_xll.qlSwapIndex(,"NoFix",D40,2,Currency,Calendar,FixedLegTenor,FixedLegBDC,FixedLegDayCounter,IborIndex,DiscountingCurve,,Trigger)</f>
        <v>obj_003f5#0000</v>
      </c>
      <c r="N40" s="34"/>
      <c r="O40" s="37"/>
      <c r="P40" s="34"/>
      <c r="Q40" s="37"/>
    </row>
    <row r="41" spans="4:17" x14ac:dyDescent="0.2">
      <c r="D41" s="86" t="s">
        <v>69</v>
      </c>
      <c r="E41" s="77" t="s">
        <v>95</v>
      </c>
      <c r="F41" s="88">
        <f>_xll.qlInterestRateIndexFixingDate(IborIndex,EffectiveDate,Trigger)</f>
        <v>42282</v>
      </c>
      <c r="G41" s="88">
        <f>_xll.qlInterestRateIndexValueDate(M41,F41)</f>
        <v>42284</v>
      </c>
      <c r="H41" s="88">
        <f>_xll.qlInterestRateIndexMaturity(M41,G41)</f>
        <v>44476</v>
      </c>
      <c r="I41" s="80">
        <f>_xll.qlIndexFixing(M41,F41,TRUE,AllTriggers)</f>
        <v>1.5080026623167016E-2</v>
      </c>
      <c r="J41" s="80" t="str">
        <f t="shared" si="3"/>
        <v>USD_CURVE_3M_6Y</v>
      </c>
      <c r="K41" s="80" t="s">
        <v>125</v>
      </c>
      <c r="L41" s="23"/>
      <c r="M41" s="52" t="str">
        <f>_xll.qlSwapIndex(,"NoFix",D41,2,Currency,Calendar,FixedLegTenor,FixedLegBDC,FixedLegDayCounter,IborIndex,DiscountingCurve,,Trigger)</f>
        <v>obj_00413#0000</v>
      </c>
      <c r="N41" s="34"/>
      <c r="O41" s="37"/>
      <c r="P41" s="34"/>
      <c r="Q41" s="37"/>
    </row>
    <row r="42" spans="4:17" x14ac:dyDescent="0.2">
      <c r="D42" s="86" t="s">
        <v>27</v>
      </c>
      <c r="E42" s="77" t="s">
        <v>95</v>
      </c>
      <c r="F42" s="88">
        <f>_xll.qlInterestRateIndexFixingDate(IborIndex,EffectiveDate,Trigger)</f>
        <v>42282</v>
      </c>
      <c r="G42" s="88">
        <f>_xll.qlInterestRateIndexValueDate(M42,F42)</f>
        <v>42284</v>
      </c>
      <c r="H42" s="88">
        <f>_xll.qlInterestRateIndexMaturity(M42,G42)</f>
        <v>44841</v>
      </c>
      <c r="I42" s="80">
        <f>_xll.qlIndexFixing(M42,F42,TRUE,AllTriggers)</f>
        <v>1.6550025264996045E-2</v>
      </c>
      <c r="J42" s="80" t="str">
        <f t="shared" si="3"/>
        <v>USD_CURVE_3M_7Y</v>
      </c>
      <c r="K42" s="80" t="s">
        <v>126</v>
      </c>
      <c r="L42" s="23"/>
      <c r="M42" s="52" t="str">
        <f>_xll.qlSwapIndex(,"NoFix",D42,2,Currency,Calendar,FixedLegTenor,FixedLegBDC,FixedLegDayCounter,IborIndex,DiscountingCurve,,Trigger)</f>
        <v>obj_003fd#0000</v>
      </c>
      <c r="N42" s="34"/>
      <c r="O42" s="37"/>
      <c r="P42" s="34"/>
      <c r="Q42" s="37"/>
    </row>
    <row r="43" spans="4:17" x14ac:dyDescent="0.2">
      <c r="D43" s="86" t="s">
        <v>70</v>
      </c>
      <c r="E43" s="77" t="s">
        <v>95</v>
      </c>
      <c r="F43" s="88">
        <f>_xll.qlInterestRateIndexFixingDate(IborIndex,EffectiveDate,Trigger)</f>
        <v>42282</v>
      </c>
      <c r="G43" s="88">
        <f>_xll.qlInterestRateIndexValueDate(M43,F43)</f>
        <v>42284</v>
      </c>
      <c r="H43" s="88">
        <f>_xll.qlInterestRateIndexMaturity(M43,G43)</f>
        <v>45208</v>
      </c>
      <c r="I43" s="80">
        <f>_xll.qlIndexFixing(M43,F43,TRUE,AllTriggers)</f>
        <v>1.7806857853603416E-2</v>
      </c>
      <c r="J43" s="80" t="str">
        <f t="shared" si="3"/>
        <v>USD_CURVE_3M_8Y</v>
      </c>
      <c r="K43" s="80" t="s">
        <v>127</v>
      </c>
      <c r="L43" s="23"/>
      <c r="M43" s="52" t="str">
        <f>_xll.qlSwapIndex(,"NoFix",D43,2,Currency,Calendar,FixedLegTenor,FixedLegBDC,FixedLegDayCounter,IborIndex,DiscountingCurve,,Trigger)</f>
        <v>obj_003fb#0000</v>
      </c>
      <c r="N43" s="34"/>
      <c r="O43" s="34"/>
      <c r="P43" s="34"/>
      <c r="Q43" s="34"/>
    </row>
    <row r="44" spans="4:17" x14ac:dyDescent="0.2">
      <c r="D44" s="86" t="s">
        <v>71</v>
      </c>
      <c r="E44" s="77" t="s">
        <v>95</v>
      </c>
      <c r="F44" s="88">
        <f>_xll.qlInterestRateIndexFixingDate(IborIndex,EffectiveDate,Trigger)</f>
        <v>42282</v>
      </c>
      <c r="G44" s="88">
        <f>_xll.qlInterestRateIndexValueDate(M44,F44)</f>
        <v>42284</v>
      </c>
      <c r="H44" s="88">
        <f>_xll.qlInterestRateIndexMaturity(M44,G44)</f>
        <v>45572</v>
      </c>
      <c r="I44" s="80">
        <f>_xll.qlIndexFixing(M44,F44,TRUE,AllTriggers)</f>
        <v>1.8830021829369079E-2</v>
      </c>
      <c r="J44" s="80" t="str">
        <f t="shared" si="3"/>
        <v>USD_CURVE_3M_9Y</v>
      </c>
      <c r="K44" s="80" t="s">
        <v>128</v>
      </c>
      <c r="L44" s="34"/>
      <c r="M44" s="52" t="str">
        <f>_xll.qlSwapIndex(,"NoFix",D44,2,Currency,Calendar,FixedLegTenor,FixedLegBDC,FixedLegDayCounter,IborIndex,DiscountingCurve,,Trigger)</f>
        <v>obj_00407#0000</v>
      </c>
      <c r="N44" s="34"/>
      <c r="O44" s="34"/>
      <c r="P44" s="34"/>
      <c r="Q44" s="34"/>
    </row>
    <row r="45" spans="4:17" x14ac:dyDescent="0.2">
      <c r="D45" s="86" t="s">
        <v>28</v>
      </c>
      <c r="E45" s="77" t="s">
        <v>95</v>
      </c>
      <c r="F45" s="88">
        <f>_xll.qlInterestRateIndexFixingDate(IborIndex,EffectiveDate,Trigger)</f>
        <v>42282</v>
      </c>
      <c r="G45" s="88">
        <f>_xll.qlInterestRateIndexValueDate(M45,F45)</f>
        <v>42284</v>
      </c>
      <c r="H45" s="88">
        <f>_xll.qlInterestRateIndexMaturity(M45,G45)</f>
        <v>45937</v>
      </c>
      <c r="I45" s="80">
        <f>_xll.qlIndexFixing(M45,F45,TRUE,AllTriggers)</f>
        <v>1.9720020818065131E-2</v>
      </c>
      <c r="J45" s="80" t="str">
        <f t="shared" si="3"/>
        <v>USD_CURVE_3M_10Y</v>
      </c>
      <c r="K45" s="80" t="s">
        <v>129</v>
      </c>
      <c r="L45" s="34"/>
      <c r="M45" s="52" t="str">
        <f>_xll.qlSwapIndex(,"NoFix",D45,2,Currency,Calendar,FixedLegTenor,FixedLegBDC,FixedLegDayCounter,IborIndex,DiscountingCurve,,Trigger)</f>
        <v>obj_003da#0000</v>
      </c>
      <c r="N45" s="34"/>
      <c r="O45" s="34"/>
      <c r="P45" s="34"/>
      <c r="Q45" s="34"/>
    </row>
    <row r="46" spans="4:17" x14ac:dyDescent="0.2">
      <c r="D46" s="86" t="s">
        <v>72</v>
      </c>
      <c r="E46" s="77" t="s">
        <v>95</v>
      </c>
      <c r="F46" s="88">
        <f>_xll.qlInterestRateIndexFixingDate(IborIndex,EffectiveDate,Trigger)</f>
        <v>42282</v>
      </c>
      <c r="G46" s="88">
        <f>_xll.qlInterestRateIndexValueDate(M46,F46)</f>
        <v>42284</v>
      </c>
      <c r="H46" s="88">
        <f>_xll.qlInterestRateIndexMaturity(M46,G46)</f>
        <v>46302</v>
      </c>
      <c r="I46" s="80">
        <f>_xll.qlIndexFixing(M46,F46,TRUE,AllTriggers)</f>
        <v>2.0492210832876358E-2</v>
      </c>
      <c r="J46" s="80" t="str">
        <f t="shared" si="3"/>
        <v>USD_CURVE_3M_11Y</v>
      </c>
      <c r="K46" s="80" t="s">
        <v>130</v>
      </c>
      <c r="L46" s="34"/>
      <c r="M46" s="52" t="str">
        <f>_xll.qlSwapIndex(,"NoFix",D46,2,Currency,Calendar,FixedLegTenor,FixedLegBDC,FixedLegDayCounter,IborIndex,DiscountingCurve,,Trigger)</f>
        <v>obj_00405#0000</v>
      </c>
      <c r="N46" s="34"/>
      <c r="O46" s="34"/>
      <c r="P46" s="34"/>
      <c r="Q46" s="34"/>
    </row>
    <row r="47" spans="4:17" x14ac:dyDescent="0.2">
      <c r="D47" s="86" t="s">
        <v>29</v>
      </c>
      <c r="E47" s="77" t="s">
        <v>95</v>
      </c>
      <c r="F47" s="88">
        <f>_xll.qlInterestRateIndexFixingDate(IborIndex,EffectiveDate,Trigger)</f>
        <v>42282</v>
      </c>
      <c r="G47" s="88">
        <f>_xll.qlInterestRateIndexValueDate(M47,F47)</f>
        <v>42284</v>
      </c>
      <c r="H47" s="88">
        <f>_xll.qlInterestRateIndexMaturity(M47,G47)</f>
        <v>46667</v>
      </c>
      <c r="I47" s="80">
        <f>_xll.qlIndexFixing(M47,F47,TRUE,AllTriggers)</f>
        <v>2.1150019056605657E-2</v>
      </c>
      <c r="J47" s="80" t="str">
        <f t="shared" si="3"/>
        <v>USD_CURVE_3M_12Y</v>
      </c>
      <c r="K47" s="80" t="s">
        <v>131</v>
      </c>
      <c r="L47" s="34"/>
      <c r="M47" s="52" t="str">
        <f>_xll.qlSwapIndex(,"NoFix",D47,2,Currency,Calendar,FixedLegTenor,FixedLegBDC,FixedLegDayCounter,IborIndex,DiscountingCurve,,Trigger)</f>
        <v>obj_0042f#0000</v>
      </c>
      <c r="N47" s="34"/>
      <c r="O47" s="34"/>
      <c r="P47" s="34"/>
      <c r="Q47" s="34"/>
    </row>
    <row r="48" spans="4:17" x14ac:dyDescent="0.2">
      <c r="D48" s="86" t="s">
        <v>73</v>
      </c>
      <c r="E48" s="77" t="s">
        <v>95</v>
      </c>
      <c r="F48" s="88">
        <f>_xll.qlInterestRateIndexFixingDate(IborIndex,EffectiveDate,Trigger)</f>
        <v>42282</v>
      </c>
      <c r="G48" s="88">
        <f>_xll.qlInterestRateIndexValueDate(M48,F48)</f>
        <v>42284</v>
      </c>
      <c r="H48" s="88">
        <f>_xll.qlInterestRateIndexMaturity(M48,G48)</f>
        <v>47035</v>
      </c>
      <c r="I48" s="80">
        <f>_xll.qlIndexFixing(M48,F48,TRUE,AllTriggers)</f>
        <v>2.1706781400479717E-2</v>
      </c>
      <c r="J48" s="80" t="str">
        <f t="shared" si="3"/>
        <v>USD_CURVE_3M_13Y</v>
      </c>
      <c r="K48" s="80" t="s">
        <v>132</v>
      </c>
      <c r="L48" s="34"/>
      <c r="M48" s="52" t="str">
        <f>_xll.qlSwapIndex(,"NoFix",D48,2,Currency,Calendar,FixedLegTenor,FixedLegBDC,FixedLegDayCounter,IborIndex,DiscountingCurve,,Trigger)</f>
        <v>obj_0042a#0000</v>
      </c>
      <c r="N48" s="34"/>
      <c r="O48" s="34"/>
      <c r="P48" s="34"/>
      <c r="Q48" s="34"/>
    </row>
    <row r="49" spans="4:17" x14ac:dyDescent="0.2">
      <c r="D49" s="86" t="s">
        <v>74</v>
      </c>
      <c r="E49" s="77" t="s">
        <v>95</v>
      </c>
      <c r="F49" s="88">
        <f>_xll.qlInterestRateIndexFixingDate(IborIndex,EffectiveDate,Trigger)</f>
        <v>42282</v>
      </c>
      <c r="G49" s="88">
        <f>_xll.qlInterestRateIndexValueDate(M49,F49)</f>
        <v>42284</v>
      </c>
      <c r="H49" s="88">
        <f>_xll.qlInterestRateIndexMaturity(M49,G49)</f>
        <v>47399</v>
      </c>
      <c r="I49" s="80">
        <f>_xll.qlIndexFixing(M49,F49,TRUE,AllTriggers)</f>
        <v>2.2174561438706299E-2</v>
      </c>
      <c r="J49" s="80" t="str">
        <f t="shared" si="3"/>
        <v>USD_CURVE_3M_14Y</v>
      </c>
      <c r="K49" s="80" t="s">
        <v>133</v>
      </c>
      <c r="L49" s="34"/>
      <c r="M49" s="52" t="str">
        <f>_xll.qlSwapIndex(,"NoFix",D49,2,Currency,Calendar,FixedLegTenor,FixedLegBDC,FixedLegDayCounter,IborIndex,DiscountingCurve,,Trigger)</f>
        <v>obj_003e4#0000</v>
      </c>
      <c r="N49" s="34"/>
      <c r="O49" s="34"/>
      <c r="P49" s="34"/>
      <c r="Q49" s="34"/>
    </row>
    <row r="50" spans="4:17" x14ac:dyDescent="0.2">
      <c r="D50" s="86" t="s">
        <v>30</v>
      </c>
      <c r="E50" s="77" t="s">
        <v>95</v>
      </c>
      <c r="F50" s="88">
        <f>_xll.qlInterestRateIndexFixingDate(IborIndex,EffectiveDate,Trigger)</f>
        <v>42282</v>
      </c>
      <c r="G50" s="88">
        <f>_xll.qlInterestRateIndexValueDate(M50,F50)</f>
        <v>42284</v>
      </c>
      <c r="H50" s="88">
        <f>_xll.qlInterestRateIndexMaturity(M50,G50)</f>
        <v>47763</v>
      </c>
      <c r="I50" s="80">
        <f>_xll.qlIndexFixing(M50,F50,TRUE,AllTriggers)</f>
        <v>2.2580012571804663E-2</v>
      </c>
      <c r="J50" s="80" t="str">
        <f t="shared" si="3"/>
        <v>USD_CURVE_3M_15Y</v>
      </c>
      <c r="K50" s="80" t="s">
        <v>134</v>
      </c>
      <c r="L50" s="34"/>
      <c r="M50" s="52" t="str">
        <f>_xll.qlSwapIndex(,"NoFix",D50,2,Currency,Calendar,FixedLegTenor,FixedLegBDC,FixedLegDayCounter,IborIndex,DiscountingCurve,,Trigger)</f>
        <v>obj_003db#0000</v>
      </c>
      <c r="N50" s="34"/>
      <c r="O50" s="34"/>
      <c r="P50" s="34"/>
      <c r="Q50" s="34"/>
    </row>
    <row r="51" spans="4:17" x14ac:dyDescent="0.2">
      <c r="D51" s="86" t="s">
        <v>75</v>
      </c>
      <c r="E51" s="77" t="s">
        <v>95</v>
      </c>
      <c r="F51" s="88">
        <f>_xll.qlInterestRateIndexFixingDate(IborIndex,EffectiveDate,Trigger)</f>
        <v>42282</v>
      </c>
      <c r="G51" s="88">
        <f>_xll.qlInterestRateIndexValueDate(M51,F51)</f>
        <v>42284</v>
      </c>
      <c r="H51" s="88">
        <f>_xll.qlInterestRateIndexMaturity(M51,G51)</f>
        <v>48128</v>
      </c>
      <c r="I51" s="80">
        <f>_xll.qlIndexFixing(M51,F51,TRUE,AllTriggers)</f>
        <v>2.2937612373772849E-2</v>
      </c>
      <c r="J51" s="80" t="str">
        <f t="shared" si="3"/>
        <v>USD_CURVE_3M_16Y</v>
      </c>
      <c r="K51" s="80" t="s">
        <v>135</v>
      </c>
      <c r="L51" s="34"/>
      <c r="M51" s="52" t="str">
        <f>_xll.qlSwapIndex(,"NoFix",D51,2,Currency,Calendar,FixedLegTenor,FixedLegBDC,FixedLegDayCounter,IborIndex,DiscountingCurve,,Trigger)</f>
        <v>obj_0043c#0000</v>
      </c>
      <c r="N51" s="34"/>
      <c r="O51" s="34"/>
      <c r="P51" s="34"/>
      <c r="Q51" s="34"/>
    </row>
    <row r="52" spans="4:17" x14ac:dyDescent="0.2">
      <c r="D52" s="86" t="s">
        <v>76</v>
      </c>
      <c r="E52" s="77" t="s">
        <v>95</v>
      </c>
      <c r="F52" s="88">
        <f>_xll.qlInterestRateIndexFixingDate(IborIndex,EffectiveDate,Trigger)</f>
        <v>42282</v>
      </c>
      <c r="G52" s="88">
        <f>_xll.qlInterestRateIndexValueDate(M52,F52)</f>
        <v>42284</v>
      </c>
      <c r="H52" s="88">
        <f>_xll.qlInterestRateIndexMaturity(M52,G52)</f>
        <v>48494</v>
      </c>
      <c r="I52" s="80">
        <f>_xll.qlIndexFixing(M52,F52,TRUE,AllTriggers)</f>
        <v>2.3252813722852331E-2</v>
      </c>
      <c r="J52" s="80" t="str">
        <f t="shared" si="3"/>
        <v>USD_CURVE_3M_17Y</v>
      </c>
      <c r="K52" s="80" t="s">
        <v>136</v>
      </c>
      <c r="L52" s="34"/>
      <c r="M52" s="52" t="str">
        <f>_xll.qlSwapIndex(,"NoFix",D52,2,Currency,Calendar,FixedLegTenor,FixedLegBDC,FixedLegDayCounter,IborIndex,DiscountingCurve,,Trigger)</f>
        <v>obj_003ee#0000</v>
      </c>
      <c r="N52" s="34"/>
      <c r="O52" s="34"/>
      <c r="P52" s="34"/>
      <c r="Q52" s="34"/>
    </row>
    <row r="53" spans="4:17" x14ac:dyDescent="0.2">
      <c r="D53" s="86" t="s">
        <v>77</v>
      </c>
      <c r="E53" s="77" t="s">
        <v>95</v>
      </c>
      <c r="F53" s="88">
        <f>_xll.qlInterestRateIndexFixingDate(IborIndex,EffectiveDate,Trigger)</f>
        <v>42282</v>
      </c>
      <c r="G53" s="88">
        <f>_xll.qlInterestRateIndexValueDate(M53,F53)</f>
        <v>42284</v>
      </c>
      <c r="H53" s="88">
        <f>_xll.qlInterestRateIndexMaturity(M53,G53)</f>
        <v>48859</v>
      </c>
      <c r="I53" s="80">
        <f>_xll.qlIndexFixing(M53,F53,TRUE,AllTriggers)</f>
        <v>2.3527402161717805E-2</v>
      </c>
      <c r="J53" s="80" t="str">
        <f t="shared" si="3"/>
        <v>USD_CURVE_3M_18Y</v>
      </c>
      <c r="K53" s="80" t="s">
        <v>137</v>
      </c>
      <c r="L53" s="34"/>
      <c r="M53" s="52" t="str">
        <f>_xll.qlSwapIndex(,"NoFix",D53,2,Currency,Calendar,FixedLegTenor,FixedLegBDC,FixedLegDayCounter,IborIndex,DiscountingCurve,,Trigger)</f>
        <v>obj_003e9#0000</v>
      </c>
      <c r="N53" s="34"/>
      <c r="O53" s="34"/>
      <c r="P53" s="34"/>
      <c r="Q53" s="34"/>
    </row>
    <row r="54" spans="4:17" x14ac:dyDescent="0.2">
      <c r="D54" s="86" t="s">
        <v>78</v>
      </c>
      <c r="E54" s="77" t="s">
        <v>95</v>
      </c>
      <c r="F54" s="88">
        <f>_xll.qlInterestRateIndexFixingDate(IborIndex,EffectiveDate,Trigger)</f>
        <v>42282</v>
      </c>
      <c r="G54" s="88">
        <f>_xll.qlInterestRateIndexValueDate(M54,F54)</f>
        <v>42284</v>
      </c>
      <c r="H54" s="88">
        <f>_xll.qlInterestRateIndexMaturity(M54,G54)</f>
        <v>49226</v>
      </c>
      <c r="I54" s="80">
        <f>_xll.qlIndexFixing(M54,F54,TRUE,AllTriggers)</f>
        <v>2.3766564764081313E-2</v>
      </c>
      <c r="J54" s="80" t="str">
        <f t="shared" si="3"/>
        <v>USD_CURVE_3M_19Y</v>
      </c>
      <c r="K54" s="80" t="s">
        <v>138</v>
      </c>
      <c r="L54" s="34"/>
      <c r="M54" s="52" t="str">
        <f>_xll.qlSwapIndex(,"NoFix",D54,2,Currency,Calendar,FixedLegTenor,FixedLegBDC,FixedLegDayCounter,IborIndex,DiscountingCurve,,Trigger)</f>
        <v>obj_0041a#0000</v>
      </c>
      <c r="N54" s="34"/>
      <c r="O54" s="34"/>
      <c r="P54" s="34"/>
      <c r="Q54" s="34"/>
    </row>
    <row r="55" spans="4:17" x14ac:dyDescent="0.2">
      <c r="D55" s="86" t="s">
        <v>79</v>
      </c>
      <c r="E55" s="77" t="s">
        <v>95</v>
      </c>
      <c r="F55" s="88">
        <f>_xll.qlInterestRateIndexFixingDate(IborIndex,EffectiveDate,Trigger)</f>
        <v>42282</v>
      </c>
      <c r="G55" s="88">
        <f>_xll.qlInterestRateIndexValueDate(M55,F55)</f>
        <v>42284</v>
      </c>
      <c r="H55" s="88">
        <f>_xll.qlInterestRateIndexMaturity(M55,G55)</f>
        <v>49590</v>
      </c>
      <c r="I55" s="80">
        <f>_xll.qlIndexFixing(M55,F55,TRUE,AllTriggers)</f>
        <v>2.3969461557180792E-2</v>
      </c>
      <c r="J55" s="80" t="str">
        <f t="shared" si="3"/>
        <v>USD_CURVE_3M_20Y</v>
      </c>
      <c r="K55" s="80" t="s">
        <v>139</v>
      </c>
      <c r="L55" s="34"/>
      <c r="M55" s="52" t="str">
        <f>_xll.qlSwapIndex(,"NoFix",D55,2,Currency,Calendar,FixedLegTenor,FixedLegBDC,FixedLegDayCounter,IborIndex,DiscountingCurve,,Trigger)</f>
        <v>obj_003d9#0000</v>
      </c>
    </row>
    <row r="56" spans="4:17" x14ac:dyDescent="0.2">
      <c r="D56" s="86" t="s">
        <v>80</v>
      </c>
      <c r="E56" s="77" t="s">
        <v>95</v>
      </c>
      <c r="F56" s="88">
        <f>_xll.qlInterestRateIndexFixingDate(IborIndex,EffectiveDate,Trigger)</f>
        <v>42282</v>
      </c>
      <c r="G56" s="88">
        <f>_xll.qlInterestRateIndexValueDate(M56,F56)</f>
        <v>42284</v>
      </c>
      <c r="H56" s="88">
        <f>_xll.qlInterestRateIndexMaturity(M56,G56)</f>
        <v>49955</v>
      </c>
      <c r="I56" s="80">
        <f>_xll.qlIndexFixing(M56,F56,TRUE,AllTriggers)</f>
        <v>2.4141831982267391E-2</v>
      </c>
      <c r="J56" s="80" t="str">
        <f t="shared" si="3"/>
        <v>USD_CURVE_3M_21Y</v>
      </c>
      <c r="K56" s="80" t="s">
        <v>140</v>
      </c>
      <c r="M56" s="52" t="str">
        <f>_xll.qlSwapIndex(,"NoFix",D56,2,Currency,Calendar,FixedLegTenor,FixedLegBDC,FixedLegDayCounter,IborIndex,DiscountingCurve,,Trigger)</f>
        <v>obj_003f4#0000</v>
      </c>
    </row>
    <row r="57" spans="4:17" x14ac:dyDescent="0.2">
      <c r="D57" s="86" t="s">
        <v>81</v>
      </c>
      <c r="E57" s="77" t="s">
        <v>95</v>
      </c>
      <c r="F57" s="88">
        <f>_xll.qlInterestRateIndexFixingDate(IborIndex,EffectiveDate,Trigger)</f>
        <v>42282</v>
      </c>
      <c r="G57" s="88">
        <f>_xll.qlInterestRateIndexValueDate(M57,F57)</f>
        <v>42284</v>
      </c>
      <c r="H57" s="88">
        <f>_xll.qlInterestRateIndexMaturity(M57,G57)</f>
        <v>50320</v>
      </c>
      <c r="I57" s="80">
        <f>_xll.qlIndexFixing(M57,F57,TRUE,AllTriggers)</f>
        <v>2.4289415827632097E-2</v>
      </c>
      <c r="J57" s="80" t="str">
        <f t="shared" si="3"/>
        <v>USD_CURVE_3M_22Y</v>
      </c>
      <c r="K57" s="80" t="s">
        <v>141</v>
      </c>
      <c r="M57" s="52" t="str">
        <f>_xll.qlSwapIndex(,"NoFix",D57,2,Currency,Calendar,FixedLegTenor,FixedLegBDC,FixedLegDayCounter,IborIndex,DiscountingCurve,,Trigger)</f>
        <v>obj_0040d#0000</v>
      </c>
    </row>
    <row r="58" spans="4:17" x14ac:dyDescent="0.2">
      <c r="D58" s="86" t="s">
        <v>82</v>
      </c>
      <c r="E58" s="77" t="s">
        <v>95</v>
      </c>
      <c r="F58" s="88">
        <f>_xll.qlInterestRateIndexFixingDate(IborIndex,EffectiveDate,Trigger)</f>
        <v>42282</v>
      </c>
      <c r="G58" s="88">
        <f>_xll.qlInterestRateIndexValueDate(M58,F58)</f>
        <v>42284</v>
      </c>
      <c r="H58" s="88">
        <f>_xll.qlInterestRateIndexMaturity(M58,G58)</f>
        <v>50685</v>
      </c>
      <c r="I58" s="80">
        <f>_xll.qlIndexFixing(M58,F58,TRUE,AllTriggers)</f>
        <v>2.4418310504787065E-2</v>
      </c>
      <c r="J58" s="80" t="str">
        <f t="shared" si="3"/>
        <v>USD_CURVE_3M_23Y</v>
      </c>
      <c r="K58" s="80" t="s">
        <v>142</v>
      </c>
      <c r="M58" s="52" t="str">
        <f>_xll.qlSwapIndex(,"NoFix",D58,2,Currency,Calendar,FixedLegTenor,FixedLegBDC,FixedLegDayCounter,IborIndex,DiscountingCurve,,Trigger)</f>
        <v>obj_003f2#0000</v>
      </c>
    </row>
    <row r="59" spans="4:17" x14ac:dyDescent="0.2">
      <c r="D59" s="86" t="s">
        <v>83</v>
      </c>
      <c r="E59" s="77" t="s">
        <v>95</v>
      </c>
      <c r="F59" s="88">
        <f>_xll.qlInterestRateIndexFixingDate(IborIndex,EffectiveDate,Trigger)</f>
        <v>42282</v>
      </c>
      <c r="G59" s="88">
        <f>_xll.qlInterestRateIndexValueDate(M59,F59)</f>
        <v>42284</v>
      </c>
      <c r="H59" s="88">
        <f>_xll.qlInterestRateIndexMaturity(M59,G59)</f>
        <v>51050</v>
      </c>
      <c r="I59" s="80">
        <f>_xll.qlIndexFixing(M59,F59,TRUE,AllTriggers)</f>
        <v>2.4533501410566254E-2</v>
      </c>
      <c r="J59" s="80" t="str">
        <f t="shared" si="3"/>
        <v>USD_CURVE_3M_24Y</v>
      </c>
      <c r="K59" s="80" t="s">
        <v>143</v>
      </c>
      <c r="M59" s="52" t="str">
        <f>_xll.qlSwapIndex(,"NoFix",D59,2,Currency,Calendar,FixedLegTenor,FixedLegBDC,FixedLegDayCounter,IborIndex,DiscountingCurve,,Trigger)</f>
        <v>obj_0043f#0000</v>
      </c>
    </row>
    <row r="60" spans="4:17" x14ac:dyDescent="0.2">
      <c r="D60" s="86" t="s">
        <v>84</v>
      </c>
      <c r="E60" s="77" t="s">
        <v>95</v>
      </c>
      <c r="F60" s="88">
        <f>_xll.qlInterestRateIndexFixingDate(IborIndex,EffectiveDate,Trigger)</f>
        <v>42282</v>
      </c>
      <c r="G60" s="88">
        <f>_xll.qlInterestRateIndexValueDate(M60,F60)</f>
        <v>42284</v>
      </c>
      <c r="H60" s="88">
        <f>_xll.qlInterestRateIndexMaturity(M60,G60)</f>
        <v>51417</v>
      </c>
      <c r="I60" s="80">
        <f>_xll.qlIndexFixing(M60,F60,TRUE,AllTriggers)</f>
        <v>2.4639700994745672E-2</v>
      </c>
      <c r="J60" s="80" t="str">
        <f t="shared" si="3"/>
        <v>USD_CURVE_3M_25Y</v>
      </c>
      <c r="K60" s="80" t="s">
        <v>144</v>
      </c>
      <c r="M60" s="52" t="str">
        <f>_xll.qlSwapIndex(,"NoFix",D60,2,Currency,Calendar,FixedLegTenor,FixedLegBDC,FixedLegDayCounter,IborIndex,DiscountingCurve,,Trigger)</f>
        <v>obj_00435#0000</v>
      </c>
    </row>
    <row r="61" spans="4:17" x14ac:dyDescent="0.2">
      <c r="D61" s="86" t="s">
        <v>85</v>
      </c>
      <c r="E61" s="77" t="s">
        <v>95</v>
      </c>
      <c r="F61" s="88">
        <f>_xll.qlInterestRateIndexFixingDate(IborIndex,EffectiveDate,Trigger)</f>
        <v>42282</v>
      </c>
      <c r="G61" s="88">
        <f>_xll.qlInterestRateIndexValueDate(M61,F61)</f>
        <v>42284</v>
      </c>
      <c r="H61" s="88">
        <f>_xll.qlInterestRateIndexMaturity(M61,G61)</f>
        <v>51781</v>
      </c>
      <c r="I61" s="80">
        <f>_xll.qlIndexFixing(M61,F61,TRUE,AllTriggers)</f>
        <v>2.4738052348815327E-2</v>
      </c>
      <c r="J61" s="80" t="str">
        <f t="shared" si="3"/>
        <v>USD_CURVE_3M_26Y</v>
      </c>
      <c r="K61" s="80" t="s">
        <v>145</v>
      </c>
      <c r="M61" s="52" t="str">
        <f>_xll.qlSwapIndex(,"NoFix",D61,2,Currency,Calendar,FixedLegTenor,FixedLegBDC,FixedLegDayCounter,IborIndex,DiscountingCurve,,Trigger)</f>
        <v>obj_003e8#0000</v>
      </c>
    </row>
    <row r="62" spans="4:17" x14ac:dyDescent="0.2">
      <c r="D62" s="86" t="s">
        <v>86</v>
      </c>
      <c r="E62" s="77" t="s">
        <v>95</v>
      </c>
      <c r="F62" s="88">
        <f>_xll.qlInterestRateIndexFixingDate(IborIndex,EffectiveDate,Trigger)</f>
        <v>42282</v>
      </c>
      <c r="G62" s="88">
        <f>_xll.qlInterestRateIndexValueDate(M62,F62)</f>
        <v>42284</v>
      </c>
      <c r="H62" s="88">
        <f>_xll.qlInterestRateIndexMaturity(M62,G62)</f>
        <v>52146</v>
      </c>
      <c r="I62" s="80">
        <f>_xll.qlIndexFixing(M62,F62,TRUE,AllTriggers)</f>
        <v>2.4829304494550911E-2</v>
      </c>
      <c r="J62" s="80" t="str">
        <f t="shared" ref="J62:J68" si="4">Currency&amp;"_CURVE_"&amp;CurveTenor&amp;"_"&amp;D62</f>
        <v>USD_CURVE_3M_27Y</v>
      </c>
      <c r="K62" s="80" t="s">
        <v>146</v>
      </c>
      <c r="M62" s="52" t="str">
        <f>_xll.qlSwapIndex(,"NoFix",D62,2,Currency,Calendar,FixedLegTenor,FixedLegBDC,FixedLegDayCounter,IborIndex,DiscountingCurve,,Trigger)</f>
        <v>obj_003f9#0000</v>
      </c>
    </row>
    <row r="63" spans="4:17" x14ac:dyDescent="0.2">
      <c r="D63" s="86" t="s">
        <v>87</v>
      </c>
      <c r="E63" s="77" t="s">
        <v>95</v>
      </c>
      <c r="F63" s="88">
        <f>_xll.qlInterestRateIndexFixingDate(IborIndex,EffectiveDate,Trigger)</f>
        <v>42282</v>
      </c>
      <c r="G63" s="88">
        <f>_xll.qlInterestRateIndexValueDate(M63,F63)</f>
        <v>42284</v>
      </c>
      <c r="H63" s="88">
        <f>_xll.qlInterestRateIndexMaturity(M63,G63)</f>
        <v>52511</v>
      </c>
      <c r="I63" s="80">
        <f>_xll.qlIndexFixing(M63,F63,TRUE,AllTriggers)</f>
        <v>2.4912118216802885E-2</v>
      </c>
      <c r="J63" s="80" t="str">
        <f t="shared" si="4"/>
        <v>USD_CURVE_3M_28Y</v>
      </c>
      <c r="K63" s="80" t="s">
        <v>147</v>
      </c>
      <c r="M63" s="52" t="str">
        <f>_xll.qlSwapIndex(,"NoFix",D63,2,Currency,Calendar,FixedLegTenor,FixedLegBDC,FixedLegDayCounter,IborIndex,DiscountingCurve,,Trigger)</f>
        <v>obj_00400#0000</v>
      </c>
    </row>
    <row r="64" spans="4:17" x14ac:dyDescent="0.2">
      <c r="D64" s="86" t="s">
        <v>88</v>
      </c>
      <c r="E64" s="77" t="s">
        <v>95</v>
      </c>
      <c r="F64" s="88">
        <f>_xll.qlInterestRateIndexFixingDate(IborIndex,EffectiveDate,Trigger)</f>
        <v>42282</v>
      </c>
      <c r="G64" s="88">
        <f>_xll.qlInterestRateIndexValueDate(M64,F64)</f>
        <v>42284</v>
      </c>
      <c r="H64" s="88">
        <f>_xll.qlInterestRateIndexMaturity(M64,G64)</f>
        <v>52877</v>
      </c>
      <c r="I64" s="80">
        <f>_xll.qlIndexFixing(M64,F64,TRUE,AllTriggers)</f>
        <v>2.4985874219656281E-2</v>
      </c>
      <c r="J64" s="80" t="str">
        <f t="shared" si="4"/>
        <v>USD_CURVE_3M_29Y</v>
      </c>
      <c r="K64" s="80" t="s">
        <v>148</v>
      </c>
      <c r="M64" s="52" t="str">
        <f>_xll.qlSwapIndex(,"NoFix",D64,2,Currency,Calendar,FixedLegTenor,FixedLegBDC,FixedLegDayCounter,IborIndex,DiscountingCurve,,Trigger)</f>
        <v>obj_003f1#0000</v>
      </c>
    </row>
    <row r="65" spans="4:13" x14ac:dyDescent="0.2">
      <c r="D65" s="86" t="s">
        <v>89</v>
      </c>
      <c r="E65" s="77" t="s">
        <v>95</v>
      </c>
      <c r="F65" s="88">
        <f>_xll.qlInterestRateIndexFixingDate(IborIndex,EffectiveDate,Trigger)</f>
        <v>42282</v>
      </c>
      <c r="G65" s="88">
        <f>_xll.qlInterestRateIndexValueDate(M65,F65)</f>
        <v>42284</v>
      </c>
      <c r="H65" s="88">
        <f>_xll.qlInterestRateIndexMaturity(M65,G65)</f>
        <v>53244</v>
      </c>
      <c r="I65" s="80">
        <f>_xll.qlIndexFixing(M65,F65,TRUE,AllTriggers)</f>
        <v>2.5049824689281689E-2</v>
      </c>
      <c r="J65" s="80" t="str">
        <f t="shared" si="4"/>
        <v>USD_CURVE_3M_30Y</v>
      </c>
      <c r="K65" s="80" t="s">
        <v>149</v>
      </c>
      <c r="M65" s="52" t="str">
        <f>_xll.qlSwapIndex(,"NoFix",D65,2,Currency,Calendar,FixedLegTenor,FixedLegBDC,FixedLegDayCounter,IborIndex,DiscountingCurve,,Trigger)</f>
        <v>obj_00423#0000</v>
      </c>
    </row>
    <row r="66" spans="4:13" x14ac:dyDescent="0.2">
      <c r="D66" s="86" t="s">
        <v>90</v>
      </c>
      <c r="E66" s="77" t="s">
        <v>95</v>
      </c>
      <c r="F66" s="88">
        <f>_xll.qlInterestRateIndexFixingDate(IborIndex,EffectiveDate,Trigger)</f>
        <v>42282</v>
      </c>
      <c r="G66" s="88">
        <f>_xll.qlInterestRateIndexValueDate(M66,F66)</f>
        <v>42284</v>
      </c>
      <c r="H66" s="88">
        <f>_xll.qlInterestRateIndexMaturity(M66,G66)</f>
        <v>56894</v>
      </c>
      <c r="I66" s="80">
        <f>_xll.qlIndexFixing(M66,F66,TRUE,AllTriggers)</f>
        <v>2.5250001595904403E-2</v>
      </c>
      <c r="J66" s="80" t="str">
        <f t="shared" si="4"/>
        <v>USD_CURVE_3M_40Y</v>
      </c>
      <c r="K66" s="80" t="s">
        <v>150</v>
      </c>
      <c r="M66" s="52" t="str">
        <f>_xll.qlSwapIndex(,"NoFix",D66,2,Currency,Calendar,FixedLegTenor,FixedLegBDC,FixedLegDayCounter,IborIndex,DiscountingCurve,,Trigger)</f>
        <v>obj_003e5#0000</v>
      </c>
    </row>
    <row r="67" spans="4:13" x14ac:dyDescent="0.2">
      <c r="D67" s="86" t="s">
        <v>91</v>
      </c>
      <c r="E67" s="77" t="s">
        <v>95</v>
      </c>
      <c r="F67" s="88">
        <f>_xll.qlInterestRateIndexFixingDate(IborIndex,EffectiveDate,Trigger)</f>
        <v>42282</v>
      </c>
      <c r="G67" s="88">
        <f>_xll.qlInterestRateIndexValueDate(M67,F67)</f>
        <v>42284</v>
      </c>
      <c r="H67" s="88">
        <f>_xll.qlInterestRateIndexMaturity(M67,G67)</f>
        <v>60547</v>
      </c>
      <c r="I67" s="80">
        <f>_xll.qlIndexFixing(M67,F67,TRUE,AllTriggers)</f>
        <v>2.5070000049777053E-2</v>
      </c>
      <c r="J67" s="80" t="str">
        <f t="shared" si="4"/>
        <v>USD_CURVE_3M_50Y</v>
      </c>
      <c r="K67" s="80" t="s">
        <v>151</v>
      </c>
      <c r="M67" s="52" t="str">
        <f>_xll.qlSwapIndex(,"NoFix",D67,2,Currency,Calendar,FixedLegTenor,FixedLegBDC,FixedLegDayCounter,IborIndex,DiscountingCurve,,Trigger)</f>
        <v>obj_0041d#0000</v>
      </c>
    </row>
    <row r="68" spans="4:13" x14ac:dyDescent="0.2">
      <c r="D68" s="89" t="s">
        <v>92</v>
      </c>
      <c r="E68" s="78" t="s">
        <v>95</v>
      </c>
      <c r="F68" s="92">
        <f>_xll.qlInterestRateIndexFixingDate(IborIndex,EffectiveDate,Trigger)</f>
        <v>42282</v>
      </c>
      <c r="G68" s="92">
        <f>_xll.qlInterestRateIndexValueDate(M68,F68)</f>
        <v>42284</v>
      </c>
      <c r="H68" s="92">
        <f>_xll.qlInterestRateIndexMaturity(M68,G68)</f>
        <v>64199</v>
      </c>
      <c r="I68" s="93">
        <f>_xll.qlIndexFixing(M68,F68,TRUE,AllTriggers)</f>
        <v>2.4906107467060155E-2</v>
      </c>
      <c r="J68" s="93" t="str">
        <f t="shared" si="4"/>
        <v>USD_CURVE_3M_60Y</v>
      </c>
      <c r="K68" s="93" t="s">
        <v>152</v>
      </c>
      <c r="M68" s="58" t="str">
        <f>_xll.qlSwapIndex(,"NoFix",D68,2,Currency,Calendar,FixedLegTenor,FixedLegBDC,FixedLegDayCounter,IborIndex,DiscountingCurve,,Trigger)</f>
        <v>obj_003e2#0000</v>
      </c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4"/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>_xll.qlInterestRateIndexFixingDate(IborIndex,EffectiveDate,Trigger)</f>
        <v>42282</v>
      </c>
      <c r="G9" s="27">
        <f>_xll.qlInterestRateIndexValueDate(M9,F9)</f>
        <v>42284</v>
      </c>
      <c r="H9" s="27">
        <f>_xll.qlInterestRateIndexMaturity(M9,G9)</f>
        <v>42291</v>
      </c>
      <c r="I9" s="21">
        <f>_xll.qlIndexFixing(M9,F9,TRUE,AllTriggers)</f>
        <v>6.9543197409048319E-3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obj_00387#0000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f>_xll.qlInterestRateIndexFixingDate(IborIndex,EffectiveDate,Trigger)</f>
        <v>42282</v>
      </c>
      <c r="G10" s="27">
        <f>_xll.qlInterestRateIndexValueDate(M10,F10)</f>
        <v>42284</v>
      </c>
      <c r="H10" s="27">
        <f>_xll.qlInterestRateIndexMaturity(M10,G10)</f>
        <v>42298</v>
      </c>
      <c r="I10" s="21">
        <f>_xll.qlIndexFixing(M10,F10,TRUE,AllTriggers)</f>
        <v>6.9115439312390182E-3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obj_00380#0000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f>_xll.qlInterestRateIndexFixingDate(IborIndex,EffectiveDate,Trigger)</f>
        <v>42282</v>
      </c>
      <c r="G11" s="27">
        <f>_xll.qlInterestRateIndexValueDate(M11,F11)</f>
        <v>42284</v>
      </c>
      <c r="H11" s="27">
        <f>_xll.qlInterestRateIndexMaturity(M11,G11)</f>
        <v>42305</v>
      </c>
      <c r="I11" s="21">
        <f>_xll.qlIndexFixing(M11,F11,TRUE,AllTriggers)</f>
        <v>6.8399221930702326E-3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obj_00386#0000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f>_xll.qlInterestRateIndexFixingDate(IborIndex,EffectiveDate,Trigger)</f>
        <v>42282</v>
      </c>
      <c r="G12" s="27">
        <f>_xll.qlInterestRateIndexValueDate(M12,F12)</f>
        <v>42284</v>
      </c>
      <c r="H12" s="27">
        <f>_xll.qlInterestRateIndexMaturity(M12,G12)</f>
        <v>42317</v>
      </c>
      <c r="I12" s="21">
        <f>_xll.qlIndexFixing(M12,F12,TRUE,AllTriggers)</f>
        <v>6.6499999999993587E-3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obj_00378#0000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f>_xll.qlInterestRateIndexFixingDate(IborIndex,EffectiveDate,Trigger)</f>
        <v>42282</v>
      </c>
      <c r="G13" s="27">
        <f>_xll.qlInterestRateIndexValueDate(M13,F13)</f>
        <v>42284</v>
      </c>
      <c r="H13" s="27">
        <f>_xll.qlInterestRateIndexMaturity(M13,G13)</f>
        <v>42345</v>
      </c>
      <c r="I13" s="21">
        <f>_xll.qlIndexFixing(M13,F13,TRUE,AllTriggers)</f>
        <v>6.0960000000005706E-3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obj_0038f#0000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f>_xll.qlInterestRateIndexFixingDate(IborIndex,EffectiveDate,Trigger)</f>
        <v>42282</v>
      </c>
      <c r="G14" s="27">
        <f>_xll.qlInterestRateIndexValueDate(M14,F14)</f>
        <v>42284</v>
      </c>
      <c r="H14" s="27">
        <f>_xll.qlInterestRateIndexMaturity(M14,G14)</f>
        <v>42376</v>
      </c>
      <c r="I14" s="21">
        <f>_xll.qlIndexFixing(M14,F14,TRUE,AllTriggers)</f>
        <v>5.7249999999997104E-3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obj_0037d#0000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f>_xll.qlInterestRateIndexFixingDate(IborIndex,EffectiveDate,Trigger)</f>
        <v>42282</v>
      </c>
      <c r="G15" s="27">
        <f>_xll.qlInterestRateIndexValueDate(M15,F15)</f>
        <v>42284</v>
      </c>
      <c r="H15" s="27">
        <f>_xll.qlInterestRateIndexMaturity(M15,G15)</f>
        <v>42408</v>
      </c>
      <c r="I15" s="21">
        <f>_xll.qlIndexFixing(M15,F15,TRUE,AllTriggers)</f>
        <v>5.4590000000003464E-3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obj_00383#0000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f>_xll.qlInterestRateIndexFixingDate(IborIndex,EffectiveDate,Trigger)</f>
        <v>42282</v>
      </c>
      <c r="G16" s="27">
        <f>_xll.qlInterestRateIndexValueDate(M16,F16)</f>
        <v>42284</v>
      </c>
      <c r="H16" s="27">
        <f>_xll.qlInterestRateIndexMaturity(M16,G16)</f>
        <v>42436</v>
      </c>
      <c r="I16" s="21">
        <f>_xll.qlIndexFixing(M16,F16,TRUE,AllTriggers)</f>
        <v>5.3359999999994696E-3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obj_00389#0000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f>_xll.qlInterestRateIndexFixingDate(IborIndex,EffectiveDate,Trigger)</f>
        <v>42282</v>
      </c>
      <c r="G17" s="27">
        <f>_xll.qlInterestRateIndexValueDate(M17,F17)</f>
        <v>42284</v>
      </c>
      <c r="H17" s="27">
        <f>_xll.qlInterestRateIndexMaturity(M17,G17)</f>
        <v>42467</v>
      </c>
      <c r="I17" s="21">
        <f>_xll.qlIndexFixing(M17,F17,TRUE,AllTriggers)</f>
        <v>5.3450000002008835E-3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obj_00384#0000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f>_xll.qlInterestRateIndexFixingDate(IborIndex,EffectiveDate,Trigger)</f>
        <v>42282</v>
      </c>
      <c r="G18" s="27">
        <f>_xll.qlInterestRateIndexValueDate(M18,F18)</f>
        <v>42284</v>
      </c>
      <c r="H18" s="27">
        <f>_xll.qlInterestRateIndexMaturity(M18,G18)</f>
        <v>42499</v>
      </c>
      <c r="I18" s="21">
        <f>_xll.qlIndexFixing(M18,F18,TRUE,AllTriggers)</f>
        <v>5.4930036520920668E-3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obj_00390#0000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f>_xll.qlInterestRateIndexFixingDate(IborIndex,EffectiveDate,Trigger)</f>
        <v>42282</v>
      </c>
      <c r="G19" s="27">
        <f>_xll.qlInterestRateIndexValueDate(M19,F19)</f>
        <v>42284</v>
      </c>
      <c r="H19" s="27">
        <f>_xll.qlInterestRateIndexMaturity(M19,G19)</f>
        <v>42528</v>
      </c>
      <c r="I19" s="21">
        <f>_xll.qlIndexFixing(M19,F19,TRUE,AllTriggers)</f>
        <v>5.7283383199974803E-3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obj_0038b#0000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f>_xll.qlInterestRateIndexFixingDate(IborIndex,EffectiveDate,Trigger)</f>
        <v>42282</v>
      </c>
      <c r="G20" s="27">
        <f>_xll.qlInterestRateIndexValueDate(M20,F20)</f>
        <v>42284</v>
      </c>
      <c r="H20" s="27">
        <f>_xll.qlInterestRateIndexMaturity(M20,G20)</f>
        <v>42558</v>
      </c>
      <c r="I20" s="21">
        <f>_xll.qlIndexFixing(M20,F20,TRUE,AllTriggers)</f>
        <v>5.8735827740864933E-3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obj_0037e#0000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6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0.7</v>
      </c>
      <c r="C24" s="168">
        <f>_xll.qlIMMNextDate(_xll.qlIMMNextCode(_xll.qlIMMNextCode(EvaluationDate+FuturesRollDays)))</f>
        <v>42536</v>
      </c>
      <c r="D24" s="102" t="str">
        <f>"#"&amp;YEAR(C24)&amp;IF(LEN(MONTH(C24))=1,"0","")&amp;MONTH(C24)&amp;IF(LEN(DAY(C24))=1,"0","")&amp;DAY(C24)</f>
        <v>#20160615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5.7798363962605469E-3</v>
      </c>
      <c r="J24" s="103" t="str">
        <f>Currency&amp;"_CURVE_DEP"&amp;CurveTenor&amp;"_"&amp;D24</f>
        <v>USD_CURVE_DEP6M_#20160615</v>
      </c>
      <c r="K24" s="103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45" t="str">
        <f t="array" ref="D25:D32">_xll.qlIMMNextCodes(EvaluationDate,C25:C32)</f>
        <v>Z5</v>
      </c>
      <c r="E25" s="12" t="s">
        <v>101</v>
      </c>
      <c r="F25" s="26">
        <f>_xll.qlInterestRateIndexFixingDate(IborIndex,G25)</f>
        <v>42352</v>
      </c>
      <c r="G25" s="63">
        <f>_xll.qlIMMdate(D25)</f>
        <v>42354</v>
      </c>
      <c r="H25" s="26">
        <f>_xll.qlInterestRateIndexMaturity(IborIndex,G25)</f>
        <v>42537</v>
      </c>
      <c r="I25" s="161">
        <f>(1-_xll.qlIndexFixing($M$25,F25,TRUE,AllTriggers))*100</f>
        <v>99.517596760600355</v>
      </c>
      <c r="J25" s="22" t="str">
        <f t="shared" ref="J25:J32" si="1">Currency&amp;"_CURVE_"&amp;E25&amp;CurveTenor&amp;"_"&amp;D25</f>
        <v>USD_CURVE_FUT6M_Z5</v>
      </c>
      <c r="K25" s="22"/>
      <c r="L25" s="51"/>
      <c r="M25" s="36" t="str">
        <f>_xll.qlLibor(,Currency,"3M",YieldCurve,,Trigger)</f>
        <v>obj_0038c#0000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6" t="str">
        <v>H6</v>
      </c>
      <c r="E26" s="13" t="s">
        <v>101</v>
      </c>
      <c r="F26" s="27">
        <f>_xll.qlInterestRateIndexFixingDate(IborIndex,G26)</f>
        <v>42443</v>
      </c>
      <c r="G26" s="54">
        <f>_xll.qlIMMdate(D26)</f>
        <v>42445</v>
      </c>
      <c r="H26" s="27">
        <f>_xll.qlInterestRateIndexMaturity(IborIndex,G26)</f>
        <v>42629</v>
      </c>
      <c r="I26" s="162">
        <f>(1-_xll.qlIndexFixing($M$25,F26,TRUE,AllTriggers))*100</f>
        <v>99.34227628979346</v>
      </c>
      <c r="J26" s="21" t="str">
        <f t="shared" si="1"/>
        <v>USD_CURVE_FUT6M_H6</v>
      </c>
      <c r="K26" s="21"/>
      <c r="L26" s="51"/>
      <c r="M26" s="34"/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M6</v>
      </c>
      <c r="E27" s="13" t="s">
        <v>101</v>
      </c>
      <c r="F27" s="54">
        <f>_xll.qlInterestRateIndexFixingDate(IborIndex,G27)</f>
        <v>42534</v>
      </c>
      <c r="G27" s="54">
        <f>_xll.qlIMMdate(D27)</f>
        <v>42536</v>
      </c>
      <c r="H27" s="54">
        <f>_xll.qlInterestRateIndexMaturity(IborIndex,G27)</f>
        <v>42719</v>
      </c>
      <c r="I27" s="162">
        <f>(1-_xll.qlIndexFixing($M$25,F27,TRUE,AllTriggers))*100</f>
        <v>99.344088629035625</v>
      </c>
      <c r="J27" s="21" t="str">
        <f t="shared" si="1"/>
        <v>USD_CURVE_FUT6M_M6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U6</v>
      </c>
      <c r="E28" s="13" t="s">
        <v>101</v>
      </c>
      <c r="F28" s="54">
        <f>_xll.qlInterestRateIndexFixingDate(IborIndex,G28)</f>
        <v>42632</v>
      </c>
      <c r="G28" s="54">
        <f>_xll.qlIMMdate(D28)</f>
        <v>42634</v>
      </c>
      <c r="H28" s="54">
        <f>_xll.qlInterestRateIndexMaturity(IborIndex,G28)</f>
        <v>42815</v>
      </c>
      <c r="I28" s="162">
        <f>(1-_xll.qlIndexFixing($M$25,F28,TRUE,AllTriggers))*100</f>
        <v>99.117359686687522</v>
      </c>
      <c r="J28" s="21" t="str">
        <f t="shared" si="1"/>
        <v>USD_CURVE_FUT6M_U6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Z6</v>
      </c>
      <c r="E29" s="13" t="s">
        <v>101</v>
      </c>
      <c r="F29" s="54">
        <f>_xll.qlInterestRateIndexFixingDate(IborIndex,G29)</f>
        <v>42723</v>
      </c>
      <c r="G29" s="54">
        <f>_xll.qlIMMdate(D29)</f>
        <v>42725</v>
      </c>
      <c r="H29" s="54">
        <f>_xll.qlInterestRateIndexMaturity(IborIndex,G29)</f>
        <v>42907</v>
      </c>
      <c r="I29" s="163">
        <f>(1-_xll.qlIndexFixing($M$25,F29,TRUE,AllTriggers))*100</f>
        <v>99.108622880450255</v>
      </c>
      <c r="J29" s="21" t="str">
        <f t="shared" si="1"/>
        <v>USD_CURVE_FUT6M_Z6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H7</v>
      </c>
      <c r="E30" s="13" t="s">
        <v>101</v>
      </c>
      <c r="F30" s="54">
        <f>_xll.qlInterestRateIndexFixingDate(IborIndex,G30)</f>
        <v>42807</v>
      </c>
      <c r="G30" s="54">
        <f>_xll.qlIMMdate(D30)</f>
        <v>42809</v>
      </c>
      <c r="H30" s="54">
        <f>_xll.qlInterestRateIndexMaturity(IborIndex,G30)</f>
        <v>42993</v>
      </c>
      <c r="I30" s="163">
        <f>(1-_xll.qlIndexFixing($M$25,F30,TRUE,AllTriggers))*100</f>
        <v>98.91796026954907</v>
      </c>
      <c r="J30" s="21" t="str">
        <f t="shared" si="1"/>
        <v>USD_CURVE_FUT6M_H7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M7</v>
      </c>
      <c r="E31" s="13" t="s">
        <v>101</v>
      </c>
      <c r="F31" s="54">
        <f>_xll.qlInterestRateIndexFixingDate(IborIndex,G31)</f>
        <v>42905</v>
      </c>
      <c r="G31" s="54">
        <f>_xll.qlIMMdate(D31)</f>
        <v>42907</v>
      </c>
      <c r="H31" s="54">
        <f>_xll.qlInterestRateIndexMaturity(IborIndex,G31)</f>
        <v>43090</v>
      </c>
      <c r="I31" s="162">
        <f>(1-_xll.qlIndexFixing($M$25,F31,TRUE,AllTriggers))*100</f>
        <v>98.802643957573437</v>
      </c>
      <c r="J31" s="21" t="str">
        <f t="shared" si="1"/>
        <v>USD_CURVE_FUT6M_M7</v>
      </c>
      <c r="K31" s="21"/>
      <c r="L31" s="23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U7</v>
      </c>
      <c r="E32" s="13" t="s">
        <v>101</v>
      </c>
      <c r="F32" s="54">
        <f>_xll.qlInterestRateIndexFixingDate(IborIndex,G32)</f>
        <v>42996</v>
      </c>
      <c r="G32" s="54">
        <f>_xll.qlIMMdate(D32)</f>
        <v>42998</v>
      </c>
      <c r="H32" s="54">
        <f>_xll.qlInterestRateIndexMaturity(IborIndex,G32)</f>
        <v>43179</v>
      </c>
      <c r="I32" s="162">
        <f>(1-_xll.qlIndexFixing($M$25,F32,TRUE,AllTriggers))*100</f>
        <v>98.706543523552284</v>
      </c>
      <c r="J32" s="21" t="str">
        <f t="shared" si="1"/>
        <v>USD_CURVE_FUT6M_U7</v>
      </c>
      <c r="K32" s="21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45" t="s">
        <v>22</v>
      </c>
      <c r="E33" s="12" t="s">
        <v>95</v>
      </c>
      <c r="F33" s="63">
        <f>_xll.qlInterestRateIndexFixingDate(IborIndex,EffectiveDate,Trigger)</f>
        <v>42282</v>
      </c>
      <c r="G33" s="26">
        <f>_xll.qlInterestRateIndexValueDate(M33,F33)</f>
        <v>42284</v>
      </c>
      <c r="H33" s="26">
        <f>_xll.qlInterestRateIndexMaturity(M33,G33)</f>
        <v>42650</v>
      </c>
      <c r="I33" s="22">
        <f>_xll.qlIndexFixing(M33,F33,,AllTriggers)</f>
        <v>6.0676841736946995E-3</v>
      </c>
      <c r="J33" s="85" t="str">
        <f t="shared" ref="J33:J61" si="2">Currency&amp;"_CURVE_"&amp;CurveTenor&amp;"_"&amp;D33</f>
        <v>USD_CURVE_6M_1Y</v>
      </c>
      <c r="K33" s="85" t="s">
        <v>186</v>
      </c>
      <c r="L33" s="23"/>
      <c r="M33" s="52" t="str">
        <f>_xll.qlSwapIndex(,"NoFix",D33,2,Currency,Calendar,FixedLegTenor,FixedLegBDC,FixedLegDayCounter,IborIndex,DiscountingCurve,,"trigger")</f>
        <v>obj_00431#0000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46"/>
      <c r="E34" s="13"/>
      <c r="F34" s="54"/>
      <c r="G34" s="27"/>
      <c r="H34" s="27"/>
      <c r="I34" s="21"/>
      <c r="J34" s="21"/>
      <c r="K34" s="21"/>
      <c r="L34" s="23"/>
      <c r="M34" s="52"/>
      <c r="N34" s="34"/>
      <c r="O34" s="37"/>
      <c r="P34" s="34"/>
      <c r="Q34" s="37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6"/>
      <c r="E35" s="13"/>
      <c r="F35" s="54"/>
      <c r="G35" s="27"/>
      <c r="H35" s="27"/>
      <c r="I35" s="21"/>
      <c r="J35" s="21"/>
      <c r="K35" s="21"/>
      <c r="L35" s="23"/>
      <c r="M35" s="52"/>
      <c r="N35" s="34"/>
      <c r="O35" s="37"/>
      <c r="P35" s="34"/>
      <c r="Q35" s="37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 t="s">
        <v>23</v>
      </c>
      <c r="E37" s="13" t="s">
        <v>95</v>
      </c>
      <c r="F37" s="54">
        <f>_xll.qlInterestRateIndexFixingDate(IborIndex,EffectiveDate,Trigger)</f>
        <v>42282</v>
      </c>
      <c r="G37" s="27">
        <f>_xll.qlInterestRateIndexValueDate(M37,F37)</f>
        <v>42284</v>
      </c>
      <c r="H37" s="27">
        <f>_xll.qlInterestRateIndexMaturity(M37,G37)</f>
        <v>43017</v>
      </c>
      <c r="I37" s="21">
        <f>_xll.qlIndexFixing(M37,F37,,AllTriggers)</f>
        <v>8.2550693174845025E-3</v>
      </c>
      <c r="J37" s="21" t="str">
        <f t="shared" si="2"/>
        <v>USD_CURVE_6M_2Y</v>
      </c>
      <c r="K37" s="21" t="s">
        <v>187</v>
      </c>
      <c r="L37" s="4"/>
      <c r="M37" s="103" t="str">
        <f>_xll.qlSwapIndex(,"NoFix",D37,2,Currency,Calendar,FixedLegTenor,FixedLegBDC,FixedLegDayCounter,IborIndex,DiscountingCurve,,"trigger")</f>
        <v>obj_0040c#0000</v>
      </c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 t="s">
        <v>24</v>
      </c>
      <c r="E38" s="13" t="s">
        <v>95</v>
      </c>
      <c r="F38" s="54">
        <f>_xll.qlInterestRateIndexFixingDate(IborIndex,EffectiveDate,Trigger)</f>
        <v>42282</v>
      </c>
      <c r="G38" s="27">
        <f>_xll.qlInterestRateIndexValueDate(M38,F38)</f>
        <v>42284</v>
      </c>
      <c r="H38" s="27">
        <f>_xll.qlInterestRateIndexMaturity(M38,G38)</f>
        <v>43381</v>
      </c>
      <c r="I38" s="21">
        <f>_xll.qlIndexFixing(M38,F38,,AllTriggers)</f>
        <v>1.0401368452954151E-2</v>
      </c>
      <c r="J38" s="21" t="str">
        <f t="shared" si="2"/>
        <v>USD_CURVE_6M_3Y</v>
      </c>
      <c r="K38" s="21" t="s">
        <v>188</v>
      </c>
      <c r="L38" s="4"/>
      <c r="M38" s="103" t="str">
        <f>_xll.qlSwapIndex(,"NoFix",D38,2,Currency,Calendar,FixedLegTenor,FixedLegBDC,FixedLegDayCounter,IborIndex,DiscountingCurve,,"trigger")</f>
        <v>obj_0041f#0000</v>
      </c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25</v>
      </c>
      <c r="E39" s="13" t="s">
        <v>95</v>
      </c>
      <c r="F39" s="54">
        <f>_xll.qlInterestRateIndexFixingDate(IborIndex,EffectiveDate,Trigger)</f>
        <v>42282</v>
      </c>
      <c r="G39" s="27">
        <f>_xll.qlInterestRateIndexValueDate(M39,F39)</f>
        <v>42284</v>
      </c>
      <c r="H39" s="27">
        <f>_xll.qlInterestRateIndexMaturity(M39,G39)</f>
        <v>43745</v>
      </c>
      <c r="I39" s="21">
        <f>_xll.qlIndexFixing(M39,F39,,AllTriggers)</f>
        <v>1.2453878389762757E-2</v>
      </c>
      <c r="J39" s="21" t="str">
        <f t="shared" si="2"/>
        <v>USD_CURVE_6M_4Y</v>
      </c>
      <c r="K39" s="21" t="s">
        <v>189</v>
      </c>
      <c r="L39" s="4"/>
      <c r="M39" s="103" t="str">
        <f>_xll.qlSwapIndex(,"NoFix",D39,2,Currency,Calendar,FixedLegTenor,FixedLegBDC,FixedLegDayCounter,IborIndex,DiscountingCurve,,"trigger")</f>
        <v>obj_003dd#0000</v>
      </c>
      <c r="N39" s="34"/>
      <c r="O39" s="34"/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26</v>
      </c>
      <c r="E40" s="13" t="s">
        <v>95</v>
      </c>
      <c r="F40" s="54">
        <f>_xll.qlInterestRateIndexFixingDate(IborIndex,EffectiveDate,Trigger)</f>
        <v>42282</v>
      </c>
      <c r="G40" s="27">
        <f>_xll.qlInterestRateIndexValueDate(M40,F40)</f>
        <v>42284</v>
      </c>
      <c r="H40" s="27">
        <f>_xll.qlInterestRateIndexMaturity(M40,G40)</f>
        <v>44111</v>
      </c>
      <c r="I40" s="21">
        <f>_xll.qlIndexFixing(M40,F40,,AllTriggers)</f>
        <v>1.432437429587971E-2</v>
      </c>
      <c r="J40" s="21" t="str">
        <f t="shared" si="2"/>
        <v>USD_CURVE_6M_5Y</v>
      </c>
      <c r="K40" s="21" t="s">
        <v>190</v>
      </c>
      <c r="L40" s="4"/>
      <c r="M40" s="103" t="str">
        <f>_xll.qlSwapIndex(,"NoFix",D40,2,Currency,Calendar,FixedLegTenor,FixedLegBDC,FixedLegDayCounter,IborIndex,DiscountingCurve,,"trigger")</f>
        <v>obj_003fc#0000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69</v>
      </c>
      <c r="E41" s="13" t="s">
        <v>95</v>
      </c>
      <c r="F41" s="54">
        <f>_xll.qlInterestRateIndexFixingDate(IborIndex,EffectiveDate,Trigger)</f>
        <v>42282</v>
      </c>
      <c r="G41" s="27">
        <f>_xll.qlInterestRateIndexValueDate(M41,F41)</f>
        <v>42284</v>
      </c>
      <c r="H41" s="27">
        <f>_xll.qlInterestRateIndexMaturity(M41,G41)</f>
        <v>44476</v>
      </c>
      <c r="I41" s="21">
        <f>_xll.qlIndexFixing(M41,F41,,AllTriggers)</f>
        <v>1.6004793093430281E-2</v>
      </c>
      <c r="J41" s="21" t="str">
        <f t="shared" si="2"/>
        <v>USD_CURVE_6M_6Y</v>
      </c>
      <c r="K41" s="21" t="s">
        <v>191</v>
      </c>
      <c r="L41" s="4"/>
      <c r="M41" s="103" t="str">
        <f>_xll.qlSwapIndex(,"NoFix",D41,2,Currency,Calendar,FixedLegTenor,FixedLegBDC,FixedLegDayCounter,IborIndex,DiscountingCurve,,"trigger")</f>
        <v>obj_0043b#0000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27</v>
      </c>
      <c r="E42" s="13" t="s">
        <v>95</v>
      </c>
      <c r="F42" s="54">
        <f>_xll.qlInterestRateIndexFixingDate(IborIndex,EffectiveDate,Trigger)</f>
        <v>42282</v>
      </c>
      <c r="G42" s="27">
        <f>_xll.qlInterestRateIndexValueDate(M42,F42)</f>
        <v>42284</v>
      </c>
      <c r="H42" s="27">
        <f>_xll.qlInterestRateIndexMaturity(M42,G42)</f>
        <v>44841</v>
      </c>
      <c r="I42" s="21">
        <f>_xll.qlIndexFixing(M42,F42,,AllTriggers)</f>
        <v>1.7485327417269995E-2</v>
      </c>
      <c r="J42" s="21" t="str">
        <f t="shared" si="2"/>
        <v>USD_CURVE_6M_7Y</v>
      </c>
      <c r="K42" s="21" t="s">
        <v>192</v>
      </c>
      <c r="L42" s="4"/>
      <c r="M42" s="103" t="str">
        <f>_xll.qlSwapIndex(,"NoFix",D42,2,Currency,Calendar,FixedLegTenor,FixedLegBDC,FixedLegDayCounter,IborIndex,DiscountingCurve,,"trigger")</f>
        <v>obj_003f3#0000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70</v>
      </c>
      <c r="E43" s="13" t="s">
        <v>95</v>
      </c>
      <c r="F43" s="54">
        <f>_xll.qlInterestRateIndexFixingDate(IborIndex,EffectiveDate,Trigger)</f>
        <v>42282</v>
      </c>
      <c r="G43" s="27">
        <f>_xll.qlInterestRateIndexValueDate(M43,F43)</f>
        <v>42284</v>
      </c>
      <c r="H43" s="27">
        <f>_xll.qlInterestRateIndexMaturity(M43,G43)</f>
        <v>45208</v>
      </c>
      <c r="I43" s="21">
        <f>_xll.qlIndexFixing(M43,F43,,AllTriggers)</f>
        <v>1.8759456334123438E-2</v>
      </c>
      <c r="J43" s="21" t="str">
        <f t="shared" si="2"/>
        <v>USD_CURVE_6M_8Y</v>
      </c>
      <c r="K43" s="21" t="s">
        <v>193</v>
      </c>
      <c r="L43" s="4"/>
      <c r="M43" s="103" t="str">
        <f>_xll.qlSwapIndex(,"NoFix",D43,2,Currency,Calendar,FixedLegTenor,FixedLegBDC,FixedLegDayCounter,IborIndex,DiscountingCurve,,"trigger")</f>
        <v>obj_00404#0000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71</v>
      </c>
      <c r="E44" s="13" t="s">
        <v>95</v>
      </c>
      <c r="F44" s="54">
        <f>_xll.qlInterestRateIndexFixingDate(IborIndex,EffectiveDate,Trigger)</f>
        <v>42282</v>
      </c>
      <c r="G44" s="27">
        <f>_xll.qlInterestRateIndexValueDate(M44,F44)</f>
        <v>42284</v>
      </c>
      <c r="H44" s="27">
        <f>_xll.qlInterestRateIndexMaturity(M44,G44)</f>
        <v>45572</v>
      </c>
      <c r="I44" s="21">
        <f>_xll.qlIndexFixing(M44,F44,,AllTriggers)</f>
        <v>1.9816435878980642E-2</v>
      </c>
      <c r="J44" s="21" t="str">
        <f t="shared" si="2"/>
        <v>USD_CURVE_6M_9Y</v>
      </c>
      <c r="K44" s="21" t="s">
        <v>194</v>
      </c>
      <c r="L44" s="4"/>
      <c r="M44" s="103" t="str">
        <f>_xll.qlSwapIndex(,"NoFix",D44,2,Currency,Calendar,FixedLegTenor,FixedLegBDC,FixedLegDayCounter,IborIndex,DiscountingCurve,,"trigger")</f>
        <v>obj_00427#0000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28</v>
      </c>
      <c r="E45" s="13" t="s">
        <v>95</v>
      </c>
      <c r="F45" s="54">
        <f>_xll.qlInterestRateIndexFixingDate(IborIndex,EffectiveDate,Trigger)</f>
        <v>42282</v>
      </c>
      <c r="G45" s="27">
        <f>_xll.qlInterestRateIndexValueDate(M45,F45)</f>
        <v>42284</v>
      </c>
      <c r="H45" s="27">
        <f>_xll.qlInterestRateIndexMaturity(M45,G45)</f>
        <v>45937</v>
      </c>
      <c r="I45" s="21">
        <f>_xll.qlIndexFixing(M45,F45,,AllTriggers)</f>
        <v>2.0726881073942997E-2</v>
      </c>
      <c r="J45" s="21" t="str">
        <f t="shared" si="2"/>
        <v>USD_CURVE_6M_10Y</v>
      </c>
      <c r="K45" s="21" t="s">
        <v>195</v>
      </c>
      <c r="L45" s="4"/>
      <c r="M45" s="103" t="str">
        <f>_xll.qlSwapIndex(,"NoFix",D45,2,Currency,Calendar,FixedLegTenor,FixedLegBDC,FixedLegDayCounter,IborIndex,DiscountingCurve,,"trigger")</f>
        <v>obj_00417#0000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72</v>
      </c>
      <c r="E46" s="13" t="s">
        <v>95</v>
      </c>
      <c r="F46" s="54">
        <f>_xll.qlInterestRateIndexFixingDate(IborIndex,EffectiveDate,Trigger)</f>
        <v>42282</v>
      </c>
      <c r="G46" s="27">
        <f>_xll.qlInterestRateIndexValueDate(M46,F46)</f>
        <v>42284</v>
      </c>
      <c r="H46" s="27">
        <f>_xll.qlInterestRateIndexMaturity(M46,G46)</f>
        <v>46302</v>
      </c>
      <c r="I46" s="21">
        <f>_xll.qlIndexFixing(M46,F46,,AllTriggers)</f>
        <v>2.1519235607225393E-2</v>
      </c>
      <c r="J46" s="21" t="str">
        <f t="shared" si="2"/>
        <v>USD_CURVE_6M_11Y</v>
      </c>
      <c r="K46" s="21" t="s">
        <v>196</v>
      </c>
      <c r="L46" s="37"/>
      <c r="M46" s="52" t="str">
        <f>_xll.qlSwapIndex(,"NoFix",D46,2,Currency,Calendar,FixedLegTenor,FixedLegBDC,FixedLegDayCounter,IborIndex,DiscountingCurve,,"trigger")</f>
        <v>obj_00428#0000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29</v>
      </c>
      <c r="E47" s="13" t="s">
        <v>95</v>
      </c>
      <c r="F47" s="54">
        <f>_xll.qlInterestRateIndexFixingDate(IborIndex,EffectiveDate,Trigger)</f>
        <v>42282</v>
      </c>
      <c r="G47" s="27">
        <f>_xll.qlInterestRateIndexValueDate(M47,F47)</f>
        <v>42284</v>
      </c>
      <c r="H47" s="27">
        <f>_xll.qlInterestRateIndexMaturity(M47,G47)</f>
        <v>46667</v>
      </c>
      <c r="I47" s="21">
        <f>_xll.qlIndexFixing(M47,F47,,AllTriggers)</f>
        <v>2.219768794608221E-2</v>
      </c>
      <c r="J47" s="21" t="str">
        <f t="shared" si="2"/>
        <v>USD_CURVE_6M_12Y</v>
      </c>
      <c r="K47" s="21" t="s">
        <v>197</v>
      </c>
      <c r="L47" s="37"/>
      <c r="M47" s="52" t="str">
        <f>_xll.qlSwapIndex(,"NoFix",D47,2,Currency,Calendar,FixedLegTenor,FixedLegBDC,FixedLegDayCounter,IborIndex,DiscountingCurve,,"trigger")</f>
        <v>obj_00418#0000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73</v>
      </c>
      <c r="E48" s="13" t="s">
        <v>95</v>
      </c>
      <c r="F48" s="54">
        <f>_xll.qlInterestRateIndexFixingDate(IborIndex,EffectiveDate,Trigger)</f>
        <v>42282</v>
      </c>
      <c r="G48" s="27">
        <f>_xll.qlInterestRateIndexValueDate(M48,F48)</f>
        <v>42284</v>
      </c>
      <c r="H48" s="27">
        <f>_xll.qlInterestRateIndexMaturity(M48,G48)</f>
        <v>47035</v>
      </c>
      <c r="I48" s="21">
        <f>_xll.qlIndexFixing(M48,F48,,AllTriggers)</f>
        <v>2.27721835520018E-2</v>
      </c>
      <c r="J48" s="21" t="str">
        <f t="shared" si="2"/>
        <v>USD_CURVE_6M_13Y</v>
      </c>
      <c r="K48" s="21" t="s">
        <v>198</v>
      </c>
      <c r="L48" s="4"/>
      <c r="M48" s="52" t="str">
        <f>_xll.qlSwapIndex(,"NoFix",D48,2,Currency,Calendar,FixedLegTenor,FixedLegBDC,FixedLegDayCounter,IborIndex,DiscountingCurve,,"trigger")</f>
        <v>obj_003d5#0000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74</v>
      </c>
      <c r="E49" s="13" t="s">
        <v>95</v>
      </c>
      <c r="F49" s="54">
        <f>_xll.qlInterestRateIndexFixingDate(IborIndex,EffectiveDate,Trigger)</f>
        <v>42282</v>
      </c>
      <c r="G49" s="27">
        <f>_xll.qlInterestRateIndexValueDate(M49,F49)</f>
        <v>42284</v>
      </c>
      <c r="H49" s="27">
        <f>_xll.qlInterestRateIndexMaturity(M49,G49)</f>
        <v>47399</v>
      </c>
      <c r="I49" s="21">
        <f>_xll.qlIndexFixing(M49,F49,,AllTriggers)</f>
        <v>2.3253568000823267E-2</v>
      </c>
      <c r="J49" s="21" t="str">
        <f t="shared" si="2"/>
        <v>USD_CURVE_6M_14Y</v>
      </c>
      <c r="K49" s="21" t="s">
        <v>199</v>
      </c>
      <c r="L49" s="4"/>
      <c r="M49" s="52" t="str">
        <f>_xll.qlSwapIndex(,"NoFix",D49,2,Currency,Calendar,FixedLegTenor,FixedLegBDC,FixedLegDayCounter,IborIndex,DiscountingCurve,,"trigger")</f>
        <v>obj_00420#0000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30</v>
      </c>
      <c r="E50" s="13" t="s">
        <v>95</v>
      </c>
      <c r="F50" s="54">
        <f>_xll.qlInterestRateIndexFixingDate(IborIndex,EffectiveDate,Trigger)</f>
        <v>42282</v>
      </c>
      <c r="G50" s="27">
        <f>_xll.qlInterestRateIndexValueDate(M50,F50)</f>
        <v>42284</v>
      </c>
      <c r="H50" s="27">
        <f>_xll.qlInterestRateIndexMaturity(M50,G50)</f>
        <v>47763</v>
      </c>
      <c r="I50" s="21">
        <f>_xll.qlIndexFixing(M50,F50,,AllTriggers)</f>
        <v>2.366851803139218E-2</v>
      </c>
      <c r="J50" s="21" t="str">
        <f t="shared" si="2"/>
        <v>USD_CURVE_6M_15Y</v>
      </c>
      <c r="K50" s="21" t="s">
        <v>200</v>
      </c>
      <c r="L50" s="4"/>
      <c r="M50" s="52" t="str">
        <f>_xll.qlSwapIndex(,"NoFix",D50,2,Currency,Calendar,FixedLegTenor,FixedLegBDC,FixedLegDayCounter,IborIndex,DiscountingCurve,,"trigger")</f>
        <v>obj_003ef#0000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75</v>
      </c>
      <c r="E51" s="13" t="s">
        <v>95</v>
      </c>
      <c r="F51" s="54">
        <f>_xll.qlInterestRateIndexFixingDate(IborIndex,EffectiveDate,Trigger)</f>
        <v>42282</v>
      </c>
      <c r="G51" s="27">
        <f>_xll.qlInterestRateIndexValueDate(M51,F51)</f>
        <v>42284</v>
      </c>
      <c r="H51" s="27">
        <f>_xll.qlInterestRateIndexMaturity(M51,G51)</f>
        <v>48128</v>
      </c>
      <c r="I51" s="21">
        <f>_xll.qlIndexFixing(M51,F51,,AllTriggers)</f>
        <v>2.403167329234843E-2</v>
      </c>
      <c r="J51" s="21" t="str">
        <f t="shared" si="2"/>
        <v>USD_CURVE_6M_16Y</v>
      </c>
      <c r="K51" s="21" t="s">
        <v>201</v>
      </c>
      <c r="L51" s="4"/>
      <c r="M51" s="52" t="str">
        <f>_xll.qlSwapIndex(,"NoFix",D51,2,Currency,Calendar,FixedLegTenor,FixedLegBDC,FixedLegDayCounter,IborIndex,DiscountingCurve,,"trigger")</f>
        <v>obj_00426#0000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76</v>
      </c>
      <c r="E52" s="13" t="s">
        <v>95</v>
      </c>
      <c r="F52" s="54">
        <f>_xll.qlInterestRateIndexFixingDate(IborIndex,EffectiveDate,Trigger)</f>
        <v>42282</v>
      </c>
      <c r="G52" s="27">
        <f>_xll.qlInterestRateIndexValueDate(M52,F52)</f>
        <v>42284</v>
      </c>
      <c r="H52" s="27">
        <f>_xll.qlInterestRateIndexMaturity(M52,G52)</f>
        <v>48494</v>
      </c>
      <c r="I52" s="21">
        <f>_xll.qlIndexFixing(M52,F52,,AllTriggers)</f>
        <v>2.4349640502578471E-2</v>
      </c>
      <c r="J52" s="21" t="str">
        <f t="shared" si="2"/>
        <v>USD_CURVE_6M_17Y</v>
      </c>
      <c r="K52" s="21" t="s">
        <v>202</v>
      </c>
      <c r="L52" s="4"/>
      <c r="M52" s="52" t="str">
        <f>_xll.qlSwapIndex(,"NoFix",D52,2,Currency,Calendar,FixedLegTenor,FixedLegBDC,FixedLegDayCounter,IborIndex,DiscountingCurve,,"trigger")</f>
        <v>obj_003e1#0000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77</v>
      </c>
      <c r="E53" s="13" t="s">
        <v>95</v>
      </c>
      <c r="F53" s="54">
        <f>_xll.qlInterestRateIndexFixingDate(IborIndex,EffectiveDate,Trigger)</f>
        <v>42282</v>
      </c>
      <c r="G53" s="27">
        <f>_xll.qlInterestRateIndexValueDate(M53,F53)</f>
        <v>42284</v>
      </c>
      <c r="H53" s="27">
        <f>_xll.qlInterestRateIndexMaturity(M53,G53)</f>
        <v>48859</v>
      </c>
      <c r="I53" s="21">
        <f>_xll.qlIndexFixing(M53,F53,,AllTriggers)</f>
        <v>2.4625332923601827E-2</v>
      </c>
      <c r="J53" s="21" t="str">
        <f t="shared" si="2"/>
        <v>USD_CURVE_6M_18Y</v>
      </c>
      <c r="K53" s="21" t="s">
        <v>203</v>
      </c>
      <c r="L53" s="4"/>
      <c r="M53" s="52" t="str">
        <f>_xll.qlSwapIndex(,"NoFix",D53,2,Currency,Calendar,FixedLegTenor,FixedLegBDC,FixedLegDayCounter,IborIndex,DiscountingCurve,,"trigger")</f>
        <v>obj_0043d#0000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78</v>
      </c>
      <c r="E54" s="13" t="s">
        <v>95</v>
      </c>
      <c r="F54" s="54">
        <f>_xll.qlInterestRateIndexFixingDate(IborIndex,EffectiveDate,Trigger)</f>
        <v>42282</v>
      </c>
      <c r="G54" s="27">
        <f>_xll.qlInterestRateIndexValueDate(M54,F54)</f>
        <v>42284</v>
      </c>
      <c r="H54" s="27">
        <f>_xll.qlInterestRateIndexMaturity(M54,G54)</f>
        <v>49226</v>
      </c>
      <c r="I54" s="21">
        <f>_xll.qlIndexFixing(M54,F54,,AllTriggers)</f>
        <v>2.486484691181878E-2</v>
      </c>
      <c r="J54" s="21" t="str">
        <f t="shared" si="2"/>
        <v>USD_CURVE_6M_19Y</v>
      </c>
      <c r="K54" s="21" t="s">
        <v>204</v>
      </c>
      <c r="L54" s="4"/>
      <c r="M54" s="52" t="str">
        <f>_xll.qlSwapIndex(,"NoFix",D54,2,Currency,Calendar,FixedLegTenor,FixedLegBDC,FixedLegDayCounter,IborIndex,DiscountingCurve,,"trigger")</f>
        <v>obj_003df#0000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79</v>
      </c>
      <c r="E55" s="13" t="s">
        <v>95</v>
      </c>
      <c r="F55" s="54">
        <f>_xll.qlInterestRateIndexFixingDate(IborIndex,EffectiveDate,Trigger)</f>
        <v>42282</v>
      </c>
      <c r="G55" s="27">
        <f>_xll.qlInterestRateIndexValueDate(M55,F55)</f>
        <v>42284</v>
      </c>
      <c r="H55" s="27">
        <f>_xll.qlInterestRateIndexMaturity(M55,G55)</f>
        <v>49590</v>
      </c>
      <c r="I55" s="21">
        <f>_xll.qlIndexFixing(M55,F55,,AllTriggers)</f>
        <v>2.5068010583384297E-2</v>
      </c>
      <c r="J55" s="21" t="str">
        <f t="shared" si="2"/>
        <v>USD_CURVE_6M_20Y</v>
      </c>
      <c r="K55" s="21" t="s">
        <v>205</v>
      </c>
      <c r="L55" s="4"/>
      <c r="M55" s="52" t="str">
        <f>_xll.qlSwapIndex(,"NoFix",D55,2,Currency,Calendar,FixedLegTenor,FixedLegBDC,FixedLegDayCounter,IborIndex,DiscountingCurve,,"trigger")</f>
        <v>obj_00440#0000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80</v>
      </c>
      <c r="E56" s="13" t="s">
        <v>95</v>
      </c>
      <c r="F56" s="54">
        <f>_xll.qlInterestRateIndexFixingDate(IborIndex,EffectiveDate,Trigger)</f>
        <v>42282</v>
      </c>
      <c r="G56" s="27">
        <f>_xll.qlInterestRateIndexValueDate(M56,F56)</f>
        <v>42284</v>
      </c>
      <c r="H56" s="27">
        <f>_xll.qlInterestRateIndexMaturity(M56,G56)</f>
        <v>49955</v>
      </c>
      <c r="I56" s="21">
        <f>_xll.qlIndexFixing(M56,F56,,AllTriggers)</f>
        <v>2.5240972762400261E-2</v>
      </c>
      <c r="J56" s="21" t="str">
        <f t="shared" si="2"/>
        <v>USD_CURVE_6M_21Y</v>
      </c>
      <c r="K56" s="21" t="s">
        <v>206</v>
      </c>
      <c r="L56" s="4"/>
      <c r="M56" s="52" t="str">
        <f>_xll.qlSwapIndex(,"NoFix",D56,2,Currency,Calendar,FixedLegTenor,FixedLegBDC,FixedLegDayCounter,IborIndex,DiscountingCurve,,"trigger")</f>
        <v>obj_003f0#0000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81</v>
      </c>
      <c r="E57" s="13" t="s">
        <v>95</v>
      </c>
      <c r="F57" s="54">
        <f>_xll.qlInterestRateIndexFixingDate(IborIndex,EffectiveDate,Trigger)</f>
        <v>42282</v>
      </c>
      <c r="G57" s="27">
        <f>_xll.qlInterestRateIndexValueDate(M57,F57)</f>
        <v>42284</v>
      </c>
      <c r="H57" s="27">
        <f>_xll.qlInterestRateIndexMaturity(M57,G57)</f>
        <v>50320</v>
      </c>
      <c r="I57" s="21">
        <f>_xll.qlIndexFixing(M57,F57,,AllTriggers)</f>
        <v>2.5389211763454576E-2</v>
      </c>
      <c r="J57" s="21" t="str">
        <f t="shared" si="2"/>
        <v>USD_CURVE_6M_22Y</v>
      </c>
      <c r="K57" s="21" t="s">
        <v>207</v>
      </c>
      <c r="L57" s="4"/>
      <c r="M57" s="52" t="str">
        <f>_xll.qlSwapIndex(,"NoFix",D57,2,Currency,Calendar,FixedLegTenor,FixedLegBDC,FixedLegDayCounter,IborIndex,DiscountingCurve,,"trigger")</f>
        <v>obj_0042b#0000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82</v>
      </c>
      <c r="E58" s="13" t="s">
        <v>95</v>
      </c>
      <c r="F58" s="54">
        <f>_xll.qlInterestRateIndexFixingDate(IborIndex,EffectiveDate,Trigger)</f>
        <v>42282</v>
      </c>
      <c r="G58" s="27">
        <f>_xll.qlInterestRateIndexValueDate(M58,F58)</f>
        <v>42284</v>
      </c>
      <c r="H58" s="27">
        <f>_xll.qlInterestRateIndexMaturity(M58,G58)</f>
        <v>50685</v>
      </c>
      <c r="I58" s="21">
        <f>_xll.qlIndexFixing(M58,F58,,AllTriggers)</f>
        <v>2.5518483335325221E-2</v>
      </c>
      <c r="J58" s="21" t="str">
        <f t="shared" si="2"/>
        <v>USD_CURVE_6M_23Y</v>
      </c>
      <c r="K58" s="21" t="s">
        <v>208</v>
      </c>
      <c r="L58" s="4"/>
      <c r="M58" s="52" t="str">
        <f>_xll.qlSwapIndex(,"NoFix",D58,2,Currency,Calendar,FixedLegTenor,FixedLegBDC,FixedLegDayCounter,IborIndex,DiscountingCurve,,"trigger")</f>
        <v>obj_00402#0000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83</v>
      </c>
      <c r="E59" s="13" t="s">
        <v>95</v>
      </c>
      <c r="F59" s="54">
        <f>_xll.qlInterestRateIndexFixingDate(IborIndex,EffectiveDate,Trigger)</f>
        <v>42282</v>
      </c>
      <c r="G59" s="27">
        <f>_xll.qlInterestRateIndexValueDate(M59,F59)</f>
        <v>42284</v>
      </c>
      <c r="H59" s="27">
        <f>_xll.qlInterestRateIndexMaturity(M59,G59)</f>
        <v>51050</v>
      </c>
      <c r="I59" s="21">
        <f>_xll.qlIndexFixing(M59,F59,,AllTriggers)</f>
        <v>2.5633497836871317E-2</v>
      </c>
      <c r="J59" s="21" t="str">
        <f t="shared" si="2"/>
        <v>USD_CURVE_6M_24Y</v>
      </c>
      <c r="K59" s="21" t="s">
        <v>209</v>
      </c>
      <c r="L59" s="4"/>
      <c r="M59" s="52" t="str">
        <f>_xll.qlSwapIndex(,"NoFix",D59,2,Currency,Calendar,FixedLegTenor,FixedLegBDC,FixedLegDayCounter,IborIndex,DiscountingCurve,,"trigger")</f>
        <v>obj_00416#0000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84</v>
      </c>
      <c r="E60" s="13" t="s">
        <v>95</v>
      </c>
      <c r="F60" s="54">
        <f>_xll.qlInterestRateIndexFixingDate(IborIndex,EffectiveDate,Trigger)</f>
        <v>42282</v>
      </c>
      <c r="G60" s="27">
        <f>_xll.qlInterestRateIndexValueDate(M60,F60)</f>
        <v>42284</v>
      </c>
      <c r="H60" s="27">
        <f>_xll.qlInterestRateIndexMaturity(M60,G60)</f>
        <v>51417</v>
      </c>
      <c r="I60" s="21">
        <f>_xll.qlIndexFixing(M60,F60,,AllTriggers)</f>
        <v>2.5738743090142797E-2</v>
      </c>
      <c r="J60" s="21" t="str">
        <f t="shared" si="2"/>
        <v>USD_CURVE_6M_25Y</v>
      </c>
      <c r="K60" s="21" t="s">
        <v>210</v>
      </c>
      <c r="L60" s="4"/>
      <c r="M60" s="52" t="str">
        <f>_xll.qlSwapIndex(,"NoFix",D60,2,Currency,Calendar,FixedLegTenor,FixedLegBDC,FixedLegDayCounter,IborIndex,DiscountingCurve,,"trigger")</f>
        <v>obj_003f7#0000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85</v>
      </c>
      <c r="E61" s="13" t="s">
        <v>95</v>
      </c>
      <c r="F61" s="54">
        <f>_xll.qlInterestRateIndexFixingDate(IborIndex,EffectiveDate,Trigger)</f>
        <v>42282</v>
      </c>
      <c r="G61" s="27">
        <f>_xll.qlInterestRateIndexValueDate(M61,F61)</f>
        <v>42284</v>
      </c>
      <c r="H61" s="27">
        <f>_xll.qlInterestRateIndexMaturity(M61,G61)</f>
        <v>51781</v>
      </c>
      <c r="I61" s="21">
        <f>_xll.qlIndexFixing(M61,F61,,AllTriggers)</f>
        <v>2.5835298286480315E-2</v>
      </c>
      <c r="J61" s="21" t="str">
        <f t="shared" si="2"/>
        <v>USD_CURVE_6M_26Y</v>
      </c>
      <c r="K61" s="21" t="s">
        <v>211</v>
      </c>
      <c r="L61" s="4"/>
      <c r="M61" s="52" t="str">
        <f>_xll.qlSwapIndex(,"NoFix",D61,2,Currency,Calendar,FixedLegTenor,FixedLegBDC,FixedLegDayCounter,IborIndex,DiscountingCurve,,"trigger")</f>
        <v>obj_00408#0000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86</v>
      </c>
      <c r="E62" s="13" t="s">
        <v>95</v>
      </c>
      <c r="F62" s="54">
        <f>_xll.qlInterestRateIndexFixingDate(IborIndex,EffectiveDate,Trigger)</f>
        <v>42282</v>
      </c>
      <c r="G62" s="27">
        <f>_xll.qlInterestRateIndexValueDate(M62,F62)</f>
        <v>42284</v>
      </c>
      <c r="H62" s="27">
        <f>_xll.qlInterestRateIndexMaturity(M62,G62)</f>
        <v>52146</v>
      </c>
      <c r="I62" s="21">
        <f>_xll.qlIndexFixing(M62,F62,,AllTriggers)</f>
        <v>2.5924285505995116E-2</v>
      </c>
      <c r="J62" s="21" t="str">
        <f t="shared" ref="J62:J68" si="3">Currency&amp;"_CURVE_"&amp;CurveTenor&amp;"_"&amp;D62</f>
        <v>USD_CURVE_6M_27Y</v>
      </c>
      <c r="K62" s="21" t="s">
        <v>212</v>
      </c>
      <c r="L62" s="4"/>
      <c r="M62" s="52" t="str">
        <f>_xll.qlSwapIndex(,"NoFix",D62,2,Currency,Calendar,FixedLegTenor,FixedLegBDC,FixedLegDayCounter,IborIndex,DiscountingCurve,,"trigger")</f>
        <v>obj_00436#0000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87</v>
      </c>
      <c r="E63" s="13" t="s">
        <v>95</v>
      </c>
      <c r="F63" s="54">
        <f>_xll.qlInterestRateIndexFixingDate(IborIndex,EffectiveDate,Trigger)</f>
        <v>42282</v>
      </c>
      <c r="G63" s="27">
        <f>_xll.qlInterestRateIndexValueDate(M63,F63)</f>
        <v>42284</v>
      </c>
      <c r="H63" s="27">
        <f>_xll.qlInterestRateIndexMaturity(M63,G63)</f>
        <v>52511</v>
      </c>
      <c r="I63" s="21">
        <f>_xll.qlIndexFixing(M63,F63,,AllTriggers)</f>
        <v>2.6004785305990593E-2</v>
      </c>
      <c r="J63" s="21" t="str">
        <f t="shared" si="3"/>
        <v>USD_CURVE_6M_28Y</v>
      </c>
      <c r="K63" s="21" t="s">
        <v>213</v>
      </c>
      <c r="L63" s="4"/>
      <c r="M63" s="52" t="str">
        <f>_xll.qlSwapIndex(,"NoFix",D63,2,Currency,Calendar,FixedLegTenor,FixedLegBDC,FixedLegDayCounter,IborIndex,DiscountingCurve,,"trigger")</f>
        <v>obj_0043a#0000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88</v>
      </c>
      <c r="E64" s="13" t="s">
        <v>95</v>
      </c>
      <c r="F64" s="54">
        <f>_xll.qlInterestRateIndexFixingDate(IborIndex,EffectiveDate,Trigger)</f>
        <v>42282</v>
      </c>
      <c r="G64" s="27">
        <f>_xll.qlInterestRateIndexValueDate(M64,F64)</f>
        <v>42284</v>
      </c>
      <c r="H64" s="27">
        <f>_xll.qlInterestRateIndexMaturity(M64,G64)</f>
        <v>52877</v>
      </c>
      <c r="I64" s="21">
        <f>_xll.qlIndexFixing(M64,F64,,AllTriggers)</f>
        <v>2.6076524775917952E-2</v>
      </c>
      <c r="J64" s="21" t="str">
        <f t="shared" si="3"/>
        <v>USD_CURVE_6M_29Y</v>
      </c>
      <c r="K64" s="21" t="s">
        <v>214</v>
      </c>
      <c r="L64" s="4"/>
      <c r="M64" s="52" t="str">
        <f>_xll.qlSwapIndex(,"NoFix",D64,2,Currency,Calendar,FixedLegTenor,FixedLegBDC,FixedLegDayCounter,IborIndex,DiscountingCurve,,"trigger")</f>
        <v>obj_00434#0000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89</v>
      </c>
      <c r="E65" s="13" t="s">
        <v>95</v>
      </c>
      <c r="F65" s="54">
        <f>_xll.qlInterestRateIndexFixingDate(IborIndex,EffectiveDate,Trigger)</f>
        <v>42282</v>
      </c>
      <c r="G65" s="27">
        <f>_xll.qlInterestRateIndexValueDate(M65,F65)</f>
        <v>42284</v>
      </c>
      <c r="H65" s="27">
        <f>_xll.qlInterestRateIndexMaturity(M65,G65)</f>
        <v>53244</v>
      </c>
      <c r="I65" s="21">
        <f>_xll.qlIndexFixing(M65,F65,,AllTriggers)</f>
        <v>2.6139053847270124E-2</v>
      </c>
      <c r="J65" s="21" t="str">
        <f t="shared" si="3"/>
        <v>USD_CURVE_6M_30Y</v>
      </c>
      <c r="K65" s="21" t="s">
        <v>215</v>
      </c>
      <c r="L65" s="4"/>
      <c r="M65" s="52" t="str">
        <f>_xll.qlSwapIndex(,"NoFix",D65,2,Currency,Calendar,FixedLegTenor,FixedLegBDC,FixedLegDayCounter,IborIndex,DiscountingCurve,,"trigger")</f>
        <v>obj_00437#0000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90</v>
      </c>
      <c r="E66" s="13" t="s">
        <v>95</v>
      </c>
      <c r="F66" s="54">
        <f>_xll.qlInterestRateIndexFixingDate(IborIndex,EffectiveDate,Trigger)</f>
        <v>42282</v>
      </c>
      <c r="G66" s="27">
        <f>_xll.qlInterestRateIndexValueDate(M66,F66)</f>
        <v>42284</v>
      </c>
      <c r="H66" s="27">
        <f>_xll.qlInterestRateIndexMaturity(M66,G66)</f>
        <v>56894</v>
      </c>
      <c r="I66" s="21">
        <f>_xll.qlIndexFixing(M66,F66,,AllTriggers)</f>
        <v>2.6339427400265947E-2</v>
      </c>
      <c r="J66" s="21" t="str">
        <f t="shared" si="3"/>
        <v>USD_CURVE_6M_40Y</v>
      </c>
      <c r="K66" s="21" t="s">
        <v>216</v>
      </c>
      <c r="L66" s="4"/>
      <c r="M66" s="52" t="str">
        <f>_xll.qlSwapIndex(,"NoFix",D66,2,Currency,Calendar,FixedLegTenor,FixedLegBDC,FixedLegDayCounter,IborIndex,DiscountingCurve,,"trigger")</f>
        <v>obj_00438#0000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46" t="s">
        <v>91</v>
      </c>
      <c r="E67" s="13" t="s">
        <v>95</v>
      </c>
      <c r="F67" s="54">
        <f>_xll.qlInterestRateIndexFixingDate(IborIndex,EffectiveDate,Trigger)</f>
        <v>42282</v>
      </c>
      <c r="G67" s="27">
        <f>_xll.qlInterestRateIndexValueDate(M67,F67)</f>
        <v>42284</v>
      </c>
      <c r="H67" s="27">
        <f>_xll.qlInterestRateIndexMaturity(M67,G67)</f>
        <v>60547</v>
      </c>
      <c r="I67" s="21">
        <f>_xll.qlIndexFixing(M67,F67,,AllTriggers)</f>
        <v>2.6159350528397435E-2</v>
      </c>
      <c r="J67" s="21" t="str">
        <f t="shared" si="3"/>
        <v>USD_CURVE_6M_50Y</v>
      </c>
      <c r="K67" s="21" t="s">
        <v>217</v>
      </c>
      <c r="L67" s="4"/>
      <c r="M67" s="52" t="str">
        <f>_xll.qlSwapIndex(,"NoFix",D67,2,Currency,Calendar,FixedLegTenor,FixedLegBDC,FixedLegDayCounter,IborIndex,DiscountingCurve,,"trigger")</f>
        <v>obj_00433#0000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47" t="s">
        <v>92</v>
      </c>
      <c r="E68" s="15" t="s">
        <v>95</v>
      </c>
      <c r="F68" s="56">
        <f>_xll.qlInterestRateIndexFixingDate(IborIndex,EffectiveDate,Trigger)</f>
        <v>42282</v>
      </c>
      <c r="G68" s="178">
        <f>_xll.qlInterestRateIndexValueDate(M68,F68)</f>
        <v>42284</v>
      </c>
      <c r="H68" s="178">
        <f>_xll.qlInterestRateIndexMaturity(M68,G68)</f>
        <v>64199</v>
      </c>
      <c r="I68" s="179">
        <f>_xll.qlIndexFixing(M68,F68,,AllTriggers)</f>
        <v>2.5995399551000664E-2</v>
      </c>
      <c r="J68" s="179" t="str">
        <f t="shared" si="3"/>
        <v>USD_CURVE_6M_60Y</v>
      </c>
      <c r="K68" s="179" t="s">
        <v>218</v>
      </c>
      <c r="L68" s="4"/>
      <c r="M68" s="58" t="str">
        <f>_xll.qlSwapIndex(,"NoFix",D68,2,Currency,Calendar,FixedLegTenor,FixedLegBDC,FixedLegDayCounter,IborIndex,DiscountingCurve,,"trigger")</f>
        <v>obj_003e6#0000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5.140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4"/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4"/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>_xll.qlInterestRateIndexFixingDate(IborIndex,EffectiveDate,Trigger)</f>
        <v>42282</v>
      </c>
      <c r="G9" s="87">
        <f>_xll.qlInterestRateIndexValueDate(M9,F9)</f>
        <v>42284</v>
      </c>
      <c r="H9" s="87">
        <f>_xll.qlInterestRateIndexMaturity(M9,G9)</f>
        <v>42291</v>
      </c>
      <c r="I9" s="79">
        <f>_xll.qlIndexFixing(M9,F9,TRUE,AllTriggers)</f>
        <v>1.2650739723511098E-2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obj_00372#0000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f>_xll.qlInterestRateIndexFixingDate(IborIndex,EffectiveDate,Trigger)</f>
        <v>42282</v>
      </c>
      <c r="G10" s="87">
        <f>_xll.qlInterestRateIndexValueDate(M10,F10)</f>
        <v>42284</v>
      </c>
      <c r="H10" s="87">
        <f>_xll.qlInterestRateIndexMaturity(M10,G10)</f>
        <v>42298</v>
      </c>
      <c r="I10" s="79">
        <f>_xll.qlIndexFixing(M10,F10,TRUE,AllTriggers)</f>
        <v>1.2621570256572083E-2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obj_00370#0000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f>_xll.qlInterestRateIndexFixingDate(IborIndex,EffectiveDate,Trigger)</f>
        <v>42282</v>
      </c>
      <c r="G11" s="87">
        <f>_xll.qlInterestRateIndexValueDate(M11,F11)</f>
        <v>42284</v>
      </c>
      <c r="H11" s="87">
        <f>_xll.qlInterestRateIndexMaturity(M11,G11)</f>
        <v>42305</v>
      </c>
      <c r="I11" s="79">
        <f>_xll.qlIndexFixing(M11,F11,TRUE,AllTriggers)</f>
        <v>1.257189742137272E-2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obj_00374#0000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f>_xll.qlInterestRateIndexFixingDate(IborIndex,EffectiveDate,Trigger)</f>
        <v>42282</v>
      </c>
      <c r="G12" s="88">
        <f>_xll.qlInterestRateIndexValueDate(M12,F12)</f>
        <v>42284</v>
      </c>
      <c r="H12" s="87">
        <f>_xll.qlInterestRateIndexMaturity(M12,G12)</f>
        <v>42317</v>
      </c>
      <c r="I12" s="79">
        <f>_xll.qlIndexFixing(M12,F12,TRUE,AllTriggers)</f>
        <v>1.2438999999989552E-2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obj_0036c#0000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f>_xll.qlInterestRateIndexFixingDate(IborIndex,EffectiveDate,Trigger)</f>
        <v>42282</v>
      </c>
      <c r="G13" s="88">
        <f>_xll.qlInterestRateIndexValueDate(M13,F13)</f>
        <v>42284</v>
      </c>
      <c r="H13" s="87">
        <f>_xll.qlInterestRateIndexMaturity(M13,G13)</f>
        <v>42345</v>
      </c>
      <c r="I13" s="79">
        <f>_xll.qlIndexFixing(M13,F13,TRUE,AllTriggers)</f>
        <v>1.2038999999986177E-2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obj_00371#0000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f>_xll.qlInterestRateIndexFixingDate(IborIndex,EffectiveDate,Trigger)</f>
        <v>42282</v>
      </c>
      <c r="G14" s="88">
        <f>_xll.qlInterestRateIndexValueDate(M14,F14)</f>
        <v>42284</v>
      </c>
      <c r="H14" s="87">
        <f>_xll.qlInterestRateIndexMaturity(M14,G14)</f>
        <v>42376</v>
      </c>
      <c r="I14" s="79">
        <f>_xll.qlIndexFixing(M14,F14,TRUE,AllTriggers)</f>
        <v>1.170999999997697E-2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obj_00376#0000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f>_xll.qlInterestRateIndexFixingDate(IborIndex,EffectiveDate,Trigger)</f>
        <v>42282</v>
      </c>
      <c r="G15" s="88">
        <f>_xll.qlInterestRateIndexValueDate(M15,F15)</f>
        <v>42284</v>
      </c>
      <c r="H15" s="87">
        <f>_xll.qlInterestRateIndexMaturity(M15,G15)</f>
        <v>42408</v>
      </c>
      <c r="I15" s="79">
        <f>_xll.qlIndexFixing(M15,F15,TRUE,AllTriggers)</f>
        <v>1.1343999999873162E-2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obj_0036e#0000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f>_xll.qlInterestRateIndexFixingDate(IborIndex,EffectiveDate,Trigger)</f>
        <v>42282</v>
      </c>
      <c r="G16" s="88">
        <f>_xll.qlInterestRateIndexValueDate(M16,F16)</f>
        <v>42284</v>
      </c>
      <c r="H16" s="87">
        <f>_xll.qlInterestRateIndexMaturity(M16,G16)</f>
        <v>42436</v>
      </c>
      <c r="I16" s="79">
        <f>_xll.qlIndexFixing(M16,F16,TRUE,AllTriggers)</f>
        <v>1.1012999999695166E-2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obj_00373#0000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f>_xll.qlInterestRateIndexFixingDate(IborIndex,EffectiveDate,Trigger)</f>
        <v>42282</v>
      </c>
      <c r="G17" s="88">
        <f>_xll.qlInterestRateIndexValueDate(M17,F17)</f>
        <v>42284</v>
      </c>
      <c r="H17" s="87">
        <f>_xll.qlInterestRateIndexMaturity(M17,G17)</f>
        <v>42467</v>
      </c>
      <c r="I17" s="79">
        <f>_xll.qlIndexFixing(M17,F17,TRUE,AllTriggers)</f>
        <v>1.0661999999276216E-2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obj_0036b#0000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f>_xll.qlInterestRateIndexFixingDate(IborIndex,EffectiveDate,Trigger)</f>
        <v>42282</v>
      </c>
      <c r="G18" s="88">
        <f>_xll.qlInterestRateIndexValueDate(M18,F18)</f>
        <v>42284</v>
      </c>
      <c r="H18" s="87">
        <f>_xll.qlInterestRateIndexMaturity(M18,G18)</f>
        <v>42499</v>
      </c>
      <c r="I18" s="79">
        <f>_xll.qlIndexFixing(M18,F18,TRUE,AllTriggers)</f>
        <v>1.0275863335530109E-2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obj_0036d#0000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f>_xll.qlInterestRateIndexFixingDate(IborIndex,EffectiveDate,Trigger)</f>
        <v>42282</v>
      </c>
      <c r="G19" s="88">
        <f>_xll.qlInterestRateIndexValueDate(M19,F19)</f>
        <v>42284</v>
      </c>
      <c r="H19" s="87">
        <f>_xll.qlInterestRateIndexMaturity(M19,G19)</f>
        <v>42528</v>
      </c>
      <c r="I19" s="79">
        <f>_xll.qlIndexFixing(M19,F19,TRUE,AllTriggers)</f>
        <v>9.928483917998018E-3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obj_0036f#0000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f>_xll.qlInterestRateIndexFixingDate(IborIndex,EffectiveDate,Trigger)</f>
        <v>42282</v>
      </c>
      <c r="G20" s="88">
        <f>_xll.qlInterestRateIndexValueDate(M20,F20)</f>
        <v>42284</v>
      </c>
      <c r="H20" s="88">
        <f>_xll.qlInterestRateIndexMaturity(M20,G20)</f>
        <v>42558</v>
      </c>
      <c r="I20" s="79">
        <f>_xll.qlIndexFixing(M20,F20,TRUE,AllTriggers)</f>
        <v>9.596999999999925E-3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obj_00375#0000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2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0.7</v>
      </c>
      <c r="C24" s="168">
        <f>_xll.qlIMMNextDate(_xll.qlIMMNextCode(_xll.qlIMMNextCode(EvaluationDate+FuturesRollDays)))</f>
        <v>42536</v>
      </c>
      <c r="D24" s="83" t="str">
        <f>"#"&amp;YEAR(C24)&amp;IF(LEN(MONTH(C24))=1,"0","")&amp;MONTH(C24)&amp;IF(LEN(DAY(C24))=1,"0","")&amp;DAY(C24)</f>
        <v>#20160615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9.8365714700762337E-3</v>
      </c>
      <c r="J24" s="90" t="str">
        <f>Currency&amp;"_CURVE_DEP"&amp;"12M"&amp;"_"&amp;D24</f>
        <v>USD_CURVE_DEP12M_#20160615</v>
      </c>
      <c r="K24" s="90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83" t="str">
        <f t="array" ref="D25:D32">_xll.qlIMMNextCodes(EvaluationDate,C25:C32)</f>
        <v>Z5</v>
      </c>
      <c r="E25" s="74" t="s">
        <v>101</v>
      </c>
      <c r="F25" s="26">
        <f>_xll.qlInterestRateIndexFixingDate(IborIndex,G25)</f>
        <v>42352</v>
      </c>
      <c r="G25" s="63">
        <f>_xll.qlIMMdate(D25)</f>
        <v>42354</v>
      </c>
      <c r="H25" s="26">
        <f>_xll.qlInterestRateIndexMaturity(IborIndex,G25)</f>
        <v>42720</v>
      </c>
      <c r="I25" s="161">
        <f>(1-_xll.qlIndexFixing($M$25,F25,TRUE,AllTriggers))*100</f>
        <v>98.990149814814714</v>
      </c>
      <c r="J25" s="22" t="str">
        <f t="shared" ref="J25:J32" si="1">Currency&amp;"_CURVE_"&amp;E25&amp;"12M"&amp;"_"&amp;D25</f>
        <v>USD_CURVE_FUT12M_Z5</v>
      </c>
      <c r="K25" s="22"/>
      <c r="L25" s="51"/>
      <c r="M25" s="191" t="str">
        <f>_xll.qlLibor(,Currency,"3m",YieldCurve,,Trigger)</f>
        <v>obj_00377#0000</v>
      </c>
      <c r="N25" s="34"/>
      <c r="O25" s="37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6" t="str">
        <v>H6</v>
      </c>
      <c r="E26" s="75" t="s">
        <v>101</v>
      </c>
      <c r="F26" s="88">
        <f>_xll.qlInterestRateIndexFixingDate(IborIndex,G26)</f>
        <v>42443</v>
      </c>
      <c r="G26" s="88">
        <f>_xll.qlIMMdate(D26)</f>
        <v>42445</v>
      </c>
      <c r="H26" s="88">
        <f>_xll.qlInterestRateIndexMaturity(IborIndex,G26)</f>
        <v>42810</v>
      </c>
      <c r="I26" s="162">
        <f>(1-_xll.qlIndexFixing($M$25,F26,TRUE,AllTriggers))*100</f>
        <v>99.211379572745471</v>
      </c>
      <c r="J26" s="79" t="str">
        <f t="shared" si="1"/>
        <v>USD_CURVE_FUT12M_H6</v>
      </c>
      <c r="K26" s="79"/>
      <c r="L26" s="51"/>
      <c r="M26" s="34"/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M6</v>
      </c>
      <c r="E27" s="75" t="s">
        <v>101</v>
      </c>
      <c r="F27" s="88">
        <f>_xll.qlInterestRateIndexFixingDate(IborIndex,G27)</f>
        <v>42534</v>
      </c>
      <c r="G27" s="88">
        <f>_xll.qlIMMdate(D27)</f>
        <v>42536</v>
      </c>
      <c r="H27" s="88">
        <f>_xll.qlInterestRateIndexMaturity(IborIndex,G27)</f>
        <v>42901</v>
      </c>
      <c r="I27" s="162">
        <f>(1-_xll.qlIndexFixing($M$25,F27,TRUE,AllTriggers))*100</f>
        <v>99.394548378391832</v>
      </c>
      <c r="J27" s="79" t="str">
        <f t="shared" si="1"/>
        <v>USD_CURVE_FUT12M_M6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U6</v>
      </c>
      <c r="E28" s="75" t="s">
        <v>101</v>
      </c>
      <c r="F28" s="88">
        <f>_xll.qlInterestRateIndexFixingDate(IborIndex,G28)</f>
        <v>42632</v>
      </c>
      <c r="G28" s="88">
        <f>_xll.qlIMMdate(D28)</f>
        <v>42634</v>
      </c>
      <c r="H28" s="88">
        <f>_xll.qlInterestRateIndexMaturity(IborIndex,G28)</f>
        <v>42999</v>
      </c>
      <c r="I28" s="162">
        <f>(1-_xll.qlIndexFixing($M$25,F28,TRUE,AllTriggers))*100</f>
        <v>99.380209309402233</v>
      </c>
      <c r="J28" s="79" t="str">
        <f t="shared" si="1"/>
        <v>USD_CURVE_FUT12M_U6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Z6</v>
      </c>
      <c r="E29" s="75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43090</v>
      </c>
      <c r="I29" s="163">
        <f>(1-_xll.qlIndexFixing($M$25,F29,TRUE,AllTriggers))*100</f>
        <v>98.620542615489796</v>
      </c>
      <c r="J29" s="79" t="str">
        <f t="shared" si="1"/>
        <v>USD_CURVE_FUT12M_Z6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H7</v>
      </c>
      <c r="E30" s="75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43174</v>
      </c>
      <c r="I30" s="163">
        <f>(1-_xll.qlIndexFixing($M$25,F30,TRUE,AllTriggers))*100</f>
        <v>98.788295710977636</v>
      </c>
      <c r="J30" s="79" t="str">
        <f t="shared" si="1"/>
        <v>USD_CURVE_FUT12M_H7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M7</v>
      </c>
      <c r="E31" s="75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43272</v>
      </c>
      <c r="I31" s="162">
        <f>(1-_xll.qlIndexFixing($M$25,F31,TRUE,AllTriggers))*100</f>
        <v>97.91631537592616</v>
      </c>
      <c r="J31" s="79" t="str">
        <f t="shared" si="1"/>
        <v>USD_CURVE_FUT12M_M7</v>
      </c>
      <c r="K31" s="79"/>
      <c r="L31" s="23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U7</v>
      </c>
      <c r="E32" s="75" t="s">
        <v>101</v>
      </c>
      <c r="F32" s="88">
        <f>_xll.qlInterestRateIndexFixingDate(IborIndex,G32)</f>
        <v>42996</v>
      </c>
      <c r="G32" s="88">
        <f>_xll.qlIMMdate(D32)</f>
        <v>42998</v>
      </c>
      <c r="H32" s="88">
        <f>_xll.qlInterestRateIndexMaturity(IborIndex,G32)</f>
        <v>43363</v>
      </c>
      <c r="I32" s="162">
        <f>(1-_xll.qlIndexFixing($M$25,F32,TRUE,AllTriggers))*100</f>
        <v>97.808341889669393</v>
      </c>
      <c r="J32" s="79" t="str">
        <f t="shared" si="1"/>
        <v>USD_CURVE_FUT12M_U7</v>
      </c>
      <c r="K32" s="79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83" t="s">
        <v>22</v>
      </c>
      <c r="E33" s="76" t="s">
        <v>95</v>
      </c>
      <c r="F33" s="94">
        <f>_xll.qlInterestRateIndexFixingDate(IborIndex,EffectiveDate,Trigger)</f>
        <v>42282</v>
      </c>
      <c r="G33" s="94">
        <f>_xll.qlInterestRateIndexValueDate(M33,F33)</f>
        <v>42284</v>
      </c>
      <c r="H33" s="94">
        <f>_xll.qlInterestRateIndexMaturity(M33,G33)</f>
        <v>42650</v>
      </c>
      <c r="I33" s="85">
        <f>_xll.qlIndexFixing(M33,F33,TRUE,AllTriggers)</f>
        <v>8.5210000001161041E-3</v>
      </c>
      <c r="J33" s="85" t="str">
        <f>Currency&amp;"_CURVE_"&amp;"12M"&amp;"_"&amp;D33</f>
        <v>USD_CURVE_12M_1Y</v>
      </c>
      <c r="K33" s="85" t="s">
        <v>219</v>
      </c>
      <c r="L33" s="4"/>
      <c r="M33" s="110" t="str">
        <f>_xll.qlSwapIndex(,"NoFix",D33,2,Currency,Calendar,FixedLegTenor,FixedLegBDC,FixedLegDayCounter,IborIndex,DiscountingCurve,,Trigger)</f>
        <v>obj_003d6#0000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86"/>
      <c r="E34" s="77"/>
      <c r="F34" s="88"/>
      <c r="G34" s="88"/>
      <c r="H34" s="88"/>
      <c r="I34" s="80"/>
      <c r="J34" s="79"/>
      <c r="K34" s="79"/>
      <c r="L34" s="4"/>
      <c r="M34" s="52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6"/>
      <c r="E35" s="77"/>
      <c r="F35" s="88"/>
      <c r="G35" s="88"/>
      <c r="H35" s="88"/>
      <c r="I35" s="80"/>
      <c r="J35" s="79"/>
      <c r="K35" s="79"/>
      <c r="L35" s="4"/>
      <c r="M35" s="103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103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 t="s">
        <v>23</v>
      </c>
      <c r="E37" s="77" t="s">
        <v>95</v>
      </c>
      <c r="F37" s="88">
        <f>_xll.qlInterestRateIndexFixingDate(IborIndex,EffectiveDate,Trigger)</f>
        <v>42282</v>
      </c>
      <c r="G37" s="88">
        <f>_xll.qlInterestRateIndexValueDate(M37,F37)</f>
        <v>42284</v>
      </c>
      <c r="H37" s="88">
        <f>_xll.qlInterestRateIndexMaturity(M37,G37)</f>
        <v>43017</v>
      </c>
      <c r="I37" s="80">
        <f>_xll.qlIndexFixing(M37,F37,TRUE,AllTriggers)</f>
        <v>1.1391327982935032E-2</v>
      </c>
      <c r="J37" s="79" t="str">
        <f>Currency&amp;"_CURVE_"&amp;"12M"&amp;"_"&amp;D37</f>
        <v>USD_CURVE_12M_2Y</v>
      </c>
      <c r="K37" s="79" t="s">
        <v>220</v>
      </c>
      <c r="L37" s="4"/>
      <c r="M37" s="103" t="str">
        <f>_xll.qlSwapIndex(,"NoFix",D37,2,Currency,Calendar,FixedLegTenor,FixedLegBDC,FixedLegDayCounter,IborIndex,DiscountingCurve,,Trigger)</f>
        <v>obj_00421#0000</v>
      </c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 t="s">
        <v>24</v>
      </c>
      <c r="E38" s="77" t="s">
        <v>95</v>
      </c>
      <c r="F38" s="88">
        <f>_xll.qlInterestRateIndexFixingDate(IborIndex,EffectiveDate,Trigger)</f>
        <v>42282</v>
      </c>
      <c r="G38" s="88">
        <f>_xll.qlInterestRateIndexValueDate(M38,F38)</f>
        <v>42284</v>
      </c>
      <c r="H38" s="88">
        <f>_xll.qlInterestRateIndexMaturity(M38,G38)</f>
        <v>43381</v>
      </c>
      <c r="I38" s="80">
        <f>_xll.qlIndexFixing(M38,F38,TRUE,AllTriggers)</f>
        <v>1.3317745037715876E-2</v>
      </c>
      <c r="J38" s="79" t="str">
        <f t="shared" ref="J38:J68" si="2">Currency&amp;"_CURVE_"&amp;"12M"&amp;"_"&amp;D38</f>
        <v>USD_CURVE_12M_3Y</v>
      </c>
      <c r="K38" s="79" t="s">
        <v>221</v>
      </c>
      <c r="L38" s="4"/>
      <c r="M38" s="103" t="str">
        <f>_xll.qlSwapIndex(,"NoFix",D38,2,Currency,Calendar,FixedLegTenor,FixedLegBDC,FixedLegDayCounter,IborIndex,DiscountingCurve,,Trigger)</f>
        <v>obj_003ff#0000</v>
      </c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25</v>
      </c>
      <c r="E39" s="77" t="s">
        <v>95</v>
      </c>
      <c r="F39" s="88">
        <f>_xll.qlInterestRateIndexFixingDate(IborIndex,EffectiveDate,Trigger)</f>
        <v>42282</v>
      </c>
      <c r="G39" s="88">
        <f>_xll.qlInterestRateIndexValueDate(M39,F39)</f>
        <v>42284</v>
      </c>
      <c r="H39" s="88">
        <f>_xll.qlInterestRateIndexMaturity(M39,G39)</f>
        <v>43745</v>
      </c>
      <c r="I39" s="80">
        <f>_xll.qlIndexFixing(M39,F39,TRUE,AllTriggers)</f>
        <v>1.5201799627987875E-2</v>
      </c>
      <c r="J39" s="79" t="str">
        <f t="shared" si="2"/>
        <v>USD_CURVE_12M_4Y</v>
      </c>
      <c r="K39" s="79" t="s">
        <v>222</v>
      </c>
      <c r="L39" s="4"/>
      <c r="M39" s="103" t="str">
        <f>_xll.qlSwapIndex(,"NoFix",D39,2,Currency,Calendar,FixedLegTenor,FixedLegBDC,FixedLegDayCounter,IborIndex,DiscountingCurve,,Trigger)</f>
        <v>obj_003d7#0000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26</v>
      </c>
      <c r="E40" s="77" t="s">
        <v>95</v>
      </c>
      <c r="F40" s="88">
        <f>_xll.qlInterestRateIndexFixingDate(IborIndex,EffectiveDate,Trigger)</f>
        <v>42282</v>
      </c>
      <c r="G40" s="88">
        <f>_xll.qlInterestRateIndexValueDate(M40,F40)</f>
        <v>42284</v>
      </c>
      <c r="H40" s="88">
        <f>_xll.qlInterestRateIndexMaturity(M40,G40)</f>
        <v>44111</v>
      </c>
      <c r="I40" s="80">
        <f>_xll.qlIndexFixing(M40,F40,TRUE,AllTriggers)</f>
        <v>1.6986393589131739E-2</v>
      </c>
      <c r="J40" s="79" t="str">
        <f t="shared" si="2"/>
        <v>USD_CURVE_12M_5Y</v>
      </c>
      <c r="K40" s="79" t="s">
        <v>223</v>
      </c>
      <c r="L40" s="4"/>
      <c r="M40" s="103" t="str">
        <f>_xll.qlSwapIndex(,"NoFix",D40,2,Currency,Calendar,FixedLegTenor,FixedLegBDC,FixedLegDayCounter,IborIndex,DiscountingCurve,,Trigger)</f>
        <v>obj_003de#0000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69</v>
      </c>
      <c r="E41" s="77" t="s">
        <v>95</v>
      </c>
      <c r="F41" s="88">
        <f>_xll.qlInterestRateIndexFixingDate(IborIndex,EffectiveDate,Trigger)</f>
        <v>42282</v>
      </c>
      <c r="G41" s="88">
        <f>_xll.qlInterestRateIndexValueDate(M41,F41)</f>
        <v>42284</v>
      </c>
      <c r="H41" s="88">
        <f>_xll.qlInterestRateIndexMaturity(M41,G41)</f>
        <v>44476</v>
      </c>
      <c r="I41" s="80">
        <f>_xll.qlIndexFixing(M41,F41,TRUE,AllTriggers)</f>
        <v>1.8585499117272287E-2</v>
      </c>
      <c r="J41" s="79" t="str">
        <f t="shared" si="2"/>
        <v>USD_CURVE_12M_6Y</v>
      </c>
      <c r="K41" s="79" t="s">
        <v>224</v>
      </c>
      <c r="L41" s="4"/>
      <c r="M41" s="103" t="str">
        <f>_xll.qlSwapIndex(,"NoFix",D41,2,Currency,Calendar,FixedLegTenor,FixedLegBDC,FixedLegDayCounter,IborIndex,DiscountingCurve,,Trigger)</f>
        <v>obj_003f8#0000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27</v>
      </c>
      <c r="E42" s="77" t="s">
        <v>95</v>
      </c>
      <c r="F42" s="88">
        <f>_xll.qlInterestRateIndexFixingDate(IborIndex,EffectiveDate,Trigger)</f>
        <v>42282</v>
      </c>
      <c r="G42" s="88">
        <f>_xll.qlInterestRateIndexValueDate(M42,F42)</f>
        <v>42284</v>
      </c>
      <c r="H42" s="88">
        <f>_xll.qlInterestRateIndexMaturity(M42,G42)</f>
        <v>44841</v>
      </c>
      <c r="I42" s="80">
        <f>_xll.qlIndexFixing(M42,F42,TRUE,AllTriggers)</f>
        <v>1.9956752749995987E-2</v>
      </c>
      <c r="J42" s="79" t="str">
        <f t="shared" si="2"/>
        <v>USD_CURVE_12M_7Y</v>
      </c>
      <c r="K42" s="79" t="s">
        <v>225</v>
      </c>
      <c r="L42" s="4"/>
      <c r="M42" s="103" t="str">
        <f>_xll.qlSwapIndex(,"NoFix",D42,2,Currency,Calendar,FixedLegTenor,FixedLegBDC,FixedLegDayCounter,IborIndex,DiscountingCurve,,Trigger)</f>
        <v>obj_003fe#0000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70</v>
      </c>
      <c r="E43" s="77" t="s">
        <v>95</v>
      </c>
      <c r="F43" s="88">
        <f>_xll.qlInterestRateIndexFixingDate(IborIndex,EffectiveDate,Trigger)</f>
        <v>42282</v>
      </c>
      <c r="G43" s="88">
        <f>_xll.qlInterestRateIndexValueDate(M43,F43)</f>
        <v>42284</v>
      </c>
      <c r="H43" s="88">
        <f>_xll.qlInterestRateIndexMaturity(M43,G43)</f>
        <v>45208</v>
      </c>
      <c r="I43" s="80">
        <f>_xll.qlIndexFixing(M43,F43,TRUE,AllTriggers)</f>
        <v>2.1099039267406153E-2</v>
      </c>
      <c r="J43" s="79" t="str">
        <f t="shared" si="2"/>
        <v>USD_CURVE_12M_8Y</v>
      </c>
      <c r="K43" s="79" t="s">
        <v>226</v>
      </c>
      <c r="L43" s="23"/>
      <c r="M43" s="103" t="str">
        <f>_xll.qlSwapIndex(,"NoFix",D43,2,Currency,Calendar,FixedLegTenor,FixedLegBDC,FixedLegDayCounter,IborIndex,DiscountingCurve,,Trigger)</f>
        <v>obj_003ea#0000</v>
      </c>
      <c r="N43" s="34"/>
      <c r="O43" s="37"/>
      <c r="P43" s="34"/>
      <c r="Q43" s="37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71</v>
      </c>
      <c r="E44" s="77" t="s">
        <v>95</v>
      </c>
      <c r="F44" s="88">
        <f>_xll.qlInterestRateIndexFixingDate(IborIndex,EffectiveDate,Trigger)</f>
        <v>42282</v>
      </c>
      <c r="G44" s="88">
        <f>_xll.qlInterestRateIndexValueDate(M44,F44)</f>
        <v>42284</v>
      </c>
      <c r="H44" s="88">
        <f>_xll.qlInterestRateIndexMaturity(M44,G44)</f>
        <v>45572</v>
      </c>
      <c r="I44" s="80">
        <f>_xll.qlIndexFixing(M44,F44,TRUE,AllTriggers)</f>
        <v>2.2025736803854754E-2</v>
      </c>
      <c r="J44" s="79" t="str">
        <f t="shared" si="2"/>
        <v>USD_CURVE_12M_9Y</v>
      </c>
      <c r="K44" s="79" t="s">
        <v>227</v>
      </c>
      <c r="L44" s="23"/>
      <c r="M44" s="52" t="str">
        <f>_xll.qlSwapIndex(,"NoFix",D44,2,Currency,Calendar,FixedLegTenor,FixedLegBDC,FixedLegDayCounter,IborIndex,DiscountingCurve,,Trigger)</f>
        <v>obj_00406#0000</v>
      </c>
      <c r="N44" s="34"/>
      <c r="O44" s="37"/>
      <c r="P44" s="34"/>
      <c r="Q44" s="37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28</v>
      </c>
      <c r="E45" s="77" t="s">
        <v>95</v>
      </c>
      <c r="F45" s="88">
        <f>_xll.qlInterestRateIndexFixingDate(IborIndex,EffectiveDate,Trigger)</f>
        <v>42282</v>
      </c>
      <c r="G45" s="88">
        <f>_xll.qlInterestRateIndexValueDate(M45,F45)</f>
        <v>42284</v>
      </c>
      <c r="H45" s="88">
        <f>_xll.qlInterestRateIndexMaturity(M45,G45)</f>
        <v>45937</v>
      </c>
      <c r="I45" s="80">
        <f>_xll.qlIndexFixing(M45,F45,TRUE,AllTriggers)</f>
        <v>2.2816058087713229E-2</v>
      </c>
      <c r="J45" s="79" t="str">
        <f t="shared" si="2"/>
        <v>USD_CURVE_12M_10Y</v>
      </c>
      <c r="K45" s="79" t="s">
        <v>228</v>
      </c>
      <c r="L45" s="23"/>
      <c r="M45" s="52" t="str">
        <f>_xll.qlSwapIndex(,"NoFix",D45,2,Currency,Calendar,FixedLegTenor,FixedLegBDC,FixedLegDayCounter,IborIndex,DiscountingCurve,,Trigger)</f>
        <v>obj_0040f#0000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72</v>
      </c>
      <c r="E46" s="77" t="s">
        <v>95</v>
      </c>
      <c r="F46" s="88">
        <f>_xll.qlInterestRateIndexFixingDate(IborIndex,EffectiveDate,Trigger)</f>
        <v>42282</v>
      </c>
      <c r="G46" s="88">
        <f>_xll.qlInterestRateIndexValueDate(M46,F46)</f>
        <v>42284</v>
      </c>
      <c r="H46" s="88">
        <f>_xll.qlInterestRateIndexMaturity(M46,G46)</f>
        <v>46302</v>
      </c>
      <c r="I46" s="80">
        <f>_xll.qlIndexFixing(M46,F46,TRUE,AllTriggers)</f>
        <v>2.3513570641344878E-2</v>
      </c>
      <c r="J46" s="79" t="str">
        <f t="shared" si="2"/>
        <v>USD_CURVE_12M_11Y</v>
      </c>
      <c r="K46" s="79" t="s">
        <v>229</v>
      </c>
      <c r="L46" s="37"/>
      <c r="M46" s="52" t="str">
        <f>_xll.qlSwapIndex(,"NoFix",D46,2,Currency,Calendar,FixedLegTenor,FixedLegBDC,FixedLegDayCounter,IborIndex,DiscountingCurve,,Trigger)</f>
        <v>obj_00415#0000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29</v>
      </c>
      <c r="E47" s="77" t="s">
        <v>95</v>
      </c>
      <c r="F47" s="88">
        <f>_xll.qlInterestRateIndexFixingDate(IborIndex,EffectiveDate,Trigger)</f>
        <v>42282</v>
      </c>
      <c r="G47" s="88">
        <f>_xll.qlInterestRateIndexValueDate(M47,F47)</f>
        <v>42284</v>
      </c>
      <c r="H47" s="88">
        <f>_xll.qlInterestRateIndexMaturity(M47,G47)</f>
        <v>46667</v>
      </c>
      <c r="I47" s="80">
        <f>_xll.qlIndexFixing(M47,F47,TRUE,AllTriggers)</f>
        <v>2.4083948763256174E-2</v>
      </c>
      <c r="J47" s="79" t="str">
        <f t="shared" si="2"/>
        <v>USD_CURVE_12M_12Y</v>
      </c>
      <c r="K47" s="79" t="s">
        <v>230</v>
      </c>
      <c r="L47" s="37"/>
      <c r="M47" s="52" t="str">
        <f>_xll.qlSwapIndex(,"NoFix",D47,2,Currency,Calendar,FixedLegTenor,FixedLegBDC,FixedLegDayCounter,IborIndex,DiscountingCurve,,Trigger)</f>
        <v>obj_003eb#0000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73</v>
      </c>
      <c r="E48" s="77" t="s">
        <v>95</v>
      </c>
      <c r="F48" s="88">
        <f>_xll.qlInterestRateIndexFixingDate(IborIndex,EffectiveDate,Trigger)</f>
        <v>42282</v>
      </c>
      <c r="G48" s="88">
        <f>_xll.qlInterestRateIndexValueDate(M48,F48)</f>
        <v>42284</v>
      </c>
      <c r="H48" s="88">
        <f>_xll.qlInterestRateIndexMaturity(M48,G48)</f>
        <v>47035</v>
      </c>
      <c r="I48" s="80">
        <f>_xll.qlIndexFixing(M48,F48,TRUE,AllTriggers)</f>
        <v>2.4573050207705741E-2</v>
      </c>
      <c r="J48" s="79" t="str">
        <f t="shared" si="2"/>
        <v>USD_CURVE_12M_13Y</v>
      </c>
      <c r="K48" s="79" t="s">
        <v>231</v>
      </c>
      <c r="L48" s="4"/>
      <c r="M48" s="52" t="str">
        <f>_xll.qlSwapIndex(,"NoFix",D48,2,Currency,Calendar,FixedLegTenor,FixedLegBDC,FixedLegDayCounter,IborIndex,DiscountingCurve,,Trigger)</f>
        <v>obj_00409#0000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74</v>
      </c>
      <c r="E49" s="77" t="s">
        <v>95</v>
      </c>
      <c r="F49" s="88">
        <f>_xll.qlInterestRateIndexFixingDate(IborIndex,EffectiveDate,Trigger)</f>
        <v>42282</v>
      </c>
      <c r="G49" s="88">
        <f>_xll.qlInterestRateIndexValueDate(M49,F49)</f>
        <v>42284</v>
      </c>
      <c r="H49" s="88">
        <f>_xll.qlInterestRateIndexMaturity(M49,G49)</f>
        <v>47399</v>
      </c>
      <c r="I49" s="80">
        <f>_xll.qlIndexFixing(M49,F49,TRUE,AllTriggers)</f>
        <v>2.4999063722948429E-2</v>
      </c>
      <c r="J49" s="79" t="str">
        <f t="shared" si="2"/>
        <v>USD_CURVE_12M_14Y</v>
      </c>
      <c r="K49" s="79" t="s">
        <v>232</v>
      </c>
      <c r="L49" s="4"/>
      <c r="M49" s="52" t="str">
        <f>_xll.qlSwapIndex(,"NoFix",D49,2,Currency,Calendar,FixedLegTenor,FixedLegBDC,FixedLegDayCounter,IborIndex,DiscountingCurve,,Trigger)</f>
        <v>obj_0042c#0000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30</v>
      </c>
      <c r="E50" s="77" t="s">
        <v>95</v>
      </c>
      <c r="F50" s="88">
        <f>_xll.qlInterestRateIndexFixingDate(IborIndex,EffectiveDate,Trigger)</f>
        <v>42282</v>
      </c>
      <c r="G50" s="88">
        <f>_xll.qlInterestRateIndexValueDate(M50,F50)</f>
        <v>42284</v>
      </c>
      <c r="H50" s="88">
        <f>_xll.qlInterestRateIndexMaturity(M50,G50)</f>
        <v>47763</v>
      </c>
      <c r="I50" s="80">
        <f>_xll.qlIndexFixing(M50,F50,TRUE,AllTriggers)</f>
        <v>2.537683780697993E-2</v>
      </c>
      <c r="J50" s="79" t="str">
        <f t="shared" si="2"/>
        <v>USD_CURVE_12M_15Y</v>
      </c>
      <c r="K50" s="79" t="s">
        <v>233</v>
      </c>
      <c r="L50" s="4"/>
      <c r="M50" s="52" t="str">
        <f>_xll.qlSwapIndex(,"NoFix",D50,2,Currency,Calendar,FixedLegTenor,FixedLegBDC,FixedLegDayCounter,IborIndex,DiscountingCurve,,Trigger)</f>
        <v>obj_00425#0000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75</v>
      </c>
      <c r="E51" s="77" t="s">
        <v>95</v>
      </c>
      <c r="F51" s="88">
        <f>_xll.qlInterestRateIndexFixingDate(IborIndex,EffectiveDate,Trigger)</f>
        <v>42282</v>
      </c>
      <c r="G51" s="88">
        <f>_xll.qlInterestRateIndexValueDate(M51,F51)</f>
        <v>42284</v>
      </c>
      <c r="H51" s="88">
        <f>_xll.qlInterestRateIndexMaturity(M51,G51)</f>
        <v>48128</v>
      </c>
      <c r="I51" s="80">
        <f>_xll.qlIndexFixing(M51,F51,TRUE,AllTriggers)</f>
        <v>2.5709660143774658E-2</v>
      </c>
      <c r="J51" s="79" t="str">
        <f t="shared" si="2"/>
        <v>USD_CURVE_12M_16Y</v>
      </c>
      <c r="K51" s="79" t="s">
        <v>234</v>
      </c>
      <c r="L51" s="4"/>
      <c r="M51" s="52" t="str">
        <f>_xll.qlSwapIndex(,"NoFix",D51,2,Currency,Calendar,FixedLegTenor,FixedLegBDC,FixedLegDayCounter,IborIndex,DiscountingCurve,,Trigger)</f>
        <v>obj_003dc#0000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76</v>
      </c>
      <c r="E52" s="77" t="s">
        <v>95</v>
      </c>
      <c r="F52" s="88">
        <f>_xll.qlInterestRateIndexFixingDate(IborIndex,EffectiveDate,Trigger)</f>
        <v>42282</v>
      </c>
      <c r="G52" s="88">
        <f>_xll.qlInterestRateIndexValueDate(M52,F52)</f>
        <v>42284</v>
      </c>
      <c r="H52" s="88">
        <f>_xll.qlInterestRateIndexMaturity(M52,G52)</f>
        <v>48494</v>
      </c>
      <c r="I52" s="80">
        <f>_xll.qlIndexFixing(M52,F52,TRUE,AllTriggers)</f>
        <v>2.6000341729231404E-2</v>
      </c>
      <c r="J52" s="79" t="str">
        <f t="shared" si="2"/>
        <v>USD_CURVE_12M_17Y</v>
      </c>
      <c r="K52" s="79" t="s">
        <v>235</v>
      </c>
      <c r="L52" s="4"/>
      <c r="M52" s="52" t="str">
        <f>_xll.qlSwapIndex(,"NoFix",D52,2,Currency,Calendar,FixedLegTenor,FixedLegBDC,FixedLegDayCounter,IborIndex,DiscountingCurve,,Trigger)</f>
        <v>obj_003e3#0000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77</v>
      </c>
      <c r="E53" s="77" t="s">
        <v>95</v>
      </c>
      <c r="F53" s="88">
        <f>_xll.qlInterestRateIndexFixingDate(IborIndex,EffectiveDate,Trigger)</f>
        <v>42282</v>
      </c>
      <c r="G53" s="88">
        <f>_xll.qlInterestRateIndexValueDate(M53,F53)</f>
        <v>42284</v>
      </c>
      <c r="H53" s="88">
        <f>_xll.qlInterestRateIndexMaturity(M53,G53)</f>
        <v>48859</v>
      </c>
      <c r="I53" s="80">
        <f>_xll.qlIndexFixing(M53,F53,TRUE,AllTriggers)</f>
        <v>2.6250288230518313E-2</v>
      </c>
      <c r="J53" s="79" t="str">
        <f t="shared" si="2"/>
        <v>USD_CURVE_12M_18Y</v>
      </c>
      <c r="K53" s="79" t="s">
        <v>236</v>
      </c>
      <c r="L53" s="4"/>
      <c r="M53" s="52" t="str">
        <f>_xll.qlSwapIndex(,"NoFix",D53,2,Currency,Calendar,FixedLegTenor,FixedLegBDC,FixedLegDayCounter,IborIndex,DiscountingCurve,,Trigger)</f>
        <v>obj_00422#0000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78</v>
      </c>
      <c r="E54" s="77" t="s">
        <v>95</v>
      </c>
      <c r="F54" s="88">
        <f>_xll.qlInterestRateIndexFixingDate(IborIndex,EffectiveDate,Trigger)</f>
        <v>42282</v>
      </c>
      <c r="G54" s="88">
        <f>_xll.qlInterestRateIndexValueDate(M54,F54)</f>
        <v>42284</v>
      </c>
      <c r="H54" s="88">
        <f>_xll.qlInterestRateIndexMaturity(M54,G54)</f>
        <v>49226</v>
      </c>
      <c r="I54" s="80">
        <f>_xll.qlIndexFixing(M54,F54,TRUE,AllTriggers)</f>
        <v>2.6464145505071326E-2</v>
      </c>
      <c r="J54" s="79" t="str">
        <f t="shared" si="2"/>
        <v>USD_CURVE_12M_19Y</v>
      </c>
      <c r="K54" s="79" t="s">
        <v>237</v>
      </c>
      <c r="L54" s="4"/>
      <c r="M54" s="52" t="str">
        <f>_xll.qlSwapIndex(,"NoFix",D54,2,Currency,Calendar,FixedLegTenor,FixedLegBDC,FixedLegDayCounter,IborIndex,DiscountingCurve,,Trigger)</f>
        <v>obj_00411#0000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79</v>
      </c>
      <c r="E55" s="77" t="s">
        <v>95</v>
      </c>
      <c r="F55" s="88">
        <f>_xll.qlInterestRateIndexFixingDate(IborIndex,EffectiveDate,Trigger)</f>
        <v>42282</v>
      </c>
      <c r="G55" s="88">
        <f>_xll.qlInterestRateIndexValueDate(M55,F55)</f>
        <v>42284</v>
      </c>
      <c r="H55" s="88">
        <f>_xll.qlInterestRateIndexMaturity(M55,G55)</f>
        <v>49590</v>
      </c>
      <c r="I55" s="80">
        <f>_xll.qlIndexFixing(M55,F55,TRUE,AllTriggers)</f>
        <v>2.664108221991884E-2</v>
      </c>
      <c r="J55" s="79" t="str">
        <f t="shared" si="2"/>
        <v>USD_CURVE_12M_20Y</v>
      </c>
      <c r="K55" s="79" t="s">
        <v>238</v>
      </c>
      <c r="L55" s="4"/>
      <c r="M55" s="52" t="str">
        <f>_xll.qlSwapIndex(,"NoFix",D55,2,Currency,Calendar,FixedLegTenor,FixedLegBDC,FixedLegDayCounter,IborIndex,DiscountingCurve,,Trigger)</f>
        <v>obj_0042d#0000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80</v>
      </c>
      <c r="E56" s="77" t="s">
        <v>95</v>
      </c>
      <c r="F56" s="88">
        <f>_xll.qlInterestRateIndexFixingDate(IborIndex,EffectiveDate,Trigger)</f>
        <v>42282</v>
      </c>
      <c r="G56" s="88">
        <f>_xll.qlInterestRateIndexValueDate(M56,F56)</f>
        <v>42284</v>
      </c>
      <c r="H56" s="88">
        <f>_xll.qlInterestRateIndexMaturity(M56,G56)</f>
        <v>49955</v>
      </c>
      <c r="I56" s="80">
        <f>_xll.qlIndexFixing(M56,F56,TRUE,AllTriggers)</f>
        <v>2.6786491221029461E-2</v>
      </c>
      <c r="J56" s="79" t="str">
        <f t="shared" si="2"/>
        <v>USD_CURVE_12M_21Y</v>
      </c>
      <c r="K56" s="79" t="s">
        <v>239</v>
      </c>
      <c r="L56" s="4"/>
      <c r="M56" s="52" t="str">
        <f>_xll.qlSwapIndex(,"NoFix",D56,2,Currency,Calendar,FixedLegTenor,FixedLegBDC,FixedLegDayCounter,IborIndex,DiscountingCurve,,Trigger)</f>
        <v>obj_0040e#0000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81</v>
      </c>
      <c r="E57" s="77" t="s">
        <v>95</v>
      </c>
      <c r="F57" s="88">
        <f>_xll.qlInterestRateIndexFixingDate(IborIndex,EffectiveDate,Trigger)</f>
        <v>42282</v>
      </c>
      <c r="G57" s="88">
        <f>_xll.qlInterestRateIndexValueDate(M57,F57)</f>
        <v>42284</v>
      </c>
      <c r="H57" s="88">
        <f>_xll.qlInterestRateIndexMaturity(M57,G57)</f>
        <v>50320</v>
      </c>
      <c r="I57" s="80">
        <f>_xll.qlIndexFixing(M57,F57,TRUE,AllTriggers)</f>
        <v>2.6906495963747383E-2</v>
      </c>
      <c r="J57" s="79" t="str">
        <f t="shared" si="2"/>
        <v>USD_CURVE_12M_22Y</v>
      </c>
      <c r="K57" s="79" t="s">
        <v>240</v>
      </c>
      <c r="L57" s="4"/>
      <c r="M57" s="52" t="str">
        <f>_xll.qlSwapIndex(,"NoFix",D57,2,Currency,Calendar,FixedLegTenor,FixedLegBDC,FixedLegDayCounter,IborIndex,DiscountingCurve,,Trigger)</f>
        <v>obj_003e0#0000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82</v>
      </c>
      <c r="E58" s="77" t="s">
        <v>95</v>
      </c>
      <c r="F58" s="88">
        <f>_xll.qlInterestRateIndexFixingDate(IborIndex,EffectiveDate,Trigger)</f>
        <v>42282</v>
      </c>
      <c r="G58" s="88">
        <f>_xll.qlInterestRateIndexValueDate(M58,F58)</f>
        <v>42284</v>
      </c>
      <c r="H58" s="88">
        <f>_xll.qlInterestRateIndexMaturity(M58,G58)</f>
        <v>50685</v>
      </c>
      <c r="I58" s="80">
        <f>_xll.qlIndexFixing(M58,F58,TRUE,AllTriggers)</f>
        <v>2.700755460169223E-2</v>
      </c>
      <c r="J58" s="79" t="str">
        <f t="shared" si="2"/>
        <v>USD_CURVE_12M_23Y</v>
      </c>
      <c r="K58" s="79" t="s">
        <v>241</v>
      </c>
      <c r="L58" s="4"/>
      <c r="M58" s="52" t="str">
        <f>_xll.qlSwapIndex(,"NoFix",D58,2,Currency,Calendar,FixedLegTenor,FixedLegBDC,FixedLegDayCounter,IborIndex,DiscountingCurve,,Trigger)</f>
        <v>obj_00429#0000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83</v>
      </c>
      <c r="E59" s="77" t="s">
        <v>95</v>
      </c>
      <c r="F59" s="88">
        <f>_xll.qlInterestRateIndexFixingDate(IborIndex,EffectiveDate,Trigger)</f>
        <v>42282</v>
      </c>
      <c r="G59" s="88">
        <f>_xll.qlInterestRateIndexValueDate(M59,F59)</f>
        <v>42284</v>
      </c>
      <c r="H59" s="88">
        <f>_xll.qlInterestRateIndexMaturity(M59,G59)</f>
        <v>51050</v>
      </c>
      <c r="I59" s="80">
        <f>_xll.qlIndexFixing(M59,F59,TRUE,AllTriggers)</f>
        <v>2.7094947098404036E-2</v>
      </c>
      <c r="J59" s="79" t="str">
        <f t="shared" si="2"/>
        <v>USD_CURVE_12M_24Y</v>
      </c>
      <c r="K59" s="79" t="s">
        <v>242</v>
      </c>
      <c r="L59" s="4"/>
      <c r="M59" s="52" t="str">
        <f>_xll.qlSwapIndex(,"NoFix",D59,2,Currency,Calendar,FixedLegTenor,FixedLegBDC,FixedLegDayCounter,IborIndex,DiscountingCurve,,Trigger)</f>
        <v>obj_003f6#0000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84</v>
      </c>
      <c r="E60" s="77" t="s">
        <v>95</v>
      </c>
      <c r="F60" s="88">
        <f>_xll.qlInterestRateIndexFixingDate(IborIndex,EffectiveDate,Trigger)</f>
        <v>42282</v>
      </c>
      <c r="G60" s="88">
        <f>_xll.qlInterestRateIndexValueDate(M60,F60)</f>
        <v>42284</v>
      </c>
      <c r="H60" s="88">
        <f>_xll.qlInterestRateIndexMaturity(M60,G60)</f>
        <v>51417</v>
      </c>
      <c r="I60" s="80">
        <f>_xll.qlIndexFixing(M60,F60,TRUE,AllTriggers)</f>
        <v>2.7173491522966227E-2</v>
      </c>
      <c r="J60" s="79" t="str">
        <f t="shared" si="2"/>
        <v>USD_CURVE_12M_25Y</v>
      </c>
      <c r="K60" s="79" t="s">
        <v>243</v>
      </c>
      <c r="L60" s="4"/>
      <c r="M60" s="52" t="str">
        <f>_xll.qlSwapIndex(,"NoFix",D60,2,Currency,Calendar,FixedLegTenor,FixedLegBDC,FixedLegDayCounter,IborIndex,DiscountingCurve,,Trigger)</f>
        <v>obj_0040b#0000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85</v>
      </c>
      <c r="E61" s="77" t="s">
        <v>95</v>
      </c>
      <c r="F61" s="88">
        <f>_xll.qlInterestRateIndexFixingDate(IborIndex,EffectiveDate,Trigger)</f>
        <v>42282</v>
      </c>
      <c r="G61" s="88">
        <f>_xll.qlInterestRateIndexValueDate(M61,F61)</f>
        <v>42284</v>
      </c>
      <c r="H61" s="88">
        <f>_xll.qlInterestRateIndexMaturity(M61,G61)</f>
        <v>51781</v>
      </c>
      <c r="I61" s="80">
        <f>_xll.qlIndexFixing(M61,F61,TRUE,AllTriggers)</f>
        <v>2.7245131568930697E-2</v>
      </c>
      <c r="J61" s="79" t="str">
        <f t="shared" si="2"/>
        <v>USD_CURVE_12M_26Y</v>
      </c>
      <c r="K61" s="79" t="s">
        <v>244</v>
      </c>
      <c r="L61" s="4"/>
      <c r="M61" s="52" t="str">
        <f>_xll.qlSwapIndex(,"NoFix",D61,2,Currency,Calendar,FixedLegTenor,FixedLegBDC,FixedLegDayCounter,IborIndex,DiscountingCurve,,Trigger)</f>
        <v>obj_0040a#0000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86</v>
      </c>
      <c r="E62" s="77" t="s">
        <v>95</v>
      </c>
      <c r="F62" s="88">
        <f>_xll.qlInterestRateIndexFixingDate(IborIndex,EffectiveDate,Trigger)</f>
        <v>42282</v>
      </c>
      <c r="G62" s="88">
        <f>_xll.qlInterestRateIndexValueDate(M62,F62)</f>
        <v>42284</v>
      </c>
      <c r="H62" s="88">
        <f>_xll.qlInterestRateIndexMaturity(M62,G62)</f>
        <v>52146</v>
      </c>
      <c r="I62" s="80">
        <f>_xll.qlIndexFixing(M62,F62,TRUE,AllTriggers)</f>
        <v>2.731170321616597E-2</v>
      </c>
      <c r="J62" s="79" t="str">
        <f t="shared" si="2"/>
        <v>USD_CURVE_12M_27Y</v>
      </c>
      <c r="K62" s="79" t="s">
        <v>245</v>
      </c>
      <c r="L62" s="4"/>
      <c r="M62" s="52" t="str">
        <f>_xll.qlSwapIndex(,"NoFix",D62,2,Currency,Calendar,FixedLegTenor,FixedLegBDC,FixedLegDayCounter,IborIndex,DiscountingCurve,,Trigger)</f>
        <v>obj_0043e#0000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87</v>
      </c>
      <c r="E63" s="77" t="s">
        <v>95</v>
      </c>
      <c r="F63" s="88">
        <f>_xll.qlInterestRateIndexFixingDate(IborIndex,EffectiveDate,Trigger)</f>
        <v>42282</v>
      </c>
      <c r="G63" s="88">
        <f>_xll.qlInterestRateIndexValueDate(M63,F63)</f>
        <v>42284</v>
      </c>
      <c r="H63" s="88">
        <f>_xll.qlInterestRateIndexMaturity(M63,G63)</f>
        <v>52511</v>
      </c>
      <c r="I63" s="80">
        <f>_xll.qlIndexFixing(M63,F63,TRUE,AllTriggers)</f>
        <v>2.7373293998452081E-2</v>
      </c>
      <c r="J63" s="79" t="str">
        <f t="shared" si="2"/>
        <v>USD_CURVE_12M_28Y</v>
      </c>
      <c r="K63" s="79" t="s">
        <v>246</v>
      </c>
      <c r="L63" s="4"/>
      <c r="M63" s="52" t="str">
        <f>_xll.qlSwapIndex(,"NoFix",D63,2,Currency,Calendar,FixedLegTenor,FixedLegBDC,FixedLegDayCounter,IborIndex,DiscountingCurve,,Trigger)</f>
        <v>obj_00401#0000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88</v>
      </c>
      <c r="E64" s="77" t="s">
        <v>95</v>
      </c>
      <c r="F64" s="88">
        <f>_xll.qlInterestRateIndexFixingDate(IborIndex,EffectiveDate,Trigger)</f>
        <v>42282</v>
      </c>
      <c r="G64" s="88">
        <f>_xll.qlInterestRateIndexValueDate(M64,F64)</f>
        <v>42284</v>
      </c>
      <c r="H64" s="88">
        <f>_xll.qlInterestRateIndexMaturity(M64,G64)</f>
        <v>52877</v>
      </c>
      <c r="I64" s="80">
        <f>_xll.qlIndexFixing(M64,F64,TRUE,AllTriggers)</f>
        <v>2.7430372441641242E-2</v>
      </c>
      <c r="J64" s="79" t="str">
        <f t="shared" si="2"/>
        <v>USD_CURVE_12M_29Y</v>
      </c>
      <c r="K64" s="79" t="s">
        <v>247</v>
      </c>
      <c r="L64" s="4"/>
      <c r="M64" s="52" t="str">
        <f>_xll.qlSwapIndex(,"NoFix",D64,2,Currency,Calendar,FixedLegTenor,FixedLegBDC,FixedLegDayCounter,IborIndex,DiscountingCurve,,Trigger)</f>
        <v>obj_0041b#0000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89</v>
      </c>
      <c r="E65" s="77" t="s">
        <v>95</v>
      </c>
      <c r="F65" s="88">
        <f>_xll.qlInterestRateIndexFixingDate(IborIndex,EffectiveDate,Trigger)</f>
        <v>42282</v>
      </c>
      <c r="G65" s="88">
        <f>_xll.qlInterestRateIndexValueDate(M65,F65)</f>
        <v>42284</v>
      </c>
      <c r="H65" s="88">
        <f>_xll.qlInterestRateIndexMaturity(M65,G65)</f>
        <v>53244</v>
      </c>
      <c r="I65" s="80">
        <f>_xll.qlIndexFixing(M65,F65,TRUE,AllTriggers)</f>
        <v>2.7483165017646357E-2</v>
      </c>
      <c r="J65" s="79" t="str">
        <f t="shared" si="2"/>
        <v>USD_CURVE_12M_30Y</v>
      </c>
      <c r="K65" s="79" t="s">
        <v>248</v>
      </c>
      <c r="L65" s="4"/>
      <c r="M65" s="52" t="str">
        <f>_xll.qlSwapIndex(,"NoFix",D65,2,Currency,Calendar,FixedLegTenor,FixedLegBDC,FixedLegDayCounter,IborIndex,DiscountingCurve,,Trigger)</f>
        <v>obj_00439#0000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90</v>
      </c>
      <c r="E66" s="77" t="s">
        <v>95</v>
      </c>
      <c r="F66" s="88">
        <f>_xll.qlInterestRateIndexFixingDate(IborIndex,EffectiveDate,Trigger)</f>
        <v>42282</v>
      </c>
      <c r="G66" s="88">
        <f>_xll.qlInterestRateIndexValueDate(M66,F66)</f>
        <v>42284</v>
      </c>
      <c r="H66" s="88">
        <f>_xll.qlInterestRateIndexMaturity(M66,G66)</f>
        <v>56894</v>
      </c>
      <c r="I66" s="80">
        <f>_xll.qlIndexFixing(M66,F66,TRUE,AllTriggers)</f>
        <v>2.7683549687536585E-2</v>
      </c>
      <c r="J66" s="79" t="str">
        <f t="shared" si="2"/>
        <v>USD_CURVE_12M_40Y</v>
      </c>
      <c r="K66" s="79" t="s">
        <v>249</v>
      </c>
      <c r="L66" s="4"/>
      <c r="M66" s="52" t="str">
        <f>_xll.qlSwapIndex(,"NoFix",D66,2,Currency,Calendar,FixedLegTenor,FixedLegBDC,FixedLegDayCounter,IborIndex,DiscountingCurve,,Trigger)</f>
        <v>obj_00403#0000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86" t="s">
        <v>91</v>
      </c>
      <c r="E67" s="77" t="s">
        <v>95</v>
      </c>
      <c r="F67" s="88">
        <f>_xll.qlInterestRateIndexFixingDate(IborIndex,EffectiveDate,Trigger)</f>
        <v>42282</v>
      </c>
      <c r="G67" s="88">
        <f>_xll.qlInterestRateIndexValueDate(M67,F67)</f>
        <v>42284</v>
      </c>
      <c r="H67" s="88">
        <f>_xll.qlInterestRateIndexMaturity(M67,G67)</f>
        <v>60547</v>
      </c>
      <c r="I67" s="80">
        <f>_xll.qlIndexFixing(M67,F67,TRUE,AllTriggers)</f>
        <v>2.7503382193978233E-2</v>
      </c>
      <c r="J67" s="79" t="str">
        <f t="shared" si="2"/>
        <v>USD_CURVE_12M_50Y</v>
      </c>
      <c r="K67" s="79" t="s">
        <v>250</v>
      </c>
      <c r="L67" s="4"/>
      <c r="M67" s="52" t="str">
        <f>_xll.qlSwapIndex(,"NoFix",D67,2,Currency,Calendar,FixedLegTenor,FixedLegBDC,FixedLegDayCounter,IborIndex,DiscountingCurve,,Trigger)</f>
        <v>obj_00412#0000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89" t="s">
        <v>92</v>
      </c>
      <c r="E68" s="78" t="s">
        <v>95</v>
      </c>
      <c r="F68" s="92">
        <f>_xll.qlInterestRateIndexFixingDate(IborIndex,EffectiveDate,Trigger)</f>
        <v>42282</v>
      </c>
      <c r="G68" s="92">
        <f>_xll.qlInterestRateIndexValueDate(M68,F68)</f>
        <v>42284</v>
      </c>
      <c r="H68" s="92">
        <f>_xll.qlInterestRateIndexMaturity(M68,G68)</f>
        <v>64199</v>
      </c>
      <c r="I68" s="93">
        <f>_xll.qlIndexFixing(M68,F68,TRUE,AllTriggers)</f>
        <v>2.7339360342045402E-2</v>
      </c>
      <c r="J68" s="91" t="str">
        <f t="shared" si="2"/>
        <v>USD_CURVE_12M_60Y</v>
      </c>
      <c r="K68" s="91" t="s">
        <v>251</v>
      </c>
      <c r="L68" s="4"/>
      <c r="M68" s="58" t="str">
        <f>_xll.qlSwapIndex(,"NoFix",D68,2,Currency,Calendar,FixedLegTenor,FixedLegBDC,FixedLegDayCounter,IborIndex,DiscountingCurve,,Trigger)</f>
        <v>obj_00432#0000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68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37"/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shared" ref="D9:D23" si="0">EvaluationDate</f>
        <v>42282</v>
      </c>
      <c r="E9" s="166">
        <f>_xll.qlSwapStartDate(K9)</f>
        <v>42284</v>
      </c>
      <c r="F9" s="166">
        <f>_xll.qlSwapMaturityDate(K9)</f>
        <v>42291</v>
      </c>
      <c r="G9" s="167">
        <f>_xll.qlOvernightIndexedSwapFairRate(K9,AllTriggers)</f>
        <v>1.3100000036736503E-3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obj_0034a#0000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f t="shared" si="0"/>
        <v>42282</v>
      </c>
      <c r="E10" s="166">
        <f>_xll.qlSwapStartDate(K10)</f>
        <v>42284</v>
      </c>
      <c r="F10" s="166">
        <f>_xll.qlSwapMaturityDate(K10)</f>
        <v>42298</v>
      </c>
      <c r="G10" s="167">
        <f>_xll.qlOvernightIndexedSwapFairRate(K10,AllTriggers)</f>
        <v>1.31000000043624E-3</v>
      </c>
      <c r="H10" s="21" t="str">
        <f t="shared" ref="H10:H23" si="1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obj_00350#0000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f t="shared" si="0"/>
        <v>42282</v>
      </c>
      <c r="E11" s="166">
        <f>_xll.qlSwapStartDate(K11)</f>
        <v>42284</v>
      </c>
      <c r="F11" s="166">
        <f>_xll.qlSwapMaturityDate(K11)</f>
        <v>42305</v>
      </c>
      <c r="G11" s="167">
        <f>_xll.qlOvernightIndexedSwapFairRate(K11,AllTriggers)</f>
        <v>1.3100000017018942E-3</v>
      </c>
      <c r="H11" s="21" t="str">
        <f t="shared" si="1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obj_0034f#0000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f t="shared" si="0"/>
        <v>42282</v>
      </c>
      <c r="E12" s="166">
        <f>_xll.qlSwapStartDate(K12)</f>
        <v>42284</v>
      </c>
      <c r="F12" s="166">
        <f>_xll.qlSwapMaturityDate(K12)</f>
        <v>42317</v>
      </c>
      <c r="G12" s="167">
        <f>_xll.qlOvernightIndexedSwapFairRate(K12,AllTriggers)</f>
        <v>1.3500000021338112E-3</v>
      </c>
      <c r="H12" s="21" t="str">
        <f t="shared" si="1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obj_00357#0000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f t="shared" si="0"/>
        <v>42282</v>
      </c>
      <c r="E13" s="166">
        <f>_xll.qlSwapStartDate(K13)</f>
        <v>42284</v>
      </c>
      <c r="F13" s="166">
        <f>_xll.qlSwapMaturityDate(K13)</f>
        <v>42345</v>
      </c>
      <c r="G13" s="167">
        <f>_xll.qlOvernightIndexedSwapFairRate(K13,AllTriggers)</f>
        <v>1.4100000027393153E-3</v>
      </c>
      <c r="H13" s="21" t="str">
        <f t="shared" si="1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obj_0034c#0000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f t="shared" si="0"/>
        <v>42282</v>
      </c>
      <c r="E14" s="166">
        <f>_xll.qlSwapStartDate(K14)</f>
        <v>42284</v>
      </c>
      <c r="F14" s="166">
        <f>_xll.qlSwapMaturityDate(K14)</f>
        <v>42376</v>
      </c>
      <c r="G14" s="167">
        <f>_xll.qlOvernightIndexedSwapFairRate(K14,AllTriggers)</f>
        <v>1.590000002017333E-3</v>
      </c>
      <c r="H14" s="21" t="str">
        <f t="shared" si="1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obj_00368#0000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f t="shared" si="0"/>
        <v>42282</v>
      </c>
      <c r="E15" s="166">
        <f>_xll.qlSwapStartDate(K15)</f>
        <v>42284</v>
      </c>
      <c r="F15" s="166">
        <f>_xll.qlSwapMaturityDate(K15)</f>
        <v>42408</v>
      </c>
      <c r="G15" s="167">
        <f>_xll.qlOvernightIndexedSwapFairRate(K15,AllTriggers)</f>
        <v>1.7500000015489444E-3</v>
      </c>
      <c r="H15" s="21" t="str">
        <f t="shared" si="1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obj_00351#0000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f t="shared" si="0"/>
        <v>42282</v>
      </c>
      <c r="E16" s="166">
        <f>_xll.qlSwapStartDate(K16)</f>
        <v>42284</v>
      </c>
      <c r="F16" s="166">
        <f>_xll.qlSwapMaturityDate(K16)</f>
        <v>42436</v>
      </c>
      <c r="G16" s="167">
        <f>_xll.qlOvernightIndexedSwapFairRate(K16,AllTriggers)</f>
        <v>1.8800000010991311E-3</v>
      </c>
      <c r="H16" s="21" t="str">
        <f t="shared" si="1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obj_00337#0000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f t="shared" si="0"/>
        <v>42282</v>
      </c>
      <c r="E17" s="166">
        <f>_xll.qlSwapStartDate(K17)</f>
        <v>42284</v>
      </c>
      <c r="F17" s="166">
        <f>_xll.qlSwapMaturityDate(K17)</f>
        <v>42467</v>
      </c>
      <c r="G17" s="167">
        <f>_xll.qlOvernightIndexedSwapFairRate(K17,AllTriggers)</f>
        <v>2.0400000010154921E-3</v>
      </c>
      <c r="H17" s="21" t="str">
        <f t="shared" si="1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obj_00338#0000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f t="shared" si="0"/>
        <v>42282</v>
      </c>
      <c r="E18" s="166">
        <f>_xll.qlSwapStartDate(K18)</f>
        <v>42284</v>
      </c>
      <c r="F18" s="166">
        <f>_xll.qlSwapMaturityDate(K18)</f>
        <v>42499</v>
      </c>
      <c r="G18" s="167">
        <f>_xll.qlOvernightIndexedSwapFairRate(K18,AllTriggers)</f>
        <v>2.2000000008944535E-3</v>
      </c>
      <c r="H18" s="21" t="str">
        <f t="shared" si="1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obj_0035c#0000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f t="shared" si="0"/>
        <v>42282</v>
      </c>
      <c r="E19" s="166">
        <f>_xll.qlSwapStartDate(K19)</f>
        <v>42284</v>
      </c>
      <c r="F19" s="166">
        <f>_xll.qlSwapMaturityDate(K19)</f>
        <v>42528</v>
      </c>
      <c r="G19" s="167">
        <f>_xll.qlOvernightIndexedSwapFairRate(K19,AllTriggers)</f>
        <v>2.3200000007116252E-3</v>
      </c>
      <c r="H19" s="21" t="str">
        <f t="shared" si="1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obj_00366#0000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f t="shared" si="0"/>
        <v>42282</v>
      </c>
      <c r="E20" s="166">
        <f>_xll.qlSwapStartDate(K20)</f>
        <v>42284</v>
      </c>
      <c r="F20" s="166">
        <f>_xll.qlSwapMaturityDate(K20)</f>
        <v>42558</v>
      </c>
      <c r="G20" s="167">
        <f>_xll.qlOvernightIndexedSwapFairRate(K20,AllTriggers)</f>
        <v>2.4800000006566687E-3</v>
      </c>
      <c r="H20" s="21" t="str">
        <f t="shared" si="1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obj_00339#0000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f t="shared" si="0"/>
        <v>42282</v>
      </c>
      <c r="E21" s="166">
        <f>_xll.qlSwapStartDate(K21)</f>
        <v>42284</v>
      </c>
      <c r="F21" s="166">
        <f>_xll.qlSwapMaturityDate(K21)</f>
        <v>42590</v>
      </c>
      <c r="G21" s="167">
        <f>_xll.qlOvernightIndexedSwapFairRate(K21,AllTriggers)</f>
        <v>2.6400000006294596E-3</v>
      </c>
      <c r="H21" s="21" t="str">
        <f t="shared" si="1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obj_00364#0000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f t="shared" si="0"/>
        <v>42282</v>
      </c>
      <c r="E22" s="166">
        <f>_xll.qlSwapStartDate(K22)</f>
        <v>42284</v>
      </c>
      <c r="F22" s="166">
        <f>_xll.qlSwapMaturityDate(K22)</f>
        <v>42620</v>
      </c>
      <c r="G22" s="167">
        <f>_xll.qlOvernightIndexedSwapFairRate(K22,AllTriggers)</f>
        <v>2.7800000005363222E-3</v>
      </c>
      <c r="H22" s="21" t="str">
        <f t="shared" si="1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obj_00353#0000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f t="shared" si="0"/>
        <v>42282</v>
      </c>
      <c r="E23" s="166">
        <f>_xll.qlSwapStartDate(K23)</f>
        <v>42284</v>
      </c>
      <c r="F23" s="166">
        <f>_xll.qlSwapMaturityDate(K23)</f>
        <v>42650</v>
      </c>
      <c r="G23" s="167">
        <f>_xll.qlOvernightIndexedSwapFairRate(K23,AllTriggers)</f>
        <v>2.9300000000000402E-3</v>
      </c>
      <c r="H23" s="21" t="str">
        <f t="shared" si="1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obj_0033a#0000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52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52"/>
    </row>
    <row r="33" spans="2:16" s="2" customFormat="1" x14ac:dyDescent="0.2">
      <c r="B33" s="184"/>
      <c r="C33" s="185"/>
      <c r="D33" s="186"/>
      <c r="E33" s="186"/>
      <c r="F33" s="186"/>
      <c r="G33" s="187"/>
      <c r="H33" s="187"/>
      <c r="I33" s="187"/>
      <c r="J33" s="188"/>
      <c r="K33" s="52"/>
      <c r="L33" s="4"/>
      <c r="O33" s="71"/>
      <c r="P33" s="70"/>
    </row>
    <row r="34" spans="2:16" s="2" customFormat="1" x14ac:dyDescent="0.2">
      <c r="B34" s="46" t="s">
        <v>114</v>
      </c>
      <c r="C34" s="53" t="s">
        <v>38</v>
      </c>
      <c r="D34" s="54">
        <f t="shared" ref="D34:D68" si="2">EvaluationDate</f>
        <v>42282</v>
      </c>
      <c r="E34" s="54">
        <f>_xll.qlSwapStartDate(K34)</f>
        <v>42284</v>
      </c>
      <c r="F34" s="54">
        <f>_xll.qlSwapMaturityDate(K34)</f>
        <v>42744</v>
      </c>
      <c r="G34" s="61">
        <f>_xll.qlOvernightIndexedSwapFairRate(K34,AllTriggers)</f>
        <v>3.44000000000031E-3</v>
      </c>
      <c r="H34" s="61" t="str">
        <f t="shared" ref="H34:H61" si="3">Currency&amp;"_CURVE_OIS"&amp;"_"&amp;B34</f>
        <v>USD_CURVE_OIS_15M</v>
      </c>
      <c r="I34" s="61" t="s">
        <v>267</v>
      </c>
      <c r="J34" s="51"/>
      <c r="K34" s="52" t="str">
        <f>_xll.qlMakeOIS(,SettlementDays,IF(B34="SW","1W",B34),OvernightIndex,,FwdStart,DayCountConv,,,Trigger)</f>
        <v>obj_0035b#0000</v>
      </c>
      <c r="L34" s="4"/>
      <c r="M34" s="70"/>
      <c r="N34" s="71"/>
      <c r="O34" s="71"/>
      <c r="P34" s="70"/>
    </row>
    <row r="35" spans="2:16" s="2" customFormat="1" x14ac:dyDescent="0.2">
      <c r="B35" s="46" t="s">
        <v>115</v>
      </c>
      <c r="C35" s="53" t="s">
        <v>38</v>
      </c>
      <c r="D35" s="54">
        <f t="shared" si="2"/>
        <v>42282</v>
      </c>
      <c r="E35" s="54">
        <f>_xll.qlSwapStartDate(K35)</f>
        <v>42284</v>
      </c>
      <c r="F35" s="54">
        <f>_xll.qlSwapMaturityDate(K35)</f>
        <v>42832</v>
      </c>
      <c r="G35" s="61">
        <f>_xll.qlOvernightIndexedSwapFairRate(K35,AllTriggers)</f>
        <v>3.9600000000004224E-3</v>
      </c>
      <c r="H35" s="61" t="str">
        <f t="shared" si="3"/>
        <v>USD_CURVE_OIS_18M</v>
      </c>
      <c r="I35" s="61" t="s">
        <v>268</v>
      </c>
      <c r="J35" s="51"/>
      <c r="K35" s="52" t="str">
        <f>_xll.qlMakeOIS(,SettlementDays,IF(B35="SW","1W",B35),OvernightIndex,,FwdStart,DayCountConv,,,Trigger)</f>
        <v>obj_0035a#0000</v>
      </c>
      <c r="L35" s="4"/>
      <c r="M35" s="66"/>
      <c r="N35" s="67"/>
      <c r="O35" s="67"/>
      <c r="P35" s="66"/>
    </row>
    <row r="36" spans="2:16" s="2" customFormat="1" x14ac:dyDescent="0.2">
      <c r="B36" s="46" t="s">
        <v>116</v>
      </c>
      <c r="C36" s="53" t="s">
        <v>38</v>
      </c>
      <c r="D36" s="54">
        <f t="shared" si="2"/>
        <v>42282</v>
      </c>
      <c r="E36" s="54">
        <f>_xll.qlSwapStartDate(K36)</f>
        <v>42284</v>
      </c>
      <c r="F36" s="54">
        <f>_xll.qlSwapMaturityDate(K36)</f>
        <v>42923</v>
      </c>
      <c r="G36" s="61">
        <f>_xll.qlOvernightIndexedSwapFairRate(K36,AllTriggers)</f>
        <v>4.5000000000000933E-3</v>
      </c>
      <c r="H36" s="61" t="str">
        <f t="shared" si="3"/>
        <v>USD_CURVE_OIS_21M</v>
      </c>
      <c r="I36" s="61" t="s">
        <v>269</v>
      </c>
      <c r="J36" s="51"/>
      <c r="K36" s="52" t="str">
        <f>_xll.qlMakeOIS(,SettlementDays,IF(B36="SW","1W",B36),OvernightIndex,,FwdStart,DayCountConv,,,Trigger)</f>
        <v>obj_00355#0000</v>
      </c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38</v>
      </c>
      <c r="D37" s="54">
        <f t="shared" si="2"/>
        <v>42282</v>
      </c>
      <c r="E37" s="54">
        <f>_xll.qlSwapStartDate(K37)</f>
        <v>42284</v>
      </c>
      <c r="F37" s="54">
        <f>_xll.qlSwapMaturityDate(K37)</f>
        <v>43018</v>
      </c>
      <c r="G37" s="61">
        <f>_xll.qlOvernightIndexedSwapFairRate(K37,AllTriggers)</f>
        <v>5.0599999999999552E-3</v>
      </c>
      <c r="H37" s="28" t="str">
        <f t="shared" si="3"/>
        <v>USD_CURVE_OIS_2Y</v>
      </c>
      <c r="I37" s="61" t="s">
        <v>270</v>
      </c>
      <c r="J37" s="51"/>
      <c r="K37" s="52" t="str">
        <f>_xll.qlMakeOIS(,SettlementDays,IF(B37="SW","1W",B37),OvernightIndex,,FwdStart,DayCountConv,,,Trigger)</f>
        <v>obj_00363#0000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38</v>
      </c>
      <c r="D38" s="54">
        <f t="shared" si="2"/>
        <v>42282</v>
      </c>
      <c r="E38" s="54">
        <f>_xll.qlSwapStartDate(K38)</f>
        <v>42284</v>
      </c>
      <c r="F38" s="54">
        <f>_xll.qlSwapMaturityDate(K38)</f>
        <v>43382</v>
      </c>
      <c r="G38" s="61">
        <f>_xll.qlOvernightIndexedSwapFairRate(K38,AllTriggers)</f>
        <v>7.2000000000000276E-3</v>
      </c>
      <c r="H38" s="28" t="str">
        <f t="shared" si="3"/>
        <v>USD_CURVE_OIS_3Y</v>
      </c>
      <c r="I38" s="61" t="s">
        <v>271</v>
      </c>
      <c r="J38" s="51"/>
      <c r="K38" s="52" t="str">
        <f>_xll.qlMakeOIS(,SettlementDays,IF(B38="SW","1W",B38),OvernightIndex,,FwdStart,DayCountConv,,,Trigger)</f>
        <v>obj_00359#0000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38</v>
      </c>
      <c r="D39" s="54">
        <f t="shared" si="2"/>
        <v>42282</v>
      </c>
      <c r="E39" s="54">
        <f>_xll.qlSwapStartDate(K39)</f>
        <v>42284</v>
      </c>
      <c r="F39" s="54">
        <f>_xll.qlSwapMaturityDate(K39)</f>
        <v>43745</v>
      </c>
      <c r="G39" s="61">
        <f>_xll.qlOvernightIndexedSwapFairRate(K39,AllTriggers)</f>
        <v>9.2200000000001447E-3</v>
      </c>
      <c r="H39" s="28" t="str">
        <f t="shared" si="3"/>
        <v>USD_CURVE_OIS_4Y</v>
      </c>
      <c r="I39" s="61" t="s">
        <v>272</v>
      </c>
      <c r="J39" s="51"/>
      <c r="K39" s="52" t="str">
        <f>_xll.qlMakeOIS(,SettlementDays,IF(B39="SW","1W",B39),OvernightIndex,,FwdStart,DayCountConv,,,Trigger)</f>
        <v>obj_0034e#0000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38</v>
      </c>
      <c r="D40" s="54">
        <f t="shared" si="2"/>
        <v>42282</v>
      </c>
      <c r="E40" s="54">
        <f>_xll.qlSwapStartDate(K40)</f>
        <v>42284</v>
      </c>
      <c r="F40" s="54">
        <f>_xll.qlSwapMaturityDate(K40)</f>
        <v>44111</v>
      </c>
      <c r="G40" s="61">
        <f>_xll.qlOvernightIndexedSwapFairRate(K40,AllTriggers)</f>
        <v>1.1170000000000017E-2</v>
      </c>
      <c r="H40" s="28" t="str">
        <f t="shared" si="3"/>
        <v>USD_CURVE_OIS_5Y</v>
      </c>
      <c r="I40" s="61" t="s">
        <v>273</v>
      </c>
      <c r="J40" s="51"/>
      <c r="K40" s="52" t="str">
        <f>_xll.qlMakeOIS(,SettlementDays,IF(B40="SW","1W",B40),OvernightIndex,,FwdStart,DayCountConv,,,Trigger)</f>
        <v>obj_0035f#0000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38</v>
      </c>
      <c r="D41" s="54">
        <f t="shared" si="2"/>
        <v>42282</v>
      </c>
      <c r="E41" s="54">
        <f>_xll.qlSwapStartDate(K41)</f>
        <v>42284</v>
      </c>
      <c r="F41" s="54">
        <f>_xll.qlSwapMaturityDate(K41)</f>
        <v>44476</v>
      </c>
      <c r="G41" s="61">
        <f>_xll.qlOvernightIndexedSwapFairRate(K41,AllTriggers)</f>
        <v>1.2839999999999947E-2</v>
      </c>
      <c r="H41" s="28" t="str">
        <f t="shared" si="3"/>
        <v>USD_CURVE_OIS_6Y</v>
      </c>
      <c r="I41" s="61" t="s">
        <v>274</v>
      </c>
      <c r="J41" s="51"/>
      <c r="K41" s="52" t="str">
        <f>_xll.qlMakeOIS(,SettlementDays,IF(B41="SW","1W",B41),OvernightIndex,,FwdStart,DayCountConv,,,Trigger)</f>
        <v>obj_0033f#0000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38</v>
      </c>
      <c r="D42" s="54">
        <f t="shared" si="2"/>
        <v>42282</v>
      </c>
      <c r="E42" s="54">
        <f>_xll.qlSwapStartDate(K42)</f>
        <v>42284</v>
      </c>
      <c r="F42" s="54">
        <f>_xll.qlSwapMaturityDate(K42)</f>
        <v>44841</v>
      </c>
      <c r="G42" s="61">
        <f>_xll.qlOvernightIndexedSwapFairRate(K42,AllTriggers)</f>
        <v>1.4280000000005734E-2</v>
      </c>
      <c r="H42" s="28" t="str">
        <f t="shared" si="3"/>
        <v>USD_CURVE_OIS_7Y</v>
      </c>
      <c r="I42" s="61" t="s">
        <v>275</v>
      </c>
      <c r="J42" s="51"/>
      <c r="K42" s="52" t="str">
        <f>_xll.qlMakeOIS(,SettlementDays,IF(B42="SW","1W",B42),OvernightIndex,,FwdStart,DayCountConv,,,Trigger)</f>
        <v>obj_0035d#0000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38</v>
      </c>
      <c r="D43" s="54">
        <f t="shared" si="2"/>
        <v>42282</v>
      </c>
      <c r="E43" s="54">
        <f>_xll.qlSwapStartDate(K43)</f>
        <v>42284</v>
      </c>
      <c r="F43" s="54">
        <f>_xll.qlSwapMaturityDate(K43)</f>
        <v>45209</v>
      </c>
      <c r="G43" s="61">
        <f>_xll.qlOvernightIndexedSwapFairRate(K43,AllTriggers)</f>
        <v>1.5530000000004391E-2</v>
      </c>
      <c r="H43" s="28" t="str">
        <f t="shared" si="3"/>
        <v>USD_CURVE_OIS_8Y</v>
      </c>
      <c r="I43" s="61" t="s">
        <v>276</v>
      </c>
      <c r="J43" s="51"/>
      <c r="K43" s="52" t="str">
        <f>_xll.qlMakeOIS(,SettlementDays,IF(B43="SW","1W",B43),OvernightIndex,,FwdStart,DayCountConv,,,Trigger)</f>
        <v>obj_0034d#0000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38</v>
      </c>
      <c r="D44" s="54">
        <f t="shared" si="2"/>
        <v>42282</v>
      </c>
      <c r="E44" s="54">
        <f>_xll.qlSwapStartDate(K44)</f>
        <v>42284</v>
      </c>
      <c r="F44" s="54">
        <f>_xll.qlSwapMaturityDate(K44)</f>
        <v>45572</v>
      </c>
      <c r="G44" s="61">
        <f>_xll.qlOvernightIndexedSwapFairRate(K44,AllTriggers)</f>
        <v>1.6620000000000003E-2</v>
      </c>
      <c r="H44" s="61" t="str">
        <f t="shared" si="3"/>
        <v>USD_CURVE_OIS_9Y</v>
      </c>
      <c r="I44" s="61" t="s">
        <v>277</v>
      </c>
      <c r="J44" s="51"/>
      <c r="K44" s="52" t="str">
        <f>_xll.qlMakeOIS(,SettlementDays,IF(B44="SW","1W",B44),OvernightIndex,,FwdStart,DayCountConv,,,Trigger)</f>
        <v>obj_0034b#0000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38</v>
      </c>
      <c r="D45" s="54">
        <f t="shared" si="2"/>
        <v>42282</v>
      </c>
      <c r="E45" s="54">
        <f>_xll.qlSwapStartDate(K45)</f>
        <v>42284</v>
      </c>
      <c r="F45" s="54">
        <f>_xll.qlSwapMaturityDate(K45)</f>
        <v>45937</v>
      </c>
      <c r="G45" s="61">
        <f>_xll.qlOvernightIndexedSwapFairRate(K45,AllTriggers)</f>
        <v>1.7509999999999977E-2</v>
      </c>
      <c r="H45" s="61" t="str">
        <f t="shared" si="3"/>
        <v>USD_CURVE_OIS_10Y</v>
      </c>
      <c r="I45" s="61" t="s">
        <v>278</v>
      </c>
      <c r="J45" s="51"/>
      <c r="K45" s="52" t="str">
        <f>_xll.qlMakeOIS(,SettlementDays,IF(B45="SW","1W",B45),OvernightIndex,,FwdStart,DayCountConv,,,Trigger)</f>
        <v>obj_00346#0000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38</v>
      </c>
      <c r="D46" s="54">
        <f t="shared" si="2"/>
        <v>42282</v>
      </c>
      <c r="E46" s="54">
        <f>_xll.qlSwapStartDate(K46)</f>
        <v>42284</v>
      </c>
      <c r="F46" s="54">
        <f>_xll.qlSwapMaturityDate(K46)</f>
        <v>46302</v>
      </c>
      <c r="G46" s="61">
        <f>_xll.qlOvernightIndexedSwapFairRate(K46,AllTriggers)</f>
        <v>1.8282674859055593E-2</v>
      </c>
      <c r="H46" s="28" t="str">
        <f t="shared" si="3"/>
        <v>USD_CURVE_OIS_11Y</v>
      </c>
      <c r="I46" s="61"/>
      <c r="J46" s="51"/>
      <c r="K46" s="52" t="str">
        <f>_xll.qlMakeOIS(,SettlementDays,IF(B46="SW","1W",B46),OvernightIndex,,FwdStart,DayCountConv,,,Trigger)</f>
        <v>obj_00344#0000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38</v>
      </c>
      <c r="D47" s="54">
        <f t="shared" si="2"/>
        <v>42282</v>
      </c>
      <c r="E47" s="54">
        <f>_xll.qlSwapStartDate(K47)</f>
        <v>42284</v>
      </c>
      <c r="F47" s="54">
        <f>_xll.qlSwapMaturityDate(K47)</f>
        <v>46667</v>
      </c>
      <c r="G47" s="61">
        <f>_xll.qlOvernightIndexedSwapFairRate(K47,AllTriggers)</f>
        <v>1.8950000000009029E-2</v>
      </c>
      <c r="H47" s="28" t="str">
        <f t="shared" si="3"/>
        <v>USD_CURVE_OIS_12Y</v>
      </c>
      <c r="I47" s="61" t="s">
        <v>279</v>
      </c>
      <c r="J47" s="51"/>
      <c r="K47" s="52" t="str">
        <f>_xll.qlMakeOIS(,SettlementDays,IF(B47="SW","1W",B47),OvernightIndex,,FwdStart,DayCountConv,,,Trigger)</f>
        <v>obj_00340#0000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38</v>
      </c>
      <c r="D48" s="54">
        <f t="shared" si="2"/>
        <v>42282</v>
      </c>
      <c r="E48" s="54">
        <f>_xll.qlSwapStartDate(K48)</f>
        <v>42284</v>
      </c>
      <c r="F48" s="54">
        <f>_xll.qlSwapMaturityDate(K48)</f>
        <v>47036</v>
      </c>
      <c r="G48" s="61">
        <f>_xll.qlOvernightIndexedSwapFairRate(K48,AllTriggers)</f>
        <v>1.9513031967403845E-2</v>
      </c>
      <c r="H48" s="28" t="str">
        <f t="shared" si="3"/>
        <v>USD_CURVE_OIS_13Y</v>
      </c>
      <c r="I48" s="61"/>
      <c r="J48" s="51"/>
      <c r="K48" s="52" t="str">
        <f>_xll.qlMakeOIS(,SettlementDays,IF(B48="SW","1W",B48),OvernightIndex,,FwdStart,DayCountConv,,,Trigger)</f>
        <v>obj_00343#0000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38</v>
      </c>
      <c r="D49" s="54">
        <f t="shared" si="2"/>
        <v>42282</v>
      </c>
      <c r="E49" s="54">
        <f>_xll.qlSwapStartDate(K49)</f>
        <v>42284</v>
      </c>
      <c r="F49" s="54">
        <f>_xll.qlSwapMaturityDate(K49)</f>
        <v>47400</v>
      </c>
      <c r="G49" s="61">
        <f>_xll.qlOvernightIndexedSwapFairRate(K49,AllTriggers)</f>
        <v>1.9980060523488129E-2</v>
      </c>
      <c r="H49" s="28" t="str">
        <f t="shared" si="3"/>
        <v>USD_CURVE_OIS_14Y</v>
      </c>
      <c r="I49" s="61"/>
      <c r="J49" s="51"/>
      <c r="K49" s="52" t="str">
        <f>_xll.qlMakeOIS(,SettlementDays,IF(B49="SW","1W",B49),OvernightIndex,,FwdStart,DayCountConv,,,Trigger)</f>
        <v>obj_00348#0000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38</v>
      </c>
      <c r="D50" s="54">
        <f t="shared" si="2"/>
        <v>42282</v>
      </c>
      <c r="E50" s="54">
        <f>_xll.qlSwapStartDate(K50)</f>
        <v>42284</v>
      </c>
      <c r="F50" s="54">
        <f>_xll.qlSwapMaturityDate(K50)</f>
        <v>47763</v>
      </c>
      <c r="G50" s="61">
        <f>_xll.qlOvernightIndexedSwapFairRate(K50,AllTriggers)</f>
        <v>2.0380000000012305E-2</v>
      </c>
      <c r="H50" s="28" t="str">
        <f t="shared" si="3"/>
        <v>USD_CURVE_OIS_15Y</v>
      </c>
      <c r="I50" s="61" t="s">
        <v>280</v>
      </c>
      <c r="J50" s="51"/>
      <c r="K50" s="52" t="str">
        <f>_xll.qlMakeOIS(,SettlementDays,IF(B50="SW","1W",B50),OvernightIndex,,FwdStart,DayCountConv,,,Trigger)</f>
        <v>obj_0033e#0000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38</v>
      </c>
      <c r="D51" s="54">
        <f t="shared" si="2"/>
        <v>42282</v>
      </c>
      <c r="E51" s="54">
        <f>_xll.qlSwapStartDate(K51)</f>
        <v>42284</v>
      </c>
      <c r="F51" s="54">
        <f>_xll.qlSwapMaturityDate(K51)</f>
        <v>48128</v>
      </c>
      <c r="G51" s="61">
        <f>_xll.qlOvernightIndexedSwapFairRate(K51,AllTriggers)</f>
        <v>2.0730767126038642E-2</v>
      </c>
      <c r="H51" s="28" t="str">
        <f t="shared" si="3"/>
        <v>USD_CURVE_OIS_16Y</v>
      </c>
      <c r="I51" s="61"/>
      <c r="J51" s="51"/>
      <c r="K51" s="52" t="str">
        <f>_xll.qlMakeOIS(,SettlementDays,IF(B51="SW","1W",B51),OvernightIndex,,FwdStart,DayCountConv,,,Trigger)</f>
        <v>obj_0033c#0000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38</v>
      </c>
      <c r="D52" s="54">
        <f t="shared" si="2"/>
        <v>42282</v>
      </c>
      <c r="E52" s="54">
        <f>_xll.qlSwapStartDate(K52)</f>
        <v>42284</v>
      </c>
      <c r="F52" s="54">
        <f>_xll.qlSwapMaturityDate(K52)</f>
        <v>48494</v>
      </c>
      <c r="G52" s="61">
        <f>_xll.qlOvernightIndexedSwapFairRate(K52,AllTriggers)</f>
        <v>2.1037714868235094E-2</v>
      </c>
      <c r="H52" s="28" t="str">
        <f t="shared" si="3"/>
        <v>USD_CURVE_OIS_17Y</v>
      </c>
      <c r="I52" s="61"/>
      <c r="J52" s="51"/>
      <c r="K52" s="52" t="str">
        <f>_xll.qlMakeOIS(,SettlementDays,IF(B52="SW","1W",B52),OvernightIndex,,FwdStart,DayCountConv,,,Trigger)</f>
        <v>obj_00358#0000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38</v>
      </c>
      <c r="D53" s="54">
        <f t="shared" si="2"/>
        <v>42282</v>
      </c>
      <c r="E53" s="54">
        <f>_xll.qlSwapStartDate(K53)</f>
        <v>42284</v>
      </c>
      <c r="F53" s="54">
        <f>_xll.qlSwapMaturityDate(K53)</f>
        <v>48859</v>
      </c>
      <c r="G53" s="61">
        <f>_xll.qlOvernightIndexedSwapFairRate(K53,AllTriggers)</f>
        <v>2.1303604044250607E-2</v>
      </c>
      <c r="H53" s="28" t="str">
        <f t="shared" si="3"/>
        <v>USD_CURVE_OIS_18Y</v>
      </c>
      <c r="I53" s="61"/>
      <c r="J53" s="51"/>
      <c r="K53" s="52" t="str">
        <f>_xll.qlMakeOIS(,SettlementDays,IF(B53="SW","1W",B53),OvernightIndex,,FwdStart,DayCountConv,,,Trigger)</f>
        <v>obj_00347#0000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38</v>
      </c>
      <c r="D54" s="54">
        <f t="shared" si="2"/>
        <v>42282</v>
      </c>
      <c r="E54" s="54">
        <f>_xll.qlSwapStartDate(K54)</f>
        <v>42284</v>
      </c>
      <c r="F54" s="54">
        <f>_xll.qlSwapMaturityDate(K54)</f>
        <v>49227</v>
      </c>
      <c r="G54" s="61">
        <f>_xll.qlOvernightIndexedSwapFairRate(K54,AllTriggers)</f>
        <v>2.1534858030025091E-2</v>
      </c>
      <c r="H54" s="28" t="str">
        <f t="shared" si="3"/>
        <v>USD_CURVE_OIS_19Y</v>
      </c>
      <c r="I54" s="61"/>
      <c r="J54" s="51"/>
      <c r="K54" s="52" t="str">
        <f>_xll.qlMakeOIS(,SettlementDays,IF(B54="SW","1W",B54),OvernightIndex,,FwdStart,DayCountConv,,,Trigger)</f>
        <v>obj_00345#0000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38</v>
      </c>
      <c r="D55" s="54">
        <f t="shared" si="2"/>
        <v>42282</v>
      </c>
      <c r="E55" s="54">
        <f>_xll.qlSwapStartDate(K55)</f>
        <v>42284</v>
      </c>
      <c r="F55" s="54">
        <f>_xll.qlSwapMaturityDate(K55)</f>
        <v>49591</v>
      </c>
      <c r="G55" s="61">
        <f>_xll.qlOvernightIndexedSwapFairRate(K55,AllTriggers)</f>
        <v>2.1729999999986881E-2</v>
      </c>
      <c r="H55" s="28" t="str">
        <f t="shared" si="3"/>
        <v>USD_CURVE_OIS_20Y</v>
      </c>
      <c r="I55" s="61" t="s">
        <v>281</v>
      </c>
      <c r="J55" s="51"/>
      <c r="K55" s="52" t="str">
        <f>_xll.qlMakeOIS(,SettlementDays,IF(B55="SW","1W",B55),OvernightIndex,,FwdStart,DayCountConv,,,Trigger)</f>
        <v>obj_00354#0000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38</v>
      </c>
      <c r="D56" s="54">
        <f t="shared" si="2"/>
        <v>42282</v>
      </c>
      <c r="E56" s="54">
        <f>_xll.qlSwapStartDate(K56)</f>
        <v>42284</v>
      </c>
      <c r="F56" s="54">
        <f>_xll.qlSwapMaturityDate(K56)</f>
        <v>49955</v>
      </c>
      <c r="G56" s="61">
        <f>_xll.qlOvernightIndexedSwapFairRate(K56,AllTriggers)</f>
        <v>2.1895301045527327E-2</v>
      </c>
      <c r="H56" s="28" t="str">
        <f t="shared" si="3"/>
        <v>USD_CURVE_OIS_21Y</v>
      </c>
      <c r="I56" s="61"/>
      <c r="J56" s="51"/>
      <c r="K56" s="52" t="str">
        <f>_xll.qlMakeOIS(,SettlementDays,IF(B56="SW","1W",B56),OvernightIndex,,FwdStart,DayCountConv,,,Trigger)</f>
        <v>obj_0033d#0000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38</v>
      </c>
      <c r="D57" s="54">
        <f t="shared" si="2"/>
        <v>42282</v>
      </c>
      <c r="E57" s="54">
        <f>_xll.qlSwapStartDate(K57)</f>
        <v>42284</v>
      </c>
      <c r="F57" s="54">
        <f>_xll.qlSwapMaturityDate(K57)</f>
        <v>50320</v>
      </c>
      <c r="G57" s="61">
        <f>_xll.qlOvernightIndexedSwapFairRate(K57,AllTriggers)</f>
        <v>2.203758414563501E-2</v>
      </c>
      <c r="H57" s="28" t="str">
        <f t="shared" si="3"/>
        <v>USD_CURVE_OIS_22Y</v>
      </c>
      <c r="I57" s="61"/>
      <c r="J57" s="51"/>
      <c r="K57" s="52" t="str">
        <f>_xll.qlMakeOIS(,SettlementDays,IF(B57="SW","1W",B57),OvernightIndex,,FwdStart,DayCountConv,,,Trigger)</f>
        <v>obj_00352#0000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38</v>
      </c>
      <c r="D58" s="54">
        <f t="shared" si="2"/>
        <v>42282</v>
      </c>
      <c r="E58" s="54">
        <f>_xll.qlSwapStartDate(K58)</f>
        <v>42284</v>
      </c>
      <c r="F58" s="54">
        <f>_xll.qlSwapMaturityDate(K58)</f>
        <v>50685</v>
      </c>
      <c r="G58" s="61">
        <f>_xll.qlOvernightIndexedSwapFairRate(K58,AllTriggers)</f>
        <v>2.2162455924704855E-2</v>
      </c>
      <c r="H58" s="28" t="str">
        <f t="shared" si="3"/>
        <v>USD_CURVE_OIS_23Y</v>
      </c>
      <c r="I58" s="61"/>
      <c r="J58" s="51"/>
      <c r="K58" s="52" t="str">
        <f>_xll.qlMakeOIS(,SettlementDays,IF(B58="SW","1W",B58),OvernightIndex,,FwdStart,DayCountConv,,,Trigger)</f>
        <v>obj_00361#0000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38</v>
      </c>
      <c r="D59" s="54">
        <f t="shared" si="2"/>
        <v>42282</v>
      </c>
      <c r="E59" s="54">
        <f>_xll.qlSwapStartDate(K59)</f>
        <v>42284</v>
      </c>
      <c r="F59" s="54">
        <f>_xll.qlSwapMaturityDate(K59)</f>
        <v>51050</v>
      </c>
      <c r="G59" s="61">
        <f>_xll.qlOvernightIndexedSwapFairRate(K59,AllTriggers)</f>
        <v>2.2274922807837959E-2</v>
      </c>
      <c r="H59" s="28" t="str">
        <f t="shared" si="3"/>
        <v>USD_CURVE_OIS_24Y</v>
      </c>
      <c r="I59" s="61"/>
      <c r="J59" s="51"/>
      <c r="K59" s="52" t="str">
        <f>_xll.qlMakeOIS(,SettlementDays,IF(B59="SW","1W",B59),OvernightIndex,,FwdStart,DayCountConv,,,Trigger)</f>
        <v>obj_00367#0000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38</v>
      </c>
      <c r="D60" s="54">
        <f t="shared" si="2"/>
        <v>42282</v>
      </c>
      <c r="E60" s="54">
        <f>_xll.qlSwapStartDate(K60)</f>
        <v>42284</v>
      </c>
      <c r="F60" s="54">
        <f>_xll.qlSwapMaturityDate(K60)</f>
        <v>51418</v>
      </c>
      <c r="G60" s="61">
        <f>_xll.qlOvernightIndexedSwapFairRate(K60,AllTriggers)</f>
        <v>2.2380000000008404E-2</v>
      </c>
      <c r="H60" s="28" t="str">
        <f t="shared" si="3"/>
        <v>USD_CURVE_OIS_25Y</v>
      </c>
      <c r="I60" s="61" t="s">
        <v>282</v>
      </c>
      <c r="J60" s="51"/>
      <c r="K60" s="52" t="str">
        <f>_xll.qlMakeOIS(,SettlementDays,IF(B60="SW","1W",B60),OvernightIndex,,FwdStart,DayCountConv,,,Trigger)</f>
        <v>obj_00349#0000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38</v>
      </c>
      <c r="D61" s="54">
        <f t="shared" si="2"/>
        <v>42282</v>
      </c>
      <c r="E61" s="54">
        <f>_xll.qlSwapStartDate(K61)</f>
        <v>42284</v>
      </c>
      <c r="F61" s="54">
        <f>_xll.qlSwapMaturityDate(K61)</f>
        <v>51781</v>
      </c>
      <c r="G61" s="61">
        <f>_xll.qlOvernightIndexedSwapFairRate(K61,AllTriggers)</f>
        <v>2.2477752591884691E-2</v>
      </c>
      <c r="H61" s="28" t="str">
        <f t="shared" si="3"/>
        <v>USD_CURVE_OIS_26Y</v>
      </c>
      <c r="I61" s="61"/>
      <c r="J61" s="51"/>
      <c r="K61" s="52" t="str">
        <f>_xll.qlMakeOIS(,SettlementDays,IF(B61="SW","1W",B61),OvernightIndex,,FwdStart,DayCountConv,,,Trigger)</f>
        <v>obj_00360#0000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38</v>
      </c>
      <c r="D62" s="54">
        <f t="shared" si="2"/>
        <v>42282</v>
      </c>
      <c r="E62" s="54">
        <f>_xll.qlSwapStartDate(K62)</f>
        <v>42284</v>
      </c>
      <c r="F62" s="54">
        <f>_xll.qlSwapMaturityDate(K62)</f>
        <v>52146</v>
      </c>
      <c r="G62" s="61">
        <f>_xll.qlOvernightIndexedSwapFairRate(K62,AllTriggers)</f>
        <v>2.2568806894739921E-2</v>
      </c>
      <c r="H62" s="28" t="str">
        <f t="shared" ref="H62:H68" si="4">Currency&amp;"_CURVE_OIS"&amp;"_"&amp;B62</f>
        <v>USD_CURVE_OIS_27Y</v>
      </c>
      <c r="I62" s="61" t="s">
        <v>283</v>
      </c>
      <c r="J62" s="51"/>
      <c r="K62" s="52" t="str">
        <f>_xll.qlMakeOIS(,SettlementDays,IF(B62="SW","1W",B62),OvernightIndex,,FwdStart,DayCountConv,,,Trigger)</f>
        <v>obj_00341#0000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38</v>
      </c>
      <c r="D63" s="54">
        <f t="shared" si="2"/>
        <v>42282</v>
      </c>
      <c r="E63" s="54">
        <f>_xll.qlSwapStartDate(K63)</f>
        <v>42284</v>
      </c>
      <c r="F63" s="54">
        <f>_xll.qlSwapMaturityDate(K63)</f>
        <v>52511</v>
      </c>
      <c r="G63" s="61">
        <f>_xll.qlOvernightIndexedSwapFairRate(K63,AllTriggers)</f>
        <v>2.2650499023037226E-2</v>
      </c>
      <c r="H63" s="28" t="str">
        <f t="shared" si="4"/>
        <v>USD_CURVE_OIS_28Y</v>
      </c>
      <c r="I63" s="61"/>
      <c r="J63" s="51"/>
      <c r="K63" s="52" t="str">
        <f>_xll.qlMakeOIS(,SettlementDays,IF(B63="SW","1W",B63),OvernightIndex,,FwdStart,DayCountConv,,,Trigger)</f>
        <v>obj_0035e#0000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38</v>
      </c>
      <c r="D64" s="54">
        <f t="shared" si="2"/>
        <v>42282</v>
      </c>
      <c r="E64" s="54">
        <f>_xll.qlSwapStartDate(K64)</f>
        <v>42284</v>
      </c>
      <c r="F64" s="54">
        <f>_xll.qlSwapMaturityDate(K64)</f>
        <v>52877</v>
      </c>
      <c r="G64" s="61">
        <f>_xll.qlOvernightIndexedSwapFairRate(K64,AllTriggers)</f>
        <v>2.2721338975619017E-2</v>
      </c>
      <c r="H64" s="28" t="str">
        <f t="shared" si="4"/>
        <v>USD_CURVE_OIS_29Y</v>
      </c>
      <c r="I64" s="61"/>
      <c r="J64" s="51"/>
      <c r="K64" s="52" t="str">
        <f>_xll.qlMakeOIS(,SettlementDays,IF(B64="SW","1W",B64),OvernightIndex,,FwdStart,DayCountConv,,,Trigger)</f>
        <v>obj_00342#0000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38</v>
      </c>
      <c r="D65" s="54">
        <f t="shared" si="2"/>
        <v>42282</v>
      </c>
      <c r="E65" s="54">
        <f>_xll.qlSwapStartDate(K65)</f>
        <v>42284</v>
      </c>
      <c r="F65" s="54">
        <f>_xll.qlSwapMaturityDate(K65)</f>
        <v>53245</v>
      </c>
      <c r="G65" s="61">
        <f>_xll.qlOvernightIndexedSwapFairRate(K65,AllTriggers)</f>
        <v>2.2779999999994187E-2</v>
      </c>
      <c r="H65" s="28" t="str">
        <f t="shared" si="4"/>
        <v>USD_CURVE_OIS_30Y</v>
      </c>
      <c r="I65" s="61" t="s">
        <v>284</v>
      </c>
      <c r="J65" s="51"/>
      <c r="K65" s="52" t="str">
        <f>_xll.qlMakeOIS(,SettlementDays,IF(B65="SW","1W",B65),OvernightIndex,,FwdStart,DayCountConv,,,Trigger)</f>
        <v>obj_0033b#0000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38</v>
      </c>
      <c r="D66" s="54">
        <f t="shared" si="2"/>
        <v>42282</v>
      </c>
      <c r="E66" s="54">
        <f>_xll.qlSwapStartDate(K66)</f>
        <v>42284</v>
      </c>
      <c r="F66" s="54">
        <f>_xll.qlSwapMaturityDate(K66)</f>
        <v>56894</v>
      </c>
      <c r="G66" s="61">
        <f>_xll.qlOvernightIndexedSwapFairRate(K66,AllTriggers)</f>
        <v>2.2880000000032059E-2</v>
      </c>
      <c r="H66" s="61" t="str">
        <f t="shared" si="4"/>
        <v>USD_CURVE_OIS_40Y</v>
      </c>
      <c r="I66" s="61" t="s">
        <v>285</v>
      </c>
      <c r="J66" s="51"/>
      <c r="K66" s="52" t="str">
        <f>_xll.qlMakeOIS(,SettlementDays,IF(B66="SW","1W",B66),OvernightIndex,,FwdStart,DayCountConv,,,Trigger)</f>
        <v>obj_00356#0000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38</v>
      </c>
      <c r="D67" s="54">
        <f t="shared" si="2"/>
        <v>42282</v>
      </c>
      <c r="E67" s="54">
        <f>_xll.qlSwapStartDate(K67)</f>
        <v>42284</v>
      </c>
      <c r="F67" s="54">
        <f>_xll.qlSwapMaturityDate(K67)</f>
        <v>60547</v>
      </c>
      <c r="G67" s="61">
        <f>_xll.qlOvernightIndexedSwapFairRate(K67,AllTriggers)</f>
        <v>2.272000000000882E-2</v>
      </c>
      <c r="H67" s="28" t="str">
        <f t="shared" si="4"/>
        <v>USD_CURVE_OIS_50Y</v>
      </c>
      <c r="I67" s="61" t="s">
        <v>286</v>
      </c>
      <c r="J67" s="51"/>
      <c r="K67" s="52" t="str">
        <f>_xll.qlMakeOIS(,SettlementDays,IF(B67="SW","1W",B67),OvernightIndex,,FwdStart,DayCountConv,,,Trigger)</f>
        <v>obj_00365#0000</v>
      </c>
      <c r="L67" s="4"/>
      <c r="M67" s="4"/>
    </row>
    <row r="68" spans="2:16" s="2" customFormat="1" x14ac:dyDescent="0.2">
      <c r="B68" s="47" t="s">
        <v>92</v>
      </c>
      <c r="C68" s="55" t="s">
        <v>38</v>
      </c>
      <c r="D68" s="56">
        <f t="shared" si="2"/>
        <v>42282</v>
      </c>
      <c r="E68" s="56">
        <f>_xll.qlSwapStartDate(K68)</f>
        <v>42284</v>
      </c>
      <c r="F68" s="56">
        <f>_xll.qlSwapMaturityDate(K68)</f>
        <v>64199</v>
      </c>
      <c r="G68" s="57">
        <f>_xll.qlOvernightIndexedSwapFairRate(K68,AllTriggers)</f>
        <v>2.259103289754898E-2</v>
      </c>
      <c r="H68" s="57" t="str">
        <f t="shared" si="4"/>
        <v>USD_CURVE_OIS_60Y</v>
      </c>
      <c r="I68" s="57"/>
      <c r="J68" s="51"/>
      <c r="K68" s="58" t="str">
        <f>_xll.qlMakeOIS(,SettlementDays,IF(B68="SW","1W",B68),OvernightIndex,,FwdStart,DayCountConv,,,Trigger)</f>
        <v>obj_00336#0000</v>
      </c>
      <c r="L68" s="4"/>
      <c r="M68" s="4"/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37"/>
    </row>
    <row r="3" spans="1:32" x14ac:dyDescent="0.2">
      <c r="C3" s="35" t="s">
        <v>31</v>
      </c>
      <c r="D3" s="16" t="str">
        <f>_xll.qlLibor(,Currency,D1,D2,,Trigger)</f>
        <v>obj_00362#0000</v>
      </c>
      <c r="E3" s="37"/>
      <c r="F3" s="37"/>
      <c r="G3" s="29"/>
      <c r="H3" s="37"/>
      <c r="I3" s="37"/>
      <c r="K3" s="37"/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37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64" t="s">
        <v>36</v>
      </c>
      <c r="M32" s="64" t="s">
        <v>32</v>
      </c>
      <c r="N32" s="64" t="s">
        <v>54</v>
      </c>
      <c r="O32" s="64" t="s">
        <v>33</v>
      </c>
    </row>
    <row r="33" spans="2:16" s="2" customFormat="1" x14ac:dyDescent="0.2">
      <c r="B33" s="46" t="s">
        <v>22</v>
      </c>
      <c r="C33" s="53" t="s">
        <v>95</v>
      </c>
      <c r="D33" s="54">
        <f>_xll.qlInterestRateIndexFixingDate(IborIndex,EffectiveDate,Trigger)</f>
        <v>42282</v>
      </c>
      <c r="E33" s="54">
        <f>_xll.qlInterestRateIndexValueDate(K33,D33)</f>
        <v>42284</v>
      </c>
      <c r="F33" s="54">
        <f>_xll.qlInterestRateIndexMaturity(K33,E33)</f>
        <v>42650</v>
      </c>
      <c r="G33" s="61">
        <f>_xll.qlIndexFixing(K33,D33,TRUE,AllTriggers)</f>
        <v>4.5593771550891072E-3</v>
      </c>
      <c r="H33" s="61" t="str">
        <f>"USD_CURVE_STD_"&amp;B33</f>
        <v>USD_CURVE_STD_1Y</v>
      </c>
      <c r="I33" s="61" t="s">
        <v>153</v>
      </c>
      <c r="J33" s="51"/>
      <c r="K33" s="52" t="str">
        <f>_xll.qlSwapIndex(,"No Fix",B33,SettlementDays,Currency,Calendar,FixedLegTenor,FixedLegBDC,FixedLegDayCounter,IborIndex,YieldCurve,,Trigger)</f>
        <v>obj_0039c#0000</v>
      </c>
      <c r="L33" s="4"/>
      <c r="M33" s="65" t="s">
        <v>22</v>
      </c>
      <c r="N33" s="65" t="s">
        <v>39</v>
      </c>
      <c r="O33" s="65" t="s">
        <v>96</v>
      </c>
      <c r="P33" s="70"/>
    </row>
    <row r="34" spans="2:16" s="2" customFormat="1" x14ac:dyDescent="0.2">
      <c r="B34" s="46"/>
      <c r="C34" s="53"/>
      <c r="D34" s="54"/>
      <c r="E34" s="54"/>
      <c r="F34" s="54"/>
      <c r="G34" s="61"/>
      <c r="H34" s="61"/>
      <c r="I34" s="61"/>
      <c r="J34" s="51"/>
      <c r="K34" s="52"/>
      <c r="L34" s="4"/>
      <c r="M34" s="70"/>
      <c r="N34" s="71"/>
      <c r="O34" s="71"/>
      <c r="P34" s="70"/>
    </row>
    <row r="35" spans="2:16" s="2" customFormat="1" x14ac:dyDescent="0.2">
      <c r="B35" s="46"/>
      <c r="C35" s="53"/>
      <c r="D35" s="54"/>
      <c r="E35" s="54"/>
      <c r="F35" s="54"/>
      <c r="G35" s="61"/>
      <c r="H35" s="61"/>
      <c r="I35" s="61"/>
      <c r="J35" s="51"/>
      <c r="K35" s="52"/>
      <c r="L35" s="4"/>
      <c r="M35" s="66"/>
      <c r="N35" s="67"/>
      <c r="O35" s="67"/>
      <c r="P35" s="66"/>
    </row>
    <row r="36" spans="2:16" s="2" customFormat="1" x14ac:dyDescent="0.2">
      <c r="B36" s="46"/>
      <c r="C36" s="53"/>
      <c r="D36" s="54"/>
      <c r="E36" s="54"/>
      <c r="F36" s="54"/>
      <c r="G36" s="61"/>
      <c r="H36" s="61"/>
      <c r="I36" s="61"/>
      <c r="J36" s="51"/>
      <c r="K36" s="52"/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95</v>
      </c>
      <c r="D37" s="54">
        <f>_xll.qlInterestRateIndexFixingDate(IborIndex,EffectiveDate,Trigger)</f>
        <v>42282</v>
      </c>
      <c r="E37" s="54">
        <f>_xll.qlInterestRateIndexValueDate(K37,D37)</f>
        <v>42284</v>
      </c>
      <c r="F37" s="54">
        <f>_xll.qlInterestRateIndexMaturity(K37,E37)</f>
        <v>43017</v>
      </c>
      <c r="G37" s="61">
        <f>_xll.qlIndexFixing(K37,D37,TRUE,AllTriggers)</f>
        <v>6.9933561277667955E-3</v>
      </c>
      <c r="H37" s="61" t="str">
        <f t="shared" ref="H37:H68" si="0">"USD_CURVE_STD_"&amp;B37</f>
        <v>USD_CURVE_STD_2Y</v>
      </c>
      <c r="I37" s="61" t="s">
        <v>154</v>
      </c>
      <c r="J37" s="51"/>
      <c r="K37" s="52" t="str">
        <f>_xll.qlSwapIndex(,"No Fix",B37,SettlementDays,Currency,Calendar,FixedLegTenor,FixedLegBDC,FixedLegDayCounter,IborIndex,YieldCurve,,Trigger)</f>
        <v>obj_00394#0000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95</v>
      </c>
      <c r="D38" s="54">
        <f>_xll.qlInterestRateIndexFixingDate(IborIndex,EffectiveDate,Trigger)</f>
        <v>42282</v>
      </c>
      <c r="E38" s="54">
        <f>_xll.qlInterestRateIndexValueDate(K38,D38)</f>
        <v>42284</v>
      </c>
      <c r="F38" s="54">
        <f>_xll.qlInterestRateIndexMaturity(K38,E38)</f>
        <v>43381</v>
      </c>
      <c r="G38" s="61">
        <f>_xll.qlIndexFixing(K38,D38,TRUE,AllTriggers)</f>
        <v>9.3335384227456412E-3</v>
      </c>
      <c r="H38" s="61" t="str">
        <f t="shared" si="0"/>
        <v>USD_CURVE_STD_3Y</v>
      </c>
      <c r="I38" s="61" t="s">
        <v>155</v>
      </c>
      <c r="J38" s="51"/>
      <c r="K38" s="52" t="str">
        <f>_xll.qlSwapIndex(,"No Fix",B38,SettlementDays,Currency,Calendar,FixedLegTenor,FixedLegBDC,FixedLegDayCounter,IborIndex,YieldCurve,,Trigger)</f>
        <v>obj_003d0#0000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95</v>
      </c>
      <c r="D39" s="54">
        <f>_xll.qlInterestRateIndexFixingDate(IborIndex,EffectiveDate,Trigger)</f>
        <v>42282</v>
      </c>
      <c r="E39" s="54">
        <f>_xll.qlInterestRateIndexValueDate(K39,D39)</f>
        <v>42284</v>
      </c>
      <c r="F39" s="54">
        <f>_xll.qlInterestRateIndexMaturity(K39,E39)</f>
        <v>43745</v>
      </c>
      <c r="G39" s="61">
        <f>_xll.qlIndexFixing(K39,D39,TRUE,AllTriggers)</f>
        <v>1.1450026400514289E-2</v>
      </c>
      <c r="H39" s="61" t="str">
        <f t="shared" si="0"/>
        <v>USD_CURVE_STD_4Y</v>
      </c>
      <c r="I39" s="61" t="s">
        <v>156</v>
      </c>
      <c r="J39" s="51"/>
      <c r="K39" s="52" t="str">
        <f>_xll.qlSwapIndex(,"No Fix",B39,SettlementDays,Currency,Calendar,FixedLegTenor,FixedLegBDC,FixedLegDayCounter,IborIndex,YieldCurve,,Trigger)</f>
        <v>obj_003b5#0000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95</v>
      </c>
      <c r="D40" s="54">
        <f>_xll.qlInterestRateIndexFixingDate(IborIndex,EffectiveDate,Trigger)</f>
        <v>42282</v>
      </c>
      <c r="E40" s="54">
        <f>_xll.qlInterestRateIndexValueDate(K40,D40)</f>
        <v>42284</v>
      </c>
      <c r="F40" s="54">
        <f>_xll.qlInterestRateIndexMaturity(K40,E40)</f>
        <v>44111</v>
      </c>
      <c r="G40" s="61">
        <f>_xll.qlIndexFixing(K40,D40,TRUE,AllTriggers)</f>
        <v>1.3370024869751237E-2</v>
      </c>
      <c r="H40" s="61" t="str">
        <f t="shared" si="0"/>
        <v>USD_CURVE_STD_5Y</v>
      </c>
      <c r="I40" s="61" t="s">
        <v>157</v>
      </c>
      <c r="J40" s="51"/>
      <c r="K40" s="52" t="str">
        <f>_xll.qlSwapIndex(,"No Fix",B40,SettlementDays,Currency,Calendar,FixedLegTenor,FixedLegBDC,FixedLegDayCounter,IborIndex,YieldCurve,,Trigger)</f>
        <v>obj_003aa#0000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95</v>
      </c>
      <c r="D41" s="54">
        <f>_xll.qlInterestRateIndexFixingDate(IborIndex,EffectiveDate,Trigger)</f>
        <v>42282</v>
      </c>
      <c r="E41" s="54">
        <f>_xll.qlInterestRateIndexValueDate(K41,D41)</f>
        <v>42284</v>
      </c>
      <c r="F41" s="54">
        <f>_xll.qlInterestRateIndexMaturity(K41,E41)</f>
        <v>44476</v>
      </c>
      <c r="G41" s="61">
        <f>_xll.qlIndexFixing(K41,D41,TRUE,AllTriggers)</f>
        <v>1.5080023609133153E-2</v>
      </c>
      <c r="H41" s="61" t="str">
        <f t="shared" si="0"/>
        <v>USD_CURVE_STD_6Y</v>
      </c>
      <c r="I41" s="61" t="s">
        <v>158</v>
      </c>
      <c r="J41" s="51"/>
      <c r="K41" s="52" t="str">
        <f>_xll.qlSwapIndex(,"No Fix",B41,SettlementDays,Currency,Calendar,FixedLegTenor,FixedLegBDC,FixedLegDayCounter,IborIndex,YieldCurve,,Trigger)</f>
        <v>obj_00398#0000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95</v>
      </c>
      <c r="D42" s="54">
        <f>_xll.qlInterestRateIndexFixingDate(IborIndex,EffectiveDate,Trigger)</f>
        <v>42282</v>
      </c>
      <c r="E42" s="54">
        <f>_xll.qlInterestRateIndexValueDate(K42,D42)</f>
        <v>42284</v>
      </c>
      <c r="F42" s="54">
        <f>_xll.qlInterestRateIndexMaturity(K42,E42)</f>
        <v>44841</v>
      </c>
      <c r="G42" s="61">
        <f>_xll.qlIndexFixing(K42,D42,TRUE,AllTriggers)</f>
        <v>1.6550022447814106E-2</v>
      </c>
      <c r="H42" s="61" t="str">
        <f t="shared" si="0"/>
        <v>USD_CURVE_STD_7Y</v>
      </c>
      <c r="I42" s="61" t="s">
        <v>159</v>
      </c>
      <c r="J42" s="51"/>
      <c r="K42" s="52" t="str">
        <f>_xll.qlSwapIndex(,"No Fix",B42,SettlementDays,Currency,Calendar,FixedLegTenor,FixedLegBDC,FixedLegDayCounter,IborIndex,YieldCurve,,Trigger)</f>
        <v>obj_003bd#0000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95</v>
      </c>
      <c r="D43" s="54">
        <f>_xll.qlInterestRateIndexFixingDate(IborIndex,EffectiveDate,Trigger)</f>
        <v>42282</v>
      </c>
      <c r="E43" s="54">
        <f>_xll.qlInterestRateIndexValueDate(K43,D43)</f>
        <v>42284</v>
      </c>
      <c r="F43" s="54">
        <f>_xll.qlInterestRateIndexMaturity(K43,E43)</f>
        <v>45208</v>
      </c>
      <c r="G43" s="61">
        <f>_xll.qlIndexFixing(K43,D43,TRUE,AllTriggers)</f>
        <v>1.7806538736554099E-2</v>
      </c>
      <c r="H43" s="61" t="str">
        <f t="shared" si="0"/>
        <v>USD_CURVE_STD_8Y</v>
      </c>
      <c r="I43" s="61" t="s">
        <v>160</v>
      </c>
      <c r="J43" s="51"/>
      <c r="K43" s="52" t="str">
        <f>_xll.qlSwapIndex(,"No Fix",B43,SettlementDays,Currency,Calendar,FixedLegTenor,FixedLegBDC,FixedLegDayCounter,IborIndex,YieldCurve,,Trigger)</f>
        <v>obj_003a9#0000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95</v>
      </c>
      <c r="D44" s="54">
        <f>_xll.qlInterestRateIndexFixingDate(IborIndex,EffectiveDate,Trigger)</f>
        <v>42282</v>
      </c>
      <c r="E44" s="54">
        <f>_xll.qlInterestRateIndexValueDate(K44,D44)</f>
        <v>42284</v>
      </c>
      <c r="F44" s="54">
        <f>_xll.qlInterestRateIndexMaturity(K44,E44)</f>
        <v>45572</v>
      </c>
      <c r="G44" s="61">
        <f>_xll.qlIndexFixing(K44,D44,TRUE,AllTriggers)</f>
        <v>1.8830012639535681E-2</v>
      </c>
      <c r="H44" s="61" t="str">
        <f t="shared" si="0"/>
        <v>USD_CURVE_STD_9Y</v>
      </c>
      <c r="I44" s="61" t="s">
        <v>161</v>
      </c>
      <c r="J44" s="51"/>
      <c r="K44" s="52" t="str">
        <f>_xll.qlSwapIndex(,"No Fix",B44,SettlementDays,Currency,Calendar,FixedLegTenor,FixedLegBDC,FixedLegDayCounter,IborIndex,YieldCurve,,Trigger)</f>
        <v>obj_003d2#0000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95</v>
      </c>
      <c r="D45" s="54">
        <f>_xll.qlInterestRateIndexFixingDate(IborIndex,EffectiveDate,Trigger)</f>
        <v>42282</v>
      </c>
      <c r="E45" s="54">
        <f>_xll.qlInterestRateIndexValueDate(K45,D45)</f>
        <v>42284</v>
      </c>
      <c r="F45" s="54">
        <f>_xll.qlInterestRateIndexMaturity(K45,E45)</f>
        <v>45937</v>
      </c>
      <c r="G45" s="61">
        <f>_xll.qlIndexFixing(K45,D45,TRUE,AllTriggers)</f>
        <v>1.9720012058378904E-2</v>
      </c>
      <c r="H45" s="61" t="str">
        <f t="shared" si="0"/>
        <v>USD_CURVE_STD_10Y</v>
      </c>
      <c r="I45" s="61" t="s">
        <v>162</v>
      </c>
      <c r="J45" s="51"/>
      <c r="K45" s="52" t="str">
        <f>_xll.qlSwapIndex(,"No Fix",B45,SettlementDays,Currency,Calendar,FixedLegTenor,FixedLegBDC,FixedLegDayCounter,IborIndex,YieldCurve,,Trigger)</f>
        <v>obj_003c8#0000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95</v>
      </c>
      <c r="D46" s="54">
        <f>_xll.qlInterestRateIndexFixingDate(IborIndex,EffectiveDate,Trigger)</f>
        <v>42282</v>
      </c>
      <c r="E46" s="54">
        <f>_xll.qlInterestRateIndexValueDate(K46,D46)</f>
        <v>42284</v>
      </c>
      <c r="F46" s="54">
        <f>_xll.qlInterestRateIndexMaturity(K46,E46)</f>
        <v>46302</v>
      </c>
      <c r="G46" s="61">
        <f>_xll.qlIndexFixing(K46,D46,TRUE,AllTriggers)</f>
        <v>2.0440311242524607E-2</v>
      </c>
      <c r="H46" s="61" t="str">
        <f t="shared" si="0"/>
        <v>USD_CURVE_STD_11Y</v>
      </c>
      <c r="I46" s="61" t="s">
        <v>163</v>
      </c>
      <c r="J46" s="51"/>
      <c r="K46" s="52" t="str">
        <f>_xll.qlSwapIndex(,"No Fix",B46,SettlementDays,Currency,Calendar,FixedLegTenor,FixedLegBDC,FixedLegDayCounter,IborIndex,YieldCurve,,Trigger)</f>
        <v>obj_0039e#0000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95</v>
      </c>
      <c r="D47" s="54">
        <f>_xll.qlInterestRateIndexFixingDate(IborIndex,EffectiveDate,Trigger)</f>
        <v>42282</v>
      </c>
      <c r="E47" s="54">
        <f>_xll.qlInterestRateIndexValueDate(K47,D47)</f>
        <v>42284</v>
      </c>
      <c r="F47" s="54">
        <f>_xll.qlInterestRateIndexMaturity(K47,E47)</f>
        <v>46667</v>
      </c>
      <c r="G47" s="61">
        <f>_xll.qlIndexFixing(K47,D47,TRUE,AllTriggers)</f>
        <v>2.1150011049477998E-2</v>
      </c>
      <c r="H47" s="61" t="str">
        <f t="shared" si="0"/>
        <v>USD_CURVE_STD_12Y</v>
      </c>
      <c r="I47" s="61" t="s">
        <v>164</v>
      </c>
      <c r="J47" s="51"/>
      <c r="K47" s="52" t="str">
        <f>_xll.qlSwapIndex(,"No Fix",B47,SettlementDays,Currency,Calendar,FixedLegTenor,FixedLegBDC,FixedLegDayCounter,IborIndex,YieldCurve,,Trigger)</f>
        <v>obj_003c2#0000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95</v>
      </c>
      <c r="D48" s="54">
        <f>_xll.qlInterestRateIndexFixingDate(IborIndex,EffectiveDate,Trigger)</f>
        <v>42282</v>
      </c>
      <c r="E48" s="54">
        <f>_xll.qlInterestRateIndexValueDate(K48,D48)</f>
        <v>42284</v>
      </c>
      <c r="F48" s="54">
        <f>_xll.qlInterestRateIndexMaturity(K48,E48)</f>
        <v>47035</v>
      </c>
      <c r="G48" s="61">
        <f>_xll.qlIndexFixing(K48,D48,TRUE,AllTriggers)</f>
        <v>2.1638169236273243E-2</v>
      </c>
      <c r="H48" s="61" t="str">
        <f t="shared" si="0"/>
        <v>USD_CURVE_STD_13Y</v>
      </c>
      <c r="I48" s="61" t="s">
        <v>165</v>
      </c>
      <c r="J48" s="51"/>
      <c r="K48" s="52" t="str">
        <f>_xll.qlSwapIndex(,"No Fix",B48,SettlementDays,Currency,Calendar,FixedLegTenor,FixedLegBDC,FixedLegDayCounter,IborIndex,YieldCurve,,Trigger)</f>
        <v>obj_00393#0000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95</v>
      </c>
      <c r="D49" s="54">
        <f>_xll.qlInterestRateIndexFixingDate(IborIndex,EffectiveDate,Trigger)</f>
        <v>42282</v>
      </c>
      <c r="E49" s="54">
        <f>_xll.qlInterestRateIndexValueDate(K49,D49)</f>
        <v>42284</v>
      </c>
      <c r="F49" s="54">
        <f>_xll.qlInterestRateIndexMaturity(K49,E49)</f>
        <v>47399</v>
      </c>
      <c r="G49" s="61">
        <f>_xll.qlIndexFixing(K49,D49,TRUE,AllTriggers)</f>
        <v>2.2112921076302361E-2</v>
      </c>
      <c r="H49" s="61" t="str">
        <f t="shared" si="0"/>
        <v>USD_CURVE_STD_14Y</v>
      </c>
      <c r="I49" s="61" t="s">
        <v>166</v>
      </c>
      <c r="J49" s="51"/>
      <c r="K49" s="52" t="str">
        <f>_xll.qlSwapIndex(,"No Fix",B49,SettlementDays,Currency,Calendar,FixedLegTenor,FixedLegBDC,FixedLegDayCounter,IborIndex,YieldCurve,,Trigger)</f>
        <v>obj_003ca#0000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95</v>
      </c>
      <c r="D50" s="54">
        <f>_xll.qlInterestRateIndexFixingDate(IborIndex,EffectiveDate,Trigger)</f>
        <v>42282</v>
      </c>
      <c r="E50" s="54">
        <f>_xll.qlInterestRateIndexValueDate(K50,D50)</f>
        <v>42284</v>
      </c>
      <c r="F50" s="54">
        <f>_xll.qlInterestRateIndexMaturity(K50,E50)</f>
        <v>47763</v>
      </c>
      <c r="G50" s="61">
        <f>_xll.qlIndexFixing(K50,D50,TRUE,AllTriggers)</f>
        <v>2.2580008881153378E-2</v>
      </c>
      <c r="H50" s="61" t="str">
        <f t="shared" si="0"/>
        <v>USD_CURVE_STD_15Y</v>
      </c>
      <c r="I50" s="61" t="s">
        <v>167</v>
      </c>
      <c r="J50" s="51"/>
      <c r="K50" s="52" t="str">
        <f>_xll.qlSwapIndex(,"No Fix",B50,SettlementDays,Currency,Calendar,FixedLegTenor,FixedLegBDC,FixedLegDayCounter,IborIndex,YieldCurve,,Trigger)</f>
        <v>obj_003c1#0000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95</v>
      </c>
      <c r="D51" s="54">
        <f>_xll.qlInterestRateIndexFixingDate(IborIndex,EffectiveDate,Trigger)</f>
        <v>42282</v>
      </c>
      <c r="E51" s="54">
        <f>_xll.qlInterestRateIndexValueDate(K51,D51)</f>
        <v>42284</v>
      </c>
      <c r="F51" s="54">
        <f>_xll.qlInterestRateIndexMaturity(K51,E51)</f>
        <v>48128</v>
      </c>
      <c r="G51" s="61">
        <f>_xll.qlIndexFixing(K51,D51,TRUE,AllTriggers)</f>
        <v>2.2867967709693484E-2</v>
      </c>
      <c r="H51" s="61" t="str">
        <f t="shared" si="0"/>
        <v>USD_CURVE_STD_16Y</v>
      </c>
      <c r="I51" s="61" t="s">
        <v>168</v>
      </c>
      <c r="J51" s="51"/>
      <c r="K51" s="52" t="str">
        <f>_xll.qlSwapIndex(,"No Fix",B51,SettlementDays,Currency,Calendar,FixedLegTenor,FixedLegBDC,FixedLegDayCounter,IborIndex,YieldCurve,,Trigger)</f>
        <v>obj_003b1#0000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95</v>
      </c>
      <c r="D52" s="54">
        <f>_xll.qlInterestRateIndexFixingDate(IborIndex,EffectiveDate,Trigger)</f>
        <v>42282</v>
      </c>
      <c r="E52" s="54">
        <f>_xll.qlInterestRateIndexValueDate(K52,D52)</f>
        <v>42284</v>
      </c>
      <c r="F52" s="54">
        <f>_xll.qlInterestRateIndexMaturity(K52,E52)</f>
        <v>48494</v>
      </c>
      <c r="G52" s="61">
        <f>_xll.qlIndexFixing(K52,D52,TRUE,AllTriggers)</f>
        <v>2.3151280968741778E-2</v>
      </c>
      <c r="H52" s="61" t="str">
        <f t="shared" si="0"/>
        <v>USD_CURVE_STD_17Y</v>
      </c>
      <c r="I52" s="61" t="s">
        <v>169</v>
      </c>
      <c r="J52" s="51"/>
      <c r="K52" s="52" t="str">
        <f>_xll.qlSwapIndex(,"No Fix",B52,SettlementDays,Currency,Calendar,FixedLegTenor,FixedLegBDC,FixedLegDayCounter,IborIndex,YieldCurve,,Trigger)</f>
        <v>obj_003b6#0000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95</v>
      </c>
      <c r="D53" s="54">
        <f>_xll.qlInterestRateIndexFixingDate(IborIndex,EffectiveDate,Trigger)</f>
        <v>42282</v>
      </c>
      <c r="E53" s="54">
        <f>_xll.qlInterestRateIndexValueDate(K53,D53)</f>
        <v>42284</v>
      </c>
      <c r="F53" s="54">
        <f>_xll.qlInterestRateIndexMaturity(K53,E53)</f>
        <v>48859</v>
      </c>
      <c r="G53" s="61">
        <f>_xll.qlIndexFixing(K53,D53,TRUE,AllTriggers)</f>
        <v>2.3428593542741211E-2</v>
      </c>
      <c r="H53" s="61" t="str">
        <f t="shared" si="0"/>
        <v>USD_CURVE_STD_18Y</v>
      </c>
      <c r="I53" s="61" t="s">
        <v>170</v>
      </c>
      <c r="J53" s="51"/>
      <c r="K53" s="52" t="str">
        <f>_xll.qlSwapIndex(,"No Fix",B53,SettlementDays,Currency,Calendar,FixedLegTenor,FixedLegBDC,FixedLegDayCounter,IborIndex,YieldCurve,,Trigger)</f>
        <v>obj_00399#0000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95</v>
      </c>
      <c r="D54" s="54">
        <f>_xll.qlInterestRateIndexFixingDate(IborIndex,EffectiveDate,Trigger)</f>
        <v>42282</v>
      </c>
      <c r="E54" s="54">
        <f>_xll.qlInterestRateIndexValueDate(K54,D54)</f>
        <v>42284</v>
      </c>
      <c r="F54" s="54">
        <f>_xll.qlInterestRateIndexMaturity(K54,E54)</f>
        <v>49226</v>
      </c>
      <c r="G54" s="61">
        <f>_xll.qlIndexFixing(K54,D54,TRUE,AllTriggers)</f>
        <v>2.3702499259935395E-2</v>
      </c>
      <c r="H54" s="61" t="str">
        <f t="shared" si="0"/>
        <v>USD_CURVE_STD_19Y</v>
      </c>
      <c r="I54" s="61" t="s">
        <v>171</v>
      </c>
      <c r="J54" s="51"/>
      <c r="K54" s="52" t="str">
        <f>_xll.qlSwapIndex(,"No Fix",B54,SettlementDays,Currency,Calendar,FixedLegTenor,FixedLegBDC,FixedLegDayCounter,IborIndex,YieldCurve,,Trigger)</f>
        <v>obj_003a1#0000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95</v>
      </c>
      <c r="D55" s="54">
        <f>_xll.qlInterestRateIndexFixingDate(IborIndex,EffectiveDate,Trigger)</f>
        <v>42282</v>
      </c>
      <c r="E55" s="54">
        <f>_xll.qlInterestRateIndexValueDate(K55,D55)</f>
        <v>42284</v>
      </c>
      <c r="F55" s="54">
        <f>_xll.qlInterestRateIndexMaturity(K55,E55)</f>
        <v>49590</v>
      </c>
      <c r="G55" s="61">
        <f>_xll.qlIndexFixing(K55,D55,TRUE,AllTriggers)</f>
        <v>2.3969241711022094E-2</v>
      </c>
      <c r="H55" s="61" t="str">
        <f t="shared" si="0"/>
        <v>USD_CURVE_STD_20Y</v>
      </c>
      <c r="I55" s="61" t="s">
        <v>172</v>
      </c>
      <c r="J55" s="51"/>
      <c r="K55" s="52" t="str">
        <f>_xll.qlSwapIndex(,"No Fix",B55,SettlementDays,Currency,Calendar,FixedLegTenor,FixedLegBDC,FixedLegDayCounter,IborIndex,YieldCurve,,Trigger)</f>
        <v>obj_003b9#0000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95</v>
      </c>
      <c r="D56" s="54">
        <f>_xll.qlInterestRateIndexFixingDate(IborIndex,EffectiveDate,Trigger)</f>
        <v>42282</v>
      </c>
      <c r="E56" s="54">
        <f>_xll.qlInterestRateIndexValueDate(K56,D56)</f>
        <v>42284</v>
      </c>
      <c r="F56" s="54">
        <f>_xll.qlInterestRateIndexMaturity(K56,E56)</f>
        <v>49955</v>
      </c>
      <c r="G56" s="61">
        <f>_xll.qlIndexFixing(K56,D56,TRUE,AllTriggers)</f>
        <v>2.410965893821556E-2</v>
      </c>
      <c r="H56" s="61" t="str">
        <f t="shared" si="0"/>
        <v>USD_CURVE_STD_21Y</v>
      </c>
      <c r="I56" s="61" t="s">
        <v>173</v>
      </c>
      <c r="J56" s="51"/>
      <c r="K56" s="52" t="str">
        <f>_xll.qlSwapIndex(,"No Fix",B56,SettlementDays,Currency,Calendar,FixedLegTenor,FixedLegBDC,FixedLegDayCounter,IborIndex,YieldCurve,,Trigger)</f>
        <v>obj_003b2#0000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95</v>
      </c>
      <c r="D57" s="54">
        <f>_xll.qlInterestRateIndexFixingDate(IborIndex,EffectiveDate,Trigger)</f>
        <v>42282</v>
      </c>
      <c r="E57" s="54">
        <f>_xll.qlInterestRateIndexValueDate(K57,D57)</f>
        <v>42284</v>
      </c>
      <c r="F57" s="54">
        <f>_xll.qlInterestRateIndexMaturity(K57,E57)</f>
        <v>50320</v>
      </c>
      <c r="G57" s="61">
        <f>_xll.qlIndexFixing(K57,D57,TRUE,AllTriggers)</f>
        <v>2.4246420408425399E-2</v>
      </c>
      <c r="H57" s="61" t="str">
        <f t="shared" si="0"/>
        <v>USD_CURVE_STD_22Y</v>
      </c>
      <c r="I57" s="61" t="s">
        <v>174</v>
      </c>
      <c r="J57" s="51"/>
      <c r="K57" s="52" t="str">
        <f>_xll.qlSwapIndex(,"No Fix",B57,SettlementDays,Currency,Calendar,FixedLegTenor,FixedLegBDC,FixedLegDayCounter,IborIndex,YieldCurve,,Trigger)</f>
        <v>obj_003a2#0000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95</v>
      </c>
      <c r="D58" s="54">
        <f>_xll.qlInterestRateIndexFixingDate(IborIndex,EffectiveDate,Trigger)</f>
        <v>42282</v>
      </c>
      <c r="E58" s="54">
        <f>_xll.qlInterestRateIndexValueDate(K58,D58)</f>
        <v>42284</v>
      </c>
      <c r="F58" s="54">
        <f>_xll.qlInterestRateIndexMaturity(K58,E58)</f>
        <v>50685</v>
      </c>
      <c r="G58" s="61">
        <f>_xll.qlIndexFixing(K58,D58,TRUE,AllTriggers)</f>
        <v>2.4380088676270666E-2</v>
      </c>
      <c r="H58" s="61" t="str">
        <f t="shared" si="0"/>
        <v>USD_CURVE_STD_23Y</v>
      </c>
      <c r="I58" s="61" t="s">
        <v>175</v>
      </c>
      <c r="J58" s="51"/>
      <c r="K58" s="52" t="str">
        <f>_xll.qlSwapIndex(,"No Fix",B58,SettlementDays,Currency,Calendar,FixedLegTenor,FixedLegBDC,FixedLegDayCounter,IborIndex,YieldCurve,,Trigger)</f>
        <v>obj_003a8#0000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95</v>
      </c>
      <c r="D59" s="54">
        <f>_xll.qlInterestRateIndexFixingDate(IborIndex,EffectiveDate,Trigger)</f>
        <v>42282</v>
      </c>
      <c r="E59" s="54">
        <f>_xll.qlInterestRateIndexValueDate(K59,D59)</f>
        <v>42284</v>
      </c>
      <c r="F59" s="54">
        <f>_xll.qlInterestRateIndexMaturity(K59,E59)</f>
        <v>51050</v>
      </c>
      <c r="G59" s="61">
        <f>_xll.qlIndexFixing(K59,D59,TRUE,AllTriggers)</f>
        <v>2.4510853534246157E-2</v>
      </c>
      <c r="H59" s="61" t="str">
        <f t="shared" si="0"/>
        <v>USD_CURVE_STD_24Y</v>
      </c>
      <c r="I59" s="61" t="s">
        <v>176</v>
      </c>
      <c r="J59" s="51"/>
      <c r="K59" s="52" t="str">
        <f>_xll.qlSwapIndex(,"No Fix",B59,SettlementDays,Currency,Calendar,FixedLegTenor,FixedLegBDC,FixedLegDayCounter,IborIndex,YieldCurve,,Trigger)</f>
        <v>obj_003c9#0000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95</v>
      </c>
      <c r="D60" s="54">
        <f>_xll.qlInterestRateIndexFixingDate(IborIndex,EffectiveDate,Trigger)</f>
        <v>42282</v>
      </c>
      <c r="E60" s="54">
        <f>_xll.qlInterestRateIndexValueDate(K60,D60)</f>
        <v>42284</v>
      </c>
      <c r="F60" s="54">
        <f>_xll.qlInterestRateIndexMaturity(K60,E60)</f>
        <v>51417</v>
      </c>
      <c r="G60" s="61">
        <f>_xll.qlIndexFixing(K60,D60,TRUE,AllTriggers)</f>
        <v>2.4639623127102734E-2</v>
      </c>
      <c r="H60" s="61" t="str">
        <f t="shared" si="0"/>
        <v>USD_CURVE_STD_25Y</v>
      </c>
      <c r="I60" s="61" t="s">
        <v>177</v>
      </c>
      <c r="J60" s="51"/>
      <c r="K60" s="52" t="str">
        <f>_xll.qlSwapIndex(,"No Fix",B60,SettlementDays,Currency,Calendar,FixedLegTenor,FixedLegBDC,FixedLegDayCounter,IborIndex,YieldCurve,,Trigger)</f>
        <v>obj_003ba#0000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95</v>
      </c>
      <c r="D61" s="54">
        <f>_xll.qlInterestRateIndexFixingDate(IborIndex,EffectiveDate,Trigger)</f>
        <v>42282</v>
      </c>
      <c r="E61" s="54">
        <f>_xll.qlInterestRateIndexValueDate(K61,D61)</f>
        <v>42284</v>
      </c>
      <c r="F61" s="54">
        <f>_xll.qlInterestRateIndexMaturity(K61,E61)</f>
        <v>51781</v>
      </c>
      <c r="G61" s="61">
        <f>_xll.qlIndexFixing(K61,D61,TRUE,AllTriggers)</f>
        <v>2.47254643512256E-2</v>
      </c>
      <c r="H61" s="61" t="str">
        <f t="shared" si="0"/>
        <v>USD_CURVE_STD_26Y</v>
      </c>
      <c r="I61" s="61" t="s">
        <v>178</v>
      </c>
      <c r="J61" s="51"/>
      <c r="K61" s="52" t="str">
        <f>_xll.qlSwapIndex(,"No Fix",B61,SettlementDays,Currency,Calendar,FixedLegTenor,FixedLegBDC,FixedLegDayCounter,IborIndex,YieldCurve,,Trigger)</f>
        <v>obj_003af#0000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95</v>
      </c>
      <c r="D62" s="54">
        <f>_xll.qlInterestRateIndexFixingDate(IborIndex,EffectiveDate,Trigger)</f>
        <v>42282</v>
      </c>
      <c r="E62" s="54">
        <f>_xll.qlInterestRateIndexValueDate(K62,D62)</f>
        <v>42284</v>
      </c>
      <c r="F62" s="54">
        <f>_xll.qlInterestRateIndexMaturity(K62,E62)</f>
        <v>52146</v>
      </c>
      <c r="G62" s="61">
        <f>_xll.qlIndexFixing(K62,D62,TRUE,AllTriggers)</f>
        <v>2.4809295128190394E-2</v>
      </c>
      <c r="H62" s="61" t="str">
        <f t="shared" si="0"/>
        <v>USD_CURVE_STD_27Y</v>
      </c>
      <c r="I62" s="61" t="s">
        <v>179</v>
      </c>
      <c r="J62" s="51"/>
      <c r="K62" s="52" t="str">
        <f>_xll.qlSwapIndex(,"No Fix",B62,SettlementDays,Currency,Calendar,FixedLegTenor,FixedLegBDC,FixedLegDayCounter,IborIndex,YieldCurve,,Trigger)</f>
        <v>obj_003c7#0000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95</v>
      </c>
      <c r="D63" s="54">
        <f>_xll.qlInterestRateIndexFixingDate(IborIndex,EffectiveDate,Trigger)</f>
        <v>42282</v>
      </c>
      <c r="E63" s="54">
        <f>_xll.qlInterestRateIndexValueDate(K63,D63)</f>
        <v>42284</v>
      </c>
      <c r="F63" s="54">
        <f>_xll.qlInterestRateIndexMaturity(K63,E63)</f>
        <v>52511</v>
      </c>
      <c r="G63" s="61">
        <f>_xll.qlIndexFixing(K63,D63,TRUE,AllTriggers)</f>
        <v>2.4891095426126147E-2</v>
      </c>
      <c r="H63" s="61" t="str">
        <f t="shared" si="0"/>
        <v>USD_CURVE_STD_28Y</v>
      </c>
      <c r="I63" s="61" t="s">
        <v>180</v>
      </c>
      <c r="J63" s="51"/>
      <c r="K63" s="52" t="str">
        <f>_xll.qlSwapIndex(,"No Fix",B63,SettlementDays,Currency,Calendar,FixedLegTenor,FixedLegBDC,FixedLegDayCounter,IborIndex,YieldCurve,,Trigger)</f>
        <v>obj_003cf#0000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95</v>
      </c>
      <c r="D64" s="54">
        <f>_xll.qlInterestRateIndexFixingDate(IborIndex,EffectiveDate,Trigger)</f>
        <v>42282</v>
      </c>
      <c r="E64" s="54">
        <f>_xll.qlInterestRateIndexValueDate(K64,D64)</f>
        <v>42284</v>
      </c>
      <c r="F64" s="54">
        <f>_xll.qlInterestRateIndexMaturity(K64,E64)</f>
        <v>52877</v>
      </c>
      <c r="G64" s="61">
        <f>_xll.qlIndexFixing(K64,D64,TRUE,AllTriggers)</f>
        <v>2.4971222232958921E-2</v>
      </c>
      <c r="H64" s="61" t="str">
        <f t="shared" si="0"/>
        <v>USD_CURVE_STD_29Y</v>
      </c>
      <c r="I64" s="61" t="s">
        <v>181</v>
      </c>
      <c r="J64" s="51"/>
      <c r="K64" s="52" t="str">
        <f>_xll.qlSwapIndex(,"No Fix",B64,SettlementDays,Currency,Calendar,FixedLegTenor,FixedLegBDC,FixedLegDayCounter,IborIndex,YieldCurve,,Trigger)</f>
        <v>obj_0039d#0000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95</v>
      </c>
      <c r="D65" s="54">
        <f>_xll.qlInterestRateIndexFixingDate(IborIndex,EffectiveDate,Trigger)</f>
        <v>42282</v>
      </c>
      <c r="E65" s="54">
        <f>_xll.qlInterestRateIndexValueDate(K65,D65)</f>
        <v>42284</v>
      </c>
      <c r="F65" s="54">
        <f>_xll.qlInterestRateIndexMaturity(K65,E65)</f>
        <v>53244</v>
      </c>
      <c r="G65" s="61">
        <f>_xll.qlIndexFixing(K65,D65,TRUE,AllTriggers)</f>
        <v>2.5049761924277106E-2</v>
      </c>
      <c r="H65" s="61" t="str">
        <f t="shared" si="0"/>
        <v>USD_CURVE_STD_30Y</v>
      </c>
      <c r="I65" s="61" t="s">
        <v>182</v>
      </c>
      <c r="J65" s="51"/>
      <c r="K65" s="52" t="str">
        <f>_xll.qlSwapIndex(,"No Fix",B65,SettlementDays,Currency,Calendar,FixedLegTenor,FixedLegBDC,FixedLegDayCounter,IborIndex,YieldCurve,,Trigger)</f>
        <v>obj_003a7#0000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95</v>
      </c>
      <c r="D66" s="54">
        <f>_xll.qlInterestRateIndexFixingDate(IborIndex,EffectiveDate,Trigger)</f>
        <v>42282</v>
      </c>
      <c r="E66" s="54">
        <f>_xll.qlInterestRateIndexValueDate(K66,D66)</f>
        <v>42284</v>
      </c>
      <c r="F66" s="54">
        <f>_xll.qlInterestRateIndexMaturity(K66,E66)</f>
        <v>56894</v>
      </c>
      <c r="G66" s="61">
        <f>_xll.qlIndexFixing(K66,D66,TRUE,AllTriggers)</f>
        <v>2.5249990727587934E-2</v>
      </c>
      <c r="H66" s="61" t="str">
        <f t="shared" si="0"/>
        <v>USD_CURVE_STD_40Y</v>
      </c>
      <c r="I66" s="61" t="s">
        <v>183</v>
      </c>
      <c r="J66" s="51"/>
      <c r="K66" s="52" t="str">
        <f>_xll.qlSwapIndex(,"No Fix",B66,SettlementDays,Currency,Calendar,FixedLegTenor,FixedLegBDC,FixedLegDayCounter,IborIndex,YieldCurve,,Trigger)</f>
        <v>obj_003b0#0000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95</v>
      </c>
      <c r="D67" s="54">
        <f>_xll.qlInterestRateIndexFixingDate(IborIndex,EffectiveDate,Trigger)</f>
        <v>42282</v>
      </c>
      <c r="E67" s="54">
        <f>_xll.qlInterestRateIndexValueDate(K67,D67)</f>
        <v>42284</v>
      </c>
      <c r="F67" s="54">
        <f>_xll.qlInterestRateIndexMaturity(K67,E67)</f>
        <v>60547</v>
      </c>
      <c r="G67" s="61">
        <f>_xll.qlIndexFixing(K67,D67,TRUE,AllTriggers)</f>
        <v>2.5069990388554942E-2</v>
      </c>
      <c r="H67" s="61" t="str">
        <f t="shared" si="0"/>
        <v>USD_CURVE_STD_50Y</v>
      </c>
      <c r="I67" s="61" t="s">
        <v>184</v>
      </c>
      <c r="J67" s="51"/>
      <c r="K67" s="52" t="str">
        <f>_xll.qlSwapIndex(,"No Fix",B67,SettlementDays,Currency,Calendar,FixedLegTenor,FixedLegBDC,FixedLegDayCounter,IborIndex,YieldCurve,,Trigger)</f>
        <v>obj_003d1#0000</v>
      </c>
      <c r="L67" s="4"/>
      <c r="M67" s="4"/>
    </row>
    <row r="68" spans="2:16" s="2" customFormat="1" x14ac:dyDescent="0.2">
      <c r="B68" s="47" t="s">
        <v>92</v>
      </c>
      <c r="C68" s="55" t="s">
        <v>95</v>
      </c>
      <c r="D68" s="56">
        <f>_xll.qlInterestRateIndexFixingDate(IborIndex,EffectiveDate,Trigger)</f>
        <v>42282</v>
      </c>
      <c r="E68" s="56">
        <f>_xll.qlInterestRateIndexValueDate(K68,D68)</f>
        <v>42284</v>
      </c>
      <c r="F68" s="56">
        <f>_xll.qlInterestRateIndexMaturity(K68,E68)</f>
        <v>64199</v>
      </c>
      <c r="G68" s="57" t="e">
        <f>_xll.qlIndexFixing(K68,D68,TRUE,AllTriggers)</f>
        <v>#NUM!</v>
      </c>
      <c r="H68" s="57" t="str">
        <f t="shared" si="0"/>
        <v>USD_CURVE_STD_60Y</v>
      </c>
      <c r="I68" s="57" t="s">
        <v>185</v>
      </c>
      <c r="J68" s="51"/>
      <c r="K68" s="58" t="str">
        <f>_xll.qlSwapIndex(,"No Fix",B68,SettlementDays,Currency,Calendar,FixedLegTenor,FixedLegBDC,FixedLegDayCounter,IborIndex,YieldCurve,,Trigger)</f>
        <v>obj_003be#0000</v>
      </c>
      <c r="L68" s="4"/>
      <c r="M68" s="4"/>
    </row>
  </sheetData>
  <dataValidations count="2">
    <dataValidation type="list" allowBlank="1" showInputMessage="1" showErrorMessage="1" sqref="O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58</vt:i4>
      </vt:variant>
    </vt:vector>
  </HeadingPairs>
  <TitlesOfParts>
    <vt:vector size="67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'Contribution (2)'!Fields</vt:lpstr>
      <vt:lpstr>Contribution!Fileds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2015-10-05T10:27:02Z</dcterms:modified>
</cp:coreProperties>
</file>