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Desktop\Work\Model_LiION_Battery_Ete2Chem\003_Energy\"/>
    </mc:Choice>
  </mc:AlternateContent>
  <xr:revisionPtr revIDLastSave="0" documentId="13_ncr:1_{24124C1F-2B96-4DB2-8345-027691102259}" xr6:coauthVersionLast="46" xr6:coauthVersionMax="46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" r:id="rId1"/>
    <sheet name="Foglio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2" l="1"/>
  <c r="F20" i="2"/>
  <c r="F21" i="2"/>
  <c r="B13" i="2"/>
  <c r="I17" i="2" l="1"/>
  <c r="I16" i="2"/>
  <c r="I15" i="2"/>
  <c r="I14" i="2"/>
  <c r="I13" i="2"/>
  <c r="I11" i="2"/>
  <c r="I7" i="2"/>
  <c r="I8" i="2"/>
  <c r="I9" i="2"/>
  <c r="I10" i="2"/>
  <c r="B7" i="2"/>
  <c r="B17" i="2"/>
  <c r="B16" i="2"/>
  <c r="B15" i="2"/>
  <c r="B14" i="2"/>
  <c r="B11" i="2"/>
  <c r="B10" i="2"/>
  <c r="B9" i="2"/>
  <c r="B8" i="2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<sst xmlns="http://schemas.openxmlformats.org/spreadsheetml/2006/main" count="54" uniqueCount="42">
  <si>
    <t>Name</t>
  </si>
  <si>
    <t>crate01C</t>
  </si>
  <si>
    <t>crate03</t>
  </si>
  <si>
    <t>crate1</t>
  </si>
  <si>
    <t>crate3C</t>
  </si>
  <si>
    <t>1C_Dsn41765</t>
  </si>
  <si>
    <t>1C_Dsp402</t>
  </si>
  <si>
    <t>1C_Dchem3176</t>
  </si>
  <si>
    <t>1C_i00n0456</t>
  </si>
  <si>
    <t>1C_i00p0497</t>
  </si>
  <si>
    <t>1C_Dsn569</t>
  </si>
  <si>
    <t>1C_Dsp6275</t>
  </si>
  <si>
    <t>1C_Dchem509</t>
  </si>
  <si>
    <t>1C_i00n273</t>
  </si>
  <si>
    <t>1C_i00p299</t>
  </si>
  <si>
    <t>Energy</t>
  </si>
  <si>
    <t>% E_loss cmp 0.1C</t>
  </si>
  <si>
    <t>% E_loss cmp 0.3C</t>
  </si>
  <si>
    <t>% E_loss cmp 1C</t>
  </si>
  <si>
    <t>% E_loss cmp 3C</t>
  </si>
  <si>
    <t>Dsn -58.2%</t>
  </si>
  <si>
    <t>Dsp -59.8%</t>
  </si>
  <si>
    <t>Dch -68.2%</t>
  </si>
  <si>
    <t>i00n -95.4%</t>
  </si>
  <si>
    <t>i00p -95.0%</t>
  </si>
  <si>
    <t>Dsn -43.1%</t>
  </si>
  <si>
    <t>Dsp -37.3%</t>
  </si>
  <si>
    <t>Dch -49.1%</t>
  </si>
  <si>
    <t>i00n -72.7%</t>
  </si>
  <si>
    <t>i00p -70.1%</t>
  </si>
  <si>
    <t>Dsn</t>
  </si>
  <si>
    <t>Dsp</t>
  </si>
  <si>
    <t>Dchem</t>
  </si>
  <si>
    <t>i00n</t>
  </si>
  <si>
    <t>i00p</t>
  </si>
  <si>
    <t>Var</t>
  </si>
  <si>
    <t>crate0.1C</t>
  </si>
  <si>
    <t>crate0.3C</t>
  </si>
  <si>
    <t>crate1C</t>
  </si>
  <si>
    <t>T+0.5C</t>
  </si>
  <si>
    <t>T+1C</t>
  </si>
  <si>
    <t>T+2C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</si>
</sst>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%"/>
    <numFmt numFmtId="166" formatCode="0.000"/>
  </numFmts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49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49" fontId="0" fillId="0" borderId="4" xfId="0" applyNumberFormat="1" applyBorder="1"/>
    <xf numFmtId="10" fontId="0" fillId="0" borderId="1" xfId="0" applyNumberFormat="1" applyBorder="1" applyAlignment="1">
      <alignment horizontal="right"/>
    </xf>
    <xf numFmtId="10" fontId="0" fillId="0" borderId="5" xfId="0" applyNumberFormat="1" applyBorder="1" applyAlignment="1">
      <alignment horizontal="righ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49" fontId="1" fillId="0" borderId="4" xfId="0" applyNumberFormat="1" applyFont="1" applyBorder="1"/>
    <xf numFmtId="49" fontId="0" fillId="0" borderId="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0" fontId="0" fillId="0" borderId="10" xfId="0" applyNumberForma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10" fontId="0" fillId="0" borderId="12" xfId="0" applyNumberFormat="1" applyBorder="1" applyAlignment="1">
      <alignment horizontal="right"/>
    </xf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165" fontId="0" fillId="0" borderId="4" xfId="0" applyNumberFormat="1" applyBorder="1"/>
    <xf numFmtId="49" fontId="1" fillId="0" borderId="4" xfId="0" applyNumberFormat="1" applyFont="1" applyFill="1" applyBorder="1"/>
    <xf numFmtId="49" fontId="1" fillId="0" borderId="6" xfId="0" applyNumberFormat="1" applyFont="1" applyFill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49" fontId="1" fillId="0" borderId="12" xfId="0" applyNumberFormat="1" applyFont="1" applyBorder="1"/>
    <xf numFmtId="165" fontId="0" fillId="0" borderId="1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workbookViewId="0">
      <selection sqref="A1:I15"/>
    </sheetView>
  </sheetViews>
  <sheetFormatPr defaultRowHeight="14.4" x14ac:dyDescent="0.3"/>
  <cols>
    <col min="1" max="1" width="13.88671875" customWidth="1"/>
    <col min="2" max="2" width="11.6640625" customWidth="1"/>
    <col min="3" max="4" width="16.109375" customWidth="1"/>
    <col min="5" max="6" width="14.5546875" customWidth="1"/>
    <col min="9" max="9" width="10.6640625" bestFit="1" customWidth="1"/>
  </cols>
  <sheetData>
    <row r="1" spans="1:9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9" x14ac:dyDescent="0.3">
      <c r="A2" s="1" t="s">
        <v>1</v>
      </c>
      <c r="B2">
        <v>44.201699928459078</v>
      </c>
      <c r="C2" s="2">
        <v>0</v>
      </c>
      <c r="D2" s="2">
        <v>0</v>
      </c>
      <c r="E2" s="2">
        <v>0</v>
      </c>
      <c r="F2" s="2">
        <v>0</v>
      </c>
    </row>
    <row r="3" spans="1:9" x14ac:dyDescent="0.3">
      <c r="A3" s="1" t="s">
        <v>2</v>
      </c>
      <c r="B3">
        <v>43.121089230262172</v>
      </c>
      <c r="C3" s="2">
        <v>-2.4447265601682436E-2</v>
      </c>
      <c r="D3" s="2">
        <v>0</v>
      </c>
      <c r="E3" s="2">
        <v>0</v>
      </c>
      <c r="F3" s="2">
        <v>0</v>
      </c>
    </row>
    <row r="4" spans="1:9" x14ac:dyDescent="0.3">
      <c r="A4" s="1" t="s">
        <v>3</v>
      </c>
      <c r="B4">
        <v>40.059972198708195</v>
      </c>
      <c r="C4" s="2">
        <v>-9.3700643560186911E-2</v>
      </c>
      <c r="D4" s="2">
        <v>-7.0988861510615536E-2</v>
      </c>
      <c r="E4" s="2">
        <v>0</v>
      </c>
      <c r="F4" s="2">
        <v>0</v>
      </c>
    </row>
    <row r="5" spans="1:9" x14ac:dyDescent="0.3">
      <c r="A5" s="1" t="s">
        <v>4</v>
      </c>
      <c r="B5">
        <v>32.834034297989717</v>
      </c>
      <c r="C5" s="2">
        <v>-0.25717711420302947</v>
      </c>
      <c r="D5" s="2">
        <v>-0.23856203810948839</v>
      </c>
      <c r="E5" s="2">
        <v>-0.18037800587768482</v>
      </c>
      <c r="F5" s="2">
        <v>0</v>
      </c>
    </row>
    <row r="6" spans="1:9" x14ac:dyDescent="0.3">
      <c r="A6" s="1" t="s">
        <v>5</v>
      </c>
      <c r="B6">
        <v>38.053885425810435</v>
      </c>
      <c r="C6" s="2">
        <v>-0.13908547663549017</v>
      </c>
      <c r="D6" s="2">
        <v>-0.11751103450549198</v>
      </c>
      <c r="E6" s="2">
        <v>-5.0077088494895401E-2</v>
      </c>
      <c r="F6" s="2">
        <v>0.1589768433707309</v>
      </c>
      <c r="G6" s="3">
        <f>1-0.41765</f>
        <v>0.58234999999999992</v>
      </c>
      <c r="I6" s="4" t="s">
        <v>20</v>
      </c>
    </row>
    <row r="7" spans="1:9" x14ac:dyDescent="0.3">
      <c r="A7" s="1" t="s">
        <v>6</v>
      </c>
      <c r="B7">
        <v>38.055177991300006</v>
      </c>
      <c r="C7" s="2">
        <v>-0.13905623419703955</v>
      </c>
      <c r="D7" s="2">
        <v>-0.11748105925410932</v>
      </c>
      <c r="E7" s="2">
        <v>-5.0044822733871917E-2</v>
      </c>
      <c r="F7" s="2">
        <v>0.15901621000712532</v>
      </c>
      <c r="G7" s="3">
        <f>1-0.402</f>
        <v>0.59799999999999998</v>
      </c>
      <c r="I7" s="4" t="s">
        <v>21</v>
      </c>
    </row>
    <row r="8" spans="1:9" x14ac:dyDescent="0.3">
      <c r="A8" s="1" t="s">
        <v>7</v>
      </c>
      <c r="B8">
        <v>38.055309846067786</v>
      </c>
      <c r="C8" s="2">
        <v>-0.13905325117222392</v>
      </c>
      <c r="D8" s="2">
        <v>-0.11747800147495453</v>
      </c>
      <c r="E8" s="2">
        <v>-5.0041531299541267E-2</v>
      </c>
      <c r="F8" s="2">
        <v>0.15902022580264358</v>
      </c>
      <c r="G8" s="3">
        <f>1-0.3176</f>
        <v>0.68240000000000001</v>
      </c>
      <c r="I8" s="4" t="s">
        <v>22</v>
      </c>
    </row>
    <row r="9" spans="1:9" x14ac:dyDescent="0.3">
      <c r="A9" s="1" t="s">
        <v>8</v>
      </c>
      <c r="B9">
        <v>38.055959703332206</v>
      </c>
      <c r="C9" s="2">
        <v>-0.13903854908462385</v>
      </c>
      <c r="D9" s="2">
        <v>-0.1174629309543341</v>
      </c>
      <c r="E9" s="2">
        <v>-5.0025309189820441E-2</v>
      </c>
      <c r="F9" s="2">
        <v>0.15904001798713491</v>
      </c>
      <c r="G9" s="3">
        <f>1-0.0456</f>
        <v>0.95440000000000003</v>
      </c>
      <c r="I9" s="4" t="s">
        <v>23</v>
      </c>
    </row>
    <row r="10" spans="1:9" x14ac:dyDescent="0.3">
      <c r="A10" s="1" t="s">
        <v>9</v>
      </c>
      <c r="B10">
        <v>38.056457402095312</v>
      </c>
      <c r="C10" s="2">
        <v>-0.13902728936466033</v>
      </c>
      <c r="D10" s="2">
        <v>-0.11745138906678002</v>
      </c>
      <c r="E10" s="2">
        <v>-5.0012885347870767E-2</v>
      </c>
      <c r="F10" s="2">
        <v>0.15905517600148636</v>
      </c>
      <c r="G10" s="3">
        <f>1-0.0497</f>
        <v>0.95030000000000003</v>
      </c>
      <c r="I10" s="4" t="s">
        <v>24</v>
      </c>
    </row>
    <row r="11" spans="1:9" x14ac:dyDescent="0.3">
      <c r="A11" s="1" t="s">
        <v>10</v>
      </c>
      <c r="B11">
        <v>39.257990437650264</v>
      </c>
      <c r="C11" s="2">
        <v>-0.1118443294898219</v>
      </c>
      <c r="D11" s="2">
        <v>-8.9587226611632154E-2</v>
      </c>
      <c r="E11" s="2">
        <v>-2.0019528647695673E-2</v>
      </c>
      <c r="F11" s="2">
        <v>0.19564930953531523</v>
      </c>
      <c r="G11" s="3">
        <f>1-0.569</f>
        <v>0.43100000000000005</v>
      </c>
      <c r="I11" s="4" t="s">
        <v>25</v>
      </c>
    </row>
    <row r="12" spans="1:9" x14ac:dyDescent="0.3">
      <c r="A12" s="1" t="s">
        <v>11</v>
      </c>
      <c r="B12">
        <v>39.255982763248895</v>
      </c>
      <c r="C12" s="2">
        <v>-0.11188975024071199</v>
      </c>
      <c r="D12" s="2">
        <v>-8.9633785602539096E-2</v>
      </c>
      <c r="E12" s="2">
        <v>-2.0069645367482965E-2</v>
      </c>
      <c r="F12" s="2">
        <v>0.19558816339703844</v>
      </c>
      <c r="G12" s="3">
        <f>1-0.6275</f>
        <v>0.37250000000000005</v>
      </c>
      <c r="I12" s="4" t="s">
        <v>26</v>
      </c>
    </row>
    <row r="13" spans="1:9" x14ac:dyDescent="0.3">
      <c r="A13" s="1" t="s">
        <v>12</v>
      </c>
      <c r="B13">
        <v>39.257226536636679</v>
      </c>
      <c r="C13" s="2">
        <v>-0.11186161165351291</v>
      </c>
      <c r="D13" s="2">
        <v>-8.9604941864823123E-2</v>
      </c>
      <c r="E13" s="2">
        <v>-2.0038597582886033E-2</v>
      </c>
      <c r="F13" s="2">
        <v>0.19562604401129671</v>
      </c>
      <c r="G13" s="3">
        <f>1-0.509</f>
        <v>0.49099999999999999</v>
      </c>
      <c r="I13" s="4" t="s">
        <v>27</v>
      </c>
    </row>
    <row r="14" spans="1:9" x14ac:dyDescent="0.3">
      <c r="A14" s="1" t="s">
        <v>13</v>
      </c>
      <c r="B14">
        <v>39.257981268230623</v>
      </c>
      <c r="C14" s="2">
        <v>-0.11184453693477664</v>
      </c>
      <c r="D14" s="2">
        <v>-8.9587439255139192E-2</v>
      </c>
      <c r="E14" s="2">
        <v>-2.0019757540007326E-2</v>
      </c>
      <c r="F14" s="2">
        <v>0.19564903026961311</v>
      </c>
      <c r="G14" s="3">
        <f>1-0.273</f>
        <v>0.72699999999999998</v>
      </c>
      <c r="I14" s="4" t="s">
        <v>28</v>
      </c>
    </row>
    <row r="15" spans="1:9" x14ac:dyDescent="0.3">
      <c r="A15" s="1" t="s">
        <v>14</v>
      </c>
      <c r="B15">
        <v>39.258512843212678</v>
      </c>
      <c r="C15" s="2">
        <v>-0.11183251081399587</v>
      </c>
      <c r="D15" s="2">
        <v>-8.9575111760830856E-2</v>
      </c>
      <c r="E15" s="2">
        <v>-2.0006488060452559E-2</v>
      </c>
      <c r="F15" s="2">
        <v>0.19566522002495146</v>
      </c>
      <c r="G15" s="3">
        <f>1-0.299</f>
        <v>0.70100000000000007</v>
      </c>
      <c r="I15" s="4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EB38-F4A9-47F9-854A-62E3E9F85166}">
  <dimension ref="A1:J22"/>
  <sheetViews>
    <sheetView tabSelected="1" zoomScale="160" zoomScaleNormal="160" workbookViewId="0">
      <selection activeCell="A18" sqref="A18"/>
    </sheetView>
  </sheetViews>
  <sheetFormatPr defaultRowHeight="14.4" x14ac:dyDescent="0.3"/>
  <cols>
    <col min="1" max="1" width="9.33203125" customWidth="1"/>
    <col min="2" max="2" width="6.33203125" customWidth="1"/>
    <col min="3" max="3" width="9" customWidth="1"/>
    <col min="4" max="5" width="16.33203125" bestFit="1" customWidth="1"/>
    <col min="6" max="7" width="14.88671875" bestFit="1" customWidth="1"/>
  </cols>
  <sheetData>
    <row r="1" spans="1:10" ht="15.6" thickTop="1" thickBot="1" x14ac:dyDescent="0.35">
      <c r="A1" s="13" t="s">
        <v>0</v>
      </c>
      <c r="B1" s="14" t="s">
        <v>35</v>
      </c>
      <c r="C1" s="13" t="s">
        <v>15</v>
      </c>
      <c r="D1" s="13" t="s">
        <v>16</v>
      </c>
      <c r="E1" s="13" t="s">
        <v>17</v>
      </c>
      <c r="F1" s="13" t="s">
        <v>18</v>
      </c>
      <c r="G1" s="12" t="s">
        <v>19</v>
      </c>
    </row>
    <row r="2" spans="1:10" ht="15" thickTop="1" x14ac:dyDescent="0.3">
      <c r="A2" s="11" t="s">
        <v>36</v>
      </c>
      <c r="B2" s="19"/>
      <c r="C2" s="22">
        <v>44.201699928459078</v>
      </c>
      <c r="D2" s="6">
        <v>0</v>
      </c>
      <c r="E2" s="16">
        <v>0</v>
      </c>
      <c r="F2" s="16">
        <v>0</v>
      </c>
      <c r="G2" s="7">
        <v>0</v>
      </c>
    </row>
    <row r="3" spans="1:10" x14ac:dyDescent="0.3">
      <c r="A3" s="11" t="s">
        <v>37</v>
      </c>
      <c r="B3" s="20"/>
      <c r="C3" s="23">
        <v>43.121089230262172</v>
      </c>
      <c r="D3" s="6">
        <v>-2.4447265601682436E-2</v>
      </c>
      <c r="E3" s="17">
        <v>0</v>
      </c>
      <c r="F3" s="17">
        <v>0</v>
      </c>
      <c r="G3" s="7">
        <v>0</v>
      </c>
    </row>
    <row r="4" spans="1:10" x14ac:dyDescent="0.3">
      <c r="A4" s="11" t="s">
        <v>38</v>
      </c>
      <c r="B4" s="20"/>
      <c r="C4" s="23">
        <v>40.059972198708195</v>
      </c>
      <c r="D4" s="6">
        <v>-9.3700643560186911E-2</v>
      </c>
      <c r="E4" s="17">
        <v>-7.0988861510615536E-2</v>
      </c>
      <c r="F4" s="17">
        <v>0</v>
      </c>
      <c r="G4" s="7">
        <v>0</v>
      </c>
    </row>
    <row r="5" spans="1:10" x14ac:dyDescent="0.3">
      <c r="A5" s="5" t="s">
        <v>4</v>
      </c>
      <c r="B5" s="20"/>
      <c r="C5" s="23">
        <v>32.834034297989717</v>
      </c>
      <c r="D5" s="6">
        <v>-0.25717711420302947</v>
      </c>
      <c r="E5" s="17">
        <v>-0.23856203810948839</v>
      </c>
      <c r="F5" s="17">
        <v>-0.18037800587768482</v>
      </c>
      <c r="G5" s="7">
        <v>0</v>
      </c>
    </row>
    <row r="6" spans="1:10" x14ac:dyDescent="0.3">
      <c r="A6" s="8"/>
      <c r="B6" s="8"/>
      <c r="C6" s="18"/>
      <c r="D6" s="9"/>
      <c r="E6" s="18"/>
      <c r="F6" s="18"/>
      <c r="G6" s="10"/>
      <c r="H6" s="3"/>
      <c r="J6" s="4"/>
    </row>
    <row r="7" spans="1:10" x14ac:dyDescent="0.3">
      <c r="A7" s="11" t="s">
        <v>30</v>
      </c>
      <c r="B7" s="21">
        <f>(1-0.41765)*-1</f>
        <v>-0.58234999999999992</v>
      </c>
      <c r="C7" s="23">
        <v>38.053885425810435</v>
      </c>
      <c r="D7" s="6">
        <v>-0.13908547663549017</v>
      </c>
      <c r="E7" s="17">
        <v>-0.11751103450549198</v>
      </c>
      <c r="F7" s="17">
        <v>-5.0077088494895401E-2</v>
      </c>
      <c r="G7" s="7">
        <v>0.1589768433707309</v>
      </c>
      <c r="H7" s="26"/>
      <c r="I7" s="24">
        <f>20*LOG(0.41765)</f>
        <v>-7.5837502851624645</v>
      </c>
      <c r="J7" s="4"/>
    </row>
    <row r="8" spans="1:10" x14ac:dyDescent="0.3">
      <c r="A8" s="11" t="s">
        <v>31</v>
      </c>
      <c r="B8" s="21">
        <f>(1-0.402)*-1</f>
        <v>-0.59799999999999998</v>
      </c>
      <c r="C8" s="23">
        <v>38.055177991300006</v>
      </c>
      <c r="D8" s="6">
        <v>-0.13905623419703955</v>
      </c>
      <c r="E8" s="17">
        <v>-0.11748105925410932</v>
      </c>
      <c r="F8" s="17">
        <v>-5.0044822733871917E-2</v>
      </c>
      <c r="G8" s="7">
        <v>0.15901621000712532</v>
      </c>
      <c r="H8" s="26"/>
      <c r="I8" s="24">
        <f>20*LOG(0.402)</f>
        <v>-7.9154789383105983</v>
      </c>
      <c r="J8" s="4"/>
    </row>
    <row r="9" spans="1:10" x14ac:dyDescent="0.3">
      <c r="A9" s="11" t="s">
        <v>32</v>
      </c>
      <c r="B9" s="21">
        <f>(1-0.3176)*-1</f>
        <v>-0.68240000000000001</v>
      </c>
      <c r="C9" s="23">
        <v>38.055309846067786</v>
      </c>
      <c r="D9" s="6">
        <v>-0.13905325117222392</v>
      </c>
      <c r="E9" s="17">
        <v>-0.11747800147495453</v>
      </c>
      <c r="F9" s="17">
        <v>-5.0041531299541267E-2</v>
      </c>
      <c r="G9" s="7">
        <v>0.15902022580264358</v>
      </c>
      <c r="H9" s="26"/>
      <c r="I9" s="24">
        <f>20*LOG(0.3176)</f>
        <v>-9.9623901248988265</v>
      </c>
      <c r="J9" s="4"/>
    </row>
    <row r="10" spans="1:10" x14ac:dyDescent="0.3">
      <c r="A10" s="11" t="s">
        <v>33</v>
      </c>
      <c r="B10" s="21">
        <f>(1-0.0456)*-1</f>
        <v>-0.95440000000000003</v>
      </c>
      <c r="C10" s="23">
        <v>38.055959703332206</v>
      </c>
      <c r="D10" s="6">
        <v>-0.13903854908462385</v>
      </c>
      <c r="E10" s="17">
        <v>-0.1174629309543341</v>
      </c>
      <c r="F10" s="17">
        <v>-5.0025309189820441E-2</v>
      </c>
      <c r="G10" s="7">
        <v>0.15904001798713491</v>
      </c>
      <c r="H10" s="26"/>
      <c r="I10" s="24">
        <f>20*LOG(0.0456)</f>
        <v>-26.820703146711299</v>
      </c>
      <c r="J10" s="4"/>
    </row>
    <row r="11" spans="1:10" x14ac:dyDescent="0.3">
      <c r="A11" s="11" t="s">
        <v>34</v>
      </c>
      <c r="B11" s="21">
        <f>(1-0.0497)*-1</f>
        <v>-0.95030000000000003</v>
      </c>
      <c r="C11" s="23">
        <v>38.056457402095312</v>
      </c>
      <c r="D11" s="6">
        <v>-0.13902728936466033</v>
      </c>
      <c r="E11" s="17">
        <v>-0.11745138906678002</v>
      </c>
      <c r="F11" s="17">
        <v>-5.0012885347870767E-2</v>
      </c>
      <c r="G11" s="7">
        <v>0.15905517600148636</v>
      </c>
      <c r="H11" s="26"/>
      <c r="I11" s="24">
        <f>20*LOG(0.0497)</f>
        <v>-26.072872225333356</v>
      </c>
      <c r="J11" s="4"/>
    </row>
    <row r="12" spans="1:10" x14ac:dyDescent="0.3">
      <c r="A12" s="8"/>
      <c r="B12" s="8"/>
      <c r="C12" s="18"/>
      <c r="D12" s="9"/>
      <c r="E12" s="18"/>
      <c r="F12" s="18"/>
      <c r="G12" s="10"/>
      <c r="H12" s="26"/>
      <c r="I12" s="25"/>
      <c r="J12" s="4"/>
    </row>
    <row r="13" spans="1:10" x14ac:dyDescent="0.3">
      <c r="A13" s="11" t="s">
        <v>30</v>
      </c>
      <c r="B13" s="21">
        <f>(1-0.569)*-1</f>
        <v>-0.43100000000000005</v>
      </c>
      <c r="C13" s="23">
        <v>39.257990437650264</v>
      </c>
      <c r="D13" s="6">
        <v>-0.1118443294898219</v>
      </c>
      <c r="E13" s="17">
        <v>-8.9587226611632154E-2</v>
      </c>
      <c r="F13" s="17">
        <v>-2.0019528647695673E-2</v>
      </c>
      <c r="G13" s="7">
        <v>0.19564930953531523</v>
      </c>
      <c r="H13" s="26"/>
      <c r="I13" s="24">
        <f>20*LOG(0.569)</f>
        <v>-4.8977546720985767</v>
      </c>
      <c r="J13" s="4"/>
    </row>
    <row r="14" spans="1:10" x14ac:dyDescent="0.3">
      <c r="A14" s="11" t="s">
        <v>31</v>
      </c>
      <c r="B14" s="21">
        <f>(1-0.6275)*-1</f>
        <v>-0.37250000000000005</v>
      </c>
      <c r="C14" s="23">
        <v>39.255982763248895</v>
      </c>
      <c r="D14" s="6">
        <v>-0.11188975024071199</v>
      </c>
      <c r="E14" s="17">
        <v>-8.9633785602539096E-2</v>
      </c>
      <c r="F14" s="17">
        <v>-2.0069645367482965E-2</v>
      </c>
      <c r="G14" s="7">
        <v>0.19558816339703844</v>
      </c>
      <c r="H14" s="26"/>
      <c r="I14" s="24">
        <f>20*LOG(0.6275)</f>
        <v>-4.0477253969384854</v>
      </c>
      <c r="J14" s="4"/>
    </row>
    <row r="15" spans="1:10" x14ac:dyDescent="0.3">
      <c r="A15" s="11" t="s">
        <v>32</v>
      </c>
      <c r="B15" s="21">
        <f>(1-0.509)*-1</f>
        <v>-0.49099999999999999</v>
      </c>
      <c r="C15" s="23">
        <v>39.257226536636679</v>
      </c>
      <c r="D15" s="6">
        <v>-0.11186161165351291</v>
      </c>
      <c r="E15" s="17">
        <v>-8.9604941864823123E-2</v>
      </c>
      <c r="F15" s="17">
        <v>-2.0038597582886033E-2</v>
      </c>
      <c r="G15" s="7">
        <v>0.19562604401129671</v>
      </c>
      <c r="H15" s="26"/>
      <c r="I15" s="24">
        <f>20*LOG(0.509)</f>
        <v>-5.865644353264825</v>
      </c>
      <c r="J15" s="4"/>
    </row>
    <row r="16" spans="1:10" x14ac:dyDescent="0.3">
      <c r="A16" s="11" t="s">
        <v>33</v>
      </c>
      <c r="B16" s="21">
        <f>(1-0.273)*-1</f>
        <v>-0.72699999999999998</v>
      </c>
      <c r="C16" s="23">
        <v>39.257981268230623</v>
      </c>
      <c r="D16" s="6">
        <v>-0.11184453693477664</v>
      </c>
      <c r="E16" s="17">
        <v>-8.9587439255139192E-2</v>
      </c>
      <c r="F16" s="17">
        <v>-2.0019757540007326E-2</v>
      </c>
      <c r="G16" s="7">
        <v>0.19564903026961311</v>
      </c>
      <c r="H16" s="8"/>
      <c r="I16" s="24">
        <f>20*LOG(0.273)</f>
        <v>-11.27674705918488</v>
      </c>
    </row>
    <row r="17" spans="1:9" x14ac:dyDescent="0.3">
      <c r="A17" s="32" t="s">
        <v>34</v>
      </c>
      <c r="B17" s="33">
        <f>(1-0.299)*-1</f>
        <v>-0.70100000000000007</v>
      </c>
      <c r="C17" s="23">
        <v>39.258512843212678</v>
      </c>
      <c r="D17" s="17">
        <v>-0.11183251081399587</v>
      </c>
      <c r="E17" s="17">
        <v>-8.9575111760830856E-2</v>
      </c>
      <c r="F17" s="17">
        <v>-2.0006488060452559E-2</v>
      </c>
      <c r="G17" s="17">
        <v>0.19566522002495146</v>
      </c>
      <c r="H17" s="8"/>
      <c r="I17" s="24">
        <f>20*LOG(0.299)</f>
        <v>-10.486576233511407</v>
      </c>
    </row>
    <row r="18" spans="1:9" x14ac:dyDescent="0.3">
      <c r="A18" s="18"/>
      <c r="B18" s="18"/>
      <c r="C18" s="18"/>
      <c r="D18" s="18"/>
      <c r="E18" s="18"/>
      <c r="F18" s="18"/>
      <c r="G18" s="18"/>
    </row>
    <row r="19" spans="1:9" x14ac:dyDescent="0.3">
      <c r="A19" s="27" t="s">
        <v>39</v>
      </c>
      <c r="B19" s="18"/>
      <c r="C19" s="9">
        <v>40.132431151894899</v>
      </c>
      <c r="D19" s="18"/>
      <c r="E19" s="9"/>
      <c r="F19" s="17">
        <f>(C19-C4)/C4</f>
        <v>1.8087619438997137E-3</v>
      </c>
      <c r="G19" s="10"/>
    </row>
    <row r="20" spans="1:9" x14ac:dyDescent="0.3">
      <c r="A20" s="27" t="s">
        <v>40</v>
      </c>
      <c r="B20" s="18"/>
      <c r="C20" s="9">
        <v>40.1962072572327</v>
      </c>
      <c r="D20" s="18"/>
      <c r="E20" s="9"/>
      <c r="F20" s="17">
        <f>(C20-C4)/C4</f>
        <v>3.4007776602725274E-3</v>
      </c>
      <c r="G20" s="10"/>
    </row>
    <row r="21" spans="1:9" ht="15" thickBot="1" x14ac:dyDescent="0.35">
      <c r="A21" s="28" t="s">
        <v>41</v>
      </c>
      <c r="B21" s="31"/>
      <c r="C21" s="29">
        <v>40.3298361589734</v>
      </c>
      <c r="D21" s="31"/>
      <c r="E21" s="29"/>
      <c r="F21" s="15">
        <f>(C21-C4)/C4</f>
        <v>6.7364989403039905E-3</v>
      </c>
      <c r="G21" s="30"/>
    </row>
    <row r="22" spans="1:9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</cp:lastModifiedBy>
  <dcterms:modified xsi:type="dcterms:W3CDTF">2021-03-31T15:59:28Z</dcterms:modified>
</cp:coreProperties>
</file>