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2120" yWindow="10340" windowWidth="25360" windowHeight="15820" tabRatio="500" activeTab="1"/>
  </bookViews>
  <sheets>
    <sheet name="Manager" sheetId="2" r:id="rId1"/>
    <sheet name="PE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2" l="1"/>
  <c r="M20" i="2"/>
  <c r="L20" i="2"/>
  <c r="P19" i="2"/>
  <c r="W52" i="2"/>
  <c r="Y40" i="2"/>
  <c r="F30" i="2"/>
  <c r="H30" i="2"/>
  <c r="K30" i="2"/>
  <c r="K42" i="2"/>
  <c r="N19" i="2"/>
  <c r="R22" i="2"/>
  <c r="R19" i="2"/>
  <c r="K41" i="2"/>
  <c r="K39" i="2"/>
  <c r="K37" i="2"/>
  <c r="K36" i="2"/>
  <c r="K35" i="2"/>
  <c r="K34" i="2"/>
  <c r="K33" i="2"/>
  <c r="K32" i="2"/>
  <c r="K31" i="2"/>
  <c r="K29" i="2"/>
  <c r="K28" i="2"/>
  <c r="K27" i="2"/>
  <c r="K26" i="2"/>
  <c r="Y37" i="2"/>
  <c r="Q64" i="2"/>
  <c r="R64" i="2"/>
  <c r="Q65" i="2"/>
  <c r="R65" i="2"/>
  <c r="R66" i="2"/>
  <c r="AA38" i="2"/>
  <c r="AA37" i="2"/>
  <c r="AA36" i="2"/>
  <c r="AA35" i="2"/>
  <c r="R63" i="2"/>
  <c r="R68" i="2"/>
  <c r="Q66" i="2"/>
  <c r="Q63" i="2"/>
  <c r="Q60" i="2"/>
  <c r="Q58" i="2"/>
  <c r="H33" i="1"/>
  <c r="H38" i="1"/>
  <c r="H40" i="1"/>
  <c r="H42" i="1"/>
  <c r="I27" i="1"/>
  <c r="F58" i="1"/>
  <c r="I31" i="1"/>
  <c r="I28" i="1"/>
  <c r="F59" i="1"/>
  <c r="I33" i="1"/>
  <c r="F60" i="1"/>
  <c r="I29" i="1"/>
  <c r="F61" i="1"/>
  <c r="I30" i="1"/>
  <c r="F62" i="1"/>
  <c r="I32" i="1"/>
  <c r="F63" i="1"/>
  <c r="I26" i="1"/>
  <c r="F64" i="1"/>
  <c r="I41" i="1"/>
  <c r="F65" i="1"/>
  <c r="I39" i="1"/>
  <c r="F66" i="1"/>
  <c r="F67" i="1"/>
  <c r="H38" i="2"/>
  <c r="H40" i="2"/>
  <c r="H42" i="2"/>
  <c r="I26" i="2"/>
  <c r="I27" i="2"/>
  <c r="Q34" i="2"/>
  <c r="I29" i="2"/>
  <c r="Q35" i="2"/>
  <c r="I30" i="2"/>
  <c r="Q36" i="2"/>
  <c r="I31" i="2"/>
  <c r="Q37" i="2"/>
  <c r="I35" i="2"/>
  <c r="I36" i="2"/>
  <c r="I37" i="2"/>
  <c r="I32" i="2"/>
  <c r="Q38" i="2"/>
  <c r="I33" i="2"/>
  <c r="I34" i="2"/>
  <c r="Q39" i="2"/>
  <c r="I28" i="2"/>
  <c r="Q40" i="2"/>
  <c r="I41" i="2"/>
  <c r="Q41" i="2"/>
  <c r="I39" i="2"/>
  <c r="Q42" i="2"/>
  <c r="Q43" i="2"/>
  <c r="H27" i="2"/>
  <c r="H28" i="2"/>
  <c r="J38" i="2"/>
  <c r="J34" i="1"/>
  <c r="H32" i="1"/>
  <c r="H31" i="1"/>
  <c r="H30" i="1"/>
  <c r="H39" i="1"/>
  <c r="H26" i="1"/>
  <c r="I38" i="1"/>
  <c r="F5" i="3"/>
  <c r="E5" i="3"/>
  <c r="G5" i="3"/>
  <c r="H5" i="3"/>
  <c r="F6" i="3"/>
  <c r="E6" i="3"/>
  <c r="G6" i="3"/>
  <c r="H6" i="3"/>
  <c r="H49" i="2"/>
  <c r="H50" i="2"/>
  <c r="H54" i="2"/>
  <c r="H53" i="2"/>
  <c r="K55" i="2"/>
  <c r="H52" i="2"/>
  <c r="H51" i="2"/>
  <c r="M50" i="2"/>
  <c r="L50" i="2"/>
  <c r="K50" i="2"/>
  <c r="N29" i="2"/>
  <c r="N31" i="2"/>
  <c r="N32" i="2"/>
  <c r="N34" i="2"/>
  <c r="N35" i="2"/>
  <c r="N36" i="2"/>
  <c r="N38" i="2"/>
  <c r="N41" i="2"/>
  <c r="M27" i="2"/>
  <c r="N27" i="2"/>
  <c r="N42" i="2"/>
  <c r="H26" i="2"/>
  <c r="H29" i="2"/>
  <c r="H32" i="2"/>
  <c r="H33" i="2"/>
  <c r="H34" i="2"/>
  <c r="H35" i="2"/>
  <c r="H36" i="2"/>
  <c r="H37" i="2"/>
  <c r="H39" i="2"/>
  <c r="F41" i="2"/>
  <c r="H41" i="2"/>
  <c r="L29" i="2"/>
  <c r="L30" i="2"/>
  <c r="L31" i="2"/>
  <c r="Q30" i="2"/>
  <c r="R30" i="2"/>
  <c r="Q25" i="2"/>
  <c r="Q22" i="2"/>
  <c r="Q19" i="2"/>
  <c r="N17" i="2"/>
  <c r="O17" i="2"/>
  <c r="Q13" i="2"/>
  <c r="O13" i="2"/>
  <c r="R30" i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36" i="1"/>
  <c r="N38" i="1"/>
  <c r="N41" i="1"/>
  <c r="N42" i="1"/>
  <c r="F41" i="1"/>
  <c r="N32" i="1"/>
  <c r="N31" i="1"/>
  <c r="N29" i="1"/>
  <c r="L31" i="1"/>
  <c r="H41" i="1"/>
  <c r="H27" i="1"/>
  <c r="H28" i="1"/>
  <c r="H29" i="1"/>
  <c r="L29" i="1"/>
  <c r="L30" i="1"/>
  <c r="N19" i="1"/>
  <c r="O17" i="1"/>
  <c r="N17" i="1"/>
  <c r="P19" i="1"/>
  <c r="Q22" i="1"/>
  <c r="Q19" i="1"/>
  <c r="Q13" i="1"/>
  <c r="O13" i="1"/>
  <c r="Q25" i="1"/>
</calcChain>
</file>

<file path=xl/comments1.xml><?xml version="1.0" encoding="utf-8"?>
<comments xmlns="http://schemas.openxmlformats.org/spreadsheetml/2006/main">
  <authors>
    <author>Lee Baker</author>
  </authors>
  <commentList>
    <comment ref="F30" authorId="0">
      <text>
        <r>
          <rPr>
            <b/>
            <sz val="9"/>
            <color indexed="81"/>
            <rFont val="Calibri"/>
            <family val="2"/>
          </rPr>
          <t xml:space="preserve">Lee Baker:With 32x256 memories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<sst xmlns="http://schemas.openxmlformats.org/spreadsheetml/2006/main" count="188" uniqueCount="114">
  <si>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</si>
  <si>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</si>
  <si>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</si>
  <si>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</si>
  <si>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</si>
  <si>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</si>
  <si>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</si>
  <si>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</si>
  <si>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</si>
  <si>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</si>
  <si>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</si>
  <si>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</si>
  <si>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</si>
  <si>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</si>
  <si>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</si>
  <si>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</si>
  <si>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</si>
  <si>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</si>
  <si>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</si>
  <si>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</si>
  <si>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</si>
  <si>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</si>
  <si>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</si>
  <si>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</si>
  <si>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</si>
  <si>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</si>
  <si>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</si>
  <si>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</si>
  <si>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</si>
  <si>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</si>
  <si>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</si>
  <si>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</si>
  <si>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</si>
  <si>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</si>
  <si>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</si>
  <si>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</si>
  <si>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</si>
  <si>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</si>
  <si>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</si>
  <si>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</si>
  <si>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</si>
  <si>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</si>
  <si>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</si>
  <si>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</si>
  <si>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</si>
  <si>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</si>
  <si>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</si>
  <si>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</si>
  <si>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</si>
  <si>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</si>
  <si>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</si>
  <si>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</si>
  <si>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</si>
  <si>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</si>
  <si>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</si>
  <si>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</si>
  <si>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</si>
  <si>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</si>
  <si>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</si>
  <si>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</si>
  <si>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</si>
  <si>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</si>
  <si>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</si>
  <si>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</si>
  <si>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</si>
  <si>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</si>
  <si>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</si>
  <si>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</si>
  <si>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</si>
  <si>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</si>
  <si>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</si>
  <si>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</si>
  <si>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</si>
  <si>
    <t>memory Controller</t>
  </si>
  <si>
    <t>NoC</t>
  </si>
  <si>
    <t>Read Control</t>
  </si>
  <si>
    <t>Write Control</t>
  </si>
  <si>
    <t>Instructio Proc</t>
  </si>
  <si>
    <t>read data proc</t>
  </si>
  <si>
    <t>System Controller</t>
  </si>
  <si>
    <t>Misc</t>
  </si>
  <si>
    <t>TSV</t>
  </si>
  <si>
    <t>Operation Decode</t>
  </si>
  <si>
    <t>return Data Control</t>
  </si>
  <si>
    <t>SIMD</t>
  </si>
  <si>
    <t>Streaming Ops</t>
  </si>
  <si>
    <t>StOp Control</t>
  </si>
  <si>
    <t>LM</t>
  </si>
  <si>
    <t>Memory Area</t>
  </si>
  <si>
    <t>Logic Area</t>
  </si>
  <si>
    <t>Comb</t>
  </si>
  <si>
    <t>Buf/Inv</t>
  </si>
  <si>
    <t>NonComb</t>
  </si>
  <si>
    <t>macro/Blackbox</t>
  </si>
  <si>
    <t>from logs.65nm/manager</t>
  </si>
  <si>
    <t>Memory</t>
  </si>
  <si>
    <t>Logic</t>
  </si>
  <si>
    <t>65nm</t>
  </si>
  <si>
    <t>Breakdown</t>
  </si>
  <si>
    <t>28nm</t>
  </si>
  <si>
    <t>64x256</t>
  </si>
  <si>
    <t>32x256</t>
  </si>
  <si>
    <t>area saving</t>
  </si>
  <si>
    <t>total</t>
  </si>
  <si>
    <t>logic</t>
  </si>
  <si>
    <t>Net Interconnect area:      undefined  (Wire load has zero net area)</t>
  </si>
  <si>
    <t>Memory represents</t>
  </si>
  <si>
    <t>Combinational area</t>
  </si>
  <si>
    <t xml:space="preserve">Buf/Inv area: </t>
  </si>
  <si>
    <t>Noncombinational area:</t>
  </si>
  <si>
    <t>Macro/Black Box area:</t>
  </si>
  <si>
    <t xml:space="preserve">Total cell area: </t>
  </si>
  <si>
    <t xml:space="preserve"> undefined  (Wire load has zero net area)</t>
  </si>
  <si>
    <t>SIMD 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</si>
</sst>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  <xf numFmtId="0" fontId="7" fillId="0" borderId="0" xfId="0" applyFont="1"/>
    <xf numFmtId="10" fontId="7" fillId="0" borderId="0" xfId="0" applyNumberFormat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A68"/>
  <sheetViews>
    <sheetView topLeftCell="B4" workbookViewId="0">
      <selection activeCell="P21" sqref="P21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1.6431676725154984</v>
      </c>
      <c r="P13" s="7">
        <v>1.39</v>
      </c>
      <c r="Q13" s="7">
        <f>SQRT(O19)</f>
        <v>1.6431676725154984</v>
      </c>
    </row>
    <row r="14" spans="3:17">
      <c r="C14" t="s">
        <v>12</v>
      </c>
      <c r="N14" t="s">
        <v>95</v>
      </c>
      <c r="O14">
        <v>2.79</v>
      </c>
    </row>
    <row r="15" spans="3:17">
      <c r="C15" t="s">
        <v>13</v>
      </c>
      <c r="L15" t="s">
        <v>44</v>
      </c>
      <c r="N15" t="s">
        <v>96</v>
      </c>
      <c r="O15">
        <v>2.68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1.47</v>
      </c>
      <c r="M19">
        <v>1.6559999999999999</v>
      </c>
      <c r="N19">
        <f>L19*M19</f>
        <v>2.43432</v>
      </c>
      <c r="O19">
        <v>2.7</v>
      </c>
      <c r="P19">
        <f>O14*N19*(W52)+N19*O15*(1-W52)</f>
        <v>6.661495908618436</v>
      </c>
      <c r="Q19">
        <f>H42/P19/1000000</f>
        <v>0.7282892711415293</v>
      </c>
      <c r="R19" s="10">
        <f>K42/(N19*1000000)</f>
        <v>0.82691056582452782</v>
      </c>
    </row>
    <row r="20" spans="3:18">
      <c r="L20">
        <f>L19*SQRT(AVERAGE(O14,O15))</f>
        <v>2.4310618050555606</v>
      </c>
      <c r="M20">
        <f>M19*SQRT(AVERAGE(O14,O15))</f>
        <v>2.7386655436544274</v>
      </c>
      <c r="P20">
        <f>L20*M20</f>
        <v>6.6578652000000007</v>
      </c>
      <c r="R20" s="10"/>
    </row>
    <row r="21" spans="3:18">
      <c r="R21" s="10"/>
    </row>
    <row r="22" spans="3:18">
      <c r="P22" s="1" t="s">
        <v>28</v>
      </c>
      <c r="Q22">
        <f>(H42-H41)/(P19*1000000-H41)</f>
        <v>0.71395818751931817</v>
      </c>
      <c r="R22" s="10">
        <f>(K42-K41)/(N19*1000000-K41)</f>
        <v>0.79940917398513955</v>
      </c>
    </row>
    <row r="25" spans="3:18">
      <c r="I25" t="s">
        <v>71</v>
      </c>
      <c r="K25" t="s">
        <v>99</v>
      </c>
      <c r="P25" t="s">
        <v>31</v>
      </c>
      <c r="Q25">
        <f>0.7*P19*1000000</f>
        <v>4663047.1360329045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I26" s="9">
        <f>H26/$H$42</f>
        <v>2.3497906625090489E-2</v>
      </c>
      <c r="K26" s="13">
        <f>H26*(1-$Q$60)/$O$15+H26*$Q$60/$O$14</f>
        <v>41686.651106584563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880000</v>
      </c>
      <c r="G27">
        <v>1</v>
      </c>
      <c r="H27">
        <f t="shared" ref="H27:H37" si="0">F27*G27</f>
        <v>880000</v>
      </c>
      <c r="I27" s="9">
        <f t="shared" ref="I27:I41" si="1">H27/$H$42</f>
        <v>0.1813873493866634</v>
      </c>
      <c r="K27" s="13">
        <f t="shared" ref="K27:K39" si="2">H27*(1-$Q$60)/$O$15+H27*$Q$60/$O$14</f>
        <v>321791.6927525826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77000</v>
      </c>
      <c r="G28">
        <v>1</v>
      </c>
      <c r="H28">
        <f t="shared" si="0"/>
        <v>77000</v>
      </c>
      <c r="I28" s="9">
        <f t="shared" si="1"/>
        <v>1.5871393071333048E-2</v>
      </c>
      <c r="K28" s="13">
        <f t="shared" si="2"/>
        <v>28156.773115850978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I29" s="9">
        <f t="shared" si="1"/>
        <v>6.9050865959695729E-2</v>
      </c>
      <c r="K29" s="13">
        <f t="shared" si="2"/>
        <v>122500.24667285813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 s="12">
        <f>1280000-(Y40)</f>
        <v>1135088</v>
      </c>
      <c r="G30">
        <v>2</v>
      </c>
      <c r="H30">
        <f>F30*G30</f>
        <v>2270176</v>
      </c>
      <c r="I30" s="9">
        <f t="shared" si="1"/>
        <v>0.46793319009229317</v>
      </c>
      <c r="K30" s="13">
        <f t="shared" si="2"/>
        <v>830140.65668896236</v>
      </c>
      <c r="L30">
        <f>2700*2</f>
        <v>5400</v>
      </c>
      <c r="M30" t="s">
        <v>33</v>
      </c>
      <c r="N30">
        <v>40</v>
      </c>
      <c r="Q30">
        <f>1.95*N19</f>
        <v>4.7469239999999999</v>
      </c>
      <c r="R30">
        <f>Q30*0.7</f>
        <v>3.3228467999999998</v>
      </c>
    </row>
    <row r="31" spans="3:18">
      <c r="E31" t="s">
        <v>25</v>
      </c>
      <c r="F31">
        <v>179000</v>
      </c>
      <c r="G31">
        <v>1</v>
      </c>
      <c r="H31">
        <v>350000</v>
      </c>
      <c r="I31" s="9">
        <f t="shared" si="1"/>
        <v>7.2142695778786584E-2</v>
      </c>
      <c r="K31" s="13">
        <f t="shared" si="2"/>
        <v>127985.33234477717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I32" s="9">
        <f t="shared" si="1"/>
        <v>1.4222417167817926E-3</v>
      </c>
      <c r="K32" s="13">
        <f t="shared" si="2"/>
        <v>2523.1394090827498</v>
      </c>
      <c r="N32">
        <f>SUM(N29:N31)</f>
        <v>2495</v>
      </c>
    </row>
    <row r="33" spans="5:27">
      <c r="E33" t="s">
        <v>19</v>
      </c>
      <c r="F33">
        <v>54000</v>
      </c>
      <c r="G33">
        <v>1</v>
      </c>
      <c r="H33">
        <f t="shared" si="0"/>
        <v>54000</v>
      </c>
      <c r="I33" s="9">
        <f t="shared" si="1"/>
        <v>1.1130587348727072E-2</v>
      </c>
      <c r="K33" s="13">
        <f t="shared" si="2"/>
        <v>19746.308418908477</v>
      </c>
      <c r="Q33" t="s">
        <v>103</v>
      </c>
      <c r="R33" t="s">
        <v>104</v>
      </c>
    </row>
    <row r="34" spans="5:27">
      <c r="E34" t="s">
        <v>20</v>
      </c>
      <c r="F34">
        <v>24000</v>
      </c>
      <c r="G34">
        <v>1</v>
      </c>
      <c r="H34">
        <f t="shared" si="0"/>
        <v>24000</v>
      </c>
      <c r="I34" s="9">
        <f t="shared" si="1"/>
        <v>4.9469277105453659E-3</v>
      </c>
      <c r="K34" s="13">
        <f t="shared" si="2"/>
        <v>8776.1370750704336</v>
      </c>
      <c r="M34" t="s">
        <v>35</v>
      </c>
      <c r="N34">
        <f>2048*2</f>
        <v>4096</v>
      </c>
      <c r="P34" s="1" t="s">
        <v>73</v>
      </c>
      <c r="Q34" s="9">
        <f>I26+I27</f>
        <v>0.20488525601175389</v>
      </c>
    </row>
    <row r="35" spans="5:27">
      <c r="E35" t="s">
        <v>21</v>
      </c>
      <c r="F35">
        <v>12500</v>
      </c>
      <c r="G35">
        <v>1</v>
      </c>
      <c r="H35">
        <f t="shared" si="0"/>
        <v>12500</v>
      </c>
      <c r="I35" s="9">
        <f t="shared" si="1"/>
        <v>2.576524849242378E-3</v>
      </c>
      <c r="K35" s="13">
        <f t="shared" si="2"/>
        <v>4570.9047265991849</v>
      </c>
      <c r="M35" t="s">
        <v>36</v>
      </c>
      <c r="N35">
        <f>12+5+3+2048/32</f>
        <v>84</v>
      </c>
      <c r="P35" s="1" t="s">
        <v>74</v>
      </c>
      <c r="Q35" s="9">
        <f>I29</f>
        <v>6.9050865959695729E-2</v>
      </c>
      <c r="AA35">
        <f>12.5/8</f>
        <v>1.5625</v>
      </c>
    </row>
    <row r="36" spans="5:27">
      <c r="E36" t="s">
        <v>22</v>
      </c>
      <c r="F36">
        <v>500</v>
      </c>
      <c r="G36">
        <v>1</v>
      </c>
      <c r="H36">
        <f t="shared" si="0"/>
        <v>500</v>
      </c>
      <c r="I36" s="9">
        <f t="shared" si="1"/>
        <v>1.0306099396969512E-4</v>
      </c>
      <c r="K36" s="13">
        <f t="shared" si="2"/>
        <v>182.83618906396737</v>
      </c>
      <c r="M36" s="2" t="s">
        <v>40</v>
      </c>
      <c r="N36" s="2">
        <f>SUM(N34:N35)</f>
        <v>4180</v>
      </c>
      <c r="P36" s="1" t="s">
        <v>75</v>
      </c>
      <c r="Q36" s="9">
        <f>I30</f>
        <v>0.46793319009229317</v>
      </c>
      <c r="AA36">
        <f>14/8</f>
        <v>1.75</v>
      </c>
    </row>
    <row r="37" spans="5:27">
      <c r="E37" t="s">
        <v>23</v>
      </c>
      <c r="F37">
        <v>63670</v>
      </c>
      <c r="G37">
        <v>1</v>
      </c>
      <c r="H37">
        <f t="shared" si="0"/>
        <v>63670</v>
      </c>
      <c r="I37" s="9">
        <f t="shared" si="1"/>
        <v>1.3123786972100976E-2</v>
      </c>
      <c r="K37" s="13">
        <f t="shared" si="2"/>
        <v>23282.360315405604</v>
      </c>
      <c r="P37" s="1" t="s">
        <v>76</v>
      </c>
      <c r="Q37" s="9">
        <f>I31</f>
        <v>7.2142695778786584E-2</v>
      </c>
      <c r="X37" t="s">
        <v>100</v>
      </c>
      <c r="Y37">
        <f>37392</f>
        <v>37392</v>
      </c>
      <c r="AA37">
        <f>AA35*AA36</f>
        <v>2.734375</v>
      </c>
    </row>
    <row r="38" spans="5:27">
      <c r="G38" s="2" t="s">
        <v>40</v>
      </c>
      <c r="H38" s="2">
        <f>SUM(H26:H37)</f>
        <v>4187746</v>
      </c>
      <c r="J38" s="9">
        <f>SUM(I26:I37)+I39+I41</f>
        <v>1.0000000000000002</v>
      </c>
      <c r="K38" s="13"/>
      <c r="M38" t="s">
        <v>37</v>
      </c>
      <c r="N38">
        <f>N32+N36</f>
        <v>6675</v>
      </c>
      <c r="P38" s="1" t="s">
        <v>77</v>
      </c>
      <c r="Q38" s="9">
        <f>I35+I36+I37+I32</f>
        <v>1.7225614532094841E-2</v>
      </c>
      <c r="X38" t="s">
        <v>101</v>
      </c>
      <c r="Y38">
        <v>28335</v>
      </c>
      <c r="AA38">
        <f>AA37*1000000</f>
        <v>2734375</v>
      </c>
    </row>
    <row r="39" spans="5:27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6.8020256019998782E-2</v>
      </c>
      <c r="K39" s="13">
        <f t="shared" si="2"/>
        <v>120671.88478221846</v>
      </c>
      <c r="M39" t="s">
        <v>38</v>
      </c>
      <c r="N39" s="2">
        <v>1</v>
      </c>
      <c r="P39" s="1" t="s">
        <v>78</v>
      </c>
      <c r="Q39" s="9">
        <f>I33+I34</f>
        <v>1.6077515059272438E-2</v>
      </c>
    </row>
    <row r="40" spans="5:27">
      <c r="G40" s="2" t="s">
        <v>40</v>
      </c>
      <c r="H40" s="2">
        <f>H38+H39</f>
        <v>4517746</v>
      </c>
      <c r="K40" s="13"/>
      <c r="P40" s="1" t="s">
        <v>79</v>
      </c>
      <c r="Q40" s="9">
        <f>I28</f>
        <v>1.5871393071333048E-2</v>
      </c>
      <c r="X40" t="s">
        <v>102</v>
      </c>
      <c r="Y40">
        <f>(Y37-Y38)*16</f>
        <v>144912</v>
      </c>
    </row>
    <row r="41" spans="5:27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6.8793213474771492E-2</v>
      </c>
      <c r="K41" s="13">
        <f>H41</f>
        <v>333750</v>
      </c>
      <c r="N41">
        <f>N38+N39*N38</f>
        <v>13350</v>
      </c>
      <c r="P41" s="1" t="s">
        <v>81</v>
      </c>
      <c r="Q41" s="9">
        <f>I41</f>
        <v>6.8793213474771492E-2</v>
      </c>
    </row>
    <row r="42" spans="5:27">
      <c r="G42" s="3" t="s">
        <v>37</v>
      </c>
      <c r="H42" s="2">
        <f>H40+H41</f>
        <v>4851496</v>
      </c>
      <c r="K42" s="13">
        <f>SUM(K26:L41)</f>
        <v>2012964.9285979646</v>
      </c>
      <c r="M42" s="2" t="s">
        <v>39</v>
      </c>
      <c r="N42" s="2">
        <f>N41/N27*1000000</f>
        <v>333750</v>
      </c>
      <c r="P42" s="1" t="s">
        <v>80</v>
      </c>
      <c r="Q42" s="9">
        <f>I39</f>
        <v>6.8020256019998782E-2</v>
      </c>
    </row>
    <row r="43" spans="5:27">
      <c r="Q43" s="9">
        <f>SUM(Q34:Q42)</f>
        <v>1</v>
      </c>
    </row>
    <row r="46" spans="5:27">
      <c r="G46" t="s">
        <v>54</v>
      </c>
      <c r="K46">
        <v>65</v>
      </c>
      <c r="L46">
        <v>32</v>
      </c>
      <c r="M46">
        <v>21</v>
      </c>
    </row>
    <row r="47" spans="5:27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27">
      <c r="J48" t="s">
        <v>53</v>
      </c>
      <c r="K48">
        <v>2</v>
      </c>
      <c r="L48">
        <v>0.5</v>
      </c>
      <c r="M48">
        <v>0.26</v>
      </c>
    </row>
    <row r="49" spans="5:24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24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24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  <c r="W51" s="14" t="s">
        <v>106</v>
      </c>
    </row>
    <row r="52" spans="5:24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  <c r="P52" t="s">
        <v>94</v>
      </c>
      <c r="W52" s="15">
        <f>X59/X62</f>
        <v>0.51355879341490751</v>
      </c>
    </row>
    <row r="53" spans="5:24">
      <c r="G53" s="8">
        <v>28</v>
      </c>
      <c r="H53" s="7">
        <f>$H$49*G53+$H$50</f>
        <v>0.69090909090909103</v>
      </c>
      <c r="P53" s="1" t="s">
        <v>90</v>
      </c>
      <c r="Q53">
        <v>1194054.8500000001</v>
      </c>
    </row>
    <row r="54" spans="5:24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  <c r="P54" s="1" t="s">
        <v>91</v>
      </c>
      <c r="Q54">
        <v>57651.839999999997</v>
      </c>
    </row>
    <row r="55" spans="5:24">
      <c r="I55">
        <v>65</v>
      </c>
      <c r="J55">
        <v>28</v>
      </c>
      <c r="K55">
        <f>H54/H53</f>
        <v>1.9249999999999998</v>
      </c>
      <c r="P55" s="1" t="s">
        <v>92</v>
      </c>
      <c r="Q55">
        <v>1050958.46</v>
      </c>
    </row>
    <row r="56" spans="5:24">
      <c r="P56" s="1" t="s">
        <v>93</v>
      </c>
      <c r="Q56">
        <v>2370165.83</v>
      </c>
      <c r="W56" t="s">
        <v>107</v>
      </c>
      <c r="X56">
        <v>1194054.8478250001</v>
      </c>
    </row>
    <row r="57" spans="5:24">
      <c r="W57" t="s">
        <v>108</v>
      </c>
      <c r="X57">
        <v>57651.841992000001</v>
      </c>
    </row>
    <row r="58" spans="5:24">
      <c r="P58" s="1" t="s">
        <v>37</v>
      </c>
      <c r="Q58">
        <f>SUM(Q53:Q56)</f>
        <v>4672830.9800000004</v>
      </c>
      <c r="W58" t="s">
        <v>109</v>
      </c>
      <c r="X58">
        <v>1050958.459363</v>
      </c>
    </row>
    <row r="59" spans="5:24">
      <c r="W59" t="s">
        <v>110</v>
      </c>
      <c r="X59">
        <v>2370165.828125</v>
      </c>
    </row>
    <row r="60" spans="5:24">
      <c r="H60" s="1" t="s">
        <v>88</v>
      </c>
      <c r="P60" s="1" t="s">
        <v>95</v>
      </c>
      <c r="Q60" s="10">
        <f>Q56/Q58</f>
        <v>0.50722267510732855</v>
      </c>
      <c r="W60" t="s">
        <v>105</v>
      </c>
      <c r="X60" t="s">
        <v>112</v>
      </c>
    </row>
    <row r="61" spans="5:24">
      <c r="H61" s="1" t="s">
        <v>89</v>
      </c>
    </row>
    <row r="62" spans="5:24">
      <c r="P62" s="11" t="s">
        <v>98</v>
      </c>
      <c r="Q62" s="4" t="s">
        <v>97</v>
      </c>
      <c r="R62" s="4" t="s">
        <v>99</v>
      </c>
      <c r="W62" t="s">
        <v>111</v>
      </c>
      <c r="X62">
        <v>4615179.1353129996</v>
      </c>
    </row>
    <row r="63" spans="5:24">
      <c r="P63" s="11" t="s">
        <v>81</v>
      </c>
      <c r="Q63" s="4">
        <f>H41</f>
        <v>333750</v>
      </c>
      <c r="R63" s="4">
        <f>Q63</f>
        <v>333750</v>
      </c>
    </row>
    <row r="64" spans="5:24">
      <c r="P64" s="11" t="s">
        <v>96</v>
      </c>
      <c r="Q64" s="4">
        <f>(SUM(H26:H37)+H39)*(1-Q60)</f>
        <v>2226242.7884245669</v>
      </c>
      <c r="R64" s="4">
        <f>Q64/O15</f>
        <v>830687.60762110702</v>
      </c>
    </row>
    <row r="65" spans="16:18">
      <c r="P65" s="11" t="s">
        <v>95</v>
      </c>
      <c r="Q65" s="4">
        <f>(SUM(H26:H37)+H39)*(Q60)</f>
        <v>2291503.2115754331</v>
      </c>
      <c r="R65" s="4">
        <f>Q65/O14</f>
        <v>821327.31597685779</v>
      </c>
    </row>
    <row r="66" spans="16:18">
      <c r="Q66" s="4">
        <f>SUM(Q63:Q65)</f>
        <v>4851496</v>
      </c>
      <c r="R66" s="4">
        <f>SUM(R63:R65)</f>
        <v>1985764.9235979649</v>
      </c>
    </row>
    <row r="68" spans="16:18">
      <c r="Q68" t="s">
        <v>49</v>
      </c>
      <c r="R68" s="10">
        <f>R66/(N19*1000000)</f>
        <v>0.81573701222434392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7"/>
  <sheetViews>
    <sheetView tabSelected="1" topLeftCell="B33" workbookViewId="0">
      <selection activeCell="E62" sqref="E62"/>
    </sheetView>
  </sheetViews>
  <sheetFormatPr baseColWidth="10" defaultRowHeight="15" x14ac:dyDescent="0"/>
  <cols>
    <col min="5" max="5" width="3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0.51278059839703682</v>
      </c>
    </row>
    <row r="22" spans="3:18">
      <c r="P22" s="1" t="s">
        <v>28</v>
      </c>
      <c r="Q22">
        <f>(H42-H41)/(P19*1000000-H41)</f>
        <v>0.5028792975654256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 t="shared" ref="H26:H33" si="0">F26*G26</f>
        <v>550000</v>
      </c>
      <c r="I26" s="9">
        <f>H26/$H$42</f>
        <v>0.17124620533976803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si="0"/>
        <v>105000</v>
      </c>
      <c r="I27" s="9">
        <f t="shared" ref="I27:I33" si="1">H27/$H$42</f>
        <v>3.2692457383046623E-2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9.9634155834046854E-3</v>
      </c>
    </row>
    <row r="29" spans="3:18">
      <c r="E29" t="s">
        <v>67</v>
      </c>
      <c r="F29">
        <v>600000</v>
      </c>
      <c r="G29">
        <v>1</v>
      </c>
      <c r="H29">
        <f t="shared" si="0"/>
        <v>600000</v>
      </c>
      <c r="I29" s="9">
        <f t="shared" si="1"/>
        <v>0.18681404218883785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 t="shared" si="0"/>
        <v>1344000</v>
      </c>
      <c r="I30" s="9">
        <f t="shared" si="1"/>
        <v>0.41846345450299682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 t="shared" si="0"/>
        <v>17000</v>
      </c>
      <c r="I31" s="9">
        <f t="shared" si="1"/>
        <v>5.2930645286837393E-3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 t="shared" si="0"/>
        <v>64000</v>
      </c>
      <c r="I32" s="9">
        <f t="shared" si="1"/>
        <v>1.9926831166809371E-2</v>
      </c>
      <c r="N32">
        <f>SUM(N29:N31)</f>
        <v>2495</v>
      </c>
    </row>
    <row r="33" spans="5:14">
      <c r="E33" t="s">
        <v>72</v>
      </c>
      <c r="F33">
        <v>360000</v>
      </c>
      <c r="G33">
        <v>1</v>
      </c>
      <c r="H33">
        <f t="shared" si="0"/>
        <v>360000</v>
      </c>
      <c r="I33" s="9">
        <f t="shared" si="1"/>
        <v>0.11208842531330272</v>
      </c>
    </row>
    <row r="34" spans="5:14">
      <c r="J34" s="9">
        <f>SUM(I26:I37)+I41+I39</f>
        <v>1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3072000</v>
      </c>
      <c r="I38">
        <f>H38-H29</f>
        <v>2472000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4.6703510547209462E-3</v>
      </c>
      <c r="M39" t="s">
        <v>38</v>
      </c>
      <c r="N39" s="2">
        <v>1</v>
      </c>
    </row>
    <row r="40" spans="5:14">
      <c r="G40" s="2" t="s">
        <v>40</v>
      </c>
      <c r="H40" s="2">
        <f>H38+H39</f>
        <v>3087000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3.8841752938429203E-2</v>
      </c>
      <c r="N41">
        <f>N38+N39*N38</f>
        <v>4990</v>
      </c>
    </row>
    <row r="42" spans="5:14">
      <c r="G42" s="3" t="s">
        <v>37</v>
      </c>
      <c r="H42" s="2">
        <f>H40+H41</f>
        <v>3211750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  <row r="58" spans="5:13">
      <c r="E58" t="s">
        <v>82</v>
      </c>
      <c r="F58" s="9">
        <f>I27</f>
        <v>3.2692457383046623E-2</v>
      </c>
    </row>
    <row r="59" spans="5:13">
      <c r="E59" t="s">
        <v>83</v>
      </c>
      <c r="F59" s="9">
        <f>I31+I28</f>
        <v>1.5256480112088425E-2</v>
      </c>
    </row>
    <row r="60" spans="5:13">
      <c r="E60" t="s">
        <v>113</v>
      </c>
      <c r="F60" s="9">
        <f>I33</f>
        <v>0.11208842531330272</v>
      </c>
    </row>
    <row r="61" spans="5:13">
      <c r="E61" t="s">
        <v>84</v>
      </c>
      <c r="F61" s="9">
        <f>I29</f>
        <v>0.18681404218883785</v>
      </c>
    </row>
    <row r="62" spans="5:13">
      <c r="E62" t="s">
        <v>85</v>
      </c>
      <c r="F62" s="9">
        <f>I30</f>
        <v>0.41846345450299682</v>
      </c>
    </row>
    <row r="63" spans="5:13">
      <c r="E63" t="s">
        <v>86</v>
      </c>
      <c r="F63" s="9">
        <f>I32</f>
        <v>1.9926831166809371E-2</v>
      </c>
    </row>
    <row r="64" spans="5:13">
      <c r="E64" t="s">
        <v>87</v>
      </c>
      <c r="F64" s="9">
        <f>I26</f>
        <v>0.17124620533976803</v>
      </c>
    </row>
    <row r="65" spans="5:6">
      <c r="E65" t="s">
        <v>81</v>
      </c>
      <c r="F65" s="9">
        <f>I41</f>
        <v>3.8841752938429203E-2</v>
      </c>
    </row>
    <row r="66" spans="5:6">
      <c r="E66" t="s">
        <v>80</v>
      </c>
      <c r="F66" s="9">
        <f>I39</f>
        <v>4.6703510547209462E-3</v>
      </c>
    </row>
    <row r="67" spans="5:6">
      <c r="F67" s="9">
        <f>SUM(F58:F66)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workbookViewId="0">
      <selection activeCell="J4" sqref="J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4517746</v>
      </c>
      <c r="F5">
        <f>PE!H40</f>
        <v>3087000</v>
      </c>
      <c r="G5">
        <f>SUM(E5:F5)</f>
        <v>7604746</v>
      </c>
      <c r="H5">
        <f>G5*H$4</f>
        <v>7604746</v>
      </c>
    </row>
    <row r="6" spans="5:8">
      <c r="E6">
        <f>E5/Manager!O19</f>
        <v>1673239.2592592591</v>
      </c>
      <c r="F6">
        <f>F5/PE!O19</f>
        <v>1187307.6923076923</v>
      </c>
      <c r="G6">
        <f>SUM(E6:F6)</f>
        <v>2860546.9515669513</v>
      </c>
      <c r="H6">
        <f>G6*H$4</f>
        <v>2860546.9515669513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2018-02-02T20:14:18Z</dcterms:modified>
</cp:coreProperties>
</file>