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bbaker/Documents/workspace/github/ece-cortical-MainResearch/DOC/"/>
    </mc:Choice>
  </mc:AlternateContent>
  <bookViews>
    <workbookView xWindow="0" yWindow="460" windowWidth="51200" windowHeight="27040" tabRatio="500"/>
  </bookViews>
  <sheets>
    <sheet name="Manager" sheetId="2" r:id="rId1"/>
    <sheet name="PE" sheetId="1" r:id="rId2"/>
    <sheet name="Shee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1" l="1"/>
  <c r="L65" i="1"/>
  <c r="L69" i="1"/>
  <c r="R39" i="2"/>
  <c r="R38" i="2"/>
  <c r="R35" i="2"/>
  <c r="H32" i="1"/>
  <c r="L68" i="1" s="1"/>
  <c r="M68" i="1" s="1"/>
  <c r="H31" i="1"/>
  <c r="L64" i="1" s="1"/>
  <c r="H30" i="1"/>
  <c r="L67" i="1" s="1"/>
  <c r="H29" i="1"/>
  <c r="L66" i="1" s="1"/>
  <c r="H28" i="1"/>
  <c r="H38" i="1" s="1"/>
  <c r="H27" i="1"/>
  <c r="H37" i="2"/>
  <c r="H36" i="2"/>
  <c r="H35" i="2"/>
  <c r="K35" i="2" s="1"/>
  <c r="H34" i="2"/>
  <c r="H33" i="2"/>
  <c r="H32" i="2"/>
  <c r="H31" i="2"/>
  <c r="R37" i="2" s="1"/>
  <c r="H29" i="2"/>
  <c r="H28" i="2"/>
  <c r="H27" i="2"/>
  <c r="H26" i="2"/>
  <c r="K26" i="2" s="1"/>
  <c r="M20" i="2"/>
  <c r="L20" i="2"/>
  <c r="P20" i="2" s="1"/>
  <c r="K13" i="2"/>
  <c r="O19" i="2" s="1"/>
  <c r="N19" i="2"/>
  <c r="R63" i="1" s="1"/>
  <c r="AD37" i="2"/>
  <c r="AD40" i="2" s="1"/>
  <c r="F30" i="2" s="1"/>
  <c r="H30" i="2" s="1"/>
  <c r="AF37" i="2"/>
  <c r="AF38" i="2"/>
  <c r="AF36" i="2"/>
  <c r="AF35" i="2"/>
  <c r="Q58" i="2"/>
  <c r="Q60" i="2" s="1"/>
  <c r="H26" i="1"/>
  <c r="H39" i="1"/>
  <c r="N29" i="1"/>
  <c r="N31" i="1"/>
  <c r="N32" i="1"/>
  <c r="N38" i="1" s="1"/>
  <c r="N41" i="1" s="1"/>
  <c r="N42" i="1" s="1"/>
  <c r="F41" i="1" s="1"/>
  <c r="H41" i="1" s="1"/>
  <c r="N36" i="1"/>
  <c r="M27" i="1"/>
  <c r="N27" i="1"/>
  <c r="H49" i="2"/>
  <c r="H54" i="2" s="1"/>
  <c r="H50" i="2"/>
  <c r="H52" i="2" s="1"/>
  <c r="M50" i="2"/>
  <c r="L50" i="2"/>
  <c r="K50" i="2"/>
  <c r="N29" i="2"/>
  <c r="N31" i="2"/>
  <c r="N32" i="2"/>
  <c r="N38" i="2" s="1"/>
  <c r="N41" i="2" s="1"/>
  <c r="N42" i="2" s="1"/>
  <c r="F41" i="2" s="1"/>
  <c r="H41" i="2" s="1"/>
  <c r="N34" i="2"/>
  <c r="N36" i="2" s="1"/>
  <c r="N35" i="2"/>
  <c r="M27" i="2"/>
  <c r="N27" i="2"/>
  <c r="H39" i="2"/>
  <c r="L29" i="2"/>
  <c r="L30" i="2"/>
  <c r="N17" i="2"/>
  <c r="O17" i="2"/>
  <c r="N19" i="1"/>
  <c r="P19" i="1" s="1"/>
  <c r="Q25" i="1" s="1"/>
  <c r="Q30" i="1"/>
  <c r="R30" i="1" s="1"/>
  <c r="H49" i="1"/>
  <c r="H53" i="1" s="1"/>
  <c r="H50" i="1"/>
  <c r="H52" i="1" s="1"/>
  <c r="H54" i="1"/>
  <c r="K55" i="1" s="1"/>
  <c r="H51" i="1"/>
  <c r="M50" i="1"/>
  <c r="L50" i="1"/>
  <c r="K50" i="1"/>
  <c r="L29" i="1"/>
  <c r="L31" i="1" s="1"/>
  <c r="L30" i="1"/>
  <c r="N17" i="1"/>
  <c r="O17" i="1"/>
  <c r="Q13" i="1"/>
  <c r="O13" i="1" s="1"/>
  <c r="R41" i="2" l="1"/>
  <c r="Q63" i="2"/>
  <c r="K41" i="2"/>
  <c r="S41" i="2" s="1"/>
  <c r="R36" i="2"/>
  <c r="K30" i="2"/>
  <c r="S36" i="2" s="1"/>
  <c r="M64" i="1"/>
  <c r="L72" i="1"/>
  <c r="L31" i="2"/>
  <c r="S34" i="2"/>
  <c r="I38" i="1"/>
  <c r="H40" i="1"/>
  <c r="R42" i="2"/>
  <c r="Q64" i="2"/>
  <c r="R64" i="2" s="1"/>
  <c r="K39" i="2"/>
  <c r="S42" i="2" s="1"/>
  <c r="Q65" i="2"/>
  <c r="R65" i="2" s="1"/>
  <c r="L70" i="1"/>
  <c r="M70" i="1" s="1"/>
  <c r="Q9" i="2"/>
  <c r="O9" i="2" s="1"/>
  <c r="M63" i="1"/>
  <c r="P19" i="2"/>
  <c r="M65" i="1"/>
  <c r="M69" i="1"/>
  <c r="K32" i="2"/>
  <c r="K36" i="2"/>
  <c r="S38" i="2" s="1"/>
  <c r="M66" i="1"/>
  <c r="K29" i="2"/>
  <c r="S35" i="2" s="1"/>
  <c r="K34" i="2"/>
  <c r="K28" i="2"/>
  <c r="S40" i="2" s="1"/>
  <c r="K33" i="2"/>
  <c r="K37" i="2"/>
  <c r="M67" i="1"/>
  <c r="W35" i="2"/>
  <c r="R34" i="2"/>
  <c r="L71" i="1"/>
  <c r="M71" i="1" s="1"/>
  <c r="H53" i="2"/>
  <c r="K55" i="2" s="1"/>
  <c r="K27" i="2"/>
  <c r="K42" i="2" s="1"/>
  <c r="R40" i="2"/>
  <c r="Q30" i="2"/>
  <c r="R30" i="2" s="1"/>
  <c r="H51" i="2"/>
  <c r="H38" i="2"/>
  <c r="H40" i="2" s="1"/>
  <c r="K31" i="2"/>
  <c r="S37" i="2" s="1"/>
  <c r="R22" i="2" l="1"/>
  <c r="R19" i="2"/>
  <c r="Q62" i="1"/>
  <c r="Q65" i="1"/>
  <c r="H42" i="2"/>
  <c r="E5" i="3"/>
  <c r="Q63" i="1"/>
  <c r="V35" i="2"/>
  <c r="Q25" i="2"/>
  <c r="Q66" i="2"/>
  <c r="R63" i="2"/>
  <c r="R66" i="2" s="1"/>
  <c r="R68" i="2" s="1"/>
  <c r="R43" i="2"/>
  <c r="M72" i="1"/>
  <c r="S39" i="2"/>
  <c r="S43" i="2" s="1"/>
  <c r="H42" i="1"/>
  <c r="F5" i="3"/>
  <c r="F6" i="3" s="1"/>
  <c r="W37" i="2" l="1"/>
  <c r="W34" i="2"/>
  <c r="W36" i="2" s="1"/>
  <c r="I27" i="1"/>
  <c r="K63" i="1" s="1"/>
  <c r="I33" i="1"/>
  <c r="K65" i="1" s="1"/>
  <c r="I26" i="1"/>
  <c r="K69" i="1" s="1"/>
  <c r="Q19" i="1"/>
  <c r="I30" i="1"/>
  <c r="K67" i="1" s="1"/>
  <c r="Q22" i="1"/>
  <c r="I29" i="1"/>
  <c r="K66" i="1" s="1"/>
  <c r="I31" i="1"/>
  <c r="I28" i="1"/>
  <c r="I32" i="1"/>
  <c r="K68" i="1" s="1"/>
  <c r="I39" i="1"/>
  <c r="K71" i="1" s="1"/>
  <c r="I41" i="1"/>
  <c r="Q64" i="1"/>
  <c r="R62" i="1"/>
  <c r="R64" i="1" s="1"/>
  <c r="R65" i="1"/>
  <c r="G5" i="3"/>
  <c r="H5" i="3" s="1"/>
  <c r="E6" i="3"/>
  <c r="G6" i="3" s="1"/>
  <c r="H6" i="3" s="1"/>
  <c r="V37" i="2"/>
  <c r="V34" i="2"/>
  <c r="V36" i="2" s="1"/>
  <c r="Q22" i="2"/>
  <c r="I33" i="2"/>
  <c r="Q19" i="2"/>
  <c r="I29" i="2"/>
  <c r="Q35" i="2" s="1"/>
  <c r="I36" i="2"/>
  <c r="I37" i="2"/>
  <c r="I34" i="2"/>
  <c r="I26" i="2"/>
  <c r="I32" i="2"/>
  <c r="I30" i="2"/>
  <c r="Q36" i="2" s="1"/>
  <c r="I41" i="2"/>
  <c r="Q41" i="2" s="1"/>
  <c r="I39" i="2"/>
  <c r="I27" i="2"/>
  <c r="I35" i="2"/>
  <c r="Q38" i="2" s="1"/>
  <c r="I28" i="2"/>
  <c r="Q40" i="2" s="1"/>
  <c r="I31" i="2"/>
  <c r="Q37" i="2" s="1"/>
  <c r="Q39" i="2" l="1"/>
  <c r="K70" i="1"/>
  <c r="K72" i="1" s="1"/>
  <c r="J34" i="1"/>
  <c r="K64" i="1"/>
  <c r="Q42" i="2"/>
  <c r="J38" i="2"/>
  <c r="Q34" i="2"/>
  <c r="Q43" i="2" s="1"/>
</calcChain>
</file>

<file path=xl/comments1.xml><?xml version="1.0" encoding="utf-8"?>
<comments xmlns="http://schemas.openxmlformats.org/spreadsheetml/2006/main">
  <authors>
    <author>Lee Baker</author>
  </authors>
  <commentList>
    <comment ref="F30" authorId="0" shapeId="0">
      <text>
        <r>
          <rPr>
            <b/>
            <sz val="9"/>
            <color indexed="81"/>
            <rFont val="Calibri"/>
            <family val="2"/>
          </rPr>
          <t xml:space="preserve">Lee Baker:With 32x256 memories
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<sst xmlns="http://schemas.openxmlformats.org/spreadsheetml/2006/main" count="211" uniqueCount="123">
  <si>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</si>
  <si>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</si>
  <si>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</si>
  <si>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</si>
  <si>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</si>
  <si>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</si>
  <si>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</si>
  <si>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</si>
  <si>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</si>
  <si>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</si>
  <si>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</si>
  <si>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</si>
  <si>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</si>
  <si>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</si>
  <si>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</si>
  <si>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</si>
  <si>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</si>
  <si>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</si>
  <si>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</si>
  <si>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</si>
  <si>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</si>
  <si>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</si>
  <si>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</si>
  <si>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</si>
  <si>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</si>
  <si>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</si>
  <si>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</si>
  <si>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</si>
  <si>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</si>
  <si>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</si>
  <si>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</si>
  <si>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</si>
  <si>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</si>
  <si>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</si>
  <si>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</si>
  <si>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</si>
  <si>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</si>
  <si>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</si>
  <si>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</si>
  <si>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</si>
  <si>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</si>
  <si>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</si>
  <si>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</si>
  <si>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</si>
  <si>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</si>
  <si>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</si>
  <si>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</si>
  <si>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</si>
  <si>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</si>
  <si>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</si>
  <si>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</si>
  <si>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</si>
  <si>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</si>
  <si>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</si>
  <si>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</si>
  <si>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</si>
  <si>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</si>
  <si>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</si>
  <si>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</si>
  <si>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</si>
  <si>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</si>
  <si>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</si>
  <si>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</si>
  <si>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</si>
  <si>
    <t>mem_acc_cont</t>
  </si>
  <si>
    <t>pe_cntl</t>
  </si>
  <si>
    <t>simd_upstream_intf</t>
  </si>
  <si>
    <t>simd</t>
  </si>
  <si>
    <t>stOp</t>
  </si>
  <si>
    <t>stack_interface</t>
  </si>
  <si>
    <t>stOp_cntl</t>
  </si>
  <si>
    <t>Percentage</t>
  </si>
  <si>
    <t>simd_wrapper</t>
  </si>
  <si>
    <t>NoC</t>
  </si>
  <si>
    <t>Read Control</t>
  </si>
  <si>
    <t>Write Control</t>
  </si>
  <si>
    <t>System Controller</t>
  </si>
  <si>
    <t>Misc</t>
  </si>
  <si>
    <t>TSV</t>
  </si>
  <si>
    <t>Operation Decode</t>
  </si>
  <si>
    <t>SIMD</t>
  </si>
  <si>
    <t>Streaming Ops</t>
  </si>
  <si>
    <t>StOp Control</t>
  </si>
  <si>
    <t>LM</t>
  </si>
  <si>
    <t>Memory Area</t>
  </si>
  <si>
    <t>Logic Area</t>
  </si>
  <si>
    <t>Comb</t>
  </si>
  <si>
    <t>Buf/Inv</t>
  </si>
  <si>
    <t>NonComb</t>
  </si>
  <si>
    <t>macro/Blackbox</t>
  </si>
  <si>
    <t>from logs.65nm/manager</t>
  </si>
  <si>
    <t>Memory</t>
  </si>
  <si>
    <t>Logic</t>
  </si>
  <si>
    <t>65nm</t>
  </si>
  <si>
    <t>Breakdown</t>
  </si>
  <si>
    <t>28nm</t>
  </si>
  <si>
    <t>64x256</t>
  </si>
  <si>
    <t>32x256</t>
  </si>
  <si>
    <t>area saving</t>
  </si>
  <si>
    <t>Net Interconnect area:      undefined  (Wire load has zero net area)</t>
  </si>
  <si>
    <t>Memory represents</t>
  </si>
  <si>
    <t>Combinational area</t>
  </si>
  <si>
    <t xml:space="preserve">Buf/Inv area: </t>
  </si>
  <si>
    <t>Noncombinational area:</t>
  </si>
  <si>
    <t>Macro/Black Box area:</t>
  </si>
  <si>
    <t xml:space="preserve">Total cell area: </t>
  </si>
  <si>
    <t xml:space="preserve"> undefined  (Wire load has zero net area)</t>
  </si>
  <si>
    <t>SIMD Wrapper</t>
  </si>
  <si>
    <t>includes 16x32 fifos @260000</t>
  </si>
  <si>
    <t>Memory Controller</t>
  </si>
  <si>
    <t>Instruction Proc</t>
  </si>
  <si>
    <t>Read data proc</t>
  </si>
  <si>
    <t>Distribution</t>
  </si>
  <si>
    <t>Utilization</t>
  </si>
  <si>
    <t>Utilization w/o TSV</t>
  </si>
  <si>
    <t>Area available</t>
  </si>
  <si>
    <t>Area used</t>
  </si>
  <si>
    <t>Processing Engine</t>
  </si>
  <si>
    <t>Manager</t>
  </si>
  <si>
    <t>65nm (um)</t>
  </si>
  <si>
    <t>28nm(um)</t>
  </si>
  <si>
    <t>Return Data Control</t>
  </si>
  <si>
    <t>Area Scaling 65nm -&gt; 28nm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</si>
</sst>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2" borderId="0" xfId="0" applyFill="1"/>
    <xf numFmtId="1" fontId="0" fillId="0" borderId="0" xfId="0" applyNumberFormat="1"/>
    <xf numFmtId="0" fontId="7" fillId="0" borderId="0" xfId="0" applyFont="1"/>
    <xf numFmtId="10" fontId="7" fillId="0" borderId="0" xfId="0" applyNumberFormat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F68"/>
  <sheetViews>
    <sheetView tabSelected="1" topLeftCell="A8" workbookViewId="0">
      <selection activeCell="AA24" sqref="AA24"/>
    </sheetView>
  </sheetViews>
  <sheetFormatPr baseColWidth="10" defaultRowHeight="16" x14ac:dyDescent="0.2"/>
  <cols>
    <col min="15" max="15" width="15.1640625" customWidth="1"/>
    <col min="16" max="16" width="17.5" customWidth="1"/>
    <col min="17" max="19" width="10.83203125" customWidth="1"/>
    <col min="21" max="21" width="18.33203125" customWidth="1"/>
  </cols>
  <sheetData>
    <row r="2" spans="3:17" x14ac:dyDescent="0.2">
      <c r="C2" t="s">
        <v>0</v>
      </c>
    </row>
    <row r="3" spans="3:17" x14ac:dyDescent="0.2">
      <c r="C3" t="s">
        <v>1</v>
      </c>
    </row>
    <row r="4" spans="3:17" x14ac:dyDescent="0.2">
      <c r="C4" t="s">
        <v>2</v>
      </c>
    </row>
    <row r="5" spans="3:17" x14ac:dyDescent="0.2">
      <c r="C5" t="s">
        <v>3</v>
      </c>
    </row>
    <row r="6" spans="3:17" x14ac:dyDescent="0.2">
      <c r="C6" t="s">
        <v>4</v>
      </c>
    </row>
    <row r="7" spans="3:17" x14ac:dyDescent="0.2">
      <c r="C7" t="s">
        <v>5</v>
      </c>
    </row>
    <row r="8" spans="3:17" x14ac:dyDescent="0.2">
      <c r="C8" t="s">
        <v>6</v>
      </c>
      <c r="P8" t="s">
        <v>50</v>
      </c>
      <c r="Q8" t="s">
        <v>51</v>
      </c>
    </row>
    <row r="9" spans="3:17" x14ac:dyDescent="0.2">
      <c r="C9" t="s">
        <v>7</v>
      </c>
      <c r="N9" t="s">
        <v>47</v>
      </c>
      <c r="O9" s="7">
        <f>Q9</f>
        <v>1.6542344051783109</v>
      </c>
      <c r="P9" s="7">
        <v>1.39</v>
      </c>
      <c r="Q9" s="7">
        <f>SQRT(O19)</f>
        <v>1.6542344051783109</v>
      </c>
    </row>
    <row r="10" spans="3:17" x14ac:dyDescent="0.2">
      <c r="C10" t="s">
        <v>8</v>
      </c>
    </row>
    <row r="11" spans="3:17" x14ac:dyDescent="0.2">
      <c r="C11" t="s">
        <v>9</v>
      </c>
    </row>
    <row r="12" spans="3:17" x14ac:dyDescent="0.2">
      <c r="C12" t="s">
        <v>10</v>
      </c>
      <c r="K12" s="14" t="s">
        <v>100</v>
      </c>
    </row>
    <row r="13" spans="3:17" x14ac:dyDescent="0.2">
      <c r="C13" t="s">
        <v>11</v>
      </c>
      <c r="K13" s="15">
        <f>X59/X62</f>
        <v>0.51355879341490751</v>
      </c>
      <c r="N13" s="33" t="s">
        <v>122</v>
      </c>
      <c r="O13" s="35"/>
    </row>
    <row r="14" spans="3:17" x14ac:dyDescent="0.2">
      <c r="C14" t="s">
        <v>12</v>
      </c>
      <c r="N14" s="19" t="s">
        <v>91</v>
      </c>
      <c r="O14" s="19">
        <v>2.79</v>
      </c>
    </row>
    <row r="15" spans="3:17" x14ac:dyDescent="0.2">
      <c r="C15" t="s">
        <v>13</v>
      </c>
      <c r="L15" t="s">
        <v>44</v>
      </c>
      <c r="N15" s="19" t="s">
        <v>92</v>
      </c>
      <c r="O15" s="19">
        <v>2.68</v>
      </c>
    </row>
    <row r="16" spans="3:17" x14ac:dyDescent="0.2">
      <c r="C16" t="s">
        <v>14</v>
      </c>
    </row>
    <row r="17" spans="3:23" x14ac:dyDescent="0.2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 s="7">
        <f>N17/64</f>
        <v>2.734375</v>
      </c>
    </row>
    <row r="18" spans="3:23" x14ac:dyDescent="0.2">
      <c r="O18" t="s">
        <v>47</v>
      </c>
      <c r="P18" s="5" t="s">
        <v>48</v>
      </c>
      <c r="Q18" t="s">
        <v>49</v>
      </c>
    </row>
    <row r="19" spans="3:23" x14ac:dyDescent="0.2">
      <c r="K19" t="s">
        <v>46</v>
      </c>
      <c r="L19">
        <v>1.47</v>
      </c>
      <c r="M19">
        <v>1.6559999999999999</v>
      </c>
      <c r="N19" s="7">
        <f>L19*M19</f>
        <v>2.43432</v>
      </c>
      <c r="O19" s="7">
        <f>O14*(K13)+O15*(1-K13)</f>
        <v>2.73649146727564</v>
      </c>
      <c r="P19" s="7">
        <f>O19*N19</f>
        <v>6.661495908618436</v>
      </c>
      <c r="Q19" s="7">
        <f>H42/P19/1000000</f>
        <v>0.72393589460301333</v>
      </c>
      <c r="R19" s="10">
        <f>K42/(N19*1000000)</f>
        <v>0.81138076531937231</v>
      </c>
    </row>
    <row r="20" spans="3:23" x14ac:dyDescent="0.2">
      <c r="L20" s="7">
        <f>L19*SQRT(AVERAGE(O14,O15))</f>
        <v>2.4310618050555606</v>
      </c>
      <c r="M20" s="7">
        <f>M19*SQRT(AVERAGE(O14,O15))</f>
        <v>2.7386655436544274</v>
      </c>
      <c r="N20" s="7"/>
      <c r="O20" s="7"/>
      <c r="P20" s="7">
        <f>L20*M20</f>
        <v>6.6578652000000007</v>
      </c>
      <c r="Q20" s="7"/>
      <c r="R20" s="10"/>
    </row>
    <row r="21" spans="3:23" x14ac:dyDescent="0.2">
      <c r="R21" s="10"/>
    </row>
    <row r="22" spans="3:23" x14ac:dyDescent="0.2">
      <c r="P22" s="1" t="s">
        <v>28</v>
      </c>
      <c r="Q22">
        <f>(H42-H41)/(P19*1000000-H41)</f>
        <v>0.70937519692222395</v>
      </c>
      <c r="R22" s="10">
        <f>(K42-K41)/(N19*1000000-K41)</f>
        <v>0.78141191421007361</v>
      </c>
    </row>
    <row r="25" spans="3:23" x14ac:dyDescent="0.2">
      <c r="I25" t="s">
        <v>71</v>
      </c>
      <c r="K25" t="s">
        <v>95</v>
      </c>
      <c r="P25" t="s">
        <v>31</v>
      </c>
      <c r="Q25">
        <f>0.7*P19*1000000</f>
        <v>4663047.1360329045</v>
      </c>
    </row>
    <row r="26" spans="3:23" x14ac:dyDescent="0.2">
      <c r="E26" t="s">
        <v>16</v>
      </c>
      <c r="F26">
        <v>114000</v>
      </c>
      <c r="G26">
        <v>1</v>
      </c>
      <c r="H26">
        <f t="shared" ref="H26:H29" si="0">F26*G26</f>
        <v>114000</v>
      </c>
      <c r="I26" s="9">
        <f>H26/$H$42</f>
        <v>2.3639210898256838E-2</v>
      </c>
      <c r="K26" s="13">
        <f>H26*(1-$Q$60)/$O$15+H26*$Q$60/$O$14</f>
        <v>41686.651106584563</v>
      </c>
      <c r="L26" s="4" t="s">
        <v>41</v>
      </c>
      <c r="M26" s="4" t="s">
        <v>42</v>
      </c>
      <c r="N26" s="4" t="s">
        <v>43</v>
      </c>
    </row>
    <row r="27" spans="3:23" x14ac:dyDescent="0.2">
      <c r="E27" t="s">
        <v>29</v>
      </c>
      <c r="F27">
        <v>880000</v>
      </c>
      <c r="G27">
        <v>1</v>
      </c>
      <c r="H27">
        <f t="shared" si="0"/>
        <v>880000</v>
      </c>
      <c r="I27" s="9">
        <f t="shared" ref="I27:I41" si="1">H27/$H$42</f>
        <v>0.18247811921461418</v>
      </c>
      <c r="K27" s="13">
        <f t="shared" ref="K27:K39" si="2">H27*(1-$Q$60)/$O$15+H27*$Q$60/$O$14</f>
        <v>321791.6927525826</v>
      </c>
      <c r="L27" s="4">
        <v>5.0000000000000001E-3</v>
      </c>
      <c r="M27" s="4">
        <f>1/L27</f>
        <v>200</v>
      </c>
      <c r="N27" s="4">
        <f>M27^2</f>
        <v>40000</v>
      </c>
    </row>
    <row r="28" spans="3:23" x14ac:dyDescent="0.2">
      <c r="E28" t="s">
        <v>30</v>
      </c>
      <c r="F28">
        <v>77000</v>
      </c>
      <c r="G28">
        <v>1</v>
      </c>
      <c r="H28">
        <f t="shared" si="0"/>
        <v>77000</v>
      </c>
      <c r="I28" s="9">
        <f t="shared" si="1"/>
        <v>1.5966835431278741E-2</v>
      </c>
      <c r="K28" s="13">
        <f t="shared" si="2"/>
        <v>28156.773115850978</v>
      </c>
    </row>
    <row r="29" spans="3:23" x14ac:dyDescent="0.2">
      <c r="E29" t="s">
        <v>24</v>
      </c>
      <c r="F29">
        <v>335000</v>
      </c>
      <c r="G29">
        <v>1</v>
      </c>
      <c r="H29">
        <f t="shared" si="0"/>
        <v>335000</v>
      </c>
      <c r="I29" s="9">
        <f t="shared" si="1"/>
        <v>6.9466102201017899E-2</v>
      </c>
      <c r="K29" s="13">
        <f t="shared" si="2"/>
        <v>122500.24667285813</v>
      </c>
      <c r="L29">
        <f>4100*2</f>
        <v>8200</v>
      </c>
      <c r="M29" t="s">
        <v>32</v>
      </c>
      <c r="N29">
        <f>2048+2048/32+2048/32*2+2048/32</f>
        <v>2304</v>
      </c>
    </row>
    <row r="30" spans="3:23" x14ac:dyDescent="0.2">
      <c r="E30" t="s">
        <v>17</v>
      </c>
      <c r="F30" s="12">
        <f>1280000-(AD40)</f>
        <v>1135088</v>
      </c>
      <c r="G30">
        <v>2</v>
      </c>
      <c r="H30">
        <f>F30*G30</f>
        <v>2270176</v>
      </c>
      <c r="I30" s="9">
        <f t="shared" si="1"/>
        <v>0.47074709859790448</v>
      </c>
      <c r="K30" s="13">
        <f t="shared" si="2"/>
        <v>830140.65668896236</v>
      </c>
      <c r="L30">
        <f>2700*2</f>
        <v>5400</v>
      </c>
      <c r="M30" t="s">
        <v>33</v>
      </c>
      <c r="N30">
        <v>40</v>
      </c>
      <c r="Q30">
        <f>1.95*N19</f>
        <v>4.7469239999999999</v>
      </c>
      <c r="R30">
        <f>Q30*0.7</f>
        <v>3.3228467999999998</v>
      </c>
    </row>
    <row r="31" spans="3:23" x14ac:dyDescent="0.2">
      <c r="E31" t="s">
        <v>25</v>
      </c>
      <c r="F31">
        <v>321000</v>
      </c>
      <c r="G31">
        <v>1</v>
      </c>
      <c r="H31">
        <f t="shared" ref="H31:H37" si="3">F31*G31</f>
        <v>321000</v>
      </c>
      <c r="I31" s="9">
        <f t="shared" si="1"/>
        <v>6.6563041213512669E-2</v>
      </c>
      <c r="K31" s="13">
        <f t="shared" si="2"/>
        <v>117380.83337906706</v>
      </c>
      <c r="L31">
        <f>L29+L30</f>
        <v>13600</v>
      </c>
      <c r="M31" t="s">
        <v>34</v>
      </c>
      <c r="N31">
        <f>128+2+16+4+1</f>
        <v>151</v>
      </c>
    </row>
    <row r="32" spans="3:23" x14ac:dyDescent="0.2">
      <c r="E32" t="s">
        <v>18</v>
      </c>
      <c r="F32">
        <v>6900</v>
      </c>
      <c r="G32">
        <v>1</v>
      </c>
      <c r="H32">
        <f t="shared" si="3"/>
        <v>6900</v>
      </c>
      <c r="I32" s="9">
        <f t="shared" si="1"/>
        <v>1.4307943438418612E-3</v>
      </c>
      <c r="K32" s="13">
        <f t="shared" si="2"/>
        <v>2523.1394090827498</v>
      </c>
      <c r="N32">
        <f>SUM(N29:N31)</f>
        <v>2495</v>
      </c>
      <c r="Q32" s="33" t="s">
        <v>118</v>
      </c>
      <c r="R32" s="34"/>
      <c r="S32" s="35"/>
      <c r="V32" s="33" t="s">
        <v>118</v>
      </c>
      <c r="W32" s="35"/>
    </row>
    <row r="33" spans="5:32" x14ac:dyDescent="0.2">
      <c r="E33" t="s">
        <v>19</v>
      </c>
      <c r="F33">
        <v>54000</v>
      </c>
      <c r="G33">
        <v>1</v>
      </c>
      <c r="H33">
        <f t="shared" si="3"/>
        <v>54000</v>
      </c>
      <c r="I33" s="9">
        <f t="shared" si="1"/>
        <v>1.1197520951805869E-2</v>
      </c>
      <c r="K33" s="13">
        <f t="shared" si="2"/>
        <v>19746.308418908477</v>
      </c>
      <c r="O33" s="26"/>
      <c r="P33" s="27"/>
      <c r="Q33" s="28" t="s">
        <v>112</v>
      </c>
      <c r="R33" s="28" t="s">
        <v>119</v>
      </c>
      <c r="S33" s="28" t="s">
        <v>120</v>
      </c>
      <c r="U33" s="25"/>
      <c r="V33" s="23" t="s">
        <v>93</v>
      </c>
      <c r="W33" s="23" t="s">
        <v>95</v>
      </c>
    </row>
    <row r="34" spans="5:32" x14ac:dyDescent="0.2">
      <c r="E34" t="s">
        <v>20</v>
      </c>
      <c r="F34">
        <v>24000</v>
      </c>
      <c r="G34">
        <v>1</v>
      </c>
      <c r="H34">
        <f t="shared" si="3"/>
        <v>24000</v>
      </c>
      <c r="I34" s="9">
        <f t="shared" si="1"/>
        <v>4.9766759785803867E-3</v>
      </c>
      <c r="K34" s="13">
        <f t="shared" si="2"/>
        <v>8776.1370750704336</v>
      </c>
      <c r="M34" t="s">
        <v>35</v>
      </c>
      <c r="N34">
        <f>2048*2</f>
        <v>4096</v>
      </c>
      <c r="P34" s="29" t="s">
        <v>109</v>
      </c>
      <c r="Q34" s="30">
        <f>I26+I27</f>
        <v>0.20611733011287103</v>
      </c>
      <c r="R34" s="31">
        <f>H26+H27</f>
        <v>994000</v>
      </c>
      <c r="S34" s="31">
        <f>K26+K27</f>
        <v>363478.34385916719</v>
      </c>
      <c r="U34" s="20" t="s">
        <v>116</v>
      </c>
      <c r="V34" s="22">
        <f>R43</f>
        <v>4822496</v>
      </c>
      <c r="W34" s="22">
        <f>S43</f>
        <v>1975160.4246322545</v>
      </c>
    </row>
    <row r="35" spans="5:32" x14ac:dyDescent="0.2">
      <c r="E35" t="s">
        <v>21</v>
      </c>
      <c r="F35">
        <v>12500</v>
      </c>
      <c r="G35">
        <v>1</v>
      </c>
      <c r="H35">
        <f t="shared" si="3"/>
        <v>12500</v>
      </c>
      <c r="I35" s="9">
        <f t="shared" si="1"/>
        <v>2.5920187388439515E-3</v>
      </c>
      <c r="K35" s="13">
        <f t="shared" si="2"/>
        <v>4570.9047265991849</v>
      </c>
      <c r="M35" t="s">
        <v>36</v>
      </c>
      <c r="N35">
        <f>12+5+3+2048/32</f>
        <v>84</v>
      </c>
      <c r="P35" s="29" t="s">
        <v>73</v>
      </c>
      <c r="Q35" s="30">
        <f>I29</f>
        <v>6.9466102201017899E-2</v>
      </c>
      <c r="R35" s="31">
        <f>H29</f>
        <v>335000</v>
      </c>
      <c r="S35" s="31">
        <f>K29</f>
        <v>122500.24667285813</v>
      </c>
      <c r="U35" s="20" t="s">
        <v>115</v>
      </c>
      <c r="V35" s="22">
        <f>P19*1000000</f>
        <v>6661495.9086184362</v>
      </c>
      <c r="W35" s="19">
        <f>N19*1000000</f>
        <v>2434320</v>
      </c>
      <c r="AF35">
        <f>12.5/8</f>
        <v>1.5625</v>
      </c>
    </row>
    <row r="36" spans="5:32" x14ac:dyDescent="0.2">
      <c r="E36" t="s">
        <v>22</v>
      </c>
      <c r="F36">
        <v>500</v>
      </c>
      <c r="G36">
        <v>1</v>
      </c>
      <c r="H36">
        <f t="shared" si="3"/>
        <v>500</v>
      </c>
      <c r="I36" s="9">
        <f t="shared" si="1"/>
        <v>1.0368074955375805E-4</v>
      </c>
      <c r="K36" s="13">
        <f t="shared" si="2"/>
        <v>182.83618906396737</v>
      </c>
      <c r="M36" s="2" t="s">
        <v>40</v>
      </c>
      <c r="N36" s="2">
        <f>SUM(N34:N35)</f>
        <v>4180</v>
      </c>
      <c r="P36" s="29" t="s">
        <v>74</v>
      </c>
      <c r="Q36" s="30">
        <f>I30</f>
        <v>0.47074709859790448</v>
      </c>
      <c r="R36" s="31">
        <f>H30</f>
        <v>2270176</v>
      </c>
      <c r="S36" s="31">
        <f>K30</f>
        <v>830140.65668896236</v>
      </c>
      <c r="U36" s="20" t="s">
        <v>113</v>
      </c>
      <c r="V36" s="24">
        <f>V34/V35</f>
        <v>0.72393589460301322</v>
      </c>
      <c r="W36" s="24">
        <f>W34/W35</f>
        <v>0.81138076531937231</v>
      </c>
      <c r="AF36">
        <f>14/8</f>
        <v>1.75</v>
      </c>
    </row>
    <row r="37" spans="5:32" x14ac:dyDescent="0.2">
      <c r="E37" t="s">
        <v>23</v>
      </c>
      <c r="F37">
        <v>63670</v>
      </c>
      <c r="G37">
        <v>1</v>
      </c>
      <c r="H37">
        <f t="shared" si="3"/>
        <v>63670</v>
      </c>
      <c r="I37" s="9">
        <f t="shared" si="1"/>
        <v>1.3202706648175551E-2</v>
      </c>
      <c r="K37" s="13">
        <f t="shared" si="2"/>
        <v>23282.360315405604</v>
      </c>
      <c r="P37" s="29" t="s">
        <v>75</v>
      </c>
      <c r="Q37" s="30">
        <f>I31</f>
        <v>6.6563041213512669E-2</v>
      </c>
      <c r="R37" s="31">
        <f>H31</f>
        <v>321000</v>
      </c>
      <c r="S37" s="31">
        <f>K31</f>
        <v>117380.83337906706</v>
      </c>
      <c r="U37" s="20" t="s">
        <v>114</v>
      </c>
      <c r="V37" s="24">
        <f>(R43-R41)/(V35-R41)</f>
        <v>0.70937519692222395</v>
      </c>
      <c r="W37" s="24">
        <f>(S43-S41)/(W35-S41)</f>
        <v>0.78141191421007372</v>
      </c>
      <c r="AC37" t="s">
        <v>96</v>
      </c>
      <c r="AD37">
        <f>37392</f>
        <v>37392</v>
      </c>
      <c r="AF37">
        <f>AF35*AF36</f>
        <v>2.734375</v>
      </c>
    </row>
    <row r="38" spans="5:32" x14ac:dyDescent="0.2">
      <c r="G38" s="2" t="s">
        <v>40</v>
      </c>
      <c r="H38" s="2">
        <f>SUM(H26:H37)</f>
        <v>4158746</v>
      </c>
      <c r="J38" s="9">
        <f>SUM(I26:I37)+I39+I41</f>
        <v>1</v>
      </c>
      <c r="K38" s="13"/>
      <c r="M38" t="s">
        <v>37</v>
      </c>
      <c r="N38">
        <f>N32+N36</f>
        <v>6675</v>
      </c>
      <c r="P38" s="29" t="s">
        <v>110</v>
      </c>
      <c r="Q38" s="30">
        <f>I35+I36+I37+I32</f>
        <v>1.732920048041512E-2</v>
      </c>
      <c r="R38" s="31">
        <f>H35+H36+H37+H32</f>
        <v>83570</v>
      </c>
      <c r="S38" s="31">
        <f>K35+K36+K37+K32</f>
        <v>30559.240640151504</v>
      </c>
      <c r="AC38" t="s">
        <v>97</v>
      </c>
      <c r="AD38">
        <v>28335</v>
      </c>
      <c r="AF38">
        <f>AF37*1000000</f>
        <v>2734375</v>
      </c>
    </row>
    <row r="39" spans="5:32" x14ac:dyDescent="0.2">
      <c r="E39" t="s">
        <v>26</v>
      </c>
      <c r="F39">
        <v>330000</v>
      </c>
      <c r="G39">
        <v>1</v>
      </c>
      <c r="H39">
        <f>F39*G39</f>
        <v>330000</v>
      </c>
      <c r="I39" s="9">
        <f t="shared" si="1"/>
        <v>6.8429294705480315E-2</v>
      </c>
      <c r="K39" s="13">
        <f t="shared" si="2"/>
        <v>120671.88478221846</v>
      </c>
      <c r="M39" t="s">
        <v>38</v>
      </c>
      <c r="N39" s="2">
        <v>1</v>
      </c>
      <c r="P39" s="29" t="s">
        <v>111</v>
      </c>
      <c r="Q39" s="30">
        <f>I33+I34</f>
        <v>1.6174196930386256E-2</v>
      </c>
      <c r="R39" s="31">
        <f>H33+H34</f>
        <v>78000</v>
      </c>
      <c r="S39" s="31">
        <f>K33+K34</f>
        <v>28522.44549397891</v>
      </c>
    </row>
    <row r="40" spans="5:32" x14ac:dyDescent="0.2">
      <c r="G40" s="2" t="s">
        <v>40</v>
      </c>
      <c r="H40" s="2">
        <f>H38+H39</f>
        <v>4488746</v>
      </c>
      <c r="K40" s="13"/>
      <c r="P40" s="29" t="s">
        <v>76</v>
      </c>
      <c r="Q40" s="30">
        <f>I28</f>
        <v>1.5966835431278741E-2</v>
      </c>
      <c r="R40" s="31">
        <f>H28</f>
        <v>77000</v>
      </c>
      <c r="S40" s="31">
        <f>K28</f>
        <v>28156.773115850978</v>
      </c>
      <c r="AC40" t="s">
        <v>98</v>
      </c>
      <c r="AD40">
        <f>(AD37-AD38)*16</f>
        <v>144912</v>
      </c>
    </row>
    <row r="41" spans="5:32" x14ac:dyDescent="0.2">
      <c r="E41" t="s">
        <v>27</v>
      </c>
      <c r="F41">
        <f>N42</f>
        <v>333750</v>
      </c>
      <c r="G41">
        <v>1</v>
      </c>
      <c r="H41">
        <f>F41*G41</f>
        <v>333750</v>
      </c>
      <c r="I41" s="9">
        <f t="shared" si="1"/>
        <v>6.9206900327133503E-2</v>
      </c>
      <c r="K41" s="13">
        <f>H41</f>
        <v>333750</v>
      </c>
      <c r="N41">
        <f>N38+N39*N38</f>
        <v>13350</v>
      </c>
      <c r="P41" s="29" t="s">
        <v>78</v>
      </c>
      <c r="Q41" s="30">
        <f>I41</f>
        <v>6.9206900327133503E-2</v>
      </c>
      <c r="R41" s="31">
        <f>H41</f>
        <v>333750</v>
      </c>
      <c r="S41" s="31">
        <f>K41</f>
        <v>333750</v>
      </c>
    </row>
    <row r="42" spans="5:32" x14ac:dyDescent="0.2">
      <c r="G42" s="3" t="s">
        <v>37</v>
      </c>
      <c r="H42" s="2">
        <f>H40+H41</f>
        <v>4822496</v>
      </c>
      <c r="K42" s="13">
        <f>SUM(K26:K41)</f>
        <v>1975160.4246322543</v>
      </c>
      <c r="M42" s="2" t="s">
        <v>39</v>
      </c>
      <c r="N42" s="2">
        <f>N41/N27*1000000</f>
        <v>333750</v>
      </c>
      <c r="P42" s="29" t="s">
        <v>77</v>
      </c>
      <c r="Q42" s="30">
        <f>I39</f>
        <v>6.8429294705480315E-2</v>
      </c>
      <c r="R42" s="31">
        <f>H39</f>
        <v>330000</v>
      </c>
      <c r="S42" s="31">
        <f>K39</f>
        <v>120671.88478221846</v>
      </c>
    </row>
    <row r="43" spans="5:32" x14ac:dyDescent="0.2">
      <c r="P43" s="32"/>
      <c r="Q43" s="30">
        <f>SUM(Q34:Q42)</f>
        <v>0.99999999999999989</v>
      </c>
      <c r="R43" s="31">
        <f>SUM(R34:R42)</f>
        <v>4822496</v>
      </c>
      <c r="S43" s="31">
        <f>SUM(S34:S42)</f>
        <v>1975160.4246322545</v>
      </c>
    </row>
    <row r="46" spans="5:32" x14ac:dyDescent="0.2">
      <c r="G46" t="s">
        <v>54</v>
      </c>
      <c r="K46">
        <v>65</v>
      </c>
      <c r="L46">
        <v>32</v>
      </c>
      <c r="M46">
        <v>21</v>
      </c>
    </row>
    <row r="47" spans="5:32" x14ac:dyDescent="0.2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32" x14ac:dyDescent="0.2">
      <c r="J48" t="s">
        <v>53</v>
      </c>
      <c r="K48">
        <v>2</v>
      </c>
      <c r="L48">
        <v>0.5</v>
      </c>
      <c r="M48">
        <v>0.26</v>
      </c>
    </row>
    <row r="49" spans="5:24" x14ac:dyDescent="0.2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24" x14ac:dyDescent="0.2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24" x14ac:dyDescent="0.2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24" x14ac:dyDescent="0.2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  <c r="P52" t="s">
        <v>90</v>
      </c>
    </row>
    <row r="53" spans="5:24" x14ac:dyDescent="0.2">
      <c r="G53" s="8">
        <v>28</v>
      </c>
      <c r="H53" s="7">
        <f>$H$49*G53+$H$50</f>
        <v>0.69090909090909103</v>
      </c>
      <c r="P53" s="1" t="s">
        <v>86</v>
      </c>
      <c r="Q53">
        <v>1194054.8500000001</v>
      </c>
    </row>
    <row r="54" spans="5:24" x14ac:dyDescent="0.2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  <c r="P54" s="1" t="s">
        <v>87</v>
      </c>
      <c r="Q54">
        <v>57651.839999999997</v>
      </c>
    </row>
    <row r="55" spans="5:24" x14ac:dyDescent="0.2">
      <c r="I55">
        <v>65</v>
      </c>
      <c r="J55">
        <v>28</v>
      </c>
      <c r="K55">
        <f>H54/H53</f>
        <v>1.9249999999999998</v>
      </c>
      <c r="P55" s="1" t="s">
        <v>88</v>
      </c>
      <c r="Q55">
        <v>1050958.46</v>
      </c>
    </row>
    <row r="56" spans="5:24" x14ac:dyDescent="0.2">
      <c r="P56" s="1" t="s">
        <v>89</v>
      </c>
      <c r="Q56">
        <v>2370165.83</v>
      </c>
      <c r="W56" t="s">
        <v>101</v>
      </c>
      <c r="X56">
        <v>1194054.8478250001</v>
      </c>
    </row>
    <row r="57" spans="5:24" x14ac:dyDescent="0.2">
      <c r="W57" t="s">
        <v>102</v>
      </c>
      <c r="X57">
        <v>57651.841992000001</v>
      </c>
    </row>
    <row r="58" spans="5:24" x14ac:dyDescent="0.2">
      <c r="P58" s="1" t="s">
        <v>37</v>
      </c>
      <c r="Q58">
        <f>SUM(Q53:Q56)</f>
        <v>4672830.9800000004</v>
      </c>
      <c r="W58" t="s">
        <v>103</v>
      </c>
      <c r="X58">
        <v>1050958.459363</v>
      </c>
    </row>
    <row r="59" spans="5:24" x14ac:dyDescent="0.2">
      <c r="W59" t="s">
        <v>104</v>
      </c>
      <c r="X59">
        <v>2370165.828125</v>
      </c>
    </row>
    <row r="60" spans="5:24" x14ac:dyDescent="0.2">
      <c r="H60" s="1" t="s">
        <v>84</v>
      </c>
      <c r="P60" s="1" t="s">
        <v>91</v>
      </c>
      <c r="Q60" s="10">
        <f>Q56/Q58</f>
        <v>0.50722267510732855</v>
      </c>
      <c r="W60" t="s">
        <v>99</v>
      </c>
      <c r="X60" t="s">
        <v>106</v>
      </c>
    </row>
    <row r="61" spans="5:24" x14ac:dyDescent="0.2">
      <c r="H61" s="1" t="s">
        <v>85</v>
      </c>
    </row>
    <row r="62" spans="5:24" x14ac:dyDescent="0.2">
      <c r="P62" s="11" t="s">
        <v>94</v>
      </c>
      <c r="Q62" s="4" t="s">
        <v>93</v>
      </c>
      <c r="R62" s="4" t="s">
        <v>95</v>
      </c>
      <c r="W62" t="s">
        <v>105</v>
      </c>
      <c r="X62">
        <v>4615179.1353129996</v>
      </c>
    </row>
    <row r="63" spans="5:24" x14ac:dyDescent="0.2">
      <c r="P63" s="11" t="s">
        <v>78</v>
      </c>
      <c r="Q63" s="4">
        <f>H41</f>
        <v>333750</v>
      </c>
      <c r="R63" s="4">
        <f>Q63</f>
        <v>333750</v>
      </c>
    </row>
    <row r="64" spans="5:24" x14ac:dyDescent="0.2">
      <c r="P64" s="11" t="s">
        <v>92</v>
      </c>
      <c r="Q64" s="4">
        <f>(SUM(H26:H37)+H39)*(1-Q60)</f>
        <v>2211952.2460026792</v>
      </c>
      <c r="R64" s="4">
        <f>Q64/O15</f>
        <v>825355.3156726415</v>
      </c>
    </row>
    <row r="65" spans="16:18" x14ac:dyDescent="0.2">
      <c r="P65" s="11" t="s">
        <v>91</v>
      </c>
      <c r="Q65" s="4">
        <f>(SUM(H26:H37)+H39)*(Q60)</f>
        <v>2276793.7539973208</v>
      </c>
      <c r="R65" s="4">
        <f>Q65/O14</f>
        <v>816055.10895961314</v>
      </c>
    </row>
    <row r="66" spans="16:18" x14ac:dyDescent="0.2">
      <c r="Q66" s="4">
        <f>SUM(Q63:Q65)</f>
        <v>4822496</v>
      </c>
      <c r="R66" s="4">
        <f>SUM(R63:R65)</f>
        <v>1975160.4246322548</v>
      </c>
    </row>
    <row r="68" spans="16:18" x14ac:dyDescent="0.2">
      <c r="Q68" t="s">
        <v>49</v>
      </c>
      <c r="R68" s="10">
        <f>R66/(N19*1000000)</f>
        <v>0.81138076531937242</v>
      </c>
    </row>
  </sheetData>
  <mergeCells count="3">
    <mergeCell ref="Q32:S32"/>
    <mergeCell ref="V32:W32"/>
    <mergeCell ref="N13:O13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72"/>
  <sheetViews>
    <sheetView topLeftCell="C9" workbookViewId="0">
      <selection activeCell="L63" sqref="L63"/>
    </sheetView>
  </sheetViews>
  <sheetFormatPr baseColWidth="10" defaultRowHeight="16" x14ac:dyDescent="0.2"/>
  <cols>
    <col min="5" max="5" width="35" customWidth="1"/>
    <col min="10" max="10" width="16.83203125" customWidth="1"/>
    <col min="16" max="16" width="16.6640625" customWidth="1"/>
  </cols>
  <sheetData>
    <row r="2" spans="3:17" x14ac:dyDescent="0.2">
      <c r="C2" t="s">
        <v>0</v>
      </c>
    </row>
    <row r="3" spans="3:17" x14ac:dyDescent="0.2">
      <c r="C3" t="s">
        <v>1</v>
      </c>
    </row>
    <row r="4" spans="3:17" x14ac:dyDescent="0.2">
      <c r="C4" t="s">
        <v>2</v>
      </c>
    </row>
    <row r="5" spans="3:17" x14ac:dyDescent="0.2">
      <c r="C5" t="s">
        <v>3</v>
      </c>
    </row>
    <row r="6" spans="3:17" x14ac:dyDescent="0.2">
      <c r="C6" t="s">
        <v>4</v>
      </c>
    </row>
    <row r="7" spans="3:17" x14ac:dyDescent="0.2">
      <c r="C7" t="s">
        <v>5</v>
      </c>
    </row>
    <row r="8" spans="3:17" x14ac:dyDescent="0.2">
      <c r="C8" t="s">
        <v>6</v>
      </c>
    </row>
    <row r="9" spans="3:17" x14ac:dyDescent="0.2">
      <c r="C9" t="s">
        <v>7</v>
      </c>
    </row>
    <row r="10" spans="3:17" x14ac:dyDescent="0.2">
      <c r="C10" t="s">
        <v>8</v>
      </c>
    </row>
    <row r="11" spans="3:17" x14ac:dyDescent="0.2">
      <c r="C11" t="s">
        <v>9</v>
      </c>
    </row>
    <row r="12" spans="3:17" x14ac:dyDescent="0.2">
      <c r="C12" t="s">
        <v>10</v>
      </c>
      <c r="P12" t="s">
        <v>50</v>
      </c>
      <c r="Q12" t="s">
        <v>51</v>
      </c>
    </row>
    <row r="13" spans="3:17" x14ac:dyDescent="0.2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 x14ac:dyDescent="0.2">
      <c r="C14" t="s">
        <v>12</v>
      </c>
    </row>
    <row r="15" spans="3:17" x14ac:dyDescent="0.2">
      <c r="C15" t="s">
        <v>13</v>
      </c>
      <c r="L15" t="s">
        <v>44</v>
      </c>
    </row>
    <row r="16" spans="3:17" x14ac:dyDescent="0.2">
      <c r="C16" t="s">
        <v>14</v>
      </c>
    </row>
    <row r="17" spans="3:18" x14ac:dyDescent="0.2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 x14ac:dyDescent="0.2">
      <c r="O18" t="s">
        <v>47</v>
      </c>
      <c r="P18" s="5" t="s">
        <v>48</v>
      </c>
      <c r="Q18" t="s">
        <v>49</v>
      </c>
    </row>
    <row r="19" spans="3:18" x14ac:dyDescent="0.2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0.53625027940096437</v>
      </c>
    </row>
    <row r="22" spans="3:18" x14ac:dyDescent="0.2">
      <c r="P22" s="1" t="s">
        <v>28</v>
      </c>
      <c r="Q22">
        <f>(H42-H41)/(P19*1000000-H41)</f>
        <v>0.5268259307828268</v>
      </c>
    </row>
    <row r="25" spans="3:18" x14ac:dyDescent="0.2">
      <c r="I25" t="s">
        <v>71</v>
      </c>
      <c r="P25" t="s">
        <v>31</v>
      </c>
      <c r="Q25">
        <f>0.7*P19*1000000</f>
        <v>4384379.9999999991</v>
      </c>
    </row>
    <row r="26" spans="3:18" x14ac:dyDescent="0.2">
      <c r="E26" t="s">
        <v>64</v>
      </c>
      <c r="F26">
        <v>550000</v>
      </c>
      <c r="G26">
        <v>1</v>
      </c>
      <c r="H26">
        <f t="shared" ref="H26:H32" si="0">F26*G26</f>
        <v>550000</v>
      </c>
      <c r="I26" s="9">
        <f>H26/$H$42</f>
        <v>0.16375139560848531</v>
      </c>
      <c r="L26" s="4" t="s">
        <v>41</v>
      </c>
      <c r="M26" s="4" t="s">
        <v>42</v>
      </c>
      <c r="N26" s="4" t="s">
        <v>43</v>
      </c>
    </row>
    <row r="27" spans="3:18" x14ac:dyDescent="0.2">
      <c r="E27" t="s">
        <v>65</v>
      </c>
      <c r="F27">
        <v>105000</v>
      </c>
      <c r="G27">
        <v>1</v>
      </c>
      <c r="H27">
        <f t="shared" si="0"/>
        <v>105000</v>
      </c>
      <c r="I27" s="9">
        <f t="shared" ref="I27:I33" si="1">H27/$H$42</f>
        <v>3.1261630070710832E-2</v>
      </c>
      <c r="L27" s="4">
        <v>5.0000000000000001E-3</v>
      </c>
      <c r="M27" s="4">
        <f>1/L27</f>
        <v>200</v>
      </c>
      <c r="N27" s="4">
        <f>M27^2</f>
        <v>40000</v>
      </c>
    </row>
    <row r="28" spans="3:18" x14ac:dyDescent="0.2">
      <c r="E28" t="s">
        <v>66</v>
      </c>
      <c r="F28">
        <v>32000</v>
      </c>
      <c r="G28">
        <v>1</v>
      </c>
      <c r="H28">
        <f t="shared" si="0"/>
        <v>32000</v>
      </c>
      <c r="I28" s="9">
        <f t="shared" si="1"/>
        <v>9.5273539263118715E-3</v>
      </c>
    </row>
    <row r="29" spans="3:18" x14ac:dyDescent="0.2">
      <c r="E29" t="s">
        <v>67</v>
      </c>
      <c r="F29">
        <v>600000</v>
      </c>
      <c r="G29">
        <v>1</v>
      </c>
      <c r="H29">
        <f t="shared" si="0"/>
        <v>600000</v>
      </c>
      <c r="I29" s="9">
        <f t="shared" si="1"/>
        <v>0.17863788611834761</v>
      </c>
      <c r="L29">
        <f>4100*2</f>
        <v>8200</v>
      </c>
      <c r="M29" t="s">
        <v>32</v>
      </c>
      <c r="N29">
        <f>2048+2048/32+2048/32*2+2048/32</f>
        <v>2304</v>
      </c>
    </row>
    <row r="30" spans="3:18" x14ac:dyDescent="0.2">
      <c r="E30" t="s">
        <v>68</v>
      </c>
      <c r="F30">
        <v>42000</v>
      </c>
      <c r="G30">
        <v>32</v>
      </c>
      <c r="H30">
        <f t="shared" si="0"/>
        <v>1344000</v>
      </c>
      <c r="I30" s="9">
        <f t="shared" si="1"/>
        <v>0.4001488649050986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 x14ac:dyDescent="0.2">
      <c r="E31" t="s">
        <v>69</v>
      </c>
      <c r="F31">
        <v>17000</v>
      </c>
      <c r="G31">
        <v>1</v>
      </c>
      <c r="H31">
        <f t="shared" si="0"/>
        <v>17000</v>
      </c>
      <c r="I31" s="9">
        <f t="shared" si="1"/>
        <v>5.0614067733531819E-3</v>
      </c>
      <c r="L31">
        <f>L29+L30</f>
        <v>13600</v>
      </c>
      <c r="M31" t="s">
        <v>34</v>
      </c>
      <c r="N31">
        <f>128+2+16+4+1</f>
        <v>151</v>
      </c>
    </row>
    <row r="32" spans="3:18" x14ac:dyDescent="0.2">
      <c r="E32" t="s">
        <v>70</v>
      </c>
      <c r="F32">
        <v>64000</v>
      </c>
      <c r="G32">
        <v>1</v>
      </c>
      <c r="H32">
        <f t="shared" si="0"/>
        <v>64000</v>
      </c>
      <c r="I32" s="9">
        <f t="shared" si="1"/>
        <v>1.9054707852623743E-2</v>
      </c>
      <c r="N32">
        <f>SUM(N29:N31)</f>
        <v>2495</v>
      </c>
    </row>
    <row r="33" spans="5:14" x14ac:dyDescent="0.2">
      <c r="E33" t="s">
        <v>72</v>
      </c>
      <c r="F33">
        <v>360000</v>
      </c>
      <c r="G33">
        <v>1</v>
      </c>
      <c r="H33">
        <v>507000</v>
      </c>
      <c r="I33" s="9">
        <f t="shared" si="1"/>
        <v>0.15094901377000372</v>
      </c>
      <c r="J33" t="s">
        <v>108</v>
      </c>
    </row>
    <row r="34" spans="5:14" x14ac:dyDescent="0.2">
      <c r="J34" s="9">
        <f>SUM(I26:I37)+I41+I39</f>
        <v>1</v>
      </c>
      <c r="M34" t="s">
        <v>35</v>
      </c>
      <c r="N34">
        <v>0</v>
      </c>
    </row>
    <row r="35" spans="5:14" x14ac:dyDescent="0.2">
      <c r="M35" t="s">
        <v>36</v>
      </c>
      <c r="N35">
        <v>0</v>
      </c>
    </row>
    <row r="36" spans="5:14" x14ac:dyDescent="0.2">
      <c r="M36" s="2" t="s">
        <v>40</v>
      </c>
      <c r="N36" s="2">
        <f>SUM(N34:N35)</f>
        <v>0</v>
      </c>
    </row>
    <row r="38" spans="5:14" x14ac:dyDescent="0.2">
      <c r="G38" s="2" t="s">
        <v>40</v>
      </c>
      <c r="H38" s="2">
        <f>SUM(H26:H37)</f>
        <v>3219000</v>
      </c>
      <c r="I38">
        <f>H38-H29</f>
        <v>2619000</v>
      </c>
      <c r="M38" t="s">
        <v>37</v>
      </c>
      <c r="N38">
        <f>N32+N36</f>
        <v>2495</v>
      </c>
    </row>
    <row r="39" spans="5:14" x14ac:dyDescent="0.2">
      <c r="E39" t="s">
        <v>26</v>
      </c>
      <c r="F39">
        <v>15000</v>
      </c>
      <c r="G39">
        <v>1</v>
      </c>
      <c r="H39">
        <f>F39*G39</f>
        <v>15000</v>
      </c>
      <c r="I39" s="9">
        <f>H39/$H$42</f>
        <v>4.4659471529586896E-3</v>
      </c>
      <c r="M39" t="s">
        <v>38</v>
      </c>
      <c r="N39" s="2">
        <v>1</v>
      </c>
    </row>
    <row r="40" spans="5:14" x14ac:dyDescent="0.2">
      <c r="G40" s="2" t="s">
        <v>40</v>
      </c>
      <c r="H40" s="2">
        <f>H38+H39</f>
        <v>3234000</v>
      </c>
    </row>
    <row r="41" spans="5:14" x14ac:dyDescent="0.2">
      <c r="E41" t="s">
        <v>27</v>
      </c>
      <c r="F41">
        <f>N42</f>
        <v>124750</v>
      </c>
      <c r="G41">
        <v>1</v>
      </c>
      <c r="H41">
        <f>F41*G41</f>
        <v>124750</v>
      </c>
      <c r="I41" s="9">
        <f>H41/$H$42</f>
        <v>3.7141793822106438E-2</v>
      </c>
      <c r="N41">
        <f>N38+N39*N38</f>
        <v>4990</v>
      </c>
    </row>
    <row r="42" spans="5:14" x14ac:dyDescent="0.2">
      <c r="G42" s="3" t="s">
        <v>37</v>
      </c>
      <c r="H42" s="2">
        <f>H40+H41</f>
        <v>3358750</v>
      </c>
      <c r="M42" s="2" t="s">
        <v>39</v>
      </c>
      <c r="N42" s="2">
        <f>N41/N27*1000000</f>
        <v>124750</v>
      </c>
    </row>
    <row r="46" spans="5:14" x14ac:dyDescent="0.2">
      <c r="G46" t="s">
        <v>54</v>
      </c>
      <c r="K46">
        <v>65</v>
      </c>
      <c r="L46">
        <v>32</v>
      </c>
      <c r="M46">
        <v>21</v>
      </c>
    </row>
    <row r="47" spans="5:14" x14ac:dyDescent="0.2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 x14ac:dyDescent="0.2">
      <c r="J48" t="s">
        <v>53</v>
      </c>
      <c r="K48">
        <v>2</v>
      </c>
      <c r="L48">
        <v>0.5</v>
      </c>
      <c r="M48">
        <v>0.26</v>
      </c>
    </row>
    <row r="49" spans="5:18" x14ac:dyDescent="0.2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8" x14ac:dyDescent="0.2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18" x14ac:dyDescent="0.2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8" x14ac:dyDescent="0.2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8" x14ac:dyDescent="0.2">
      <c r="G53" s="8">
        <v>28</v>
      </c>
      <c r="H53" s="7">
        <f>$H$49*G53+$H$50</f>
        <v>0.69090909090909103</v>
      </c>
    </row>
    <row r="54" spans="5:18" x14ac:dyDescent="0.2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8" x14ac:dyDescent="0.2">
      <c r="I55">
        <v>65</v>
      </c>
      <c r="J55">
        <v>28</v>
      </c>
      <c r="K55">
        <f>H54/H53</f>
        <v>1.9249999999999998</v>
      </c>
    </row>
    <row r="59" spans="5:18" x14ac:dyDescent="0.2">
      <c r="K59" s="16"/>
      <c r="L59" s="16"/>
      <c r="N59" s="16"/>
    </row>
    <row r="60" spans="5:18" x14ac:dyDescent="0.2">
      <c r="J60" s="1"/>
      <c r="Q60" s="33" t="s">
        <v>117</v>
      </c>
      <c r="R60" s="35"/>
    </row>
    <row r="61" spans="5:18" x14ac:dyDescent="0.2">
      <c r="K61" s="33" t="s">
        <v>117</v>
      </c>
      <c r="L61" s="34"/>
      <c r="M61" s="35"/>
      <c r="P61" s="25"/>
      <c r="Q61" s="23" t="s">
        <v>93</v>
      </c>
      <c r="R61" s="23" t="s">
        <v>95</v>
      </c>
    </row>
    <row r="62" spans="5:18" x14ac:dyDescent="0.2">
      <c r="J62" s="26"/>
      <c r="K62" s="17" t="s">
        <v>112</v>
      </c>
      <c r="L62" s="18" t="s">
        <v>93</v>
      </c>
      <c r="M62" s="19" t="s">
        <v>95</v>
      </c>
      <c r="P62" s="20" t="s">
        <v>116</v>
      </c>
      <c r="Q62" s="22">
        <f>L72</f>
        <v>3358750</v>
      </c>
      <c r="R62" s="22">
        <f>M72</f>
        <v>1306555.256356112</v>
      </c>
    </row>
    <row r="63" spans="5:18" x14ac:dyDescent="0.2">
      <c r="J63" s="20" t="s">
        <v>79</v>
      </c>
      <c r="K63" s="21">
        <f>I27</f>
        <v>3.1261630070710832E-2</v>
      </c>
      <c r="L63" s="22">
        <f>H27</f>
        <v>105000</v>
      </c>
      <c r="M63" s="22">
        <f>IF(EXACT(J63,"TSV"),L63,L63/Manager!$O$19)</f>
        <v>38370.300531042587</v>
      </c>
      <c r="P63" s="20" t="s">
        <v>115</v>
      </c>
      <c r="Q63" s="22">
        <f>Manager!P19*1000000</f>
        <v>6661495.9086184362</v>
      </c>
      <c r="R63" s="22">
        <f>Manager!N19*1000000</f>
        <v>2434320</v>
      </c>
    </row>
    <row r="64" spans="5:18" x14ac:dyDescent="0.2">
      <c r="J64" s="20" t="s">
        <v>121</v>
      </c>
      <c r="K64" s="21">
        <f>I31+I28</f>
        <v>1.4588760699665054E-2</v>
      </c>
      <c r="L64" s="22">
        <f>H31+H28</f>
        <v>49000</v>
      </c>
      <c r="M64" s="22">
        <f>IF(EXACT(J64,"TSV"),L64,L64/Manager!$O$19)</f>
        <v>17906.140247819876</v>
      </c>
      <c r="P64" s="20" t="s">
        <v>113</v>
      </c>
      <c r="Q64" s="24">
        <f>Q62/Q63</f>
        <v>0.50420356719795534</v>
      </c>
      <c r="R64" s="24">
        <f>R62/R63</f>
        <v>0.53672288620892572</v>
      </c>
    </row>
    <row r="65" spans="10:18" x14ac:dyDescent="0.2">
      <c r="J65" s="20" t="s">
        <v>107</v>
      </c>
      <c r="K65" s="21">
        <f>I33</f>
        <v>0.15094901377000372</v>
      </c>
      <c r="L65" s="22">
        <f>H33</f>
        <v>507000</v>
      </c>
      <c r="M65" s="22">
        <f>IF(EXACT(J65,"TSV"),L65,L65/Manager!$O$19)</f>
        <v>185273.73684989134</v>
      </c>
      <c r="P65" s="20" t="s">
        <v>114</v>
      </c>
      <c r="Q65" s="24">
        <f>(L72-L70)/(Q63-L70)</f>
        <v>0.49474158017005088</v>
      </c>
      <c r="R65" s="24">
        <f>(M72-M70)/(R63-M70)</f>
        <v>0.51169925845768349</v>
      </c>
    </row>
    <row r="66" spans="10:18" x14ac:dyDescent="0.2">
      <c r="J66" s="20" t="s">
        <v>80</v>
      </c>
      <c r="K66" s="21">
        <f>I29</f>
        <v>0.17863788611834761</v>
      </c>
      <c r="L66" s="22">
        <f>H29</f>
        <v>600000</v>
      </c>
      <c r="M66" s="22">
        <f>IF(EXACT(J66,"TSV"),L66,L66/Manager!$O$19)</f>
        <v>219258.86017738623</v>
      </c>
    </row>
    <row r="67" spans="10:18" x14ac:dyDescent="0.2">
      <c r="J67" s="20" t="s">
        <v>81</v>
      </c>
      <c r="K67" s="21">
        <f>I30</f>
        <v>0.4001488649050986</v>
      </c>
      <c r="L67" s="22">
        <f>H30</f>
        <v>1344000</v>
      </c>
      <c r="M67" s="22">
        <f>IF(EXACT(J67,"TSV"),L67,L67/Manager!$O$19)</f>
        <v>491139.84679734515</v>
      </c>
    </row>
    <row r="68" spans="10:18" x14ac:dyDescent="0.2">
      <c r="J68" s="20" t="s">
        <v>82</v>
      </c>
      <c r="K68" s="21">
        <f>I32</f>
        <v>1.9054707852623743E-2</v>
      </c>
      <c r="L68" s="22">
        <f>H32</f>
        <v>64000</v>
      </c>
      <c r="M68" s="22">
        <f>IF(EXACT(J68,"TSV"),L68,L68/Manager!$O$19)</f>
        <v>23387.611752254528</v>
      </c>
    </row>
    <row r="69" spans="10:18" x14ac:dyDescent="0.2">
      <c r="J69" s="20" t="s">
        <v>83</v>
      </c>
      <c r="K69" s="21">
        <f>I26</f>
        <v>0.16375139560848531</v>
      </c>
      <c r="L69" s="22">
        <f>H26</f>
        <v>550000</v>
      </c>
      <c r="M69" s="22">
        <f>IF(EXACT(J69,"TSV"),L69,L69/Manager!$O$19)</f>
        <v>200987.28849593736</v>
      </c>
    </row>
    <row r="70" spans="10:18" x14ac:dyDescent="0.2">
      <c r="J70" s="20" t="s">
        <v>78</v>
      </c>
      <c r="K70" s="21">
        <f>I41</f>
        <v>3.7141793822106438E-2</v>
      </c>
      <c r="L70" s="22">
        <f>H41</f>
        <v>124750</v>
      </c>
      <c r="M70" s="22">
        <f>IF(EXACT(J70,"TSV"),L70,L70/Manager!$O$19)</f>
        <v>124750</v>
      </c>
    </row>
    <row r="71" spans="10:18" x14ac:dyDescent="0.2">
      <c r="J71" s="20" t="s">
        <v>77</v>
      </c>
      <c r="K71" s="21">
        <f>I39</f>
        <v>4.4659471529586896E-3</v>
      </c>
      <c r="L71" s="22">
        <f>H39</f>
        <v>15000</v>
      </c>
      <c r="M71" s="22">
        <f>IF(EXACT(J71,"TSV"),L71,L71/Manager!$O$19)</f>
        <v>5481.4715044346558</v>
      </c>
    </row>
    <row r="72" spans="10:18" x14ac:dyDescent="0.2">
      <c r="J72" s="20" t="s">
        <v>37</v>
      </c>
      <c r="K72" s="21">
        <f>SUM(K63:K71)</f>
        <v>1</v>
      </c>
      <c r="L72" s="22">
        <f>SUM(L63:L71)</f>
        <v>3358750</v>
      </c>
      <c r="M72" s="22">
        <f>SUM(M63:M71)</f>
        <v>1306555.256356112</v>
      </c>
    </row>
  </sheetData>
  <mergeCells count="2">
    <mergeCell ref="K61:M61"/>
    <mergeCell ref="Q60:R6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topLeftCell="B1" workbookViewId="0">
      <selection activeCell="K15" sqref="K15:L24"/>
    </sheetView>
  </sheetViews>
  <sheetFormatPr baseColWidth="10" defaultRowHeight="16" x14ac:dyDescent="0.2"/>
  <sheetData>
    <row r="4" spans="5:8" x14ac:dyDescent="0.2">
      <c r="H4">
        <v>1</v>
      </c>
    </row>
    <row r="5" spans="5:8" x14ac:dyDescent="0.2">
      <c r="E5">
        <f>Manager!H40</f>
        <v>4488746</v>
      </c>
      <c r="F5">
        <f>PE!H40</f>
        <v>3234000</v>
      </c>
      <c r="G5">
        <f>SUM(E5:F5)</f>
        <v>7722746</v>
      </c>
      <c r="H5">
        <f>G5*H$4</f>
        <v>7722746</v>
      </c>
    </row>
    <row r="6" spans="5:8" x14ac:dyDescent="0.2">
      <c r="E6">
        <f>E5/Manager!O19</f>
        <v>1640328.8859763362</v>
      </c>
      <c r="F6">
        <f>F5/PE!O19</f>
        <v>1243846.1538461538</v>
      </c>
      <c r="G6">
        <f>SUM(E6:F6)</f>
        <v>2884175.03982249</v>
      </c>
      <c r="H6">
        <f>G6*H$4</f>
        <v>2884175.03982249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Microsoft Office User</cp:lastModifiedBy>
  <dcterms:created xsi:type="dcterms:W3CDTF">2017-07-24T16:43:03Z</dcterms:created>
  <dcterms:modified xsi:type="dcterms:W3CDTF">2018-02-22T18:15:12Z</dcterms:modified>
</cp:coreProperties>
</file>