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47100" windowHeight="22420" tabRatio="500" activeTab="1"/>
  </bookViews>
  <sheets>
    <sheet name="CNN" sheetId="2" r:id="rId1"/>
    <sheet name="DNN" sheetId="1" r:id="rId2"/>
    <sheet name="CNN tmp" sheetId="3" r:id="rId3"/>
    <sheet name="XU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1" l="1"/>
  <c r="AC27" i="1"/>
  <c r="AC26" i="1"/>
  <c r="AC24" i="1"/>
  <c r="AC22" i="1"/>
  <c r="AC20" i="1"/>
  <c r="AC18" i="1"/>
  <c r="AC16" i="1"/>
  <c r="AC12" i="1"/>
  <c r="AC8" i="1"/>
  <c r="W38" i="2"/>
  <c r="W40" i="2"/>
  <c r="X40" i="2"/>
  <c r="AB27" i="1"/>
  <c r="AA27" i="1"/>
  <c r="AA26" i="1"/>
  <c r="AA24" i="1"/>
  <c r="AA22" i="1"/>
  <c r="AA20" i="1"/>
  <c r="AA18" i="1"/>
  <c r="AA16" i="1"/>
  <c r="AA12" i="1"/>
  <c r="AA8" i="1"/>
  <c r="L28" i="1"/>
  <c r="Y28" i="1"/>
  <c r="Y27" i="1"/>
  <c r="Z26" i="1"/>
  <c r="Z24" i="1"/>
  <c r="Y26" i="1"/>
  <c r="Y24" i="1"/>
  <c r="Z22" i="1"/>
  <c r="Y22" i="1"/>
  <c r="Z20" i="1"/>
  <c r="Y20" i="1"/>
  <c r="Z18" i="1"/>
  <c r="Y18" i="1"/>
  <c r="Z16" i="1"/>
  <c r="Y16" i="1"/>
  <c r="Z14" i="1"/>
  <c r="Z12" i="1"/>
  <c r="Y12" i="1"/>
  <c r="Z10" i="1"/>
  <c r="Z8" i="1"/>
  <c r="Y8" i="1"/>
  <c r="X27" i="1"/>
  <c r="X28" i="1"/>
  <c r="X26" i="1"/>
  <c r="X24" i="1"/>
  <c r="X22" i="1"/>
  <c r="X20" i="1"/>
  <c r="X18" i="1"/>
  <c r="X16" i="1"/>
  <c r="X12" i="1"/>
  <c r="X8" i="1"/>
  <c r="W26" i="1"/>
  <c r="W24" i="1"/>
  <c r="W22" i="1"/>
  <c r="W20" i="1"/>
  <c r="W18" i="1"/>
  <c r="W16" i="1"/>
  <c r="W12" i="1"/>
  <c r="W8" i="1"/>
  <c r="U20" i="1"/>
  <c r="U18" i="1"/>
  <c r="U16" i="1"/>
  <c r="U14" i="1"/>
  <c r="U12" i="1"/>
  <c r="U10" i="1"/>
  <c r="U8" i="1"/>
  <c r="S28" i="1"/>
  <c r="T8" i="1"/>
  <c r="T10" i="1"/>
  <c r="T12" i="1"/>
  <c r="T14" i="1"/>
  <c r="T16" i="1"/>
  <c r="T18" i="1"/>
  <c r="T20" i="1"/>
  <c r="T28" i="1"/>
  <c r="T26" i="1"/>
  <c r="T24" i="1"/>
  <c r="T22" i="1"/>
  <c r="S24" i="1"/>
  <c r="S26" i="1"/>
  <c r="S20" i="1"/>
  <c r="S18" i="1"/>
  <c r="O18" i="1"/>
  <c r="M18" i="1"/>
  <c r="N18" i="1"/>
  <c r="P18" i="1"/>
  <c r="L18" i="1"/>
  <c r="R18" i="1"/>
  <c r="Q18" i="1"/>
  <c r="S22" i="1"/>
  <c r="S16" i="1"/>
  <c r="S12" i="1"/>
  <c r="L6" i="1"/>
  <c r="E15" i="4"/>
  <c r="J15" i="4"/>
  <c r="D18" i="4"/>
  <c r="M29" i="2"/>
  <c r="M26" i="2"/>
  <c r="M24" i="2"/>
  <c r="M22" i="2"/>
  <c r="M20" i="2"/>
  <c r="M18" i="2"/>
  <c r="M16" i="2"/>
  <c r="M14" i="2"/>
  <c r="M12" i="2"/>
  <c r="M10" i="2"/>
  <c r="M8" i="2"/>
  <c r="I15" i="4"/>
  <c r="F12" i="4"/>
  <c r="I12" i="4"/>
  <c r="H12" i="4"/>
  <c r="K12" i="4"/>
  <c r="L12" i="4"/>
  <c r="J12" i="4"/>
  <c r="E8" i="4"/>
  <c r="O26" i="2"/>
  <c r="O24" i="2"/>
  <c r="O22" i="2"/>
  <c r="O20" i="2"/>
  <c r="O18" i="2"/>
  <c r="O16" i="2"/>
  <c r="O14" i="2"/>
  <c r="O12" i="2"/>
  <c r="O10" i="2"/>
  <c r="O8" i="2"/>
  <c r="O6" i="2"/>
  <c r="N26" i="2"/>
  <c r="N24" i="2"/>
  <c r="N22" i="2"/>
  <c r="N20" i="2"/>
  <c r="N18" i="2"/>
  <c r="N16" i="2"/>
  <c r="N14" i="2"/>
  <c r="N12" i="2"/>
  <c r="N10" i="2"/>
  <c r="N8" i="2"/>
  <c r="N6" i="2"/>
  <c r="Y26" i="2"/>
  <c r="Y24" i="2"/>
  <c r="Y22" i="2"/>
  <c r="Y20" i="2"/>
  <c r="Y18" i="2"/>
  <c r="Y16" i="2"/>
  <c r="Y14" i="2"/>
  <c r="Y12" i="2"/>
  <c r="Y10" i="2"/>
  <c r="Y8" i="2"/>
  <c r="Q24" i="2"/>
  <c r="Q22" i="2"/>
  <c r="Q20" i="2"/>
  <c r="Q18" i="2"/>
  <c r="Q16" i="2"/>
  <c r="Q14" i="2"/>
  <c r="Q12" i="2"/>
  <c r="Q10" i="2"/>
  <c r="Q8" i="2"/>
  <c r="Q26" i="2"/>
  <c r="P22" i="2"/>
  <c r="P24" i="2"/>
  <c r="P28" i="2"/>
  <c r="D5" i="4"/>
  <c r="F5" i="4"/>
  <c r="I5" i="4"/>
  <c r="J5" i="4"/>
  <c r="P26" i="2"/>
  <c r="H5" i="4"/>
  <c r="K5" i="4"/>
  <c r="L5" i="4"/>
  <c r="L28" i="3"/>
  <c r="S29" i="3"/>
  <c r="S28" i="3"/>
  <c r="S20" i="3"/>
  <c r="S18" i="3"/>
  <c r="S16" i="3"/>
  <c r="S14" i="3"/>
  <c r="S12" i="3"/>
  <c r="S10" i="3"/>
  <c r="S8" i="3"/>
  <c r="L8" i="3"/>
  <c r="M8" i="3"/>
  <c r="N8" i="3"/>
  <c r="O8" i="3"/>
  <c r="Q8" i="3"/>
  <c r="L10" i="3"/>
  <c r="M10" i="3"/>
  <c r="N10" i="3"/>
  <c r="O10" i="3"/>
  <c r="Q10" i="3"/>
  <c r="L12" i="3"/>
  <c r="M12" i="3"/>
  <c r="N12" i="3"/>
  <c r="O12" i="3"/>
  <c r="Q12" i="3"/>
  <c r="L14" i="3"/>
  <c r="M14" i="3"/>
  <c r="N14" i="3"/>
  <c r="O14" i="3"/>
  <c r="Q14" i="3"/>
  <c r="L16" i="3"/>
  <c r="M16" i="3"/>
  <c r="N16" i="3"/>
  <c r="O16" i="3"/>
  <c r="Q16" i="3"/>
  <c r="L18" i="3"/>
  <c r="M18" i="3"/>
  <c r="N18" i="3"/>
  <c r="O18" i="3"/>
  <c r="Q18" i="3"/>
  <c r="L20" i="3"/>
  <c r="M20" i="3"/>
  <c r="N20" i="3"/>
  <c r="O20" i="3"/>
  <c r="Q20" i="3"/>
  <c r="L22" i="3"/>
  <c r="M22" i="3"/>
  <c r="N22" i="3"/>
  <c r="O22" i="3"/>
  <c r="Q22" i="3"/>
  <c r="L24" i="3"/>
  <c r="M24" i="3"/>
  <c r="N24" i="3"/>
  <c r="O24" i="3"/>
  <c r="Q24" i="3"/>
  <c r="L26" i="3"/>
  <c r="M26" i="3"/>
  <c r="N26" i="3"/>
  <c r="O26" i="3"/>
  <c r="Q26" i="3"/>
  <c r="Q34" i="3"/>
  <c r="Q42" i="3"/>
  <c r="P8" i="3"/>
  <c r="R8" i="3"/>
  <c r="P10" i="3"/>
  <c r="R10" i="3"/>
  <c r="P12" i="3"/>
  <c r="R12" i="3"/>
  <c r="P14" i="3"/>
  <c r="R14" i="3"/>
  <c r="P16" i="3"/>
  <c r="R16" i="3"/>
  <c r="P18" i="3"/>
  <c r="R18" i="3"/>
  <c r="P20" i="3"/>
  <c r="R20" i="3"/>
  <c r="P22" i="3"/>
  <c r="R22" i="3"/>
  <c r="P24" i="3"/>
  <c r="R24" i="3"/>
  <c r="P26" i="3"/>
  <c r="R26" i="3"/>
  <c r="R36" i="3"/>
  <c r="R38" i="3"/>
  <c r="R40" i="3"/>
  <c r="P29" i="3"/>
  <c r="O29" i="3"/>
  <c r="S22" i="3"/>
  <c r="S24" i="3"/>
  <c r="S26" i="3"/>
  <c r="S27" i="3"/>
  <c r="L6" i="3"/>
  <c r="X10" i="2"/>
  <c r="X12" i="2"/>
  <c r="X14" i="2"/>
  <c r="X26" i="2"/>
  <c r="X24" i="2"/>
  <c r="X22" i="2"/>
  <c r="X28" i="2"/>
  <c r="X27" i="2"/>
  <c r="X18" i="2"/>
  <c r="T18" i="2"/>
  <c r="R18" i="2"/>
  <c r="S18" i="2"/>
  <c r="U18" i="2"/>
  <c r="P18" i="2"/>
  <c r="W18" i="2"/>
  <c r="V18" i="2"/>
  <c r="P6" i="2"/>
  <c r="Y28" i="2"/>
  <c r="X20" i="2"/>
  <c r="X16" i="2"/>
  <c r="X8" i="2"/>
  <c r="P8" i="2"/>
  <c r="R8" i="2"/>
  <c r="S8" i="2"/>
  <c r="T8" i="2"/>
  <c r="V8" i="2"/>
  <c r="P10" i="2"/>
  <c r="R10" i="2"/>
  <c r="S10" i="2"/>
  <c r="T10" i="2"/>
  <c r="V10" i="2"/>
  <c r="P12" i="2"/>
  <c r="R12" i="2"/>
  <c r="S12" i="2"/>
  <c r="T12" i="2"/>
  <c r="V12" i="2"/>
  <c r="P14" i="2"/>
  <c r="R14" i="2"/>
  <c r="S14" i="2"/>
  <c r="T14" i="2"/>
  <c r="V14" i="2"/>
  <c r="P16" i="2"/>
  <c r="R16" i="2"/>
  <c r="S16" i="2"/>
  <c r="T16" i="2"/>
  <c r="V16" i="2"/>
  <c r="P20" i="2"/>
  <c r="R20" i="2"/>
  <c r="S20" i="2"/>
  <c r="T20" i="2"/>
  <c r="V20" i="2"/>
  <c r="R22" i="2"/>
  <c r="S22" i="2"/>
  <c r="T22" i="2"/>
  <c r="V22" i="2"/>
  <c r="R24" i="2"/>
  <c r="S24" i="2"/>
  <c r="T24" i="2"/>
  <c r="V24" i="2"/>
  <c r="R26" i="2"/>
  <c r="S26" i="2"/>
  <c r="T26" i="2"/>
  <c r="V26" i="2"/>
  <c r="V34" i="2"/>
  <c r="V42" i="2"/>
  <c r="U8" i="2"/>
  <c r="W8" i="2"/>
  <c r="U10" i="2"/>
  <c r="W10" i="2"/>
  <c r="U12" i="2"/>
  <c r="W12" i="2"/>
  <c r="U14" i="2"/>
  <c r="W14" i="2"/>
  <c r="U16" i="2"/>
  <c r="W16" i="2"/>
  <c r="U20" i="2"/>
  <c r="W20" i="2"/>
  <c r="U22" i="2"/>
  <c r="W22" i="2"/>
  <c r="U24" i="2"/>
  <c r="W24" i="2"/>
  <c r="U26" i="2"/>
  <c r="W26" i="2"/>
  <c r="W36" i="2"/>
  <c r="U29" i="2"/>
  <c r="T29" i="2"/>
  <c r="L22" i="1"/>
  <c r="Q22" i="1"/>
  <c r="L24" i="1"/>
  <c r="M24" i="1"/>
  <c r="N24" i="1"/>
  <c r="O24" i="1"/>
  <c r="Q24" i="1"/>
  <c r="L26" i="1"/>
  <c r="M26" i="1"/>
  <c r="N26" i="1"/>
  <c r="O26" i="1"/>
  <c r="Q26" i="1"/>
  <c r="M10" i="1"/>
  <c r="N10" i="1"/>
  <c r="O10" i="1"/>
  <c r="Q10" i="1"/>
  <c r="M14" i="1"/>
  <c r="N14" i="1"/>
  <c r="O14" i="1"/>
  <c r="Q14" i="1"/>
  <c r="Q34" i="1"/>
  <c r="Q42" i="1"/>
  <c r="R22" i="1"/>
  <c r="P24" i="1"/>
  <c r="R24" i="1"/>
  <c r="P26" i="1"/>
  <c r="R26" i="1"/>
  <c r="P10" i="1"/>
  <c r="R10" i="1"/>
  <c r="P14" i="1"/>
  <c r="R14" i="1"/>
  <c r="R36" i="1"/>
  <c r="R20" i="1"/>
  <c r="R16" i="1"/>
  <c r="R12" i="1"/>
  <c r="R8" i="1"/>
  <c r="O29" i="1"/>
  <c r="P29" i="1"/>
  <c r="R38" i="1"/>
  <c r="R40" i="1"/>
  <c r="M22" i="1"/>
  <c r="N22" i="1"/>
  <c r="O22" i="1"/>
  <c r="P22" i="1"/>
  <c r="M20" i="1"/>
  <c r="N20" i="1"/>
  <c r="O20" i="1"/>
  <c r="Q20" i="1"/>
  <c r="P20" i="1"/>
  <c r="M16" i="1"/>
  <c r="N16" i="1"/>
  <c r="O16" i="1"/>
  <c r="Q16" i="1"/>
  <c r="P16" i="1"/>
  <c r="M12" i="1"/>
  <c r="N12" i="1"/>
  <c r="O12" i="1"/>
  <c r="Q12" i="1"/>
  <c r="P12" i="1"/>
  <c r="M8" i="1"/>
  <c r="N8" i="1"/>
  <c r="O8" i="1"/>
  <c r="Q8" i="1"/>
  <c r="P8" i="1"/>
  <c r="L14" i="1"/>
  <c r="L12" i="1"/>
  <c r="L20" i="1"/>
  <c r="L16" i="1"/>
  <c r="L10" i="1"/>
  <c r="L8" i="1"/>
</calcChain>
</file>

<file path=xl/sharedStrings.xml><?xml version="1.0" encoding="utf-8"?>
<sst xmlns="http://schemas.openxmlformats.org/spreadsheetml/2006/main" count="152" uniqueCount="64">
  <si>
    <t>X</t>
  </si>
  <si>
    <t>Y</t>
  </si>
  <si>
    <t>F</t>
  </si>
  <si>
    <t>Input</t>
  </si>
  <si>
    <t>Kx</t>
  </si>
  <si>
    <t>Ky</t>
  </si>
  <si>
    <t>Number of pixels</t>
  </si>
  <si>
    <t>Mults</t>
  </si>
  <si>
    <t>Adds</t>
  </si>
  <si>
    <t>Per Kernel</t>
  </si>
  <si>
    <t>Total FLOPS</t>
  </si>
  <si>
    <t>Pool</t>
  </si>
  <si>
    <t>Compares</t>
  </si>
  <si>
    <t>conv</t>
  </si>
  <si>
    <t>pool</t>
  </si>
  <si>
    <t>fully</t>
  </si>
  <si>
    <t>FMA</t>
  </si>
  <si>
    <t>Total Float reads</t>
  </si>
  <si>
    <t>Float Reads</t>
  </si>
  <si>
    <t>Number of CNN's</t>
  </si>
  <si>
    <t>total  FP reads</t>
  </si>
  <si>
    <t>Bandwidth</t>
  </si>
  <si>
    <t>Greads</t>
  </si>
  <si>
    <t>reads</t>
  </si>
  <si>
    <t>FLOP per CNN</t>
  </si>
  <si>
    <t>processing time</t>
  </si>
  <si>
    <t>Weights</t>
  </si>
  <si>
    <t>Gbits</t>
  </si>
  <si>
    <t>Weights Total</t>
  </si>
  <si>
    <t>Storage</t>
  </si>
  <si>
    <t>Number of neurons</t>
  </si>
  <si>
    <t>Neurons</t>
  </si>
  <si>
    <t># Proc</t>
  </si>
  <si>
    <t>AN/Proc</t>
  </si>
  <si>
    <t>Proc Time</t>
  </si>
  <si>
    <t>Comm Time</t>
  </si>
  <si>
    <t>Acts Shared</t>
  </si>
  <si>
    <t>Mbps</t>
  </si>
  <si>
    <t>Bits</t>
  </si>
  <si>
    <t>Input bits</t>
  </si>
  <si>
    <t>Number of ANs</t>
  </si>
  <si>
    <t xml:space="preserve">Average Pre-synaptic connections </t>
  </si>
  <si>
    <t># weights</t>
  </si>
  <si>
    <t># ANNs</t>
  </si>
  <si>
    <t>proc Time</t>
  </si>
  <si>
    <t>Bits/Weight</t>
  </si>
  <si>
    <t>Connections/AN</t>
  </si>
  <si>
    <t>average # of connections</t>
  </si>
  <si>
    <t>Per layer</t>
  </si>
  <si>
    <t>Memory (Gbits)</t>
  </si>
  <si>
    <t>features for DNN</t>
  </si>
  <si>
    <t>less</t>
  </si>
  <si>
    <t>fanin</t>
  </si>
  <si>
    <t>Average fanin</t>
  </si>
  <si>
    <t>%</t>
  </si>
  <si>
    <t>Fanin</t>
  </si>
  <si>
    <t>Num of instructions</t>
  </si>
  <si>
    <t>% of instructions</t>
  </si>
  <si>
    <t>bandwidth</t>
  </si>
  <si>
    <t>Comment</t>
  </si>
  <si>
    <t>Might be better to perform reduction, or do one one SSC and start next ANN</t>
  </si>
  <si>
    <t>account for broadcast ROI</t>
  </si>
  <si>
    <t>% fanin</t>
  </si>
  <si>
    <t>Weight for DNN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</si>
</sst>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11" fontId="0" fillId="0" borderId="0" xfId="0" applyNumberFormat="1" applyAlignment="1">
      <alignment wrapText="1"/>
    </xf>
    <xf numFmtId="11" fontId="0" fillId="0" borderId="11" xfId="0" applyNumberFormat="1" applyBorder="1" applyAlignment="1">
      <alignment wrapText="1"/>
    </xf>
    <xf numFmtId="11" fontId="0" fillId="0" borderId="12" xfId="0" applyNumberFormat="1" applyBorder="1" applyAlignment="1">
      <alignment wrapText="1"/>
    </xf>
    <xf numFmtId="11" fontId="0" fillId="0" borderId="15" xfId="0" applyNumberFormat="1" applyBorder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 wrapText="1"/>
    </xf>
    <xf numFmtId="2" fontId="0" fillId="0" borderId="0" xfId="0" applyNumberForma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9" fontId="0" fillId="0" borderId="0" xfId="0" applyNumberFormat="1"/>
    <xf numFmtId="0" fontId="0" fillId="0" borderId="3" xfId="0" applyBorder="1" applyAlignment="1">
      <alignment wrapText="1"/>
    </xf>
    <xf numFmtId="11" fontId="0" fillId="0" borderId="0" xfId="0" applyNumberFormat="1"/>
    <xf numFmtId="10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 wrapText="1"/>
    </xf>
    <xf numFmtId="11" fontId="0" fillId="2" borderId="0" xfId="0" applyNumberFormat="1" applyFill="1" applyAlignment="1">
      <alignment wrapText="1"/>
    </xf>
    <xf numFmtId="9" fontId="0" fillId="0" borderId="0" xfId="0" applyNumberFormat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Y42"/>
  <sheetViews>
    <sheetView topLeftCell="A3" workbookViewId="0">
      <selection activeCell="Y38" sqref="Y38"/>
    </sheetView>
  </sheetViews>
  <sheetFormatPr baseColWidth="10" defaultRowHeight="15" x14ac:dyDescent="0"/>
  <cols>
    <col min="1" max="21" width="10.83203125" style="1"/>
    <col min="22" max="22" width="14.5" style="1" bestFit="1" customWidth="1"/>
    <col min="23" max="23" width="11.83203125" style="1" bestFit="1" customWidth="1"/>
    <col min="24" max="16384" width="10.83203125" style="1"/>
  </cols>
  <sheetData>
    <row r="4" spans="4:25">
      <c r="O4" s="1">
        <v>32</v>
      </c>
      <c r="Q4" s="34" t="s">
        <v>9</v>
      </c>
      <c r="R4" s="35"/>
      <c r="S4" s="36"/>
      <c r="T4" s="37"/>
      <c r="U4" s="3"/>
    </row>
    <row r="5" spans="4:25" ht="30">
      <c r="E5" s="12" t="s">
        <v>0</v>
      </c>
      <c r="F5" s="13" t="s">
        <v>1</v>
      </c>
      <c r="G5" s="14" t="s">
        <v>2</v>
      </c>
      <c r="H5" s="3"/>
      <c r="I5" s="3"/>
      <c r="K5" s="12" t="s">
        <v>4</v>
      </c>
      <c r="L5" s="14" t="s">
        <v>5</v>
      </c>
      <c r="M5" s="3" t="s">
        <v>46</v>
      </c>
      <c r="N5" s="11" t="s">
        <v>6</v>
      </c>
      <c r="O5" s="11" t="s">
        <v>39</v>
      </c>
      <c r="P5" s="11" t="s">
        <v>40</v>
      </c>
      <c r="Q5" s="12" t="s">
        <v>26</v>
      </c>
      <c r="R5" s="13" t="s">
        <v>7</v>
      </c>
      <c r="S5" s="13" t="s">
        <v>8</v>
      </c>
      <c r="T5" s="14" t="s">
        <v>12</v>
      </c>
      <c r="U5" s="14" t="s">
        <v>16</v>
      </c>
      <c r="V5" s="11" t="s">
        <v>10</v>
      </c>
      <c r="W5" s="1" t="s">
        <v>17</v>
      </c>
      <c r="X5" s="1" t="s">
        <v>26</v>
      </c>
    </row>
    <row r="6" spans="4:25">
      <c r="D6" s="8" t="s">
        <v>3</v>
      </c>
      <c r="E6" s="2">
        <v>224</v>
      </c>
      <c r="F6" s="3">
        <v>224</v>
      </c>
      <c r="G6" s="4">
        <v>3</v>
      </c>
      <c r="H6" s="3"/>
      <c r="I6" s="3"/>
      <c r="K6" s="2"/>
      <c r="L6" s="4"/>
      <c r="M6" s="3"/>
      <c r="N6" s="9">
        <f>E6*F6*G6</f>
        <v>150528</v>
      </c>
      <c r="O6" s="1">
        <f>N6*$O$4</f>
        <v>4816896</v>
      </c>
      <c r="P6" s="9">
        <f>E6*F6*G6</f>
        <v>150528</v>
      </c>
      <c r="Q6" s="2"/>
      <c r="R6" s="26"/>
      <c r="S6" s="3"/>
      <c r="T6" s="4"/>
      <c r="U6" s="4"/>
      <c r="V6" s="9"/>
    </row>
    <row r="7" spans="4:25">
      <c r="D7" s="9"/>
      <c r="E7" s="2"/>
      <c r="F7" s="3"/>
      <c r="G7" s="4"/>
      <c r="H7" s="3"/>
      <c r="I7" s="3"/>
      <c r="K7" s="2"/>
      <c r="L7" s="4"/>
      <c r="M7" s="3"/>
      <c r="N7" s="9"/>
      <c r="P7" s="9"/>
      <c r="Q7" s="2"/>
      <c r="R7" s="3"/>
      <c r="S7" s="3"/>
      <c r="T7" s="4"/>
      <c r="U7" s="4"/>
      <c r="V7" s="9"/>
    </row>
    <row r="8" spans="4:25">
      <c r="D8" s="9" t="s">
        <v>13</v>
      </c>
      <c r="E8" s="2">
        <v>55</v>
      </c>
      <c r="F8" s="3">
        <v>55</v>
      </c>
      <c r="G8" s="4">
        <v>96</v>
      </c>
      <c r="H8" s="3"/>
      <c r="I8" s="3"/>
      <c r="K8" s="2">
        <v>11</v>
      </c>
      <c r="L8" s="4">
        <v>11</v>
      </c>
      <c r="M8" s="3">
        <f>K8*L8*G6</f>
        <v>363</v>
      </c>
      <c r="N8" s="9">
        <f>E8*F8*G8</f>
        <v>290400</v>
      </c>
      <c r="O8" s="1">
        <f>N8*$O$4</f>
        <v>9292800</v>
      </c>
      <c r="P8" s="9">
        <f>E8*F8*G8</f>
        <v>290400</v>
      </c>
      <c r="Q8" s="2">
        <f>K8*L8*G6</f>
        <v>363</v>
      </c>
      <c r="R8" s="3">
        <f>IF(D8="Conv",K8*L8*G6,IF(D8="fully",K8*L8*G6,0))</f>
        <v>363</v>
      </c>
      <c r="S8" s="3">
        <f>IF(D8="conv",K8*L8*G6-1,IF(D8="fully",K8*L8*G6-1,0))</f>
        <v>362</v>
      </c>
      <c r="T8" s="4">
        <f>IF(D8="pool",K8*L8,0)</f>
        <v>0</v>
      </c>
      <c r="U8" s="4">
        <f>MAX(R8,S8)</f>
        <v>363</v>
      </c>
      <c r="V8" s="16">
        <f>P8*(R8+S8+T8)</f>
        <v>210540000</v>
      </c>
      <c r="W8" s="15">
        <f>(T8+U8*2)*P8</f>
        <v>210830400</v>
      </c>
      <c r="X8" s="1">
        <f>IF(D8="conv",K8*L8*G8*G6,K8*L8*G8*G6)</f>
        <v>34848</v>
      </c>
      <c r="Y8" s="1">
        <f>Q8*G8</f>
        <v>34848</v>
      </c>
    </row>
    <row r="9" spans="4:25">
      <c r="D9" s="9"/>
      <c r="E9" s="2"/>
      <c r="F9" s="3"/>
      <c r="G9" s="4"/>
      <c r="H9" s="3"/>
      <c r="I9" s="3"/>
      <c r="K9" s="2"/>
      <c r="L9" s="4"/>
      <c r="M9" s="3"/>
      <c r="N9" s="9"/>
      <c r="P9" s="9"/>
      <c r="Q9" s="2"/>
      <c r="R9" s="3"/>
      <c r="S9" s="3"/>
      <c r="T9" s="4"/>
      <c r="U9" s="4"/>
      <c r="V9" s="16"/>
      <c r="W9" s="15"/>
    </row>
    <row r="10" spans="4:25">
      <c r="D10" s="9" t="s">
        <v>11</v>
      </c>
      <c r="E10" s="2">
        <v>27</v>
      </c>
      <c r="F10" s="3">
        <v>27</v>
      </c>
      <c r="G10" s="4">
        <v>96</v>
      </c>
      <c r="H10" s="3"/>
      <c r="I10" s="3"/>
      <c r="K10" s="2">
        <v>3</v>
      </c>
      <c r="L10" s="4">
        <v>3</v>
      </c>
      <c r="M10" s="3">
        <f>K10*L10*G8</f>
        <v>864</v>
      </c>
      <c r="N10" s="9">
        <f>E10*F10*G10</f>
        <v>69984</v>
      </c>
      <c r="O10" s="1">
        <f>N10*$O$4</f>
        <v>2239488</v>
      </c>
      <c r="P10" s="9">
        <f>E10*F10*G10</f>
        <v>69984</v>
      </c>
      <c r="Q10" s="2">
        <f>K10*L10*G8</f>
        <v>864</v>
      </c>
      <c r="R10" s="3">
        <f>IF(D10="Conv",K10*L10*G8,IF(D10="fully",K10*L10*G8,0))</f>
        <v>0</v>
      </c>
      <c r="S10" s="3">
        <f>IF(D10="conv",K10*L10*G8-1,IF(D10="fully",K10*L10*G8-1,0))</f>
        <v>0</v>
      </c>
      <c r="T10" s="4">
        <f>IF(D10="pool",K10*L10,0)</f>
        <v>9</v>
      </c>
      <c r="U10" s="4">
        <f>MAX(R10,S10)</f>
        <v>0</v>
      </c>
      <c r="V10" s="16">
        <f>P10*(R10+S10+T10)</f>
        <v>629856</v>
      </c>
      <c r="W10" s="15">
        <f>(T10+U10*2)*P10</f>
        <v>629856</v>
      </c>
      <c r="X10" s="1">
        <f>IF(D10="conv",K10*L10*G10*G8,K10*L10*G10*G8)</f>
        <v>82944</v>
      </c>
      <c r="Y10" s="1">
        <f>Q10*G10</f>
        <v>82944</v>
      </c>
    </row>
    <row r="11" spans="4:25">
      <c r="D11" s="9"/>
      <c r="E11" s="2"/>
      <c r="F11" s="3"/>
      <c r="G11" s="4"/>
      <c r="H11" s="3"/>
      <c r="I11" s="3"/>
      <c r="K11" s="2"/>
      <c r="L11" s="4"/>
      <c r="M11" s="3"/>
      <c r="N11" s="9"/>
      <c r="P11" s="9"/>
      <c r="Q11" s="2"/>
      <c r="R11" s="3"/>
      <c r="S11" s="3"/>
      <c r="T11" s="4"/>
      <c r="U11" s="4"/>
      <c r="V11" s="16"/>
      <c r="W11" s="15"/>
    </row>
    <row r="12" spans="4:25">
      <c r="D12" s="9" t="s">
        <v>13</v>
      </c>
      <c r="E12" s="2">
        <v>27</v>
      </c>
      <c r="F12" s="3">
        <v>27</v>
      </c>
      <c r="G12" s="4">
        <v>256</v>
      </c>
      <c r="H12" s="3"/>
      <c r="I12" s="3"/>
      <c r="K12" s="2">
        <v>5</v>
      </c>
      <c r="L12" s="4">
        <v>5</v>
      </c>
      <c r="M12" s="3">
        <f>K12*L12*G10</f>
        <v>2400</v>
      </c>
      <c r="N12" s="9">
        <f>E12*F12*G12</f>
        <v>186624</v>
      </c>
      <c r="O12" s="1">
        <f>N12*$O$4</f>
        <v>5971968</v>
      </c>
      <c r="P12" s="9">
        <f>E12*F12*G12</f>
        <v>186624</v>
      </c>
      <c r="Q12" s="2">
        <f>K12*L12*G10</f>
        <v>2400</v>
      </c>
      <c r="R12" s="3">
        <f>IF(D12="Conv",K12*L12*G10,IF(D12="fully",K12*L12*G10,0))</f>
        <v>2400</v>
      </c>
      <c r="S12" s="3">
        <f>IF(D12="conv",K12*L12*G10-1,IF(D12="fully",K12*L12*G10-1,0))</f>
        <v>2399</v>
      </c>
      <c r="T12" s="4">
        <f>IF(D12="pool",K12*L12,0)</f>
        <v>0</v>
      </c>
      <c r="U12" s="4">
        <f>MAX(R12,S12)</f>
        <v>2400</v>
      </c>
      <c r="V12" s="16">
        <f>P12*(R12+S12+T12)</f>
        <v>895608576</v>
      </c>
      <c r="W12" s="15">
        <f>(T12+U12*2)*P12</f>
        <v>895795200</v>
      </c>
      <c r="X12" s="1">
        <f>IF(D12="conv",K12*L12*G12*G10,K12*L12*G12*G10)</f>
        <v>614400</v>
      </c>
      <c r="Y12" s="1">
        <f>Q12*G12</f>
        <v>614400</v>
      </c>
    </row>
    <row r="13" spans="4:25">
      <c r="D13" s="9"/>
      <c r="E13" s="2"/>
      <c r="F13" s="3"/>
      <c r="G13" s="4"/>
      <c r="H13" s="3"/>
      <c r="I13" s="3"/>
      <c r="K13" s="2"/>
      <c r="L13" s="4"/>
      <c r="M13" s="3"/>
      <c r="N13" s="9"/>
      <c r="P13" s="9"/>
      <c r="Q13" s="2"/>
      <c r="R13" s="3"/>
      <c r="S13" s="3"/>
      <c r="T13" s="4"/>
      <c r="U13" s="4"/>
      <c r="V13" s="16"/>
      <c r="W13" s="15"/>
    </row>
    <row r="14" spans="4:25">
      <c r="D14" s="9" t="s">
        <v>14</v>
      </c>
      <c r="E14" s="2">
        <v>13</v>
      </c>
      <c r="F14" s="3">
        <v>13</v>
      </c>
      <c r="G14" s="4">
        <v>256</v>
      </c>
      <c r="H14" s="3"/>
      <c r="I14" s="3"/>
      <c r="K14" s="2">
        <v>3</v>
      </c>
      <c r="L14" s="4">
        <v>3</v>
      </c>
      <c r="M14" s="3">
        <f>K14*L14*G12</f>
        <v>2304</v>
      </c>
      <c r="N14" s="9">
        <f>E14*F14*G14</f>
        <v>43264</v>
      </c>
      <c r="O14" s="1">
        <f>N14*$O$4</f>
        <v>1384448</v>
      </c>
      <c r="P14" s="9">
        <f>E14*F14*G14</f>
        <v>43264</v>
      </c>
      <c r="Q14" s="2">
        <f>K14*L14*G12</f>
        <v>2304</v>
      </c>
      <c r="R14" s="3">
        <f>IF(D14="Conv",K14*L14*G12,IF(D14="fully",K14*L14*G12,0))</f>
        <v>0</v>
      </c>
      <c r="S14" s="3">
        <f>IF(D14="conv",K14*L14*G12-1,IF(D14="fully",K14*L14*G12-1,0))</f>
        <v>0</v>
      </c>
      <c r="T14" s="4">
        <f>IF(D14="pool",K14*L14,0)</f>
        <v>9</v>
      </c>
      <c r="U14" s="4">
        <f>MAX(R14,S14)</f>
        <v>0</v>
      </c>
      <c r="V14" s="16">
        <f>P14*(R14+S14+T14)</f>
        <v>389376</v>
      </c>
      <c r="W14" s="15">
        <f>(T14+U14*2)*P14</f>
        <v>389376</v>
      </c>
      <c r="X14" s="1">
        <f>IF(D14="conv",K14*L14*G14*G12,K14*L14*G14*G12)</f>
        <v>589824</v>
      </c>
      <c r="Y14" s="1">
        <f>Q14*G14</f>
        <v>589824</v>
      </c>
    </row>
    <row r="15" spans="4:25">
      <c r="D15" s="9"/>
      <c r="E15" s="2"/>
      <c r="F15" s="3"/>
      <c r="G15" s="4"/>
      <c r="H15" s="3"/>
      <c r="I15" s="3"/>
      <c r="K15" s="2"/>
      <c r="L15" s="4"/>
      <c r="M15" s="3"/>
      <c r="N15" s="9"/>
      <c r="P15" s="9"/>
      <c r="Q15" s="2"/>
      <c r="R15" s="3"/>
      <c r="S15" s="3"/>
      <c r="T15" s="4"/>
      <c r="U15" s="4"/>
      <c r="V15" s="16"/>
      <c r="W15" s="15"/>
    </row>
    <row r="16" spans="4:25">
      <c r="D16" s="9" t="s">
        <v>13</v>
      </c>
      <c r="E16" s="2">
        <v>13</v>
      </c>
      <c r="F16" s="3">
        <v>13</v>
      </c>
      <c r="G16" s="4">
        <v>384</v>
      </c>
      <c r="H16" s="3"/>
      <c r="I16" s="3"/>
      <c r="K16" s="2">
        <v>3</v>
      </c>
      <c r="L16" s="4">
        <v>3</v>
      </c>
      <c r="M16" s="3">
        <f>K16*L16*G14</f>
        <v>2304</v>
      </c>
      <c r="N16" s="9">
        <f>E16*F16*G16</f>
        <v>64896</v>
      </c>
      <c r="O16" s="1">
        <f>N16*$O$4</f>
        <v>2076672</v>
      </c>
      <c r="P16" s="9">
        <f>E16*F16*G16</f>
        <v>64896</v>
      </c>
      <c r="Q16" s="2">
        <f>K16*L16*G14</f>
        <v>2304</v>
      </c>
      <c r="R16" s="3">
        <f>IF(D16="Conv",K16*L16*G14,IF(D16="fully",K16*L16*G14,0))</f>
        <v>2304</v>
      </c>
      <c r="S16" s="3">
        <f>IF(D16="conv",K16*L16*G14-1,IF(D16="fully",K16*L16*G14-1,0))</f>
        <v>2303</v>
      </c>
      <c r="T16" s="4">
        <f>IF(D16="pool",K16*L16,0)</f>
        <v>0</v>
      </c>
      <c r="U16" s="4">
        <f>MAX(R16,S16)</f>
        <v>2304</v>
      </c>
      <c r="V16" s="16">
        <f>P16*(R16+S16+T16)</f>
        <v>298975872</v>
      </c>
      <c r="W16" s="15">
        <f>(T16+U16*2)*P16</f>
        <v>299040768</v>
      </c>
      <c r="X16" s="1">
        <f>IF(D16="conv",K16*L16*G16*G14,K16*L16*G16*G14)</f>
        <v>884736</v>
      </c>
      <c r="Y16" s="1">
        <f>Q16*G16</f>
        <v>884736</v>
      </c>
    </row>
    <row r="17" spans="4:25">
      <c r="D17" s="9"/>
      <c r="E17" s="2"/>
      <c r="F17" s="3"/>
      <c r="G17" s="4"/>
      <c r="H17" s="3"/>
      <c r="I17" s="3"/>
      <c r="K17" s="2"/>
      <c r="L17" s="4"/>
      <c r="M17" s="3"/>
      <c r="N17" s="9"/>
      <c r="P17" s="9"/>
      <c r="Q17" s="2"/>
      <c r="R17" s="3"/>
      <c r="S17" s="3"/>
      <c r="T17" s="4"/>
      <c r="U17" s="4"/>
      <c r="V17" s="16"/>
      <c r="W17" s="15"/>
    </row>
    <row r="18" spans="4:25">
      <c r="D18" s="9" t="s">
        <v>13</v>
      </c>
      <c r="E18" s="2">
        <v>13</v>
      </c>
      <c r="F18" s="3">
        <v>13</v>
      </c>
      <c r="G18" s="4">
        <v>384</v>
      </c>
      <c r="H18" s="3"/>
      <c r="I18" s="3"/>
      <c r="K18" s="2">
        <v>3</v>
      </c>
      <c r="L18" s="4">
        <v>3</v>
      </c>
      <c r="M18" s="3">
        <f>K18*L18*G16</f>
        <v>3456</v>
      </c>
      <c r="N18" s="9">
        <f>E18*F18*G18</f>
        <v>64896</v>
      </c>
      <c r="O18" s="1">
        <f>N18*$O$4</f>
        <v>2076672</v>
      </c>
      <c r="P18" s="9">
        <f>E18*F18*G18</f>
        <v>64896</v>
      </c>
      <c r="Q18" s="2">
        <f>K18*L18*G16</f>
        <v>3456</v>
      </c>
      <c r="R18" s="3">
        <f>IF(D18="Conv",K18*L18*G16,IF(D18="fully",K18*L18*G16,0))</f>
        <v>3456</v>
      </c>
      <c r="S18" s="3">
        <f>IF(D18="conv",K18*L18*G16-1,IF(D18="fully",K18*L18*G16-1,0))</f>
        <v>3455</v>
      </c>
      <c r="T18" s="4">
        <f>IF(D18="pool",K18*L18,0)</f>
        <v>0</v>
      </c>
      <c r="U18" s="4">
        <f>MAX(R18,S18)</f>
        <v>3456</v>
      </c>
      <c r="V18" s="16">
        <f>P18*(R18+S18+T18)</f>
        <v>448496256</v>
      </c>
      <c r="W18" s="15">
        <f>(T18+U18*2)*P18</f>
        <v>448561152</v>
      </c>
      <c r="X18" s="1">
        <f>IF(D18="conv",K18*L18*G18*G16,K18*L18*G18*G16)</f>
        <v>1327104</v>
      </c>
      <c r="Y18" s="1">
        <f>Q18*G18</f>
        <v>1327104</v>
      </c>
    </row>
    <row r="19" spans="4:25">
      <c r="D19" s="9"/>
      <c r="E19" s="2"/>
      <c r="F19" s="3"/>
      <c r="G19" s="4"/>
      <c r="H19" s="3"/>
      <c r="I19" s="3"/>
      <c r="K19" s="2"/>
      <c r="L19" s="4"/>
      <c r="M19" s="3"/>
      <c r="N19" s="9"/>
      <c r="P19" s="9"/>
      <c r="Q19" s="2"/>
      <c r="R19" s="3"/>
      <c r="S19" s="3"/>
      <c r="T19" s="4"/>
      <c r="U19" s="4"/>
      <c r="V19" s="16"/>
      <c r="W19" s="15"/>
    </row>
    <row r="20" spans="4:25">
      <c r="D20" s="9" t="s">
        <v>13</v>
      </c>
      <c r="E20" s="2">
        <v>13</v>
      </c>
      <c r="F20" s="3">
        <v>13</v>
      </c>
      <c r="G20" s="4">
        <v>256</v>
      </c>
      <c r="H20" s="3"/>
      <c r="I20" s="3"/>
      <c r="K20" s="2">
        <v>3</v>
      </c>
      <c r="L20" s="4">
        <v>3</v>
      </c>
      <c r="M20" s="3">
        <f>K20*L20*G18</f>
        <v>3456</v>
      </c>
      <c r="N20" s="9">
        <f>E20*F20*G20</f>
        <v>43264</v>
      </c>
      <c r="O20" s="1">
        <f>N20*$O$4</f>
        <v>1384448</v>
      </c>
      <c r="P20" s="9">
        <f>E20*F20*G20</f>
        <v>43264</v>
      </c>
      <c r="Q20" s="2">
        <f>K20*L20*G18</f>
        <v>3456</v>
      </c>
      <c r="R20" s="3">
        <f>IF(D20="Conv",K20*L20*G16,IF(D20="fully",K20*L20*G16,0))</f>
        <v>3456</v>
      </c>
      <c r="S20" s="3">
        <f>IF(D20="conv",K20*L20*G16-1,IF(D20="fully",K20*L20*G16-1,0))</f>
        <v>3455</v>
      </c>
      <c r="T20" s="4">
        <f>IF(D20="pool",K20*L20,0)</f>
        <v>0</v>
      </c>
      <c r="U20" s="4">
        <f>MAX(R20,S20)</f>
        <v>3456</v>
      </c>
      <c r="V20" s="16">
        <f>P20*(R20+S20+T20)</f>
        <v>298997504</v>
      </c>
      <c r="W20" s="15">
        <f>(T20+U20*2)*P20</f>
        <v>299040768</v>
      </c>
      <c r="X20" s="1">
        <f>IF(D20="conv",K20*L20*G20*G16,K20*L20*G20*G16)</f>
        <v>884736</v>
      </c>
      <c r="Y20" s="1">
        <f>Q20*G20</f>
        <v>884736</v>
      </c>
    </row>
    <row r="21" spans="4:25">
      <c r="D21" s="9"/>
      <c r="E21" s="2"/>
      <c r="F21" s="3"/>
      <c r="G21" s="4"/>
      <c r="H21" s="3"/>
      <c r="I21" s="3"/>
      <c r="K21" s="2"/>
      <c r="L21" s="4"/>
      <c r="M21" s="3"/>
      <c r="N21" s="9"/>
      <c r="P21" s="9"/>
      <c r="Q21" s="2"/>
      <c r="R21" s="3"/>
      <c r="S21" s="3"/>
      <c r="T21" s="4"/>
      <c r="U21" s="4"/>
      <c r="V21" s="16"/>
      <c r="W21" s="15"/>
    </row>
    <row r="22" spans="4:25">
      <c r="D22" s="9" t="s">
        <v>15</v>
      </c>
      <c r="E22" s="2">
        <v>1</v>
      </c>
      <c r="F22" s="3">
        <v>4096</v>
      </c>
      <c r="G22" s="4">
        <v>1</v>
      </c>
      <c r="H22" s="3"/>
      <c r="I22" s="3"/>
      <c r="K22" s="2">
        <v>13</v>
      </c>
      <c r="L22" s="4">
        <v>13</v>
      </c>
      <c r="M22" s="3">
        <f>K22*L22*G20</f>
        <v>43264</v>
      </c>
      <c r="N22" s="9">
        <f>E22*F22*G22</f>
        <v>4096</v>
      </c>
      <c r="O22" s="1">
        <f>N22*$O$4</f>
        <v>131072</v>
      </c>
      <c r="P22" s="9">
        <f>E22*F22*G22</f>
        <v>4096</v>
      </c>
      <c r="Q22" s="2">
        <f>K22*L22*G20</f>
        <v>43264</v>
      </c>
      <c r="R22" s="3">
        <f>IF(D22="Conv",K22*L22*G20,IF(D22="fully",K22*L22*G20,0))</f>
        <v>43264</v>
      </c>
      <c r="S22" s="3">
        <f>IF(D22="conv",K22*L22*G20-1,IF(D22="fully",K22*L22*G20-1,0))</f>
        <v>43263</v>
      </c>
      <c r="T22" s="4">
        <f>IF(D22="pool",K22*L22,0)</f>
        <v>0</v>
      </c>
      <c r="U22" s="4">
        <f>MAX(R22,S22)</f>
        <v>43264</v>
      </c>
      <c r="V22" s="16">
        <f>P22*(R22+S22+T22)</f>
        <v>354414592</v>
      </c>
      <c r="W22" s="15">
        <f>(T22+U22*2)*P22</f>
        <v>354418688</v>
      </c>
      <c r="X22" s="1">
        <f>IF(D22="fully",K22*L22*G20*E22*F22*G22,0)</f>
        <v>177209344</v>
      </c>
      <c r="Y22" s="1">
        <f>Q22*F22*E22</f>
        <v>177209344</v>
      </c>
    </row>
    <row r="23" spans="4:25">
      <c r="D23" s="9"/>
      <c r="E23" s="2"/>
      <c r="F23" s="3"/>
      <c r="G23" s="4"/>
      <c r="H23" s="3"/>
      <c r="I23" s="3"/>
      <c r="K23" s="2"/>
      <c r="L23" s="4"/>
      <c r="M23" s="3"/>
      <c r="N23" s="9"/>
      <c r="P23" s="9"/>
      <c r="Q23" s="2"/>
      <c r="R23" s="3"/>
      <c r="S23" s="3"/>
      <c r="T23" s="4"/>
      <c r="U23" s="4"/>
      <c r="V23" s="16"/>
      <c r="W23" s="15"/>
    </row>
    <row r="24" spans="4:25">
      <c r="D24" s="9" t="s">
        <v>15</v>
      </c>
      <c r="E24" s="2">
        <v>1</v>
      </c>
      <c r="F24" s="3">
        <v>4096</v>
      </c>
      <c r="G24" s="4">
        <v>1</v>
      </c>
      <c r="H24" s="3"/>
      <c r="I24" s="3"/>
      <c r="K24" s="2">
        <v>1</v>
      </c>
      <c r="L24" s="4">
        <v>4096</v>
      </c>
      <c r="M24" s="3">
        <f>K24*L24*G22</f>
        <v>4096</v>
      </c>
      <c r="N24" s="9">
        <f>E24*F24*G24</f>
        <v>4096</v>
      </c>
      <c r="O24" s="1">
        <f>N24*$O$4</f>
        <v>131072</v>
      </c>
      <c r="P24" s="9">
        <f>E24*F24*G24</f>
        <v>4096</v>
      </c>
      <c r="Q24" s="2">
        <f>K24*L24*G22</f>
        <v>4096</v>
      </c>
      <c r="R24" s="3">
        <f>IF(D24="Conv",K24*L24*G22,IF(D24="fully",K24*L24*G22,0))</f>
        <v>4096</v>
      </c>
      <c r="S24" s="3">
        <f>IF(D24="conv",K24*L24*G22-1,IF(D24="fully",K24*L24*G22-1,0))</f>
        <v>4095</v>
      </c>
      <c r="T24" s="4">
        <f>IF(D24="pool",K24*L24,0)</f>
        <v>0</v>
      </c>
      <c r="U24" s="4">
        <f>MAX(R24,S24)</f>
        <v>4096</v>
      </c>
      <c r="V24" s="16">
        <f>P24*(R24+S24+T24)</f>
        <v>33550336</v>
      </c>
      <c r="W24" s="15">
        <f>(T24+U24*2)*P24</f>
        <v>33554432</v>
      </c>
      <c r="X24" s="1">
        <f>IF(D24="fully",K24*L24*G22*E24*F24*G24,0)</f>
        <v>16777216</v>
      </c>
      <c r="Y24" s="1">
        <f>Q24*F24*E24</f>
        <v>16777216</v>
      </c>
    </row>
    <row r="25" spans="4:25">
      <c r="D25" s="9"/>
      <c r="E25" s="2"/>
      <c r="F25" s="3"/>
      <c r="G25" s="4"/>
      <c r="H25" s="3"/>
      <c r="I25" s="3"/>
      <c r="K25" s="2"/>
      <c r="L25" s="4"/>
      <c r="M25" s="3"/>
      <c r="N25" s="9"/>
      <c r="P25" s="9"/>
      <c r="Q25" s="2"/>
      <c r="R25" s="3"/>
      <c r="S25" s="3"/>
      <c r="T25" s="4"/>
      <c r="U25" s="4"/>
      <c r="V25" s="16"/>
      <c r="W25" s="15"/>
    </row>
    <row r="26" spans="4:25">
      <c r="D26" s="10" t="s">
        <v>15</v>
      </c>
      <c r="E26" s="5">
        <v>1</v>
      </c>
      <c r="F26" s="6">
        <v>1000</v>
      </c>
      <c r="G26" s="7">
        <v>1</v>
      </c>
      <c r="H26" s="3"/>
      <c r="I26" s="3"/>
      <c r="K26" s="5">
        <v>1</v>
      </c>
      <c r="L26" s="7">
        <v>4096</v>
      </c>
      <c r="M26" s="3">
        <f>K26*L26*G24</f>
        <v>4096</v>
      </c>
      <c r="N26" s="10">
        <f>E26*F26*G26</f>
        <v>1000</v>
      </c>
      <c r="O26" s="7">
        <f>N26*$O$4</f>
        <v>32000</v>
      </c>
      <c r="P26" s="10">
        <f>E26*F26*G26</f>
        <v>1000</v>
      </c>
      <c r="Q26" s="5">
        <f>K26*L26*G24</f>
        <v>4096</v>
      </c>
      <c r="R26" s="6">
        <f>IF(D26="Conv",K26*L26*G24,IF(D26="fully",K26*L26*G24,0))</f>
        <v>4096</v>
      </c>
      <c r="S26" s="6">
        <f>IF(D26="conv",K26*L26*G24-1,IF(D26="fully",K26*L26*G24-1,0))</f>
        <v>4095</v>
      </c>
      <c r="T26" s="7">
        <f>IF(D26="pool",K26*L26,0)</f>
        <v>0</v>
      </c>
      <c r="U26" s="7">
        <f>MAX(R26,S26)</f>
        <v>4096</v>
      </c>
      <c r="V26" s="17">
        <f>P26*(R26+S26+T26)</f>
        <v>8191000</v>
      </c>
      <c r="W26" s="15">
        <f>(T26+U26*2)*P26</f>
        <v>8192000</v>
      </c>
      <c r="X26" s="1">
        <f t="shared" ref="X26:X27" si="0">IF(D26="fully",K26*L26*G24*E26*F26*G26,0)</f>
        <v>4096000</v>
      </c>
      <c r="Y26" s="1">
        <f>Q26*F26*E26</f>
        <v>4096000</v>
      </c>
    </row>
    <row r="27" spans="4:25">
      <c r="V27" s="15"/>
      <c r="W27" s="15"/>
      <c r="X27" s="1">
        <f t="shared" si="0"/>
        <v>0</v>
      </c>
    </row>
    <row r="28" spans="4:25">
      <c r="O28" s="23" t="s">
        <v>30</v>
      </c>
      <c r="P28" s="24">
        <f>SUM(P8:P26)</f>
        <v>772520</v>
      </c>
      <c r="Q28" s="24"/>
      <c r="V28" s="15"/>
      <c r="W28" s="15"/>
      <c r="X28" s="1">
        <f>SUM(X8:X26)/1000000</f>
        <v>202.50115199999999</v>
      </c>
      <c r="Y28" s="1">
        <f>X28*32</f>
        <v>6480.0368639999997</v>
      </c>
    </row>
    <row r="29" spans="4:25" ht="60">
      <c r="L29" s="1" t="s">
        <v>47</v>
      </c>
      <c r="M29" s="1">
        <f>(SUM(M8:M26)-M22)/10</f>
        <v>2333.9</v>
      </c>
      <c r="P29" s="1" t="s">
        <v>23</v>
      </c>
      <c r="T29" s="1">
        <f>SUM(T8:T26)</f>
        <v>18</v>
      </c>
      <c r="U29" s="1">
        <f>SUM(U8:U26)</f>
        <v>63435</v>
      </c>
      <c r="V29" s="15"/>
      <c r="W29" s="15"/>
    </row>
    <row r="30" spans="4:25">
      <c r="V30" s="15"/>
      <c r="W30" s="15"/>
      <c r="X30" s="1" t="s">
        <v>22</v>
      </c>
    </row>
    <row r="31" spans="4:25">
      <c r="V31" s="15"/>
      <c r="W31" s="15"/>
    </row>
    <row r="32" spans="4:25">
      <c r="V32" s="15"/>
      <c r="W32" s="15"/>
    </row>
    <row r="33" spans="20:25">
      <c r="V33" s="15"/>
      <c r="W33" s="15"/>
    </row>
    <row r="34" spans="20:25" ht="30">
      <c r="T34" s="12" t="s">
        <v>24</v>
      </c>
      <c r="U34" s="13"/>
      <c r="V34" s="18">
        <f>SUM(V8:V26)</f>
        <v>2549793368</v>
      </c>
      <c r="W34" s="15"/>
    </row>
    <row r="35" spans="20:25">
      <c r="V35" s="15"/>
      <c r="W35" s="15"/>
    </row>
    <row r="36" spans="20:25">
      <c r="T36" s="1" t="s">
        <v>18</v>
      </c>
      <c r="V36" s="15"/>
      <c r="W36" s="15">
        <f>SUM(W8:W26)</f>
        <v>2550452640</v>
      </c>
    </row>
    <row r="37" spans="20:25" ht="30">
      <c r="T37" s="1" t="s">
        <v>19</v>
      </c>
      <c r="U37" s="19">
        <v>10</v>
      </c>
      <c r="V37" s="15"/>
    </row>
    <row r="38" spans="20:25" ht="30">
      <c r="T38" s="1" t="s">
        <v>20</v>
      </c>
      <c r="V38" s="15"/>
      <c r="W38" s="15">
        <f>W36*U37</f>
        <v>25504526400</v>
      </c>
    </row>
    <row r="39" spans="20:25" ht="30">
      <c r="T39" s="1" t="s">
        <v>25</v>
      </c>
      <c r="U39" s="15">
        <v>1.6E-2</v>
      </c>
      <c r="V39" s="15"/>
    </row>
    <row r="40" spans="20:25" ht="45">
      <c r="T40" s="1" t="s">
        <v>21</v>
      </c>
      <c r="V40" s="15"/>
      <c r="W40" s="32">
        <f>W38*32/U39*X40</f>
        <v>26301542850000</v>
      </c>
      <c r="X40" s="22">
        <f>(32+1)/64</f>
        <v>0.515625</v>
      </c>
      <c r="Y40" s="1" t="s">
        <v>61</v>
      </c>
    </row>
    <row r="42" spans="20:25">
      <c r="T42" s="1" t="s">
        <v>10</v>
      </c>
      <c r="V42" s="15">
        <f>V34*U37/U39</f>
        <v>1593620855000</v>
      </c>
    </row>
  </sheetData>
  <mergeCells count="1">
    <mergeCell ref="Q4:T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J42"/>
  <sheetViews>
    <sheetView tabSelected="1" workbookViewId="0">
      <selection activeCell="Z37" sqref="Z37"/>
    </sheetView>
  </sheetViews>
  <sheetFormatPr baseColWidth="10" defaultRowHeight="15" x14ac:dyDescent="0"/>
  <cols>
    <col min="1" max="16" width="10.83203125" style="1"/>
    <col min="17" max="17" width="14.5" style="1" bestFit="1" customWidth="1"/>
    <col min="18" max="18" width="11.83203125" style="1" bestFit="1" customWidth="1"/>
    <col min="19" max="19" width="12.83203125" style="1" bestFit="1" customWidth="1"/>
    <col min="20" max="20" width="14.6640625" style="1" customWidth="1"/>
    <col min="21" max="23" width="10.83203125" style="1"/>
    <col min="24" max="24" width="11.33203125" style="15" bestFit="1" customWidth="1"/>
    <col min="25" max="26" width="10.83203125" style="1"/>
    <col min="27" max="27" width="11.83203125" style="28" bestFit="1" customWidth="1"/>
    <col min="28" max="28" width="10.83203125" style="1"/>
    <col min="29" max="29" width="11.83203125" style="1" bestFit="1" customWidth="1"/>
    <col min="30" max="30" width="70.6640625" style="1" customWidth="1"/>
    <col min="31" max="16384" width="10.83203125" style="1"/>
  </cols>
  <sheetData>
    <row r="4" spans="4:36">
      <c r="M4" s="38" t="s">
        <v>9</v>
      </c>
      <c r="N4" s="39"/>
      <c r="O4" s="40"/>
      <c r="P4" s="3"/>
      <c r="V4" s="1" t="s">
        <v>51</v>
      </c>
    </row>
    <row r="5" spans="4:36" ht="30">
      <c r="E5" s="12" t="s">
        <v>0</v>
      </c>
      <c r="F5" s="13" t="s">
        <v>1</v>
      </c>
      <c r="G5" s="14" t="s">
        <v>2</v>
      </c>
      <c r="I5" s="12" t="s">
        <v>4</v>
      </c>
      <c r="J5" s="14" t="s">
        <v>5</v>
      </c>
      <c r="K5" s="1" t="s">
        <v>54</v>
      </c>
      <c r="L5" s="11" t="s">
        <v>6</v>
      </c>
      <c r="M5" s="12" t="s">
        <v>7</v>
      </c>
      <c r="N5" s="13" t="s">
        <v>8</v>
      </c>
      <c r="O5" s="14" t="s">
        <v>12</v>
      </c>
      <c r="P5" s="14" t="s">
        <v>16</v>
      </c>
      <c r="Q5" s="11" t="s">
        <v>10</v>
      </c>
      <c r="R5" s="1" t="s">
        <v>17</v>
      </c>
      <c r="S5" s="1" t="s">
        <v>26</v>
      </c>
      <c r="T5" s="1" t="s">
        <v>63</v>
      </c>
      <c r="U5" s="1" t="s">
        <v>50</v>
      </c>
      <c r="V5" s="1">
        <v>4</v>
      </c>
      <c r="W5" s="1" t="s">
        <v>52</v>
      </c>
      <c r="Y5" s="1" t="s">
        <v>56</v>
      </c>
      <c r="Z5" s="1" t="s">
        <v>55</v>
      </c>
      <c r="AA5" s="28" t="s">
        <v>57</v>
      </c>
      <c r="AB5" s="1" t="s">
        <v>58</v>
      </c>
      <c r="AC5" s="1" t="s">
        <v>62</v>
      </c>
      <c r="AD5" s="31" t="s">
        <v>59</v>
      </c>
    </row>
    <row r="6" spans="4:36">
      <c r="D6" s="8" t="s">
        <v>3</v>
      </c>
      <c r="E6" s="2">
        <v>256</v>
      </c>
      <c r="F6" s="3">
        <v>256</v>
      </c>
      <c r="G6" s="4">
        <v>3</v>
      </c>
      <c r="I6" s="2"/>
      <c r="J6" s="4"/>
      <c r="L6" s="9">
        <f>E6*F6*G6</f>
        <v>196608</v>
      </c>
      <c r="M6" s="2"/>
      <c r="N6" s="3"/>
      <c r="O6" s="4"/>
      <c r="P6" s="4"/>
      <c r="Q6" s="9"/>
    </row>
    <row r="7" spans="4:36">
      <c r="D7" s="9"/>
      <c r="E7" s="2"/>
      <c r="F7" s="3"/>
      <c r="G7" s="4"/>
      <c r="I7" s="2"/>
      <c r="J7" s="4"/>
      <c r="L7" s="9"/>
      <c r="M7" s="2"/>
      <c r="N7" s="3"/>
      <c r="O7" s="4"/>
      <c r="P7" s="4"/>
      <c r="Q7" s="9"/>
    </row>
    <row r="8" spans="4:36">
      <c r="D8" s="9" t="s">
        <v>13</v>
      </c>
      <c r="E8" s="2">
        <v>55</v>
      </c>
      <c r="F8" s="3">
        <v>55</v>
      </c>
      <c r="G8" s="4">
        <v>96</v>
      </c>
      <c r="I8" s="2">
        <v>11</v>
      </c>
      <c r="J8" s="4">
        <v>11</v>
      </c>
      <c r="L8" s="9">
        <f>E8*F8*G8</f>
        <v>290400</v>
      </c>
      <c r="M8" s="2">
        <f>IF(D8="Conv",I8*J8*G6,IF(D8="fully",I8*J8*G6,0))</f>
        <v>363</v>
      </c>
      <c r="N8" s="3">
        <f>IF(D8="conv",I8*J8*G6-1,IF(D8="fully",I8*J8*G6-1,0))</f>
        <v>362</v>
      </c>
      <c r="O8" s="4">
        <f>IF(D8="pool",I8*J8,0)</f>
        <v>0</v>
      </c>
      <c r="P8" s="4">
        <f>MAX(M8,N8)</f>
        <v>363</v>
      </c>
      <c r="Q8" s="16">
        <f>L8*(M8+N8+O8)</f>
        <v>210540000</v>
      </c>
      <c r="R8" s="15">
        <f>(O8+P8*2)*L8</f>
        <v>210830400</v>
      </c>
      <c r="S8" s="15">
        <f>I8*J8*G6*G8</f>
        <v>34848</v>
      </c>
      <c r="T8" s="15">
        <f>E8*F8*I8*J8*G6*U8</f>
        <v>26353800</v>
      </c>
      <c r="U8" s="1">
        <f>G8/$V$5</f>
        <v>24</v>
      </c>
      <c r="W8" s="1">
        <f>I8*J8*G6</f>
        <v>363</v>
      </c>
      <c r="X8" s="15">
        <f>L8*W8</f>
        <v>105415200</v>
      </c>
      <c r="Y8" s="1">
        <f>E8*F8*G8/32</f>
        <v>9075</v>
      </c>
      <c r="Z8" s="1">
        <f>I8*J8*G6</f>
        <v>363</v>
      </c>
      <c r="AA8" s="28">
        <f>Y8/$Y$27</f>
        <v>0.44046983449012278</v>
      </c>
      <c r="AB8" s="1">
        <v>25</v>
      </c>
      <c r="AC8" s="33">
        <f>L8/$L$28</f>
        <v>0.37590091955927429</v>
      </c>
    </row>
    <row r="9" spans="4:36">
      <c r="D9" s="9"/>
      <c r="E9" s="2"/>
      <c r="F9" s="3"/>
      <c r="G9" s="4"/>
      <c r="I9" s="2"/>
      <c r="J9" s="4"/>
      <c r="L9" s="9"/>
      <c r="M9" s="2"/>
      <c r="N9" s="3"/>
      <c r="O9" s="4"/>
      <c r="P9" s="4"/>
      <c r="Q9" s="16"/>
      <c r="R9" s="15"/>
      <c r="S9" s="15"/>
      <c r="T9" s="15"/>
    </row>
    <row r="10" spans="4:36">
      <c r="D10" s="9" t="s">
        <v>11</v>
      </c>
      <c r="E10" s="2">
        <v>27</v>
      </c>
      <c r="F10" s="3">
        <v>27</v>
      </c>
      <c r="G10" s="4">
        <v>96</v>
      </c>
      <c r="I10" s="2">
        <v>2</v>
      </c>
      <c r="J10" s="4">
        <v>2</v>
      </c>
      <c r="L10" s="9">
        <f>E10*F10*G10</f>
        <v>69984</v>
      </c>
      <c r="M10" s="2">
        <f>IF(D10="Conv",I10*J10*G8,IF(D10="fully",I10*J10*G8,0))</f>
        <v>0</v>
      </c>
      <c r="N10" s="3">
        <f>IF(D10="conv",I10*J10*G8-1,IF(D10="fully",I10*J10*G8-1,0))</f>
        <v>0</v>
      </c>
      <c r="O10" s="4">
        <f>IF(D10="pool",I10*J10,0)</f>
        <v>4</v>
      </c>
      <c r="P10" s="4">
        <f>MAX(M10,N10)</f>
        <v>0</v>
      </c>
      <c r="Q10" s="16">
        <f>L10*(M10+N10+O10)</f>
        <v>279936</v>
      </c>
      <c r="R10" s="15">
        <f>(O10+P10*2)*L10</f>
        <v>279936</v>
      </c>
      <c r="S10" s="15"/>
      <c r="T10" s="15">
        <f>E10*F10*I10*J10*G8*U10</f>
        <v>6718464</v>
      </c>
      <c r="U10" s="1">
        <f>G10/$V$5</f>
        <v>24</v>
      </c>
      <c r="W10" s="1">
        <v>4</v>
      </c>
      <c r="Z10" s="1">
        <f>I10*J10*G8</f>
        <v>384</v>
      </c>
    </row>
    <row r="11" spans="4:36">
      <c r="D11" s="9"/>
      <c r="E11" s="2"/>
      <c r="F11" s="3"/>
      <c r="G11" s="4"/>
      <c r="I11" s="2"/>
      <c r="J11" s="4"/>
      <c r="L11" s="9"/>
      <c r="M11" s="2"/>
      <c r="N11" s="3"/>
      <c r="O11" s="4"/>
      <c r="P11" s="4"/>
      <c r="Q11" s="16"/>
      <c r="R11" s="15"/>
      <c r="S11" s="15"/>
      <c r="T11" s="15"/>
    </row>
    <row r="12" spans="4:36">
      <c r="D12" s="9" t="s">
        <v>13</v>
      </c>
      <c r="E12" s="2">
        <v>27</v>
      </c>
      <c r="F12" s="3">
        <v>27</v>
      </c>
      <c r="G12" s="4">
        <v>256</v>
      </c>
      <c r="I12" s="2">
        <v>5</v>
      </c>
      <c r="J12" s="4">
        <v>5</v>
      </c>
      <c r="L12" s="9">
        <f>E12*F12*G12</f>
        <v>186624</v>
      </c>
      <c r="M12" s="2">
        <f>IF(D12="Conv",I12*J12*G10,IF(D12="fully",I12*J12*G10,0))</f>
        <v>2400</v>
      </c>
      <c r="N12" s="3">
        <f>IF(D12="conv",I12*J12*G10-1,IF(D12="fully",I12*J12*G10-1,0))</f>
        <v>2399</v>
      </c>
      <c r="O12" s="4">
        <f>IF(D12="pool",I12*J12,0)</f>
        <v>0</v>
      </c>
      <c r="P12" s="4">
        <f>MAX(M12,N12)</f>
        <v>2400</v>
      </c>
      <c r="Q12" s="16">
        <f>L12*(M12+N12+O12)</f>
        <v>895608576</v>
      </c>
      <c r="R12" s="15">
        <f>(O12+P12*2)*L12</f>
        <v>895795200</v>
      </c>
      <c r="S12" s="15">
        <f>I12*J12*G10*G12</f>
        <v>614400</v>
      </c>
      <c r="T12" s="15">
        <f>E12*F12*I12*J12*G10*U12</f>
        <v>111974400</v>
      </c>
      <c r="U12" s="1">
        <f>G12/$V$5</f>
        <v>64</v>
      </c>
      <c r="W12" s="1">
        <f>I12*J12*G10</f>
        <v>2400</v>
      </c>
      <c r="X12" s="15">
        <f>L12*W12</f>
        <v>447897600</v>
      </c>
      <c r="Y12" s="1">
        <f>E12*F12*G12/32</f>
        <v>5832</v>
      </c>
      <c r="Z12" s="1">
        <f>I12*J12*G10</f>
        <v>2400</v>
      </c>
      <c r="AA12" s="28">
        <f>Y12/$Y$27</f>
        <v>0.2830655729748095</v>
      </c>
      <c r="AB12" s="1">
        <v>30</v>
      </c>
      <c r="AC12" s="33">
        <f>L12/$L$28</f>
        <v>0.24157070665230718</v>
      </c>
      <c r="AJ12" s="1">
        <v>0</v>
      </c>
    </row>
    <row r="13" spans="4:36">
      <c r="D13" s="9"/>
      <c r="E13" s="2"/>
      <c r="F13" s="3"/>
      <c r="G13" s="4"/>
      <c r="I13" s="2"/>
      <c r="J13" s="4"/>
      <c r="L13" s="9"/>
      <c r="M13" s="2"/>
      <c r="N13" s="3"/>
      <c r="O13" s="4"/>
      <c r="P13" s="4"/>
      <c r="Q13" s="16"/>
      <c r="R13" s="15"/>
      <c r="S13" s="15"/>
      <c r="T13" s="15"/>
    </row>
    <row r="14" spans="4:36">
      <c r="D14" s="9" t="s">
        <v>14</v>
      </c>
      <c r="E14" s="2">
        <v>13</v>
      </c>
      <c r="F14" s="3">
        <v>13</v>
      </c>
      <c r="G14" s="4">
        <v>256</v>
      </c>
      <c r="I14" s="2">
        <v>2</v>
      </c>
      <c r="J14" s="4">
        <v>2</v>
      </c>
      <c r="L14" s="9">
        <f>E14*F14*G14</f>
        <v>43264</v>
      </c>
      <c r="M14" s="2">
        <f>IF(D14="Conv",I14*J14*G12,IF(D14="fully",I14*J14*G12,0))</f>
        <v>0</v>
      </c>
      <c r="N14" s="3">
        <f>IF(D14="conv",I14*J14*G12-1,IF(D14="fully",I14*J14*G12-1,0))</f>
        <v>0</v>
      </c>
      <c r="O14" s="4">
        <f>IF(D14="pool",I14*J14,0)</f>
        <v>4</v>
      </c>
      <c r="P14" s="4">
        <f>MAX(M14,N14)</f>
        <v>0</v>
      </c>
      <c r="Q14" s="16">
        <f>L14*(M14+N14+O14)</f>
        <v>173056</v>
      </c>
      <c r="R14" s="15">
        <f>(O14+P14*2)*L14</f>
        <v>173056</v>
      </c>
      <c r="S14" s="15"/>
      <c r="T14" s="15">
        <f>E14*F14*I14*J14*G12*U14</f>
        <v>11075584</v>
      </c>
      <c r="U14" s="1">
        <f>G14/$V$5</f>
        <v>64</v>
      </c>
      <c r="W14" s="1">
        <v>4</v>
      </c>
      <c r="Z14" s="1">
        <f>I14*J14*G12</f>
        <v>1024</v>
      </c>
    </row>
    <row r="15" spans="4:36">
      <c r="D15" s="9"/>
      <c r="E15" s="2"/>
      <c r="F15" s="3"/>
      <c r="G15" s="4"/>
      <c r="I15" s="2"/>
      <c r="J15" s="4"/>
      <c r="L15" s="9"/>
      <c r="M15" s="2"/>
      <c r="N15" s="3"/>
      <c r="O15" s="4"/>
      <c r="P15" s="4"/>
      <c r="Q15" s="16"/>
      <c r="R15" s="15"/>
      <c r="S15" s="15"/>
      <c r="T15" s="15"/>
    </row>
    <row r="16" spans="4:36">
      <c r="D16" s="9" t="s">
        <v>13</v>
      </c>
      <c r="E16" s="2">
        <v>13</v>
      </c>
      <c r="F16" s="3">
        <v>13</v>
      </c>
      <c r="G16" s="4">
        <v>384</v>
      </c>
      <c r="I16" s="2">
        <v>3</v>
      </c>
      <c r="J16" s="4">
        <v>3</v>
      </c>
      <c r="L16" s="9">
        <f>E16*F16*G16</f>
        <v>64896</v>
      </c>
      <c r="M16" s="2">
        <f>IF(D16="Conv",I16*J16*G14,IF(D16="fully",I16*J16*G14,0))</f>
        <v>2304</v>
      </c>
      <c r="N16" s="3">
        <f>IF(D16="conv",I16*J16*G14-1,IF(D16="fully",I16*J16*G14-1,0))</f>
        <v>2303</v>
      </c>
      <c r="O16" s="4">
        <f>IF(D16="pool",I16*J16,0)</f>
        <v>0</v>
      </c>
      <c r="P16" s="4">
        <f>MAX(M16,N16)</f>
        <v>2304</v>
      </c>
      <c r="Q16" s="16">
        <f>L16*(M16+N16+O16)</f>
        <v>298975872</v>
      </c>
      <c r="R16" s="15">
        <f>(O16+P16*2)*L16</f>
        <v>299040768</v>
      </c>
      <c r="S16" s="15">
        <f>I16*J16*G14*G16</f>
        <v>884736</v>
      </c>
      <c r="T16" s="15">
        <f>E16*F16*I16*J16*G14*U16</f>
        <v>37380096</v>
      </c>
      <c r="U16" s="1">
        <f>G16/$V$5</f>
        <v>96</v>
      </c>
      <c r="W16" s="1">
        <f>I16*J16*G14</f>
        <v>2304</v>
      </c>
      <c r="X16" s="15">
        <f>L16*W16</f>
        <v>149520384</v>
      </c>
      <c r="Y16" s="1">
        <f>E16*F16*G16/32</f>
        <v>2028</v>
      </c>
      <c r="Z16" s="1">
        <f>I16*J16*G14</f>
        <v>2304</v>
      </c>
      <c r="AA16" s="28">
        <f>Y16/$Y$27</f>
        <v>9.8432267145561331E-2</v>
      </c>
      <c r="AB16" s="1">
        <v>30</v>
      </c>
      <c r="AC16" s="33">
        <f>L16/$L$28</f>
        <v>8.4002982354403122E-2</v>
      </c>
    </row>
    <row r="17" spans="4:30">
      <c r="D17" s="9"/>
      <c r="E17" s="2"/>
      <c r="F17" s="3"/>
      <c r="G17" s="4"/>
      <c r="I17" s="2"/>
      <c r="J17" s="4"/>
      <c r="L17" s="9"/>
      <c r="M17" s="2"/>
      <c r="N17" s="3"/>
      <c r="O17" s="4"/>
      <c r="P17" s="4"/>
      <c r="Q17" s="16"/>
      <c r="R17" s="15"/>
      <c r="S17" s="15"/>
      <c r="T17" s="15"/>
    </row>
    <row r="18" spans="4:30">
      <c r="D18" s="9" t="s">
        <v>13</v>
      </c>
      <c r="E18" s="2">
        <v>13</v>
      </c>
      <c r="F18" s="3">
        <v>13</v>
      </c>
      <c r="G18" s="4">
        <v>384</v>
      </c>
      <c r="I18" s="2">
        <v>3</v>
      </c>
      <c r="J18" s="4">
        <v>3</v>
      </c>
      <c r="L18" s="9">
        <f>E18*F18*G18</f>
        <v>64896</v>
      </c>
      <c r="M18" s="2">
        <f>IF(D18="Conv",I18*J18*G14,IF(D18="fully",I18*J18*G14,0))</f>
        <v>2304</v>
      </c>
      <c r="N18" s="3">
        <f>IF(D18="conv",I18*J18*G14-1,IF(D18="fully",I18*J18*G14-1,0))</f>
        <v>2303</v>
      </c>
      <c r="O18" s="4">
        <f>IF(D18="pool",I18*J18,0)</f>
        <v>0</v>
      </c>
      <c r="P18" s="4">
        <f>MAX(M18,N18)</f>
        <v>2304</v>
      </c>
      <c r="Q18" s="16">
        <f>L18*(M18+N18+O18)</f>
        <v>298975872</v>
      </c>
      <c r="R18" s="15">
        <f>(O18+P18*2)*L18</f>
        <v>299040768</v>
      </c>
      <c r="S18" s="15">
        <f>I18*J18*G16*G18</f>
        <v>1327104</v>
      </c>
      <c r="T18" s="15">
        <f>E18*F18*I18*J18*G16*U18</f>
        <v>56070144</v>
      </c>
      <c r="U18" s="1">
        <f>G18/$V$5</f>
        <v>96</v>
      </c>
      <c r="W18" s="1">
        <f>I18*J18*G16</f>
        <v>3456</v>
      </c>
      <c r="X18" s="15">
        <f>L18*W18</f>
        <v>224280576</v>
      </c>
      <c r="Y18" s="1">
        <f>E18*F18*G18/32</f>
        <v>2028</v>
      </c>
      <c r="Z18" s="1">
        <f>I18*J18*G16</f>
        <v>3456</v>
      </c>
      <c r="AA18" s="28">
        <f>Y18/$Y$27</f>
        <v>9.8432267145561331E-2</v>
      </c>
      <c r="AB18" s="1">
        <v>30</v>
      </c>
      <c r="AC18" s="33">
        <f>L18/$L$28</f>
        <v>8.4002982354403122E-2</v>
      </c>
    </row>
    <row r="19" spans="4:30">
      <c r="D19" s="9"/>
      <c r="E19" s="2"/>
      <c r="F19" s="3"/>
      <c r="G19" s="4"/>
      <c r="I19" s="2"/>
      <c r="J19" s="4"/>
      <c r="L19" s="9"/>
      <c r="M19" s="2"/>
      <c r="N19" s="3"/>
      <c r="O19" s="4"/>
      <c r="P19" s="4"/>
      <c r="Q19" s="16"/>
      <c r="R19" s="15"/>
      <c r="S19" s="15"/>
      <c r="T19" s="15"/>
    </row>
    <row r="20" spans="4:30">
      <c r="D20" s="9" t="s">
        <v>13</v>
      </c>
      <c r="E20" s="2">
        <v>13</v>
      </c>
      <c r="F20" s="3">
        <v>13</v>
      </c>
      <c r="G20" s="4">
        <v>256</v>
      </c>
      <c r="I20" s="2">
        <v>3</v>
      </c>
      <c r="J20" s="4">
        <v>3</v>
      </c>
      <c r="L20" s="9">
        <f>E20*F20*G20</f>
        <v>43264</v>
      </c>
      <c r="M20" s="2">
        <f>IF(D20="Conv",I20*J20*G16,IF(D20="fully",I20*J20*G16,0))</f>
        <v>3456</v>
      </c>
      <c r="N20" s="3">
        <f>IF(D20="conv",I20*J20*G16-1,IF(D20="fully",I20*J20*G16-1,0))</f>
        <v>3455</v>
      </c>
      <c r="O20" s="4">
        <f>IF(D20="pool",I20*J20,0)</f>
        <v>0</v>
      </c>
      <c r="P20" s="4">
        <f>MAX(M20,N20)</f>
        <v>3456</v>
      </c>
      <c r="Q20" s="16">
        <f>L20*(M20+N20+O20)</f>
        <v>298997504</v>
      </c>
      <c r="R20" s="15">
        <f>(O20+P20*2)*L20</f>
        <v>299040768</v>
      </c>
      <c r="S20" s="15">
        <f>I20*J20*G18*G20</f>
        <v>884736</v>
      </c>
      <c r="T20" s="15">
        <f>E20*F20*I20*J20*G18*U20</f>
        <v>37380096</v>
      </c>
      <c r="U20" s="1">
        <f>G20/$V$5</f>
        <v>64</v>
      </c>
      <c r="W20" s="1">
        <f>I20*J20*G18</f>
        <v>3456</v>
      </c>
      <c r="X20" s="15">
        <f>L20*W20</f>
        <v>149520384</v>
      </c>
      <c r="Y20" s="1">
        <f>E20*F20*G20/32</f>
        <v>1352</v>
      </c>
      <c r="Z20" s="1">
        <f>I20*J20*G18</f>
        <v>3456</v>
      </c>
      <c r="AA20" s="28">
        <f>Y20/$Y$27</f>
        <v>6.5621511430374216E-2</v>
      </c>
      <c r="AB20" s="1">
        <v>30</v>
      </c>
      <c r="AC20" s="33">
        <f>L20/$L$28</f>
        <v>5.6001988236268743E-2</v>
      </c>
    </row>
    <row r="21" spans="4:30">
      <c r="D21" s="9"/>
      <c r="E21" s="2"/>
      <c r="F21" s="3"/>
      <c r="G21" s="4"/>
      <c r="I21" s="2"/>
      <c r="J21" s="4"/>
      <c r="L21" s="9"/>
      <c r="M21" s="2"/>
      <c r="N21" s="3"/>
      <c r="O21" s="4"/>
      <c r="P21" s="4"/>
      <c r="Q21" s="16"/>
      <c r="R21" s="15"/>
      <c r="S21" s="15"/>
      <c r="T21" s="15"/>
    </row>
    <row r="22" spans="4:30">
      <c r="D22" s="9" t="s">
        <v>15</v>
      </c>
      <c r="E22" s="2">
        <v>1</v>
      </c>
      <c r="F22" s="3">
        <v>1</v>
      </c>
      <c r="G22" s="4">
        <v>4096</v>
      </c>
      <c r="I22" s="2">
        <v>13</v>
      </c>
      <c r="J22" s="4">
        <v>13</v>
      </c>
      <c r="L22" s="9">
        <f>E22*F22*G22</f>
        <v>4096</v>
      </c>
      <c r="M22" s="2">
        <f>IF(D22="Conv",I22*J22*G20,IF(D22="fully",I22*J22*G20,0))</f>
        <v>43264</v>
      </c>
      <c r="N22" s="3">
        <f>IF(D22="conv",I22*J22*G20-1,IF(D22="fully",I22*J22*G20-1,0))</f>
        <v>43263</v>
      </c>
      <c r="O22" s="4">
        <f>IF(D22="pool",I22*J22,0)</f>
        <v>0</v>
      </c>
      <c r="P22" s="4">
        <f>MAX(M22,N22)</f>
        <v>43264</v>
      </c>
      <c r="Q22" s="16">
        <f>L22*(M22+N22+O22)</f>
        <v>354414592</v>
      </c>
      <c r="R22" s="15">
        <f>(O22+P22*2)*L22</f>
        <v>354418688</v>
      </c>
      <c r="S22" s="15">
        <f>I22*J22*G20*G22</f>
        <v>177209344</v>
      </c>
      <c r="T22" s="15">
        <f>S22</f>
        <v>177209344</v>
      </c>
      <c r="W22" s="1">
        <f>I22*J22*G20</f>
        <v>43264</v>
      </c>
      <c r="X22" s="15">
        <f>L22*W22</f>
        <v>177209344</v>
      </c>
      <c r="Y22" s="1">
        <f>E22*F22*G22/32</f>
        <v>128</v>
      </c>
      <c r="Z22" s="1">
        <f>I22*J22*G20</f>
        <v>43264</v>
      </c>
      <c r="AA22" s="28">
        <f>Y22/$Y$27</f>
        <v>6.2126874726981512E-3</v>
      </c>
      <c r="AB22" s="1">
        <v>31</v>
      </c>
      <c r="AC22" s="33">
        <f>L22/$L$28</f>
        <v>5.3019633833153836E-3</v>
      </c>
    </row>
    <row r="23" spans="4:30">
      <c r="D23" s="9"/>
      <c r="E23" s="2"/>
      <c r="F23" s="3"/>
      <c r="G23" s="4"/>
      <c r="I23" s="2"/>
      <c r="J23" s="4"/>
      <c r="L23" s="9"/>
      <c r="M23" s="2"/>
      <c r="N23" s="3"/>
      <c r="O23" s="4"/>
      <c r="P23" s="4"/>
      <c r="Q23" s="16"/>
      <c r="R23" s="15"/>
      <c r="S23" s="15"/>
      <c r="T23" s="15"/>
    </row>
    <row r="24" spans="4:30">
      <c r="D24" s="9" t="s">
        <v>15</v>
      </c>
      <c r="E24" s="2">
        <v>1</v>
      </c>
      <c r="F24" s="3">
        <v>1</v>
      </c>
      <c r="G24" s="4">
        <v>4096</v>
      </c>
      <c r="I24" s="2">
        <v>4096</v>
      </c>
      <c r="J24" s="4">
        <v>1</v>
      </c>
      <c r="L24" s="9">
        <f>E24*F24*G24</f>
        <v>4096</v>
      </c>
      <c r="M24" s="2">
        <f>IF(D24="Conv",I24*J24*G22,IF(D24="fully",I24*J24*G22,0))</f>
        <v>16777216</v>
      </c>
      <c r="N24" s="3">
        <f>IF(D24="conv",I24*J24*G22-1,IF(D24="fully",I24*J24*G22-1,0))</f>
        <v>16777215</v>
      </c>
      <c r="O24" s="4">
        <f>IF(D24="pool",I24*J24,0)</f>
        <v>0</v>
      </c>
      <c r="P24" s="4">
        <f>MAX(M24,N24)</f>
        <v>16777216</v>
      </c>
      <c r="Q24" s="16">
        <f>L24*(M24+N24+O24)</f>
        <v>137438949376</v>
      </c>
      <c r="R24" s="15">
        <f>(O24+P24*2)*L24</f>
        <v>137438953472</v>
      </c>
      <c r="S24" s="15">
        <f>I24*J24*G24</f>
        <v>16777216</v>
      </c>
      <c r="T24" s="15">
        <f>S24</f>
        <v>16777216</v>
      </c>
      <c r="W24" s="1">
        <f>G22</f>
        <v>4096</v>
      </c>
      <c r="X24" s="15">
        <f>L24*W24</f>
        <v>16777216</v>
      </c>
      <c r="Y24" s="1">
        <f>E24*F24*G24/32</f>
        <v>128</v>
      </c>
      <c r="Z24" s="1">
        <f>J24*G22</f>
        <v>4096</v>
      </c>
      <c r="AA24" s="28">
        <f>Y24/$Y$27</f>
        <v>6.2126874726981512E-3</v>
      </c>
      <c r="AB24" s="1">
        <v>31</v>
      </c>
      <c r="AC24" s="33">
        <f>L24/$L$28</f>
        <v>5.3019633833153836E-3</v>
      </c>
      <c r="AD24" s="30" t="s">
        <v>60</v>
      </c>
    </row>
    <row r="25" spans="4:30">
      <c r="D25" s="9"/>
      <c r="E25" s="2"/>
      <c r="F25" s="3"/>
      <c r="G25" s="4"/>
      <c r="I25" s="2"/>
      <c r="J25" s="4"/>
      <c r="L25" s="9"/>
      <c r="M25" s="2"/>
      <c r="N25" s="3"/>
      <c r="O25" s="4"/>
      <c r="P25" s="4"/>
      <c r="Q25" s="16"/>
      <c r="R25" s="15"/>
      <c r="S25" s="15"/>
      <c r="T25" s="15"/>
    </row>
    <row r="26" spans="4:30">
      <c r="D26" s="10" t="s">
        <v>15</v>
      </c>
      <c r="E26" s="5">
        <v>1</v>
      </c>
      <c r="F26" s="6">
        <v>1</v>
      </c>
      <c r="G26" s="7">
        <v>1024</v>
      </c>
      <c r="I26" s="5">
        <v>4096</v>
      </c>
      <c r="J26" s="7">
        <v>1</v>
      </c>
      <c r="L26" s="10">
        <f>E26*F26*G26</f>
        <v>1024</v>
      </c>
      <c r="M26" s="5">
        <f>IF(D26="Conv",I26*J26*G24,IF(D26="fully",I26*J26*G24,0))</f>
        <v>16777216</v>
      </c>
      <c r="N26" s="6">
        <f>IF(D26="conv",I26*J26*G24-1,IF(D26="fully",I26*J26*G24-1,0))</f>
        <v>16777215</v>
      </c>
      <c r="O26" s="7">
        <f>IF(D26="pool",I26*J26,0)</f>
        <v>0</v>
      </c>
      <c r="P26" s="7">
        <f>MAX(M26,N26)</f>
        <v>16777216</v>
      </c>
      <c r="Q26" s="17">
        <f>L26*(M26+N26+O26)</f>
        <v>34359737344</v>
      </c>
      <c r="R26" s="15">
        <f>(O26+P26*2)*L26</f>
        <v>34359738368</v>
      </c>
      <c r="S26" s="15">
        <f>I26*J26*G26</f>
        <v>4194304</v>
      </c>
      <c r="T26" s="15">
        <f>S26</f>
        <v>4194304</v>
      </c>
      <c r="W26" s="1">
        <f>G24</f>
        <v>4096</v>
      </c>
      <c r="X26" s="15">
        <f>L26*W26</f>
        <v>4194304</v>
      </c>
      <c r="Y26" s="1">
        <f>E26*F26*G26/32</f>
        <v>32</v>
      </c>
      <c r="Z26" s="1">
        <f>J26*G24</f>
        <v>4096</v>
      </c>
      <c r="AA26" s="28">
        <f>Y26/$Y$27</f>
        <v>1.5531718681745378E-3</v>
      </c>
      <c r="AB26" s="1">
        <v>30</v>
      </c>
      <c r="AC26" s="33">
        <f>L26/$L$28</f>
        <v>1.3254908458288459E-3</v>
      </c>
      <c r="AD26" s="30" t="s">
        <v>60</v>
      </c>
    </row>
    <row r="27" spans="4:30">
      <c r="Q27" s="15"/>
      <c r="R27" s="15"/>
      <c r="S27" s="15"/>
      <c r="X27" s="15">
        <f>SUM(X8:X26)</f>
        <v>1274815008</v>
      </c>
      <c r="Y27" s="1">
        <f>SUM(Y8:Y26)</f>
        <v>20603</v>
      </c>
      <c r="AA27" s="1">
        <f>SUM(AA8:AA26)</f>
        <v>0.99999999999999978</v>
      </c>
      <c r="AB27" s="29">
        <f>AVERAGE(AB8:AB26)</f>
        <v>29.625</v>
      </c>
      <c r="AC27" s="29">
        <f>AC8*Z8+AC12*Z12+AC16*Z16+AC18*Z18+AC20*Z20+AC22*Z22+AC24*Z24+AC26*Z26</f>
        <v>1650.1519758097922</v>
      </c>
    </row>
    <row r="28" spans="4:30" ht="30">
      <c r="L28" s="1">
        <f>SUM(L8:L26)</f>
        <v>772544</v>
      </c>
      <c r="Q28" s="15"/>
      <c r="R28" s="15"/>
      <c r="S28" s="15">
        <f>SUM(S8:S26)</f>
        <v>201926688</v>
      </c>
      <c r="T28" s="15">
        <f>SUM(T8:T26)</f>
        <v>485133448</v>
      </c>
      <c r="W28" s="1" t="s">
        <v>53</v>
      </c>
      <c r="X28" s="15">
        <f>X27/SUM(L8:L26)</f>
        <v>1650.151975809792</v>
      </c>
      <c r="Y28" s="1">
        <f>Y27*32+L10+L14</f>
        <v>772544</v>
      </c>
    </row>
    <row r="29" spans="4:30">
      <c r="L29" s="1" t="s">
        <v>23</v>
      </c>
      <c r="O29" s="1">
        <f>SUM(O8:O26)</f>
        <v>8</v>
      </c>
      <c r="P29" s="1">
        <f>SUM(P8:P26)</f>
        <v>33608523</v>
      </c>
      <c r="Q29" s="15"/>
      <c r="R29" s="15"/>
    </row>
    <row r="30" spans="4:30">
      <c r="Q30" s="15"/>
      <c r="R30" s="15"/>
      <c r="S30" s="1" t="s">
        <v>22</v>
      </c>
    </row>
    <row r="31" spans="4:30">
      <c r="Q31" s="15"/>
      <c r="R31" s="15"/>
    </row>
    <row r="32" spans="4:30">
      <c r="Q32" s="15"/>
      <c r="R32" s="15"/>
    </row>
    <row r="33" spans="15:18">
      <c r="Q33" s="15"/>
      <c r="R33" s="15"/>
    </row>
    <row r="34" spans="15:18" ht="30">
      <c r="O34" s="12" t="s">
        <v>24</v>
      </c>
      <c r="P34" s="13"/>
      <c r="Q34" s="18">
        <f>SUM(Q8:Q26)</f>
        <v>174156652128</v>
      </c>
      <c r="R34" s="15"/>
    </row>
    <row r="35" spans="15:18">
      <c r="Q35" s="15"/>
      <c r="R35" s="15"/>
    </row>
    <row r="36" spans="15:18">
      <c r="O36" s="1" t="s">
        <v>18</v>
      </c>
      <c r="Q36" s="15"/>
      <c r="R36" s="15">
        <f>SUM(R8:R26)</f>
        <v>174157311424</v>
      </c>
    </row>
    <row r="37" spans="15:18" ht="30">
      <c r="O37" s="1" t="s">
        <v>19</v>
      </c>
      <c r="P37" s="19">
        <v>8</v>
      </c>
      <c r="Q37" s="15"/>
    </row>
    <row r="38" spans="15:18" ht="30">
      <c r="O38" s="1" t="s">
        <v>20</v>
      </c>
      <c r="Q38" s="15"/>
      <c r="R38" s="15">
        <f>R36*P37</f>
        <v>1393258491392</v>
      </c>
    </row>
    <row r="39" spans="15:18" ht="30">
      <c r="O39" s="1" t="s">
        <v>25</v>
      </c>
      <c r="P39" s="15">
        <v>0.01</v>
      </c>
      <c r="Q39" s="15"/>
    </row>
    <row r="40" spans="15:18">
      <c r="O40" s="1" t="s">
        <v>21</v>
      </c>
      <c r="Q40" s="15"/>
      <c r="R40" s="15">
        <f>R38*32/P39</f>
        <v>4458427172454400</v>
      </c>
    </row>
    <row r="42" spans="15:18">
      <c r="O42" s="1" t="s">
        <v>10</v>
      </c>
      <c r="Q42" s="15">
        <f>Q34*P37/P39</f>
        <v>139325321702400</v>
      </c>
    </row>
  </sheetData>
  <mergeCells count="1">
    <mergeCell ref="M4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42"/>
  <sheetViews>
    <sheetView topLeftCell="C14" workbookViewId="0">
      <selection activeCell="K28" sqref="K28:L28"/>
    </sheetView>
  </sheetViews>
  <sheetFormatPr baseColWidth="10" defaultRowHeight="15" x14ac:dyDescent="0"/>
  <cols>
    <col min="1" max="16" width="10.83203125" style="1"/>
    <col min="17" max="17" width="14.5" style="1" bestFit="1" customWidth="1"/>
    <col min="18" max="18" width="11.83203125" style="1" bestFit="1" customWidth="1"/>
    <col min="19" max="16384" width="10.83203125" style="1"/>
  </cols>
  <sheetData>
    <row r="4" spans="4:19">
      <c r="M4" s="38" t="s">
        <v>9</v>
      </c>
      <c r="N4" s="39"/>
      <c r="O4" s="40"/>
      <c r="P4" s="3"/>
    </row>
    <row r="5" spans="4:19" ht="30">
      <c r="E5" s="12" t="s">
        <v>0</v>
      </c>
      <c r="F5" s="13" t="s">
        <v>1</v>
      </c>
      <c r="G5" s="14" t="s">
        <v>2</v>
      </c>
      <c r="I5" s="12" t="s">
        <v>4</v>
      </c>
      <c r="J5" s="14" t="s">
        <v>5</v>
      </c>
      <c r="L5" s="11" t="s">
        <v>6</v>
      </c>
      <c r="M5" s="12" t="s">
        <v>7</v>
      </c>
      <c r="N5" s="13" t="s">
        <v>8</v>
      </c>
      <c r="O5" s="14" t="s">
        <v>12</v>
      </c>
      <c r="P5" s="14" t="s">
        <v>16</v>
      </c>
      <c r="Q5" s="11" t="s">
        <v>10</v>
      </c>
      <c r="R5" s="1" t="s">
        <v>17</v>
      </c>
      <c r="S5" s="1" t="s">
        <v>26</v>
      </c>
    </row>
    <row r="6" spans="4:19">
      <c r="D6" s="8" t="s">
        <v>3</v>
      </c>
      <c r="E6" s="2">
        <v>224</v>
      </c>
      <c r="F6" s="3">
        <v>224</v>
      </c>
      <c r="G6" s="4">
        <v>3</v>
      </c>
      <c r="I6" s="2"/>
      <c r="J6" s="4"/>
      <c r="L6" s="9">
        <f>E6*F6*G6</f>
        <v>150528</v>
      </c>
      <c r="M6" s="2"/>
      <c r="N6" s="3"/>
      <c r="O6" s="4"/>
      <c r="P6" s="4"/>
      <c r="Q6" s="9"/>
    </row>
    <row r="7" spans="4:19">
      <c r="D7" s="9"/>
      <c r="E7" s="2"/>
      <c r="F7" s="3"/>
      <c r="G7" s="4"/>
      <c r="I7" s="2"/>
      <c r="J7" s="4"/>
      <c r="L7" s="9"/>
      <c r="M7" s="2"/>
      <c r="N7" s="3"/>
      <c r="O7" s="4"/>
      <c r="P7" s="4"/>
      <c r="Q7" s="9"/>
    </row>
    <row r="8" spans="4:19">
      <c r="D8" s="9" t="s">
        <v>13</v>
      </c>
      <c r="E8" s="2">
        <v>55</v>
      </c>
      <c r="F8" s="3">
        <v>55</v>
      </c>
      <c r="G8" s="4">
        <v>32</v>
      </c>
      <c r="I8" s="2">
        <v>11</v>
      </c>
      <c r="J8" s="4">
        <v>11</v>
      </c>
      <c r="L8" s="9">
        <f>E8*F8*G8</f>
        <v>96800</v>
      </c>
      <c r="M8" s="2">
        <f>IF(D8="Conv",I8*J8*G6,IF(D8="fully",I8*J8*G6,0))</f>
        <v>363</v>
      </c>
      <c r="N8" s="3">
        <f>IF(D8="conv",I8*J8*G6-1,IF(D8="fully",I8*J8*G6-1,0))</f>
        <v>362</v>
      </c>
      <c r="O8" s="4">
        <f>IF(D8="pool",I8*J8,0)</f>
        <v>0</v>
      </c>
      <c r="P8" s="4">
        <f>MAX(M8,N8)</f>
        <v>363</v>
      </c>
      <c r="Q8" s="16">
        <f>L8*(M8+N8+O8)</f>
        <v>70180000</v>
      </c>
      <c r="R8" s="15">
        <f>(O8+P8*2)*L8</f>
        <v>70276800</v>
      </c>
      <c r="S8" s="1">
        <f>J8*I8*G6*G8*E8*F8</f>
        <v>35138400</v>
      </c>
    </row>
    <row r="9" spans="4:19">
      <c r="D9" s="9"/>
      <c r="E9" s="2"/>
      <c r="F9" s="3"/>
      <c r="G9" s="4"/>
      <c r="I9" s="2"/>
      <c r="J9" s="4"/>
      <c r="L9" s="9"/>
      <c r="M9" s="2"/>
      <c r="N9" s="3"/>
      <c r="O9" s="4"/>
      <c r="P9" s="4"/>
      <c r="Q9" s="16"/>
      <c r="R9" s="15"/>
    </row>
    <row r="10" spans="4:19">
      <c r="D10" s="9" t="s">
        <v>11</v>
      </c>
      <c r="E10" s="2">
        <v>27</v>
      </c>
      <c r="F10" s="3">
        <v>27</v>
      </c>
      <c r="G10" s="4">
        <v>32</v>
      </c>
      <c r="I10" s="2">
        <v>3</v>
      </c>
      <c r="J10" s="4">
        <v>3</v>
      </c>
      <c r="L10" s="9">
        <f>E10*F10*G10</f>
        <v>23328</v>
      </c>
      <c r="M10" s="2">
        <f>IF(D10="Conv",I10*J10*G8,IF(D10="fully",I10*J10*G8,0))</f>
        <v>0</v>
      </c>
      <c r="N10" s="3">
        <f>IF(D10="conv",I10*J10*G8-1,IF(D10="fully",I10*J10*G8-1,0))</f>
        <v>0</v>
      </c>
      <c r="O10" s="4">
        <f>IF(D10="pool",I10*J10,0)</f>
        <v>9</v>
      </c>
      <c r="P10" s="4">
        <f>MAX(M10,N10)</f>
        <v>0</v>
      </c>
      <c r="Q10" s="16">
        <f>L10*(M10+N10+O10)</f>
        <v>209952</v>
      </c>
      <c r="R10" s="15">
        <f>(O10+P10*2)*L10</f>
        <v>209952</v>
      </c>
      <c r="S10" s="1">
        <f>J10*I10*G8*G10*E10*F10</f>
        <v>6718464</v>
      </c>
    </row>
    <row r="11" spans="4:19">
      <c r="D11" s="9"/>
      <c r="E11" s="2"/>
      <c r="F11" s="3"/>
      <c r="G11" s="4"/>
      <c r="I11" s="2"/>
      <c r="J11" s="4"/>
      <c r="L11" s="9"/>
      <c r="M11" s="2"/>
      <c r="N11" s="3"/>
      <c r="O11" s="4"/>
      <c r="P11" s="4"/>
      <c r="Q11" s="16"/>
      <c r="R11" s="15"/>
    </row>
    <row r="12" spans="4:19">
      <c r="D12" s="9" t="s">
        <v>13</v>
      </c>
      <c r="E12" s="2">
        <v>27</v>
      </c>
      <c r="F12" s="3">
        <v>27</v>
      </c>
      <c r="G12" s="4">
        <v>64</v>
      </c>
      <c r="I12" s="2">
        <v>5</v>
      </c>
      <c r="J12" s="4">
        <v>5</v>
      </c>
      <c r="L12" s="9">
        <f>E12*F12*G12</f>
        <v>46656</v>
      </c>
      <c r="M12" s="2">
        <f>IF(D12="Conv",I12*J12*G10,IF(D12="fully",I12*J12*G10,0))</f>
        <v>800</v>
      </c>
      <c r="N12" s="3">
        <f>IF(D12="conv",I12*J12*G10-1,IF(D12="fully",I12*J12*G10-1,0))</f>
        <v>799</v>
      </c>
      <c r="O12" s="4">
        <f>IF(D12="pool",I12*J12,0)</f>
        <v>0</v>
      </c>
      <c r="P12" s="4">
        <f>MAX(M12,N12)</f>
        <v>800</v>
      </c>
      <c r="Q12" s="16">
        <f>L12*(M12+N12+O12)</f>
        <v>74602944</v>
      </c>
      <c r="R12" s="15">
        <f>(O12+P12*2)*L12</f>
        <v>74649600</v>
      </c>
      <c r="S12" s="1">
        <f>J12*I12*G10*G12*E12*F12</f>
        <v>37324800</v>
      </c>
    </row>
    <row r="13" spans="4:19">
      <c r="D13" s="9"/>
      <c r="E13" s="2"/>
      <c r="F13" s="3"/>
      <c r="G13" s="4"/>
      <c r="I13" s="2"/>
      <c r="J13" s="4"/>
      <c r="L13" s="9"/>
      <c r="M13" s="2"/>
      <c r="N13" s="3"/>
      <c r="O13" s="4"/>
      <c r="P13" s="4"/>
      <c r="Q13" s="16"/>
      <c r="R13" s="15"/>
    </row>
    <row r="14" spans="4:19">
      <c r="D14" s="9" t="s">
        <v>14</v>
      </c>
      <c r="E14" s="2">
        <v>13</v>
      </c>
      <c r="F14" s="3">
        <v>13</v>
      </c>
      <c r="G14" s="4">
        <v>64</v>
      </c>
      <c r="I14" s="2">
        <v>3</v>
      </c>
      <c r="J14" s="4">
        <v>3</v>
      </c>
      <c r="L14" s="9">
        <f>E14*F14*G14</f>
        <v>10816</v>
      </c>
      <c r="M14" s="2">
        <f>IF(D14="Conv",I14*J14*G12,IF(D14="fully",I14*J14*G12,0))</f>
        <v>0</v>
      </c>
      <c r="N14" s="3">
        <f>IF(D14="conv",I14*J14*G12-1,IF(D14="fully",I14*J14*G12-1,0))</f>
        <v>0</v>
      </c>
      <c r="O14" s="4">
        <f>IF(D14="pool",I14*J14,0)</f>
        <v>9</v>
      </c>
      <c r="P14" s="4">
        <f>MAX(M14,N14)</f>
        <v>0</v>
      </c>
      <c r="Q14" s="16">
        <f>L14*(M14+N14+O14)</f>
        <v>97344</v>
      </c>
      <c r="R14" s="15">
        <f>(O14+P14*2)*L14</f>
        <v>97344</v>
      </c>
      <c r="S14" s="1">
        <f>J14*I14*G12*G14*E14*F14</f>
        <v>6230016</v>
      </c>
    </row>
    <row r="15" spans="4:19">
      <c r="D15" s="9"/>
      <c r="E15" s="2"/>
      <c r="F15" s="3"/>
      <c r="G15" s="4"/>
      <c r="I15" s="2"/>
      <c r="J15" s="4"/>
      <c r="L15" s="9"/>
      <c r="M15" s="2"/>
      <c r="N15" s="3"/>
      <c r="O15" s="4"/>
      <c r="P15" s="4"/>
      <c r="Q15" s="16"/>
      <c r="R15" s="15"/>
    </row>
    <row r="16" spans="4:19">
      <c r="D16" s="9" t="s">
        <v>13</v>
      </c>
      <c r="E16" s="2">
        <v>13</v>
      </c>
      <c r="F16" s="3">
        <v>13</v>
      </c>
      <c r="G16" s="4">
        <v>96</v>
      </c>
      <c r="I16" s="2">
        <v>3</v>
      </c>
      <c r="J16" s="4">
        <v>3</v>
      </c>
      <c r="L16" s="9">
        <f>E16*F16*G16</f>
        <v>16224</v>
      </c>
      <c r="M16" s="2">
        <f>IF(D16="Conv",I16*J16*G14,IF(D16="fully",I16*J16*G14,0))</f>
        <v>576</v>
      </c>
      <c r="N16" s="3">
        <f>IF(D16="conv",I16*J16*G14-1,IF(D16="fully",I16*J16*G14-1,0))</f>
        <v>575</v>
      </c>
      <c r="O16" s="4">
        <f>IF(D16="pool",I16*J16,0)</f>
        <v>0</v>
      </c>
      <c r="P16" s="4">
        <f>MAX(M16,N16)</f>
        <v>576</v>
      </c>
      <c r="Q16" s="16">
        <f>L16*(M16+N16+O16)</f>
        <v>18673824</v>
      </c>
      <c r="R16" s="15">
        <f>(O16+P16*2)*L16</f>
        <v>18690048</v>
      </c>
      <c r="S16" s="1">
        <f>J16*I16*G14*G16*E16*F16</f>
        <v>9345024</v>
      </c>
    </row>
    <row r="17" spans="4:20">
      <c r="D17" s="9"/>
      <c r="E17" s="2"/>
      <c r="F17" s="3"/>
      <c r="G17" s="4"/>
      <c r="I17" s="2"/>
      <c r="J17" s="4"/>
      <c r="L17" s="9"/>
      <c r="M17" s="2"/>
      <c r="N17" s="3"/>
      <c r="O17" s="4"/>
      <c r="P17" s="4"/>
      <c r="Q17" s="16"/>
      <c r="R17" s="15"/>
    </row>
    <row r="18" spans="4:20">
      <c r="D18" s="9" t="s">
        <v>13</v>
      </c>
      <c r="E18" s="2">
        <v>13</v>
      </c>
      <c r="F18" s="3">
        <v>13</v>
      </c>
      <c r="G18" s="4">
        <v>96</v>
      </c>
      <c r="I18" s="2">
        <v>3</v>
      </c>
      <c r="J18" s="4">
        <v>3</v>
      </c>
      <c r="L18" s="9">
        <f>E18*F18*G18</f>
        <v>16224</v>
      </c>
      <c r="M18" s="2">
        <f>IF(D18="Conv",I18*J18*G16,IF(D18="fully",I18*J18*G16,0))</f>
        <v>864</v>
      </c>
      <c r="N18" s="3">
        <f>IF(D18="conv",I18*J18*G16-1,IF(D18="fully",I18*J18*G16-1,0))</f>
        <v>863</v>
      </c>
      <c r="O18" s="4">
        <f>IF(D18="pool",I18*J18,0)</f>
        <v>0</v>
      </c>
      <c r="P18" s="4">
        <f>MAX(M18,N18)</f>
        <v>864</v>
      </c>
      <c r="Q18" s="16">
        <f>L18*(M18+N18+O18)</f>
        <v>28018848</v>
      </c>
      <c r="R18" s="15">
        <f>(O18+P18*2)*L18</f>
        <v>28035072</v>
      </c>
      <c r="S18" s="1">
        <f>J18*I18*G16*G18*E18*F18</f>
        <v>14017536</v>
      </c>
    </row>
    <row r="19" spans="4:20">
      <c r="D19" s="9"/>
      <c r="E19" s="2"/>
      <c r="F19" s="3"/>
      <c r="G19" s="4"/>
      <c r="I19" s="2"/>
      <c r="J19" s="4"/>
      <c r="L19" s="9"/>
      <c r="M19" s="2"/>
      <c r="N19" s="3"/>
      <c r="O19" s="4"/>
      <c r="P19" s="4"/>
      <c r="Q19" s="16"/>
      <c r="R19" s="15"/>
    </row>
    <row r="20" spans="4:20">
      <c r="D20" s="9" t="s">
        <v>13</v>
      </c>
      <c r="E20" s="2">
        <v>13</v>
      </c>
      <c r="F20" s="3">
        <v>13</v>
      </c>
      <c r="G20" s="4">
        <v>64</v>
      </c>
      <c r="I20" s="2">
        <v>3</v>
      </c>
      <c r="J20" s="4">
        <v>3</v>
      </c>
      <c r="L20" s="9">
        <f>E20*F20*G20</f>
        <v>10816</v>
      </c>
      <c r="M20" s="2">
        <f>IF(D20="Conv",I20*J20*G16,IF(D20="fully",I20*J20*G16,0))</f>
        <v>864</v>
      </c>
      <c r="N20" s="3">
        <f>IF(D20="conv",I20*J20*G16-1,IF(D20="fully",I20*J20*G16-1,0))</f>
        <v>863</v>
      </c>
      <c r="O20" s="4">
        <f>IF(D20="pool",I20*J20,0)</f>
        <v>0</v>
      </c>
      <c r="P20" s="4">
        <f>MAX(M20,N20)</f>
        <v>864</v>
      </c>
      <c r="Q20" s="16">
        <f>L20*(M20+N20+O20)</f>
        <v>18679232</v>
      </c>
      <c r="R20" s="15">
        <f>(O20+P20*2)*L20</f>
        <v>18690048</v>
      </c>
      <c r="S20" s="1">
        <f>J20*I20*G18*G20*E20*F20</f>
        <v>9345024</v>
      </c>
    </row>
    <row r="21" spans="4:20">
      <c r="D21" s="9"/>
      <c r="E21" s="2"/>
      <c r="F21" s="3"/>
      <c r="G21" s="4"/>
      <c r="I21" s="2"/>
      <c r="J21" s="4"/>
      <c r="L21" s="9"/>
      <c r="M21" s="2"/>
      <c r="N21" s="3"/>
      <c r="O21" s="4"/>
      <c r="P21" s="4"/>
      <c r="Q21" s="16"/>
      <c r="R21" s="15"/>
    </row>
    <row r="22" spans="4:20">
      <c r="D22" s="9" t="s">
        <v>15</v>
      </c>
      <c r="E22" s="2">
        <v>1</v>
      </c>
      <c r="F22" s="3">
        <v>4096</v>
      </c>
      <c r="G22" s="4">
        <v>1</v>
      </c>
      <c r="I22" s="2">
        <v>13</v>
      </c>
      <c r="J22" s="4">
        <v>13</v>
      </c>
      <c r="L22" s="9">
        <f>E22*F22*G22</f>
        <v>4096</v>
      </c>
      <c r="M22" s="2">
        <f>IF(D22="Conv",I22*J22*G20,IF(D22="fully",I22*J22*G20,0))</f>
        <v>10816</v>
      </c>
      <c r="N22" s="3">
        <f>IF(D22="conv",I22*J22*G20-1,IF(D22="fully",I22*J22*G20-1,0))</f>
        <v>10815</v>
      </c>
      <c r="O22" s="4">
        <f>IF(D22="pool",I22*J22,0)</f>
        <v>0</v>
      </c>
      <c r="P22" s="4">
        <f>MAX(M22,N22)</f>
        <v>10816</v>
      </c>
      <c r="Q22" s="16">
        <f>L22*(M22+N22+O22)</f>
        <v>88600576</v>
      </c>
      <c r="R22" s="15">
        <f>(O22+P22*2)*L22</f>
        <v>88604672</v>
      </c>
      <c r="S22" s="1">
        <f>IF(D22="fully",I22*J22*G20*E22*F22*G22,0)</f>
        <v>44302336</v>
      </c>
    </row>
    <row r="23" spans="4:20">
      <c r="D23" s="9"/>
      <c r="E23" s="2"/>
      <c r="F23" s="3"/>
      <c r="G23" s="4"/>
      <c r="I23" s="2"/>
      <c r="J23" s="4"/>
      <c r="L23" s="9"/>
      <c r="M23" s="2"/>
      <c r="N23" s="3"/>
      <c r="O23" s="4"/>
      <c r="P23" s="4"/>
      <c r="Q23" s="16"/>
      <c r="R23" s="15"/>
    </row>
    <row r="24" spans="4:20">
      <c r="D24" s="9" t="s">
        <v>15</v>
      </c>
      <c r="E24" s="2">
        <v>1</v>
      </c>
      <c r="F24" s="3">
        <v>4096</v>
      </c>
      <c r="G24" s="4">
        <v>1</v>
      </c>
      <c r="I24" s="2">
        <v>64</v>
      </c>
      <c r="J24" s="4">
        <v>64</v>
      </c>
      <c r="L24" s="9">
        <f>E24*F24*G24</f>
        <v>4096</v>
      </c>
      <c r="M24" s="2">
        <f>IF(D24="Conv",I24*J24*G22,IF(D24="fully",I24*J24*G22,0))</f>
        <v>4096</v>
      </c>
      <c r="N24" s="3">
        <f>IF(D24="conv",I24*J24*G22-1,IF(D24="fully",I24*J24*G22-1,0))</f>
        <v>4095</v>
      </c>
      <c r="O24" s="4">
        <f>IF(D24="pool",I24*J24,0)</f>
        <v>0</v>
      </c>
      <c r="P24" s="4">
        <f>MAX(M24,N24)</f>
        <v>4096</v>
      </c>
      <c r="Q24" s="16">
        <f>L24*(M24+N24+O24)</f>
        <v>33550336</v>
      </c>
      <c r="R24" s="15">
        <f>(O24+P24*2)*L24</f>
        <v>33554432</v>
      </c>
      <c r="S24" s="1">
        <f>IF(D24="fully",I24*J24*G22*E24*F24*G24,0)</f>
        <v>16777216</v>
      </c>
    </row>
    <row r="25" spans="4:20">
      <c r="D25" s="9"/>
      <c r="E25" s="2"/>
      <c r="F25" s="3"/>
      <c r="G25" s="4"/>
      <c r="I25" s="2"/>
      <c r="J25" s="4"/>
      <c r="L25" s="9"/>
      <c r="M25" s="2"/>
      <c r="N25" s="3"/>
      <c r="O25" s="4"/>
      <c r="P25" s="4"/>
      <c r="Q25" s="16"/>
      <c r="R25" s="15"/>
    </row>
    <row r="26" spans="4:20">
      <c r="D26" s="10" t="s">
        <v>15</v>
      </c>
      <c r="E26" s="5">
        <v>32</v>
      </c>
      <c r="F26" s="6">
        <v>32</v>
      </c>
      <c r="G26" s="7">
        <v>1</v>
      </c>
      <c r="I26" s="5">
        <v>64</v>
      </c>
      <c r="J26" s="7">
        <v>64</v>
      </c>
      <c r="L26" s="10">
        <f>E26*F26*G26</f>
        <v>1024</v>
      </c>
      <c r="M26" s="5">
        <f>IF(D26="Conv",I26*J26*G24,IF(D26="fully",I26*J26*G24,0))</f>
        <v>4096</v>
      </c>
      <c r="N26" s="6">
        <f>IF(D26="conv",I26*J26*G24-1,IF(D26="fully",I26*J26*G24-1,0))</f>
        <v>4095</v>
      </c>
      <c r="O26" s="7">
        <f>IF(D26="pool",I26*J26,0)</f>
        <v>0</v>
      </c>
      <c r="P26" s="7">
        <f>MAX(M26,N26)</f>
        <v>4096</v>
      </c>
      <c r="Q26" s="17">
        <f>L26*(M26+N26+O26)</f>
        <v>8387584</v>
      </c>
      <c r="R26" s="15">
        <f>(O26+P26*2)*L26</f>
        <v>8388608</v>
      </c>
      <c r="S26" s="1">
        <f t="shared" ref="S26:S27" si="0">IF(D26="fully",I26*J26*G24*E26*F26*G26,0)</f>
        <v>4194304</v>
      </c>
    </row>
    <row r="27" spans="4:20">
      <c r="Q27" s="15"/>
      <c r="R27" s="15"/>
      <c r="S27" s="1">
        <f t="shared" si="0"/>
        <v>0</v>
      </c>
    </row>
    <row r="28" spans="4:20">
      <c r="K28" s="20" t="s">
        <v>30</v>
      </c>
      <c r="L28" s="1">
        <f>SUM(L8:L24)</f>
        <v>229056</v>
      </c>
      <c r="Q28" s="15"/>
      <c r="R28" s="20" t="s">
        <v>28</v>
      </c>
      <c r="S28" s="1">
        <f>SUM(S8:S26)</f>
        <v>183393120</v>
      </c>
    </row>
    <row r="29" spans="4:20">
      <c r="L29" s="1" t="s">
        <v>23</v>
      </c>
      <c r="O29" s="1">
        <f>SUM(O8:O26)</f>
        <v>18</v>
      </c>
      <c r="P29" s="1">
        <f>SUM(P8:P26)</f>
        <v>22475</v>
      </c>
      <c r="Q29" s="15"/>
      <c r="R29" s="21" t="s">
        <v>29</v>
      </c>
      <c r="S29" s="22">
        <f>S28*32/1000000000</f>
        <v>5.8685798399999998</v>
      </c>
      <c r="T29" s="1" t="s">
        <v>27</v>
      </c>
    </row>
    <row r="30" spans="4:20">
      <c r="Q30" s="15"/>
      <c r="R30" s="15"/>
    </row>
    <row r="31" spans="4:20">
      <c r="Q31" s="15"/>
      <c r="R31" s="15"/>
    </row>
    <row r="32" spans="4:20">
      <c r="Q32" s="15"/>
      <c r="R32" s="15"/>
    </row>
    <row r="33" spans="15:18">
      <c r="Q33" s="15"/>
      <c r="R33" s="15"/>
    </row>
    <row r="34" spans="15:18" ht="30">
      <c r="O34" s="12" t="s">
        <v>24</v>
      </c>
      <c r="P34" s="13"/>
      <c r="Q34" s="18">
        <f>SUM(Q8:Q26)</f>
        <v>341000640</v>
      </c>
      <c r="R34" s="15"/>
    </row>
    <row r="35" spans="15:18">
      <c r="Q35" s="15"/>
      <c r="R35" s="15"/>
    </row>
    <row r="36" spans="15:18">
      <c r="O36" s="1" t="s">
        <v>18</v>
      </c>
      <c r="Q36" s="15"/>
      <c r="R36" s="15">
        <f>SUM(R8:R26)</f>
        <v>341196576</v>
      </c>
    </row>
    <row r="37" spans="15:18" ht="30">
      <c r="O37" s="1" t="s">
        <v>19</v>
      </c>
      <c r="P37" s="19">
        <v>8</v>
      </c>
      <c r="Q37" s="15"/>
    </row>
    <row r="38" spans="15:18" ht="30">
      <c r="O38" s="1" t="s">
        <v>20</v>
      </c>
      <c r="Q38" s="15"/>
      <c r="R38" s="15">
        <f>R36*P37</f>
        <v>2729572608</v>
      </c>
    </row>
    <row r="39" spans="15:18" ht="30">
      <c r="O39" s="1" t="s">
        <v>25</v>
      </c>
      <c r="P39" s="15">
        <v>0.01</v>
      </c>
      <c r="Q39" s="15"/>
    </row>
    <row r="40" spans="15:18">
      <c r="O40" s="1" t="s">
        <v>21</v>
      </c>
      <c r="Q40" s="15"/>
      <c r="R40" s="15">
        <f>R38*32/P39</f>
        <v>8734632345600</v>
      </c>
    </row>
    <row r="42" spans="15:18">
      <c r="O42" s="1" t="s">
        <v>10</v>
      </c>
      <c r="Q42" s="15">
        <f>Q34*P37/P39</f>
        <v>272800512000</v>
      </c>
    </row>
  </sheetData>
  <mergeCells count="1">
    <mergeCell ref="M4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8"/>
  <sheetViews>
    <sheetView workbookViewId="0">
      <selection activeCell="I15" sqref="I15"/>
    </sheetView>
  </sheetViews>
  <sheetFormatPr baseColWidth="10" defaultRowHeight="15" x14ac:dyDescent="0"/>
  <cols>
    <col min="5" max="5" width="11.1640625" bestFit="1" customWidth="1"/>
  </cols>
  <sheetData>
    <row r="3" spans="4:12">
      <c r="H3">
        <v>0.1</v>
      </c>
      <c r="I3" s="25">
        <v>0.25</v>
      </c>
      <c r="J3">
        <v>32</v>
      </c>
    </row>
    <row r="4" spans="4:12"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38</v>
      </c>
      <c r="K4" t="s">
        <v>37</v>
      </c>
    </row>
    <row r="5" spans="4:12">
      <c r="D5">
        <f>CNN!P28</f>
        <v>772520</v>
      </c>
      <c r="E5">
        <v>8</v>
      </c>
      <c r="F5">
        <f>D5/E5</f>
        <v>96565</v>
      </c>
      <c r="G5">
        <v>0.25</v>
      </c>
      <c r="H5">
        <f>G5*H3</f>
        <v>2.5000000000000001E-2</v>
      </c>
      <c r="I5">
        <f>F5*I3</f>
        <v>24141.25</v>
      </c>
      <c r="J5">
        <f>I5*J3</f>
        <v>772520</v>
      </c>
      <c r="K5">
        <f>I5*J3/H5/1000000</f>
        <v>30.9008</v>
      </c>
      <c r="L5">
        <f>K5*E5</f>
        <v>247.2064</v>
      </c>
    </row>
    <row r="7" spans="4:12" ht="75">
      <c r="D7" s="1" t="s">
        <v>41</v>
      </c>
      <c r="E7" t="s">
        <v>42</v>
      </c>
    </row>
    <row r="8" spans="4:12">
      <c r="D8">
        <v>1500</v>
      </c>
      <c r="E8">
        <f>D5*D8/1000000</f>
        <v>1158.78</v>
      </c>
    </row>
    <row r="10" spans="4:12">
      <c r="H10">
        <v>0.1</v>
      </c>
      <c r="I10" s="25">
        <v>0.25</v>
      </c>
      <c r="J10">
        <v>32</v>
      </c>
    </row>
    <row r="11" spans="4:12">
      <c r="D11" t="s">
        <v>31</v>
      </c>
      <c r="E11" t="s">
        <v>32</v>
      </c>
      <c r="F11" t="s">
        <v>33</v>
      </c>
      <c r="G11" t="s">
        <v>34</v>
      </c>
      <c r="H11" t="s">
        <v>35</v>
      </c>
      <c r="I11" t="s">
        <v>36</v>
      </c>
      <c r="J11" t="s">
        <v>38</v>
      </c>
      <c r="K11" t="s">
        <v>37</v>
      </c>
    </row>
    <row r="12" spans="4:12">
      <c r="D12">
        <v>250000</v>
      </c>
      <c r="E12">
        <v>8</v>
      </c>
      <c r="F12">
        <f>D12/E12</f>
        <v>31250</v>
      </c>
      <c r="G12">
        <v>0.25</v>
      </c>
      <c r="H12">
        <f>G12*H10</f>
        <v>2.5000000000000001E-2</v>
      </c>
      <c r="I12">
        <f>F12*I10</f>
        <v>7812.5</v>
      </c>
      <c r="J12">
        <f>I12*J10</f>
        <v>250000</v>
      </c>
      <c r="K12">
        <f>I12*J10/H12/1000000</f>
        <v>10</v>
      </c>
      <c r="L12">
        <f>K12*E12</f>
        <v>80</v>
      </c>
    </row>
    <row r="14" spans="4:12" s="1" customFormat="1" ht="75">
      <c r="D14" s="1" t="s">
        <v>41</v>
      </c>
      <c r="E14" s="1" t="s">
        <v>42</v>
      </c>
      <c r="F14" s="1" t="s">
        <v>43</v>
      </c>
      <c r="G14" s="1" t="s">
        <v>44</v>
      </c>
      <c r="H14" s="1" t="s">
        <v>45</v>
      </c>
      <c r="I14" s="1" t="s">
        <v>21</v>
      </c>
      <c r="J14" s="1" t="s">
        <v>49</v>
      </c>
    </row>
    <row r="15" spans="4:12">
      <c r="D15">
        <v>2000</v>
      </c>
      <c r="E15">
        <f>D12*D15</f>
        <v>500000000</v>
      </c>
      <c r="F15">
        <v>10</v>
      </c>
      <c r="G15" s="27">
        <v>0.01</v>
      </c>
      <c r="H15">
        <v>32</v>
      </c>
      <c r="I15" s="27">
        <f>E15*F15/G15*H15</f>
        <v>16000000000000</v>
      </c>
      <c r="J15">
        <f>E15*F15*H15/1000000000</f>
        <v>160</v>
      </c>
    </row>
    <row r="17" spans="4:5">
      <c r="D17" t="s">
        <v>48</v>
      </c>
    </row>
    <row r="18" spans="4:5">
      <c r="D18">
        <f>1024*1024</f>
        <v>1048576</v>
      </c>
      <c r="E18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CNN</vt:lpstr>
      <vt:lpstr>DNN</vt:lpstr>
      <vt:lpstr>CNN tmp</vt:lpstr>
      <vt:lpstr>XU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2016-07-14T19:52:23Z</dcterms:created>
  <dcterms:modified xsi:type="dcterms:W3CDTF">2018-02-15T17:16:27Z</dcterms:modified>
</cp:coreProperties>
</file>