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lbbaker/Documents/workspace/github/ece-cortical-MainResearch/DOC/"/>
    </mc:Choice>
  </mc:AlternateContent>
  <xr:revisionPtr revIDLastSave="0" documentId="10_ncr:8100000_{D712F6CF-71E2-7949-BE97-2B9F78400A51}" xr6:coauthVersionLast="34" xr6:coauthVersionMax="34" xr10:uidLastSave="{00000000-0000-0000-0000-000000000000}"/>
  <bookViews>
    <workbookView xWindow="0" yWindow="1700" windowWidth="71540" windowHeight="23680" tabRatio="500" activeTab="8" xr2:uid="{00000000-000D-0000-FFFF-FFFF00000000}"/>
  </bookViews>
  <sheets>
    <sheet name="CNN" sheetId="2" r:id="rId1"/>
    <sheet name="DNN" sheetId="1" r:id="rId2"/>
    <sheet name="XU" sheetId="4" r:id="rId3"/>
    <sheet name="Performance" sheetId="5" r:id="rId4"/>
    <sheet name="XU FC bandwidth" sheetId="3" r:id="rId5"/>
    <sheet name="UAV CNN-based Classifier" sheetId="7" r:id="rId6"/>
    <sheet name="UAV MLP Anomaly" sheetId="8" r:id="rId7"/>
    <sheet name="UAV AE-based Anomaly" sheetId="10" r:id="rId8"/>
    <sheet name="UAV CNN-based Classifier test" sheetId="11" r:id="rId9"/>
  </sheets>
  <externalReferences>
    <externalReference r:id="rId10"/>
  </externalReferences>
  <definedNames>
    <definedName name="Adds">'UAV CNN-based Classifier test'!$V$6:$V$22</definedName>
    <definedName name="Divides">'UAV CNN-based Classifier test'!$W$6:$W$22</definedName>
    <definedName name="Feature">'UAV CNN-based Classifier test'!$G$6:$G$22</definedName>
    <definedName name="Features">'UAV CNN-based Classifier test'!$G$6:$G$22</definedName>
    <definedName name="FeaturesMinus1">'UAV CNN-based Classifier test'!$AL$8:$AL$22</definedName>
    <definedName name="FeaturesPrev">'UAV CNN-based Classifier test'!$AL$8:$AL$22</definedName>
    <definedName name="FLOPsubTotal">'UAV CNN-based Classifier test'!$Y$6:$Y$22</definedName>
    <definedName name="FMA">'UAV CNN-based Classifier test'!$X$6:$X$22</definedName>
    <definedName name="foo" localSheetId="2">XU!$G$21:$H$29</definedName>
    <definedName name="foo_1" localSheetId="2">XU!$G$34:$N$34</definedName>
    <definedName name="foo_2" localSheetId="2">XU!$G$33:$K$44</definedName>
    <definedName name="Kx">'UAV CNN-based Classifier test'!$K$6:$K$22</definedName>
    <definedName name="Ky">'UAV CNN-based Classifier test'!$L$6:$L$22</definedName>
    <definedName name="Kz">'UAV CNN-based Classifier test'!$M$6:$M$22</definedName>
    <definedName name="Mults">'UAV CNN-based Classifier test'!$U$6:$U$22</definedName>
    <definedName name="ReadSubTotal">'UAV CNN-based Classifier test'!$AA$6:$AA$22</definedName>
    <definedName name="Stride">'UAV CNN-based Classifier test'!$J$6:$J$22</definedName>
    <definedName name="Type">'UAV CNN-based Classifier test'!$D$6:$D$22</definedName>
    <definedName name="Untitled" localSheetId="3">Performance!$N$20:$R$38</definedName>
    <definedName name="Weights">'UAV CNN-based Classifier test'!$T$6:$T$22</definedName>
    <definedName name="WriteSubTotal">'UAV CNN-based Classifier test'!$AB$6:$AB$22</definedName>
    <definedName name="Xdim">'UAV CNN-based Classifier test'!$E$6:$E$22</definedName>
    <definedName name="Xprev">'UAV CNN-based Classifier test'!$AJ$6:$AJ$22</definedName>
    <definedName name="Ydim">'UAV CNN-based Classifier test'!$F$6:$F$22</definedName>
    <definedName name="Yprev">'UAV CNN-based Classifier test'!$AK$6:$AK$22</definedName>
    <definedName name="Zprev">'UAV CNN-based Classifier test'!$AL$8:$AL$22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8" i="11" l="1"/>
  <c r="AL8" i="11"/>
  <c r="AK8" i="11"/>
  <c r="O6" i="11"/>
  <c r="Q6" i="11"/>
  <c r="M20" i="11"/>
  <c r="M16" i="11"/>
  <c r="AL22" i="11"/>
  <c r="M22" i="11" s="1"/>
  <c r="AK22" i="11"/>
  <c r="AJ22" i="11"/>
  <c r="AL20" i="11"/>
  <c r="AK20" i="11"/>
  <c r="AJ20" i="11"/>
  <c r="AL18" i="11"/>
  <c r="M18" i="11" s="1"/>
  <c r="AL16" i="11"/>
  <c r="AL14" i="11"/>
  <c r="AL12" i="11"/>
  <c r="M12" i="11" s="1"/>
  <c r="AL10" i="11"/>
  <c r="AB22" i="11"/>
  <c r="AA22" i="11"/>
  <c r="V22" i="11"/>
  <c r="U22" i="11"/>
  <c r="X22" i="11" s="1"/>
  <c r="T22" i="11"/>
  <c r="R22" i="11"/>
  <c r="Q22" i="11"/>
  <c r="O22" i="11"/>
  <c r="AB20" i="11"/>
  <c r="AA20" i="11"/>
  <c r="V20" i="11"/>
  <c r="U20" i="11"/>
  <c r="T20" i="11"/>
  <c r="R20" i="11"/>
  <c r="Q20" i="11"/>
  <c r="O20" i="11"/>
  <c r="AB18" i="11"/>
  <c r="R18" i="11"/>
  <c r="Q18" i="11"/>
  <c r="O18" i="11"/>
  <c r="T16" i="11"/>
  <c r="R16" i="11"/>
  <c r="U14" i="11"/>
  <c r="T14" i="11"/>
  <c r="R14" i="11"/>
  <c r="T12" i="11"/>
  <c r="R12" i="11"/>
  <c r="U10" i="11"/>
  <c r="T10" i="11"/>
  <c r="R10" i="11"/>
  <c r="R8" i="11"/>
  <c r="W22" i="11"/>
  <c r="N22" i="11"/>
  <c r="W20" i="11"/>
  <c r="N20" i="11"/>
  <c r="W18" i="11"/>
  <c r="W16" i="11"/>
  <c r="N16" i="11"/>
  <c r="W14" i="11"/>
  <c r="N14" i="11"/>
  <c r="W12" i="11"/>
  <c r="N12" i="11"/>
  <c r="W10" i="11"/>
  <c r="N10" i="11"/>
  <c r="W8" i="11"/>
  <c r="AA36" i="11"/>
  <c r="X37" i="11"/>
  <c r="U34" i="11"/>
  <c r="Y42" i="7"/>
  <c r="Y42" i="10"/>
  <c r="Z12" i="8"/>
  <c r="Z10" i="8"/>
  <c r="Z8" i="8"/>
  <c r="AA22" i="10"/>
  <c r="AA20" i="10"/>
  <c r="AA18" i="10"/>
  <c r="AA16" i="10"/>
  <c r="AA14" i="10"/>
  <c r="AA12" i="10"/>
  <c r="AA8" i="10"/>
  <c r="AA22" i="7"/>
  <c r="AA20" i="7"/>
  <c r="AA18" i="7"/>
  <c r="AA16" i="7"/>
  <c r="AA14" i="7"/>
  <c r="AA12" i="7"/>
  <c r="AA10" i="7"/>
  <c r="AA8" i="7"/>
  <c r="F10" i="10"/>
  <c r="E8" i="10"/>
  <c r="E10" i="10" s="1"/>
  <c r="AA10" i="10" s="1"/>
  <c r="F8" i="10"/>
  <c r="W14" i="10"/>
  <c r="R14" i="10"/>
  <c r="N14" i="10"/>
  <c r="M14" i="10"/>
  <c r="G8" i="10"/>
  <c r="M10" i="10"/>
  <c r="T22" i="10"/>
  <c r="T20" i="10"/>
  <c r="T12" i="10"/>
  <c r="T8" i="10"/>
  <c r="AA38" i="10"/>
  <c r="X37" i="10"/>
  <c r="U34" i="10"/>
  <c r="AB22" i="10"/>
  <c r="X22" i="10"/>
  <c r="W22" i="10"/>
  <c r="V22" i="10"/>
  <c r="U22" i="10"/>
  <c r="Y22" i="10" s="1"/>
  <c r="R22" i="10"/>
  <c r="Q22" i="10"/>
  <c r="O22" i="10"/>
  <c r="N22" i="10"/>
  <c r="M22" i="10"/>
  <c r="AB20" i="10"/>
  <c r="W20" i="10"/>
  <c r="V20" i="10"/>
  <c r="U20" i="10"/>
  <c r="X20" i="10" s="1"/>
  <c r="R20" i="10"/>
  <c r="Q20" i="10"/>
  <c r="O20" i="10"/>
  <c r="N20" i="10"/>
  <c r="M20" i="10"/>
  <c r="AB18" i="10"/>
  <c r="W18" i="10"/>
  <c r="R18" i="10"/>
  <c r="Q18" i="10"/>
  <c r="O18" i="10"/>
  <c r="M18" i="10"/>
  <c r="W16" i="10"/>
  <c r="R16" i="10"/>
  <c r="N16" i="10"/>
  <c r="M16" i="10"/>
  <c r="W12" i="10"/>
  <c r="R12" i="10"/>
  <c r="N12" i="10"/>
  <c r="R10" i="10"/>
  <c r="N10" i="10"/>
  <c r="W8" i="10"/>
  <c r="R8" i="10"/>
  <c r="N8" i="10"/>
  <c r="Q6" i="10"/>
  <c r="O6" i="10"/>
  <c r="X12" i="8"/>
  <c r="X10" i="8"/>
  <c r="W10" i="8"/>
  <c r="X22" i="7"/>
  <c r="X20" i="7"/>
  <c r="U8" i="8"/>
  <c r="T8" i="8"/>
  <c r="R8" i="8"/>
  <c r="N8" i="8"/>
  <c r="F8" i="8"/>
  <c r="E8" i="8"/>
  <c r="M10" i="8"/>
  <c r="L10" i="8"/>
  <c r="K10" i="8"/>
  <c r="Z29" i="8"/>
  <c r="W28" i="8"/>
  <c r="T25" i="8"/>
  <c r="R12" i="8"/>
  <c r="N12" i="8"/>
  <c r="V10" i="8"/>
  <c r="R10" i="8"/>
  <c r="N10" i="8"/>
  <c r="AA10" i="8"/>
  <c r="Q6" i="8"/>
  <c r="O6" i="8"/>
  <c r="V22" i="7"/>
  <c r="V20" i="7"/>
  <c r="U22" i="7"/>
  <c r="T22" i="7"/>
  <c r="U20" i="7"/>
  <c r="Y20" i="7" s="1"/>
  <c r="T20" i="7"/>
  <c r="T16" i="7"/>
  <c r="U14" i="7"/>
  <c r="T14" i="7"/>
  <c r="T12" i="7"/>
  <c r="U10" i="7"/>
  <c r="T10" i="7"/>
  <c r="U34" i="7"/>
  <c r="X37" i="7"/>
  <c r="AB22" i="7"/>
  <c r="AB20" i="7"/>
  <c r="AB18" i="7"/>
  <c r="M22" i="7"/>
  <c r="M20" i="7"/>
  <c r="M18" i="7"/>
  <c r="M16" i="7"/>
  <c r="M12" i="7"/>
  <c r="M8" i="7"/>
  <c r="T8" i="7"/>
  <c r="R18" i="7"/>
  <c r="R16" i="7"/>
  <c r="R14" i="7"/>
  <c r="R12" i="7"/>
  <c r="R10" i="7"/>
  <c r="R8" i="7"/>
  <c r="R22" i="7"/>
  <c r="R20" i="7"/>
  <c r="F8" i="7"/>
  <c r="F10" i="7" s="1"/>
  <c r="F12" i="7" s="1"/>
  <c r="F14" i="7" s="1"/>
  <c r="F16" i="7" s="1"/>
  <c r="L18" i="7" s="1"/>
  <c r="E8" i="7"/>
  <c r="E10" i="7" s="1"/>
  <c r="V10" i="7" s="1"/>
  <c r="W8" i="7"/>
  <c r="W12" i="7"/>
  <c r="W16" i="7"/>
  <c r="Q18" i="7"/>
  <c r="W18" i="7"/>
  <c r="Q20" i="7"/>
  <c r="W20" i="7"/>
  <c r="Q22" i="7"/>
  <c r="W22" i="7"/>
  <c r="AA38" i="7"/>
  <c r="N8" i="7"/>
  <c r="N10" i="7"/>
  <c r="N12" i="7"/>
  <c r="N14" i="7"/>
  <c r="N16" i="7"/>
  <c r="N20" i="7"/>
  <c r="N22" i="7"/>
  <c r="O22" i="7"/>
  <c r="O20" i="7"/>
  <c r="O18" i="7"/>
  <c r="O8" i="7"/>
  <c r="Q6" i="7"/>
  <c r="O6" i="7"/>
  <c r="J25" i="4"/>
  <c r="K25" i="4" s="1"/>
  <c r="J21" i="4"/>
  <c r="K21" i="4" s="1"/>
  <c r="I29" i="4"/>
  <c r="J29" i="4" s="1"/>
  <c r="K29" i="4" s="1"/>
  <c r="K31" i="4" s="1"/>
  <c r="I28" i="4"/>
  <c r="J28" i="4" s="1"/>
  <c r="K28" i="4" s="1"/>
  <c r="K32" i="4" s="1"/>
  <c r="I27" i="4"/>
  <c r="J27" i="4" s="1"/>
  <c r="K27" i="4" s="1"/>
  <c r="I26" i="4"/>
  <c r="J26" i="4" s="1"/>
  <c r="K26" i="4" s="1"/>
  <c r="I25" i="4"/>
  <c r="I24" i="4"/>
  <c r="J24" i="4" s="1"/>
  <c r="K24" i="4" s="1"/>
  <c r="I23" i="4"/>
  <c r="J23" i="4" s="1"/>
  <c r="K23" i="4" s="1"/>
  <c r="I22" i="4"/>
  <c r="J22" i="4" s="1"/>
  <c r="K22" i="4" s="1"/>
  <c r="I21" i="4"/>
  <c r="AM27" i="3"/>
  <c r="AP27" i="3"/>
  <c r="U24" i="3"/>
  <c r="U22" i="3"/>
  <c r="U20" i="3"/>
  <c r="K55" i="4"/>
  <c r="J55" i="4"/>
  <c r="J58" i="4" s="1"/>
  <c r="J59" i="4" s="1"/>
  <c r="I55" i="4"/>
  <c r="I58" i="4" s="1"/>
  <c r="H55" i="4"/>
  <c r="H58" i="4" s="1"/>
  <c r="K47" i="4"/>
  <c r="J47" i="4"/>
  <c r="I47" i="4"/>
  <c r="H47" i="4"/>
  <c r="K46" i="4"/>
  <c r="J46" i="4"/>
  <c r="I46" i="4"/>
  <c r="H46" i="4"/>
  <c r="G54" i="4"/>
  <c r="G53" i="4"/>
  <c r="G52" i="4"/>
  <c r="G51" i="4"/>
  <c r="G50" i="4"/>
  <c r="G49" i="4"/>
  <c r="G48" i="4"/>
  <c r="G47" i="4"/>
  <c r="G46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P20" i="3"/>
  <c r="I20" i="3"/>
  <c r="J20" i="3"/>
  <c r="N20" i="3"/>
  <c r="Q20" i="3" s="1"/>
  <c r="V20" i="3" s="1"/>
  <c r="O20" i="3"/>
  <c r="L20" i="3"/>
  <c r="P22" i="3"/>
  <c r="I22" i="3"/>
  <c r="N22" i="3" s="1"/>
  <c r="J22" i="3"/>
  <c r="O22" i="3"/>
  <c r="L22" i="3"/>
  <c r="P24" i="3"/>
  <c r="I24" i="3"/>
  <c r="J24" i="3"/>
  <c r="N24" i="3"/>
  <c r="O24" i="3"/>
  <c r="Q24" i="3" s="1"/>
  <c r="V24" i="3" s="1"/>
  <c r="X24" i="3" s="1"/>
  <c r="Z24" i="3" s="1"/>
  <c r="AC24" i="3" s="1"/>
  <c r="L24" i="3"/>
  <c r="T20" i="3"/>
  <c r="T22" i="3"/>
  <c r="T24" i="3"/>
  <c r="T26" i="3"/>
  <c r="L18" i="3"/>
  <c r="T18" i="3"/>
  <c r="AE6" i="3"/>
  <c r="AE8" i="3" s="1"/>
  <c r="AI35" i="3" s="1"/>
  <c r="W36" i="3"/>
  <c r="W20" i="3"/>
  <c r="W26" i="3" s="1"/>
  <c r="W30" i="3" s="1"/>
  <c r="W22" i="3"/>
  <c r="W24" i="3"/>
  <c r="AE7" i="3"/>
  <c r="AI36" i="3" s="1"/>
  <c r="AI33" i="3"/>
  <c r="AI34" i="3"/>
  <c r="AI32" i="3"/>
  <c r="AI31" i="3"/>
  <c r="Y20" i="3"/>
  <c r="Y26" i="3" s="1"/>
  <c r="Y22" i="3"/>
  <c r="AA22" i="3" s="1"/>
  <c r="Y24" i="3"/>
  <c r="AA24" i="3" s="1"/>
  <c r="H18" i="5"/>
  <c r="H17" i="5"/>
  <c r="H16" i="5"/>
  <c r="H15" i="5"/>
  <c r="H14" i="5"/>
  <c r="H13" i="5"/>
  <c r="H12" i="5"/>
  <c r="H11" i="5"/>
  <c r="H10" i="5"/>
  <c r="H9" i="5"/>
  <c r="I31" i="5"/>
  <c r="AD26" i="1"/>
  <c r="AD24" i="1"/>
  <c r="AD22" i="1"/>
  <c r="AD20" i="1"/>
  <c r="AD18" i="1"/>
  <c r="AD16" i="1"/>
  <c r="AD12" i="1"/>
  <c r="AD8" i="1"/>
  <c r="AD10" i="1"/>
  <c r="AF10" i="1" s="1"/>
  <c r="AD14" i="1"/>
  <c r="Y14" i="1"/>
  <c r="Y10" i="1"/>
  <c r="S8" i="1"/>
  <c r="X40" i="2"/>
  <c r="AA26" i="1"/>
  <c r="AA24" i="1"/>
  <c r="Y26" i="1"/>
  <c r="Y24" i="1"/>
  <c r="AA22" i="1"/>
  <c r="Y22" i="1"/>
  <c r="AA20" i="1"/>
  <c r="Y20" i="1"/>
  <c r="AA18" i="1"/>
  <c r="Y18" i="1"/>
  <c r="AA16" i="1"/>
  <c r="Y16" i="1"/>
  <c r="AA14" i="1"/>
  <c r="AA12" i="1"/>
  <c r="Y12" i="1"/>
  <c r="AA10" i="1"/>
  <c r="AA8" i="1"/>
  <c r="Y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T8" i="1" s="1"/>
  <c r="T28" i="1" s="1"/>
  <c r="T10" i="1"/>
  <c r="T12" i="1"/>
  <c r="T14" i="1"/>
  <c r="T16" i="1"/>
  <c r="T18" i="1"/>
  <c r="T20" i="1"/>
  <c r="T24" i="1"/>
  <c r="S24" i="1"/>
  <c r="S26" i="1"/>
  <c r="T26" i="1" s="1"/>
  <c r="S20" i="1"/>
  <c r="S18" i="1"/>
  <c r="O18" i="1"/>
  <c r="R18" i="1" s="1"/>
  <c r="M18" i="1"/>
  <c r="N18" i="1"/>
  <c r="P18" i="1" s="1"/>
  <c r="L18" i="1"/>
  <c r="X18" i="1" s="1"/>
  <c r="Q18" i="1"/>
  <c r="S22" i="1"/>
  <c r="T22" i="1" s="1"/>
  <c r="S16" i="1"/>
  <c r="S28" i="1" s="1"/>
  <c r="S12" i="1"/>
  <c r="L6" i="1"/>
  <c r="E15" i="4"/>
  <c r="J15" i="4"/>
  <c r="D18" i="4"/>
  <c r="M26" i="2"/>
  <c r="M24" i="2"/>
  <c r="M22" i="2"/>
  <c r="M20" i="2"/>
  <c r="M18" i="2"/>
  <c r="M16" i="2"/>
  <c r="M14" i="2"/>
  <c r="M12" i="2"/>
  <c r="M29" i="2" s="1"/>
  <c r="M10" i="2"/>
  <c r="M8" i="2"/>
  <c r="I15" i="4"/>
  <c r="F12" i="4"/>
  <c r="I12" i="4" s="1"/>
  <c r="H12" i="4"/>
  <c r="O26" i="2"/>
  <c r="O22" i="2"/>
  <c r="O18" i="2"/>
  <c r="O14" i="2"/>
  <c r="O10" i="2"/>
  <c r="O6" i="2"/>
  <c r="N26" i="2"/>
  <c r="N24" i="2"/>
  <c r="O24" i="2" s="1"/>
  <c r="N22" i="2"/>
  <c r="N20" i="2"/>
  <c r="O20" i="2" s="1"/>
  <c r="N18" i="2"/>
  <c r="N16" i="2"/>
  <c r="O16" i="2" s="1"/>
  <c r="N14" i="2"/>
  <c r="N12" i="2"/>
  <c r="O12" i="2" s="1"/>
  <c r="N10" i="2"/>
  <c r="N8" i="2"/>
  <c r="O8" i="2" s="1"/>
  <c r="N6" i="2"/>
  <c r="Y26" i="2"/>
  <c r="Y22" i="2"/>
  <c r="Y18" i="2"/>
  <c r="Y14" i="2"/>
  <c r="Y10" i="2"/>
  <c r="Q24" i="2"/>
  <c r="Y24" i="2" s="1"/>
  <c r="Q22" i="2"/>
  <c r="Q20" i="2"/>
  <c r="Y20" i="2" s="1"/>
  <c r="Q18" i="2"/>
  <c r="Q16" i="2"/>
  <c r="Y16" i="2" s="1"/>
  <c r="Q14" i="2"/>
  <c r="Q12" i="2"/>
  <c r="Y12" i="2" s="1"/>
  <c r="Q10" i="2"/>
  <c r="Q8" i="2"/>
  <c r="Y8" i="2" s="1"/>
  <c r="Q26" i="2"/>
  <c r="P22" i="2"/>
  <c r="P24" i="2"/>
  <c r="P26" i="2"/>
  <c r="V26" i="2" s="1"/>
  <c r="H5" i="4"/>
  <c r="R20" i="3"/>
  <c r="R24" i="3"/>
  <c r="X10" i="2"/>
  <c r="X12" i="2"/>
  <c r="X14" i="2"/>
  <c r="X26" i="2"/>
  <c r="X24" i="2"/>
  <c r="X22" i="2"/>
  <c r="X27" i="2"/>
  <c r="X18" i="2"/>
  <c r="T18" i="2"/>
  <c r="R18" i="2"/>
  <c r="U18" i="2" s="1"/>
  <c r="S18" i="2"/>
  <c r="P18" i="2"/>
  <c r="P6" i="2"/>
  <c r="X20" i="2"/>
  <c r="X16" i="2"/>
  <c r="X8" i="2"/>
  <c r="P8" i="2"/>
  <c r="P28" i="2" s="1"/>
  <c r="D5" i="4" s="1"/>
  <c r="R8" i="2"/>
  <c r="S8" i="2"/>
  <c r="T8" i="2"/>
  <c r="P10" i="2"/>
  <c r="R10" i="2"/>
  <c r="S10" i="2"/>
  <c r="T10" i="2"/>
  <c r="W10" i="2" s="1"/>
  <c r="P12" i="2"/>
  <c r="R12" i="2"/>
  <c r="S12" i="2"/>
  <c r="V12" i="2" s="1"/>
  <c r="T12" i="2"/>
  <c r="P14" i="2"/>
  <c r="R14" i="2"/>
  <c r="V14" i="2" s="1"/>
  <c r="S14" i="2"/>
  <c r="T14" i="2"/>
  <c r="W14" i="2" s="1"/>
  <c r="P16" i="2"/>
  <c r="V16" i="2" s="1"/>
  <c r="R16" i="2"/>
  <c r="S16" i="2"/>
  <c r="T16" i="2"/>
  <c r="P20" i="2"/>
  <c r="R20" i="2"/>
  <c r="S20" i="2"/>
  <c r="T20" i="2"/>
  <c r="W20" i="2" s="1"/>
  <c r="R22" i="2"/>
  <c r="S22" i="2"/>
  <c r="T22" i="2"/>
  <c r="R24" i="2"/>
  <c r="V24" i="2" s="1"/>
  <c r="S24" i="2"/>
  <c r="T24" i="2"/>
  <c r="W24" i="2" s="1"/>
  <c r="R26" i="2"/>
  <c r="S26" i="2"/>
  <c r="T26" i="2"/>
  <c r="U8" i="2"/>
  <c r="U10" i="2"/>
  <c r="U12" i="2"/>
  <c r="W12" i="2" s="1"/>
  <c r="U14" i="2"/>
  <c r="U16" i="2"/>
  <c r="U20" i="2"/>
  <c r="U22" i="2"/>
  <c r="U24" i="2"/>
  <c r="U26" i="2"/>
  <c r="T29" i="2"/>
  <c r="L22" i="1"/>
  <c r="X22" i="1" s="1"/>
  <c r="L24" i="1"/>
  <c r="M24" i="1"/>
  <c r="Q24" i="1" s="1"/>
  <c r="N24" i="1"/>
  <c r="O24" i="1"/>
  <c r="L26" i="1"/>
  <c r="M26" i="1"/>
  <c r="N26" i="1"/>
  <c r="O26" i="1"/>
  <c r="M10" i="1"/>
  <c r="N10" i="1"/>
  <c r="O10" i="1"/>
  <c r="Q10" i="1"/>
  <c r="M14" i="1"/>
  <c r="N14" i="1"/>
  <c r="O14" i="1"/>
  <c r="Q14" i="1"/>
  <c r="P26" i="1"/>
  <c r="P10" i="1"/>
  <c r="R10" i="1" s="1"/>
  <c r="P14" i="1"/>
  <c r="R14" i="1" s="1"/>
  <c r="M22" i="1"/>
  <c r="N22" i="1"/>
  <c r="Q22" i="1" s="1"/>
  <c r="O22" i="1"/>
  <c r="P22" i="1"/>
  <c r="M20" i="1"/>
  <c r="N20" i="1"/>
  <c r="P20" i="1" s="1"/>
  <c r="O20" i="1"/>
  <c r="Q20" i="1"/>
  <c r="M16" i="1"/>
  <c r="N16" i="1"/>
  <c r="P16" i="1" s="1"/>
  <c r="O16" i="1"/>
  <c r="R16" i="1" s="1"/>
  <c r="M12" i="1"/>
  <c r="P12" i="1" s="1"/>
  <c r="R12" i="1" s="1"/>
  <c r="N12" i="1"/>
  <c r="O12" i="1"/>
  <c r="M8" i="1"/>
  <c r="Q8" i="1" s="1"/>
  <c r="N8" i="1"/>
  <c r="O8" i="1"/>
  <c r="L14" i="1"/>
  <c r="L12" i="1"/>
  <c r="Q12" i="1" s="1"/>
  <c r="L20" i="1"/>
  <c r="L16" i="1"/>
  <c r="L10" i="1"/>
  <c r="X10" i="1" s="1"/>
  <c r="L8" i="1"/>
  <c r="X20" i="11" l="1"/>
  <c r="Y22" i="11"/>
  <c r="Y20" i="11"/>
  <c r="X10" i="7"/>
  <c r="U14" i="10"/>
  <c r="V14" i="10"/>
  <c r="Q8" i="10"/>
  <c r="AB8" i="10"/>
  <c r="T10" i="10"/>
  <c r="F12" i="10"/>
  <c r="O8" i="10"/>
  <c r="U8" i="10"/>
  <c r="Y20" i="10"/>
  <c r="V8" i="10"/>
  <c r="AB8" i="8"/>
  <c r="W8" i="8"/>
  <c r="O8" i="8"/>
  <c r="Q8" i="8"/>
  <c r="V8" i="8"/>
  <c r="X8" i="8" s="1"/>
  <c r="AA8" i="8"/>
  <c r="V12" i="7"/>
  <c r="V8" i="7"/>
  <c r="U8" i="7"/>
  <c r="X8" i="7" s="1"/>
  <c r="U12" i="7"/>
  <c r="S10" i="8"/>
  <c r="Q10" i="8"/>
  <c r="O10" i="8"/>
  <c r="E12" i="8"/>
  <c r="T10" i="8"/>
  <c r="U10" i="8"/>
  <c r="W10" i="7"/>
  <c r="Y22" i="7"/>
  <c r="AB10" i="7"/>
  <c r="AB8" i="7"/>
  <c r="F5" i="4"/>
  <c r="I5" i="4" s="1"/>
  <c r="E8" i="4"/>
  <c r="P8" i="1"/>
  <c r="X26" i="1"/>
  <c r="X16" i="1"/>
  <c r="R20" i="1"/>
  <c r="O29" i="1"/>
  <c r="W8" i="2"/>
  <c r="U29" i="2"/>
  <c r="X28" i="2"/>
  <c r="Y28" i="2" s="1"/>
  <c r="W18" i="2"/>
  <c r="R22" i="3"/>
  <c r="Q22" i="3"/>
  <c r="V22" i="3" s="1"/>
  <c r="X22" i="3" s="1"/>
  <c r="Z22" i="3" s="1"/>
  <c r="AC22" i="3" s="1"/>
  <c r="X20" i="3"/>
  <c r="V26" i="3"/>
  <c r="E12" i="7"/>
  <c r="Q10" i="7"/>
  <c r="O10" i="7"/>
  <c r="J12" i="4"/>
  <c r="K12" i="4"/>
  <c r="L12" i="4" s="1"/>
  <c r="X20" i="1"/>
  <c r="R22" i="1"/>
  <c r="Q26" i="1"/>
  <c r="AE24" i="1"/>
  <c r="W22" i="2"/>
  <c r="V8" i="2"/>
  <c r="L28" i="1"/>
  <c r="AE18" i="1" s="1"/>
  <c r="X8" i="1"/>
  <c r="X27" i="1" s="1"/>
  <c r="X28" i="1" s="1"/>
  <c r="X12" i="1"/>
  <c r="R26" i="1"/>
  <c r="W16" i="2"/>
  <c r="V20" i="2"/>
  <c r="X14" i="1"/>
  <c r="AE14" i="1"/>
  <c r="Q16" i="1"/>
  <c r="Q34" i="1" s="1"/>
  <c r="Q42" i="1" s="1"/>
  <c r="R8" i="1"/>
  <c r="P24" i="1"/>
  <c r="R24" i="1" s="1"/>
  <c r="W26" i="2"/>
  <c r="V22" i="2"/>
  <c r="V10" i="2"/>
  <c r="V18" i="2"/>
  <c r="H59" i="4"/>
  <c r="I59" i="4"/>
  <c r="K58" i="4"/>
  <c r="X24" i="1"/>
  <c r="AA20" i="3"/>
  <c r="AA26" i="3" s="1"/>
  <c r="AD27" i="1"/>
  <c r="Y27" i="1"/>
  <c r="AC26" i="1" s="1"/>
  <c r="Q8" i="7"/>
  <c r="AE22" i="1"/>
  <c r="X12" i="7" l="1"/>
  <c r="F14" i="10"/>
  <c r="F16" i="10" s="1"/>
  <c r="L18" i="10" s="1"/>
  <c r="X14" i="10"/>
  <c r="Y14" i="10"/>
  <c r="E12" i="10"/>
  <c r="U10" i="10"/>
  <c r="V10" i="10"/>
  <c r="AB10" i="10"/>
  <c r="U12" i="10"/>
  <c r="Q10" i="10"/>
  <c r="W10" i="10"/>
  <c r="O10" i="10"/>
  <c r="X8" i="10"/>
  <c r="Y8" i="10"/>
  <c r="Y12" i="7"/>
  <c r="Y8" i="7"/>
  <c r="T12" i="8"/>
  <c r="S12" i="8"/>
  <c r="AA12" i="8"/>
  <c r="V12" i="8"/>
  <c r="U12" i="8"/>
  <c r="Q12" i="8"/>
  <c r="O12" i="8"/>
  <c r="AB12" i="7"/>
  <c r="Y10" i="7"/>
  <c r="AC14" i="1"/>
  <c r="AE26" i="1"/>
  <c r="W36" i="2"/>
  <c r="W38" i="2" s="1"/>
  <c r="W40" i="2" s="1"/>
  <c r="Y28" i="1"/>
  <c r="Z12" i="1"/>
  <c r="AC20" i="1"/>
  <c r="AC18" i="1"/>
  <c r="Z22" i="1"/>
  <c r="Z8" i="1"/>
  <c r="AC12" i="1"/>
  <c r="AC16" i="1"/>
  <c r="Z24" i="1"/>
  <c r="AF24" i="1" s="1"/>
  <c r="AC8" i="1"/>
  <c r="AC10" i="1"/>
  <c r="AE12" i="1"/>
  <c r="Z16" i="1"/>
  <c r="K59" i="4"/>
  <c r="K61" i="4" s="1"/>
  <c r="K63" i="4" s="1"/>
  <c r="AC22" i="1"/>
  <c r="R36" i="1"/>
  <c r="R38" i="1" s="1"/>
  <c r="R40" i="1" s="1"/>
  <c r="V34" i="2"/>
  <c r="V42" i="2" s="1"/>
  <c r="E14" i="7"/>
  <c r="Q12" i="7"/>
  <c r="O12" i="7"/>
  <c r="X26" i="3"/>
  <c r="AF26" i="3" s="1"/>
  <c r="Z20" i="3"/>
  <c r="K5" i="4"/>
  <c r="L5" i="4" s="1"/>
  <c r="J5" i="4"/>
  <c r="Z18" i="1"/>
  <c r="AE8" i="1"/>
  <c r="AE20" i="1"/>
  <c r="Z26" i="1"/>
  <c r="AC24" i="1"/>
  <c r="AE16" i="1"/>
  <c r="Z20" i="1"/>
  <c r="P29" i="1"/>
  <c r="E14" i="10" l="1"/>
  <c r="E16" i="10" s="1"/>
  <c r="V14" i="7"/>
  <c r="X14" i="7" s="1"/>
  <c r="O12" i="10"/>
  <c r="Q12" i="10"/>
  <c r="V12" i="10"/>
  <c r="X12" i="10" s="1"/>
  <c r="AB12" i="10"/>
  <c r="T18" i="10"/>
  <c r="AB14" i="10"/>
  <c r="T14" i="10"/>
  <c r="O14" i="10"/>
  <c r="Q14" i="10"/>
  <c r="X10" i="10"/>
  <c r="Y10" i="10"/>
  <c r="K18" i="10"/>
  <c r="V16" i="10"/>
  <c r="Q16" i="10"/>
  <c r="U16" i="10"/>
  <c r="O16" i="10"/>
  <c r="AB16" i="10"/>
  <c r="W12" i="8"/>
  <c r="AB14" i="7"/>
  <c r="W14" i="7"/>
  <c r="H29" i="5"/>
  <c r="I29" i="5" s="1"/>
  <c r="AF20" i="1"/>
  <c r="H23" i="5"/>
  <c r="I23" i="5" s="1"/>
  <c r="Z28" i="1"/>
  <c r="AF8" i="1"/>
  <c r="AC20" i="3"/>
  <c r="Z26" i="3"/>
  <c r="H32" i="5"/>
  <c r="I32" i="5" s="1"/>
  <c r="AF26" i="1"/>
  <c r="H25" i="5"/>
  <c r="I25" i="5" s="1"/>
  <c r="AF12" i="1"/>
  <c r="AE27" i="1"/>
  <c r="E16" i="7"/>
  <c r="Q14" i="7"/>
  <c r="O14" i="7"/>
  <c r="AC27" i="1"/>
  <c r="H30" i="5"/>
  <c r="I30" i="5" s="1"/>
  <c r="AF22" i="1"/>
  <c r="H28" i="5"/>
  <c r="I28" i="5" s="1"/>
  <c r="AF18" i="1"/>
  <c r="H27" i="5"/>
  <c r="I27" i="5" s="1"/>
  <c r="AF16" i="1"/>
  <c r="Q24" i="10" l="1"/>
  <c r="T16" i="10"/>
  <c r="Z33" i="10"/>
  <c r="Z36" i="10" s="1"/>
  <c r="Z38" i="10" s="1"/>
  <c r="Y12" i="10"/>
  <c r="Z32" i="10"/>
  <c r="Z35" i="10" s="1"/>
  <c r="U18" i="10"/>
  <c r="V18" i="10"/>
  <c r="N18" i="10"/>
  <c r="N25" i="10" s="1"/>
  <c r="X16" i="10"/>
  <c r="Y16" i="10"/>
  <c r="T18" i="7"/>
  <c r="V16" i="7"/>
  <c r="U16" i="7"/>
  <c r="V16" i="8"/>
  <c r="K18" i="7"/>
  <c r="N18" i="7" s="1"/>
  <c r="N25" i="7" s="1"/>
  <c r="AB16" i="7"/>
  <c r="Z32" i="7" s="1"/>
  <c r="Z35" i="7" s="1"/>
  <c r="Y14" i="7"/>
  <c r="AF30" i="1"/>
  <c r="O16" i="7"/>
  <c r="Q16" i="7"/>
  <c r="AC26" i="3"/>
  <c r="AE26" i="3"/>
  <c r="I33" i="5"/>
  <c r="X16" i="7" l="1"/>
  <c r="Y18" i="10"/>
  <c r="Y30" i="10" s="1"/>
  <c r="Y40" i="10" s="1"/>
  <c r="X18" i="10"/>
  <c r="Z33" i="7"/>
  <c r="Y16" i="7"/>
  <c r="V18" i="7"/>
  <c r="U18" i="7"/>
  <c r="X18" i="7" s="1"/>
  <c r="Q15" i="8"/>
  <c r="Y23" i="8"/>
  <c r="Y26" i="8" s="1"/>
  <c r="AO27" i="3"/>
  <c r="AG26" i="3"/>
  <c r="AL23" i="3" s="1"/>
  <c r="AK23" i="3"/>
  <c r="AN27" i="3"/>
  <c r="Q24" i="7"/>
  <c r="Y18" i="7" l="1"/>
  <c r="Y30" i="7" s="1"/>
  <c r="Y40" i="7" s="1"/>
  <c r="Y24" i="8"/>
  <c r="Y27" i="8" s="1"/>
  <c r="Y29" i="8" s="1"/>
  <c r="N16" i="8"/>
  <c r="Z36" i="7"/>
  <c r="Z38" i="7" s="1"/>
  <c r="W16" i="8" l="1"/>
  <c r="X21" i="8"/>
  <c r="X31" i="8" s="1"/>
  <c r="E8" i="11"/>
  <c r="E10" i="11" l="1"/>
  <c r="AJ10" i="11"/>
  <c r="AJ12" i="11" l="1"/>
  <c r="E12" i="11"/>
  <c r="AJ14" i="11" l="1"/>
  <c r="E14" i="11"/>
  <c r="E16" i="11" l="1"/>
  <c r="AJ16" i="11"/>
  <c r="AJ18" i="11" l="1"/>
  <c r="K18" i="11"/>
  <c r="F8" i="11"/>
  <c r="AK10" i="11" s="1"/>
  <c r="AB8" i="11"/>
  <c r="Q8" i="11" l="1"/>
  <c r="O8" i="11"/>
  <c r="F10" i="11"/>
  <c r="O10" i="11" l="1"/>
  <c r="AK12" i="11"/>
  <c r="Q10" i="11"/>
  <c r="V10" i="11"/>
  <c r="F12" i="11"/>
  <c r="AB10" i="11"/>
  <c r="AA10" i="11"/>
  <c r="Y10" i="11" l="1"/>
  <c r="X10" i="11"/>
  <c r="AA12" i="11"/>
  <c r="U12" i="11"/>
  <c r="AB12" i="11"/>
  <c r="O12" i="11"/>
  <c r="V12" i="11"/>
  <c r="Q12" i="11"/>
  <c r="F14" i="11"/>
  <c r="AK14" i="11"/>
  <c r="AK16" i="11" l="1"/>
  <c r="AB14" i="11"/>
  <c r="V14" i="11"/>
  <c r="AA14" i="11"/>
  <c r="O14" i="11"/>
  <c r="Q14" i="11"/>
  <c r="F16" i="11"/>
  <c r="Y12" i="11"/>
  <c r="X12" i="11"/>
  <c r="O16" i="11" l="1"/>
  <c r="AK18" i="11"/>
  <c r="L18" i="11"/>
  <c r="T18" i="11"/>
  <c r="AA18" i="11"/>
  <c r="AA16" i="11"/>
  <c r="V16" i="11"/>
  <c r="AB16" i="11"/>
  <c r="Z32" i="11" s="1"/>
  <c r="Z35" i="11" s="1"/>
  <c r="Q16" i="11"/>
  <c r="Q24" i="11" s="1"/>
  <c r="U16" i="11"/>
  <c r="X14" i="11"/>
  <c r="Y14" i="11"/>
  <c r="Y16" i="11" l="1"/>
  <c r="X16" i="11"/>
  <c r="N18" i="11"/>
  <c r="V18" i="11"/>
  <c r="U18" i="11"/>
  <c r="X18" i="11" l="1"/>
  <c r="Y18" i="11"/>
  <c r="N25" i="11"/>
  <c r="N8" i="11"/>
  <c r="T8" i="11"/>
  <c r="Y42" i="11"/>
  <c r="M8" i="11"/>
  <c r="V8" i="11" s="1"/>
  <c r="U8" i="11"/>
  <c r="X8" i="11" s="1"/>
  <c r="Y8" i="11" l="1"/>
  <c r="Y30" i="11" s="1"/>
  <c r="Y40" i="11" s="1"/>
  <c r="AA8" i="11"/>
  <c r="Z33" i="11" s="1"/>
  <c r="Z36" i="11" s="1"/>
  <c r="Z3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Baker</author>
  </authors>
  <commentList>
    <comment ref="S2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Shared weights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o.csv" type="6" refreshedVersion="0" background="1" saveData="1">
    <textPr fileType="mac" sourceFile="Macintosh HD:Users:lbbaker:Desktop:foo.csv" comma="1">
      <textFields>
        <textField/>
      </textFields>
    </textPr>
  </connection>
  <connection id="2" xr16:uid="{00000000-0015-0000-FFFF-FFFF01000000}" name="foo.csv1" type="6" refreshedVersion="0" background="1" saveData="1">
    <textPr fileType="mac" sourceFile="Macintosh HD:Users:lbbaker:Desktop:foo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foo.csv2" type="6" refreshedVersion="0" background="1" saveData="1">
    <textPr fileType="mac" sourceFile="Macintosh HD:Users:lbbaker:Desktop:foo.csv" delimited="0" comma="1">
      <textFields count="8">
        <textField/>
        <textField position="14"/>
        <textField position="30"/>
        <textField position="31"/>
        <textField position="49"/>
        <textField position="50"/>
        <textField position="68"/>
        <textField position="69"/>
      </textFields>
    </textPr>
  </connection>
  <connection id="4" xr16:uid="{00000000-0015-0000-FFFF-FFFF03000000}" name="Untitled.rtf" type="6" refreshedVersion="0" background="1" saveData="1">
    <textPr fileType="mac" sourceFile="Macintosh HD:Users:lbbaker:Desktop:Untitled.rtf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<sst xmlns="http://schemas.openxmlformats.org/spreadsheetml/2006/main" count="466" uniqueCount="174">
  <si>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</si>
  <si>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</si>
  <si>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</si>
  <si>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</si>
  <si>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</si>
  <si>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</si>
  <si>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</si>
  <si>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</si>
  <si>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</si>
  <si>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</si>
  <si>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</si>
  <si>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</si>
  <si>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</si>
  <si>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</si>
  <si>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</si>
  <si>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</si>
  <si>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</si>
  <si>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</si>
  <si>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</si>
  <si>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</si>
  <si>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</si>
  <si>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</si>
  <si>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</si>
  <si>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</si>
  <si>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</si>
  <si>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</si>
  <si>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</si>
  <si>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</si>
  <si>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</si>
  <si>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</si>
  <si>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</si>
  <si>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</si>
  <si>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</si>
  <si>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</si>
  <si>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</si>
  <si>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</si>
  <si>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</si>
  <si>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</si>
  <si>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</si>
  <si>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</si>
  <si>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</si>
  <si>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</si>
  <si>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</si>
  <si>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</si>
  <si>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</si>
  <si>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</si>
  <si>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</si>
  <si>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</si>
  <si>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</si>
  <si>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</si>
  <si>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</si>
  <si>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</si>
  <si>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</si>
  <si>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</si>
  <si>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</si>
  <si>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</si>
  <si>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</si>
  <si>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</si>
  <si>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</si>
  <si>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</si>
  <si>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</si>
  <si>
    <t>% operations</t>
  </si>
  <si>
    <t>Test</t>
  </si>
  <si>
    <t>CONV-300</t>
  </si>
  <si>
    <t>CONV-1000</t>
  </si>
  <si>
    <t>FC-7</t>
  </si>
  <si>
    <t>CONV2</t>
  </si>
  <si>
    <t>CONV-294</t>
  </si>
  <si>
    <t>Expected Bandwidth</t>
  </si>
  <si>
    <t>CONV-500</t>
  </si>
  <si>
    <t>FC-350</t>
  </si>
  <si>
    <t>FC-500</t>
  </si>
  <si>
    <t>FC-1000</t>
  </si>
  <si>
    <t>cccds</t>
  </si>
  <si>
    <t>System 
bandwidth
(Tbps)</t>
  </si>
  <si>
    <t>Layer</t>
  </si>
  <si>
    <t>Total</t>
  </si>
  <si>
    <t>Equivalent
test</t>
  </si>
  <si>
    <t xml:space="preserve"> </t>
  </si>
  <si>
    <t>previous layer</t>
  </si>
  <si>
    <t>&gt;27.7</t>
  </si>
  <si>
    <t>CONV-2500</t>
  </si>
  <si>
    <t>`</t>
  </si>
  <si>
    <t>Percentage of 
instructions</t>
  </si>
  <si>
    <t>Expected
data
bandwidth</t>
  </si>
  <si>
    <t>SRAM</t>
  </si>
  <si>
    <t>Memory bandwidth</t>
  </si>
  <si>
    <t>Bits/Word</t>
  </si>
  <si>
    <t>Read</t>
  </si>
  <si>
    <t>Write</t>
  </si>
  <si>
    <t>Memory Accessed</t>
  </si>
  <si>
    <t>Sampling rate</t>
  </si>
  <si>
    <t>Pins</t>
  </si>
  <si>
    <t>AXI</t>
  </si>
  <si>
    <t>Number of Weights</t>
  </si>
  <si>
    <t>GDDR6 width</t>
  </si>
  <si>
    <t>GDDR6 freq</t>
  </si>
  <si>
    <t>GDDR6 capacity</t>
  </si>
  <si>
    <t>number of DDR6</t>
  </si>
  <si>
    <t>Channel width</t>
  </si>
  <si>
    <t>Channel bandwidth</t>
  </si>
  <si>
    <t>Channel capacity</t>
  </si>
  <si>
    <t>Number of DDR6 channels to meet capacity</t>
  </si>
  <si>
    <t>Number of DDR6 channels to meet bandwidth</t>
  </si>
  <si>
    <t>Required number of DDR6 channels</t>
  </si>
  <si>
    <t>Channels</t>
  </si>
  <si>
    <t>AXI Width</t>
  </si>
  <si>
    <t>Freq</t>
  </si>
  <si>
    <t>Capacity</t>
  </si>
  <si>
    <t># DDR6 per channel</t>
  </si>
  <si>
    <t>Channel Bandwidth</t>
  </si>
  <si>
    <t>DDR6 Channel</t>
  </si>
  <si>
    <t>Connectivity</t>
  </si>
  <si>
    <t>Processing Time (mS)</t>
  </si>
  <si>
    <t>Activation Stotage</t>
  </si>
  <si>
    <t>Number of cells</t>
  </si>
  <si>
    <t>Number of combinational cells</t>
  </si>
  <si>
    <t>Number of sequential cells</t>
  </si>
  <si>
    <t>Number of macros/black boxes</t>
  </si>
  <si>
    <t>Combinational area</t>
  </si>
  <si>
    <t>Buf/Inv area</t>
  </si>
  <si>
    <t>Noncombinational area</t>
  </si>
  <si>
    <t>Macro/Black Box area</t>
  </si>
  <si>
    <t>Total cell area</t>
  </si>
  <si>
    <t xml:space="preserve">              </t>
  </si>
  <si>
    <t xml:space="preserve">  Internal     </t>
  </si>
  <si>
    <t xml:space="preserve">    Switching     </t>
  </si>
  <si>
    <t xml:space="preserve">      Leakage     </t>
  </si>
  <si>
    <t xml:space="preserve">       Total     </t>
  </si>
  <si>
    <t xml:space="preserve">Power Group   </t>
  </si>
  <si>
    <t xml:space="preserve">   Power       </t>
  </si>
  <si>
    <t xml:space="preserve">     Power        </t>
  </si>
  <si>
    <t xml:space="preserve">       Power      </t>
  </si>
  <si>
    <t xml:space="preserve">        Power    </t>
  </si>
  <si>
    <t xml:space="preserve">io_pad        </t>
  </si>
  <si>
    <t xml:space="preserve">memory        </t>
  </si>
  <si>
    <t xml:space="preserve">black_box     </t>
  </si>
  <si>
    <t xml:space="preserve">clock_network </t>
  </si>
  <si>
    <t xml:space="preserve">register      </t>
  </si>
  <si>
    <t xml:space="preserve">sequential    </t>
  </si>
  <si>
    <t xml:space="preserve">combinational </t>
  </si>
  <si>
    <t xml:space="preserve">Total         </t>
  </si>
  <si>
    <t>Frames/sec</t>
  </si>
  <si>
    <t>AXI Frequency</t>
  </si>
  <si>
    <t>Amount of SRAM</t>
  </si>
  <si>
    <t>28nm</t>
  </si>
  <si>
    <t>PR</t>
  </si>
  <si>
    <t>Logic</t>
  </si>
  <si>
    <t>Memory</t>
  </si>
  <si>
    <t>Adjusted</t>
  </si>
  <si>
    <t>mW/mm/GHz</t>
  </si>
  <si>
    <t>Stride</t>
  </si>
  <si>
    <t>Number of Features</t>
  </si>
  <si>
    <t>Divides</t>
  </si>
  <si>
    <t>Total FLOP</t>
  </si>
  <si>
    <t>Kernel held in SRAM</t>
  </si>
  <si>
    <t>Kz</t>
  </si>
  <si>
    <t>Writes</t>
  </si>
  <si>
    <t>Float Writes</t>
  </si>
  <si>
    <t>total writes</t>
  </si>
  <si>
    <t>total  reads</t>
  </si>
  <si>
    <t>Frames/Sec</t>
  </si>
  <si>
    <t>Read Bandwidth</t>
  </si>
  <si>
    <t>binary16</t>
  </si>
  <si>
    <t>Formats</t>
  </si>
  <si>
    <t>binary32</t>
  </si>
  <si>
    <t>Bits per Number format</t>
  </si>
  <si>
    <t>ae</t>
  </si>
  <si>
    <t>Storage</t>
  </si>
  <si>
    <t>Xprev</t>
  </si>
  <si>
    <t>Yprev</t>
  </si>
  <si>
    <t>Zprev</t>
  </si>
  <si>
    <t>So vector of names work</t>
  </si>
  <si>
    <t>Numbers before names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</si>
</sst>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E+00"/>
    <numFmt numFmtId="166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9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shrinkToFit="1"/>
    </xf>
    <xf numFmtId="164" fontId="0" fillId="0" borderId="1" xfId="0" applyNumberFormat="1" applyBorder="1" applyAlignment="1">
      <alignment horizontal="center" shrinkToFit="1"/>
    </xf>
    <xf numFmtId="1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11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1" fontId="0" fillId="0" borderId="0" xfId="0" applyNumberFormat="1" applyBorder="1" applyAlignment="1">
      <alignment wrapText="1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11" fontId="0" fillId="0" borderId="5" xfId="0" applyNumberFormat="1" applyBorder="1" applyAlignment="1">
      <alignment wrapText="1"/>
    </xf>
    <xf numFmtId="11" fontId="0" fillId="0" borderId="3" xfId="0" applyNumberFormat="1" applyBorder="1" applyAlignment="1">
      <alignment wrapText="1"/>
    </xf>
    <xf numFmtId="11" fontId="0" fillId="0" borderId="6" xfId="0" applyNumberFormat="1" applyBorder="1" applyAlignment="1">
      <alignment wrapText="1"/>
    </xf>
    <xf numFmtId="11" fontId="0" fillId="0" borderId="9" xfId="0" applyNumberForma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shrinkToFi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Manager"/>
      <sheetName val="DRAM"/>
      <sheetName val="Summary"/>
    </sheetNames>
    <sheetDataSet>
      <sheetData sheetId="0"/>
      <sheetData sheetId="1"/>
      <sheetData sheetId="2"/>
      <sheetData sheetId="3">
        <row r="17">
          <cell r="A17" t="str">
            <v>CONV2</v>
          </cell>
          <cell r="B17">
            <v>0.65</v>
          </cell>
          <cell r="C17">
            <v>21.9648</v>
          </cell>
          <cell r="D17">
            <v>59.63776</v>
          </cell>
        </row>
        <row r="18">
          <cell r="A18" t="str">
            <v>CONV-294</v>
          </cell>
          <cell r="B18">
            <v>0.67</v>
          </cell>
          <cell r="C18">
            <v>22.640640000000001</v>
          </cell>
          <cell r="D18">
            <v>61.472768000000002</v>
          </cell>
        </row>
        <row r="19">
          <cell r="A19" t="str">
            <v>CONV-300</v>
          </cell>
          <cell r="B19">
            <v>0.73</v>
          </cell>
          <cell r="C19">
            <v>24.66816</v>
          </cell>
          <cell r="D19">
            <v>66.977791999999994</v>
          </cell>
        </row>
        <row r="20">
          <cell r="A20" t="str">
            <v>FC-350</v>
          </cell>
          <cell r="B20">
            <v>0.78</v>
          </cell>
          <cell r="C20">
            <v>26.357760000000003</v>
          </cell>
          <cell r="D20">
            <v>71.565312000000006</v>
          </cell>
        </row>
        <row r="21">
          <cell r="A21" t="str">
            <v>FC-500</v>
          </cell>
          <cell r="B21">
            <v>0.84</v>
          </cell>
          <cell r="C21">
            <v>28.385280000000002</v>
          </cell>
          <cell r="D21">
            <v>77.070335999999998</v>
          </cell>
        </row>
        <row r="22">
          <cell r="A22" t="str">
            <v>FC-7</v>
          </cell>
          <cell r="B22">
            <v>0.94</v>
          </cell>
          <cell r="C22">
            <v>31.764479999999999</v>
          </cell>
          <cell r="D22">
            <v>86.245375999999993</v>
          </cell>
        </row>
        <row r="23">
          <cell r="A23" t="str">
            <v>CONV-500</v>
          </cell>
          <cell r="B23">
            <v>0.82</v>
          </cell>
          <cell r="C23">
            <v>27.709440000000001</v>
          </cell>
          <cell r="D23">
            <v>75.235327999999996</v>
          </cell>
        </row>
        <row r="24">
          <cell r="A24" t="str">
            <v>CONV-1000</v>
          </cell>
          <cell r="B24">
            <v>0.89</v>
          </cell>
          <cell r="C24">
            <v>30.07488</v>
          </cell>
          <cell r="D24">
            <v>81.657855999999995</v>
          </cell>
        </row>
        <row r="25">
          <cell r="A25" t="str">
            <v>FC-1000</v>
          </cell>
          <cell r="B25">
            <v>0.91</v>
          </cell>
          <cell r="C25">
            <v>30.750720000000001</v>
          </cell>
          <cell r="D25">
            <v>83.492863999999997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" connectionId="1" xr16:uid="{00000000-0016-0000-0200-000002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_2" connectionId="2" xr16:uid="{00000000-0016-0000-02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_1" connectionId="3" xr16:uid="{00000000-0016-0000-0200-000000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" connectionId="4" xr16:uid="{00000000-0016-0000-0300-000003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42"/>
  <sheetViews>
    <sheetView topLeftCell="J23" workbookViewId="0">
      <selection activeCell="J29" sqref="J29"/>
    </sheetView>
  </sheetViews>
  <sheetFormatPr baseColWidth="10" defaultRowHeight="16" x14ac:dyDescent="0.2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 x14ac:dyDescent="0.2">
      <c r="O4" s="1">
        <v>32</v>
      </c>
      <c r="Q4" s="77" t="s">
        <v>9</v>
      </c>
      <c r="R4" s="78"/>
      <c r="S4" s="79"/>
      <c r="T4" s="80"/>
      <c r="U4" s="3"/>
    </row>
    <row r="5" spans="4:25" ht="32" x14ac:dyDescent="0.2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43</v>
      </c>
      <c r="N5" s="11" t="s">
        <v>6</v>
      </c>
      <c r="O5" s="11" t="s">
        <v>36</v>
      </c>
      <c r="P5" s="11" t="s">
        <v>37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 x14ac:dyDescent="0.2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 x14ac:dyDescent="0.2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 x14ac:dyDescent="0.2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 x14ac:dyDescent="0.2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 x14ac:dyDescent="0.2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 x14ac:dyDescent="0.2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 x14ac:dyDescent="0.2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 x14ac:dyDescent="0.2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 x14ac:dyDescent="0.2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 x14ac:dyDescent="0.2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 x14ac:dyDescent="0.2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 x14ac:dyDescent="0.2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 x14ac:dyDescent="0.2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 x14ac:dyDescent="0.2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 x14ac:dyDescent="0.2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 x14ac:dyDescent="0.2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 x14ac:dyDescent="0.2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 x14ac:dyDescent="0.2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 x14ac:dyDescent="0.2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 x14ac:dyDescent="0.2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 x14ac:dyDescent="0.2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 x14ac:dyDescent="0.2">
      <c r="V27" s="15"/>
      <c r="W27" s="15"/>
      <c r="X27" s="1">
        <f t="shared" si="0"/>
        <v>0</v>
      </c>
    </row>
    <row r="28" spans="4:25" x14ac:dyDescent="0.2">
      <c r="O28" s="23" t="s">
        <v>27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48" x14ac:dyDescent="0.2">
      <c r="L29" s="1" t="s">
        <v>44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 x14ac:dyDescent="0.2">
      <c r="V30" s="15"/>
      <c r="W30" s="15"/>
      <c r="X30" s="1" t="s">
        <v>22</v>
      </c>
    </row>
    <row r="31" spans="4:25" x14ac:dyDescent="0.2">
      <c r="V31" s="15"/>
      <c r="W31" s="15"/>
    </row>
    <row r="32" spans="4:25" x14ac:dyDescent="0.2">
      <c r="V32" s="15"/>
      <c r="W32" s="15"/>
    </row>
    <row r="33" spans="20:25" x14ac:dyDescent="0.2">
      <c r="V33" s="15"/>
      <c r="W33" s="15"/>
    </row>
    <row r="34" spans="20:25" ht="32" x14ac:dyDescent="0.2">
      <c r="T34" s="12" t="s">
        <v>24</v>
      </c>
      <c r="U34" s="13"/>
      <c r="V34" s="18">
        <f>SUM(V8:V26)</f>
        <v>2549793368</v>
      </c>
      <c r="W34" s="15"/>
    </row>
    <row r="35" spans="20:25" x14ac:dyDescent="0.2">
      <c r="V35" s="15"/>
      <c r="W35" s="15"/>
    </row>
    <row r="36" spans="20:25" x14ac:dyDescent="0.2">
      <c r="T36" s="1" t="s">
        <v>18</v>
      </c>
      <c r="V36" s="15"/>
      <c r="W36" s="15">
        <f>SUM(W8:W26)</f>
        <v>2550452640</v>
      </c>
    </row>
    <row r="37" spans="20:25" ht="32" x14ac:dyDescent="0.2">
      <c r="T37" s="1" t="s">
        <v>19</v>
      </c>
      <c r="U37" s="19">
        <v>10</v>
      </c>
      <c r="V37" s="15"/>
    </row>
    <row r="38" spans="20:25" ht="32" x14ac:dyDescent="0.2">
      <c r="T38" s="1" t="s">
        <v>20</v>
      </c>
      <c r="V38" s="15"/>
      <c r="W38" s="15">
        <f>W36*U37</f>
        <v>25504526400</v>
      </c>
    </row>
    <row r="39" spans="20:25" ht="32" x14ac:dyDescent="0.2">
      <c r="T39" s="1" t="s">
        <v>25</v>
      </c>
      <c r="U39" s="15">
        <v>1.6E-2</v>
      </c>
      <c r="V39" s="15"/>
    </row>
    <row r="40" spans="20:25" ht="48" x14ac:dyDescent="0.2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58</v>
      </c>
    </row>
    <row r="42" spans="20:25" ht="32" x14ac:dyDescent="0.2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AM42"/>
  <sheetViews>
    <sheetView topLeftCell="H1" workbookViewId="0">
      <selection activeCell="S24" sqref="S24"/>
    </sheetView>
  </sheetViews>
  <sheetFormatPr baseColWidth="10" defaultRowHeight="16" x14ac:dyDescent="0.2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5" width="10.83203125" style="1"/>
    <col min="26" max="26" width="10.83203125" style="33"/>
    <col min="27" max="28" width="10.83203125" style="1"/>
    <col min="29" max="29" width="11.83203125" style="28" bestFit="1" customWidth="1"/>
    <col min="30" max="30" width="10.83203125" style="1"/>
    <col min="31" max="31" width="11.83203125" style="1" bestFit="1" customWidth="1"/>
    <col min="32" max="32" width="11.83203125" style="22" customWidth="1"/>
    <col min="33" max="33" width="70.6640625" style="1" customWidth="1"/>
    <col min="34" max="16384" width="10.83203125" style="1"/>
  </cols>
  <sheetData>
    <row r="4" spans="4:39" x14ac:dyDescent="0.2">
      <c r="M4" s="81" t="s">
        <v>9</v>
      </c>
      <c r="N4" s="82"/>
      <c r="O4" s="83"/>
      <c r="P4" s="3"/>
      <c r="V4" s="1" t="s">
        <v>48</v>
      </c>
    </row>
    <row r="5" spans="4:39" ht="32" x14ac:dyDescent="0.2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51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60</v>
      </c>
      <c r="U5" s="1" t="s">
        <v>47</v>
      </c>
      <c r="V5" s="1">
        <v>4</v>
      </c>
      <c r="W5" s="1" t="s">
        <v>49</v>
      </c>
      <c r="Y5" s="1" t="s">
        <v>53</v>
      </c>
      <c r="Z5" s="33" t="s">
        <v>61</v>
      </c>
      <c r="AA5" s="1" t="s">
        <v>52</v>
      </c>
      <c r="AB5" s="1" t="s">
        <v>62</v>
      </c>
      <c r="AC5" s="28" t="s">
        <v>54</v>
      </c>
      <c r="AD5" s="1" t="s">
        <v>55</v>
      </c>
      <c r="AE5" s="1" t="s">
        <v>59</v>
      </c>
      <c r="AG5" s="31" t="s">
        <v>56</v>
      </c>
    </row>
    <row r="6" spans="4:39" x14ac:dyDescent="0.2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9" x14ac:dyDescent="0.2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9" x14ac:dyDescent="0.2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33">
        <f>Y8/$Y$27</f>
        <v>0.44046983449012278</v>
      </c>
      <c r="AA8" s="1">
        <f>I8*J8*G6</f>
        <v>363</v>
      </c>
      <c r="AB8" s="1" t="s">
        <v>63</v>
      </c>
      <c r="AC8" s="28">
        <f>Y8/$Y$27</f>
        <v>0.44046983449012278</v>
      </c>
      <c r="AD8" s="1">
        <f>VLOOKUP(AB8,[1]Summary!$A$17:$D$25,3,FALSE)</f>
        <v>24.66816</v>
      </c>
      <c r="AE8" s="33">
        <f>L8/$L$28</f>
        <v>0.37590091955927429</v>
      </c>
      <c r="AF8" s="22">
        <f>AD8*Z8</f>
        <v>10.865580352375867</v>
      </c>
    </row>
    <row r="9" spans="4:39" x14ac:dyDescent="0.2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9" x14ac:dyDescent="0.2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X10" s="15">
        <f>L10*W10</f>
        <v>279936</v>
      </c>
      <c r="Y10" s="1">
        <f>E10*F10*G10/32</f>
        <v>2187</v>
      </c>
      <c r="AA10" s="1">
        <f>I10*J10*G8</f>
        <v>384</v>
      </c>
      <c r="AB10" s="1" t="s">
        <v>63</v>
      </c>
      <c r="AC10" s="28">
        <f>Y10/$Y$27</f>
        <v>0.10614958986555356</v>
      </c>
      <c r="AD10" s="1">
        <f>VLOOKUP(AB10,[1]Summary!$A$17:$D$25,3,FALSE)</f>
        <v>24.66816</v>
      </c>
      <c r="AE10" s="33"/>
      <c r="AF10" s="22">
        <f>AD10*AE10</f>
        <v>0</v>
      </c>
    </row>
    <row r="11" spans="4:39" x14ac:dyDescent="0.2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9" x14ac:dyDescent="0.2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33">
        <f>Y12/$Y$27</f>
        <v>0.2830655729748095</v>
      </c>
      <c r="AA12" s="1">
        <f>I12*J12*G10</f>
        <v>2400</v>
      </c>
      <c r="AB12" s="1" t="s">
        <v>64</v>
      </c>
      <c r="AC12" s="28">
        <f>Y12/$Y$27</f>
        <v>0.2830655729748095</v>
      </c>
      <c r="AD12" s="1">
        <f>VLOOKUP(AB12,[1]Summary!$A$17:$D$25,3,FALSE)</f>
        <v>30.07488</v>
      </c>
      <c r="AE12" s="33">
        <f>L12/$L$28</f>
        <v>0.24157070665230718</v>
      </c>
      <c r="AF12" s="22">
        <f>AD12*Z12</f>
        <v>8.513163139348638</v>
      </c>
      <c r="AM12" s="1">
        <v>0</v>
      </c>
    </row>
    <row r="13" spans="4:39" x14ac:dyDescent="0.2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9" x14ac:dyDescent="0.2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X14" s="15">
        <f>L14*W14</f>
        <v>173056</v>
      </c>
      <c r="Y14" s="1">
        <f>E14*F14*G14/32</f>
        <v>1352</v>
      </c>
      <c r="AA14" s="1">
        <f>I14*J14*G12</f>
        <v>1024</v>
      </c>
      <c r="AB14" s="1" t="s">
        <v>64</v>
      </c>
      <c r="AC14" s="28">
        <f>Y14/$Y$27</f>
        <v>6.5621511430374216E-2</v>
      </c>
      <c r="AD14" s="1">
        <f>VLOOKUP(AB14,[1]Summary!$A$17:$D$25,3,FALSE)</f>
        <v>30.07488</v>
      </c>
      <c r="AE14" s="33">
        <f>L14/$L$28</f>
        <v>5.6001988236268743E-2</v>
      </c>
    </row>
    <row r="15" spans="4:39" x14ac:dyDescent="0.2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9" x14ac:dyDescent="0.2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33">
        <f>Y16/$Y$27</f>
        <v>9.8432267145561331E-2</v>
      </c>
      <c r="AA16" s="1">
        <f>I16*J16*G14</f>
        <v>2304</v>
      </c>
      <c r="AB16" s="1" t="s">
        <v>64</v>
      </c>
      <c r="AC16" s="28">
        <f>Y16/$Y$27</f>
        <v>9.8432267145561331E-2</v>
      </c>
      <c r="AD16" s="1">
        <f>VLOOKUP(AB16,[1]Summary!$A$17:$D$25,3,FALSE)</f>
        <v>30.07488</v>
      </c>
      <c r="AE16" s="33">
        <f>L16/$L$28</f>
        <v>8.4002982354403122E-2</v>
      </c>
      <c r="AF16" s="22">
        <f>AD16*Z16</f>
        <v>2.9603386225306996</v>
      </c>
    </row>
    <row r="17" spans="4:33" x14ac:dyDescent="0.2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3" x14ac:dyDescent="0.2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33">
        <f>Y18/$Y$27</f>
        <v>9.8432267145561331E-2</v>
      </c>
      <c r="AA18" s="1">
        <f>I18*J18*G16</f>
        <v>3456</v>
      </c>
      <c r="AB18" s="1" t="s">
        <v>64</v>
      </c>
      <c r="AC18" s="28">
        <f>Y18/$Y$27</f>
        <v>9.8432267145561331E-2</v>
      </c>
      <c r="AD18" s="1">
        <f>VLOOKUP(AB18,[1]Summary!$A$17:$D$25,3,FALSE)</f>
        <v>30.07488</v>
      </c>
      <c r="AE18" s="33">
        <f>L18/$L$28</f>
        <v>8.4002982354403122E-2</v>
      </c>
      <c r="AF18" s="22">
        <f>AD18*Z18</f>
        <v>2.9603386225306996</v>
      </c>
    </row>
    <row r="19" spans="4:33" x14ac:dyDescent="0.2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3" x14ac:dyDescent="0.2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33">
        <f>Y20/$Y$27</f>
        <v>6.5621511430374216E-2</v>
      </c>
      <c r="AA20" s="1">
        <f>I20*J20*G18</f>
        <v>3456</v>
      </c>
      <c r="AB20" s="1" t="s">
        <v>64</v>
      </c>
      <c r="AC20" s="28">
        <f>Y20/$Y$27</f>
        <v>6.5621511430374216E-2</v>
      </c>
      <c r="AD20" s="1">
        <f>VLOOKUP(AB20,[1]Summary!$A$17:$D$25,3,FALSE)</f>
        <v>30.07488</v>
      </c>
      <c r="AE20" s="33">
        <f>L20/$L$28</f>
        <v>5.6001988236268743E-2</v>
      </c>
      <c r="AF20" s="22">
        <f>AD20*Z20</f>
        <v>1.9735590816871329</v>
      </c>
    </row>
    <row r="21" spans="4:33" x14ac:dyDescent="0.2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3" x14ac:dyDescent="0.2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33">
        <f>Y22/$Y$27</f>
        <v>6.2126874726981512E-3</v>
      </c>
      <c r="AA22" s="1">
        <f>I22*J22*G20</f>
        <v>43264</v>
      </c>
      <c r="AB22" s="1" t="s">
        <v>65</v>
      </c>
      <c r="AC22" s="28">
        <f>Y22/$Y$27</f>
        <v>6.2126874726981512E-3</v>
      </c>
      <c r="AD22" s="1">
        <f>VLOOKUP(AB22,[1]Summary!$A$17:$D$25,3,FALSE)</f>
        <v>31.764479999999999</v>
      </c>
      <c r="AE22" s="33">
        <f>L22/$L$28</f>
        <v>5.3019633833153836E-3</v>
      </c>
      <c r="AF22" s="22">
        <f>AD22*Z22</f>
        <v>0.19734278697277097</v>
      </c>
    </row>
    <row r="23" spans="4:33" x14ac:dyDescent="0.2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3" x14ac:dyDescent="0.2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33">
        <f>Y24/$Y$27</f>
        <v>6.2126874726981512E-3</v>
      </c>
      <c r="AA24" s="1">
        <f>J24*G22</f>
        <v>4096</v>
      </c>
      <c r="AB24" s="1" t="s">
        <v>65</v>
      </c>
      <c r="AC24" s="28">
        <f>Y24/$Y$27</f>
        <v>6.2126874726981512E-3</v>
      </c>
      <c r="AD24" s="1">
        <f>VLOOKUP(AB24,[1]Summary!$A$17:$D$25,3,FALSE)</f>
        <v>31.764479999999999</v>
      </c>
      <c r="AE24" s="33">
        <f>L24/$L$28</f>
        <v>5.3019633833153836E-3</v>
      </c>
      <c r="AF24" s="22">
        <f>AD24*Z24</f>
        <v>0.19734278697277097</v>
      </c>
      <c r="AG24" s="30" t="s">
        <v>57</v>
      </c>
    </row>
    <row r="25" spans="4:33" x14ac:dyDescent="0.2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3" x14ac:dyDescent="0.2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33">
        <f>Y26/$Y$27</f>
        <v>1.5531718681745378E-3</v>
      </c>
      <c r="AA26" s="1">
        <f>J26*G24</f>
        <v>4096</v>
      </c>
      <c r="AB26" s="1" t="s">
        <v>65</v>
      </c>
      <c r="AC26" s="28">
        <f>Y26/$Y$27</f>
        <v>1.5531718681745378E-3</v>
      </c>
      <c r="AD26" s="1">
        <f>VLOOKUP(AB26,[1]Summary!$A$17:$D$25,3,FALSE)</f>
        <v>31.764479999999999</v>
      </c>
      <c r="AE26" s="33">
        <f>L26/$L$28</f>
        <v>1.3254908458288459E-3</v>
      </c>
      <c r="AF26" s="22">
        <f>AD26*Z26</f>
        <v>4.9335696743192742E-2</v>
      </c>
      <c r="AG26" s="30" t="s">
        <v>57</v>
      </c>
    </row>
    <row r="27" spans="4:33" x14ac:dyDescent="0.2">
      <c r="Q27" s="15"/>
      <c r="R27" s="15"/>
      <c r="S27" s="15"/>
      <c r="X27" s="15">
        <f>SUM(X8:X26)</f>
        <v>1275268000</v>
      </c>
      <c r="Y27" s="1">
        <f>Y8+Y12+Y16+Y18+Y20+Y22+Y24+Y26</f>
        <v>20603</v>
      </c>
      <c r="AC27" s="1">
        <f>SUM(AC8:AC26)</f>
        <v>1.1717711012959278</v>
      </c>
      <c r="AD27" s="29">
        <f>AVERAGE(AD8:AD26)</f>
        <v>29.500416000000001</v>
      </c>
      <c r="AE27" s="29">
        <f>AE8*AA8+AE12*AA12+AE16*AA16+AE18*AA18+AE20*AA20+AE22*AA22+AE24*AA24+AE26*AA26</f>
        <v>1650.1519758097922</v>
      </c>
      <c r="AF27" s="34"/>
    </row>
    <row r="28" spans="4:33" ht="32" x14ac:dyDescent="0.2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50</v>
      </c>
      <c r="X28" s="15">
        <f>X27/SUM(L8:L26)</f>
        <v>1650.7383398227155</v>
      </c>
      <c r="Y28" s="1">
        <f>Y27*32+L10+L14</f>
        <v>772544</v>
      </c>
      <c r="Z28" s="33">
        <f>SUM(Z8:Z26)</f>
        <v>0.99999999999999978</v>
      </c>
    </row>
    <row r="29" spans="4:33" x14ac:dyDescent="0.2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3" ht="32" x14ac:dyDescent="0.2">
      <c r="Q30" s="15"/>
      <c r="R30" s="15"/>
      <c r="S30" s="1" t="s">
        <v>22</v>
      </c>
      <c r="AE30" s="1" t="s">
        <v>68</v>
      </c>
      <c r="AF30" s="22">
        <f>SUM(AF8:AF26)</f>
        <v>27.717001089161773</v>
      </c>
    </row>
    <row r="31" spans="4:33" x14ac:dyDescent="0.2">
      <c r="Q31" s="15"/>
      <c r="R31" s="15"/>
    </row>
    <row r="32" spans="4:33" x14ac:dyDescent="0.2">
      <c r="Q32" s="15"/>
      <c r="R32" s="15"/>
      <c r="AA32" s="1" t="s">
        <v>66</v>
      </c>
    </row>
    <row r="33" spans="15:27" x14ac:dyDescent="0.2">
      <c r="Q33" s="15"/>
      <c r="R33" s="15"/>
      <c r="AA33" s="1" t="s">
        <v>67</v>
      </c>
    </row>
    <row r="34" spans="15:27" ht="32" x14ac:dyDescent="0.2">
      <c r="O34" s="12" t="s">
        <v>24</v>
      </c>
      <c r="P34" s="13"/>
      <c r="Q34" s="18">
        <f>SUM(Q8:Q26)</f>
        <v>174156652128</v>
      </c>
      <c r="R34" s="15"/>
    </row>
    <row r="35" spans="15:27" x14ac:dyDescent="0.2">
      <c r="Q35" s="15"/>
      <c r="R35" s="15"/>
    </row>
    <row r="36" spans="15:27" x14ac:dyDescent="0.2">
      <c r="O36" s="1" t="s">
        <v>18</v>
      </c>
      <c r="Q36" s="15"/>
      <c r="R36" s="15">
        <f>SUM(R8:R26)</f>
        <v>174157311424</v>
      </c>
    </row>
    <row r="37" spans="15:27" ht="32" x14ac:dyDescent="0.2">
      <c r="O37" s="1" t="s">
        <v>19</v>
      </c>
      <c r="P37" s="19">
        <v>8</v>
      </c>
      <c r="Q37" s="15"/>
    </row>
    <row r="38" spans="15:27" ht="32" x14ac:dyDescent="0.2">
      <c r="O38" s="1" t="s">
        <v>20</v>
      </c>
      <c r="Q38" s="15"/>
      <c r="R38" s="15">
        <f>R36*P37</f>
        <v>1393258491392</v>
      </c>
    </row>
    <row r="39" spans="15:27" ht="32" x14ac:dyDescent="0.2">
      <c r="O39" s="1" t="s">
        <v>25</v>
      </c>
      <c r="P39" s="15">
        <v>0.01</v>
      </c>
      <c r="Q39" s="15"/>
    </row>
    <row r="40" spans="15:27" x14ac:dyDescent="0.2">
      <c r="O40" s="1" t="s">
        <v>21</v>
      </c>
      <c r="Q40" s="15"/>
      <c r="R40" s="15">
        <f>R38*32/P39</f>
        <v>4458427172454400</v>
      </c>
    </row>
    <row r="42" spans="15:27" ht="32" x14ac:dyDescent="0.2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63"/>
  <sheetViews>
    <sheetView workbookViewId="0">
      <selection activeCell="F5" sqref="F5"/>
    </sheetView>
  </sheetViews>
  <sheetFormatPr baseColWidth="10" defaultRowHeight="16" x14ac:dyDescent="0.2"/>
  <cols>
    <col min="4" max="4" width="10.33203125" bestFit="1" customWidth="1"/>
    <col min="5" max="5" width="10.6640625" bestFit="1" customWidth="1"/>
    <col min="6" max="6" width="9.33203125" bestFit="1" customWidth="1"/>
    <col min="7" max="7" width="36" bestFit="1" customWidth="1"/>
    <col min="8" max="8" width="12.6640625" bestFit="1" customWidth="1"/>
    <col min="9" max="9" width="13.1640625" bestFit="1" customWidth="1"/>
    <col min="10" max="10" width="14.1640625" bestFit="1" customWidth="1"/>
    <col min="11" max="11" width="12.1640625" bestFit="1" customWidth="1"/>
    <col min="12" max="12" width="9.1640625" bestFit="1" customWidth="1"/>
    <col min="13" max="13" width="1.6640625" customWidth="1"/>
    <col min="14" max="14" width="12.6640625" bestFit="1" customWidth="1"/>
  </cols>
  <sheetData>
    <row r="3" spans="4:12" x14ac:dyDescent="0.2">
      <c r="H3">
        <v>0.1</v>
      </c>
      <c r="I3" s="25">
        <v>0.25</v>
      </c>
      <c r="J3">
        <v>32</v>
      </c>
    </row>
    <row r="4" spans="4:12" x14ac:dyDescent="0.2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35</v>
      </c>
      <c r="K4" t="s">
        <v>34</v>
      </c>
    </row>
    <row r="5" spans="4:12" x14ac:dyDescent="0.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80" x14ac:dyDescent="0.2">
      <c r="D7" s="1" t="s">
        <v>38</v>
      </c>
      <c r="E7" t="s">
        <v>39</v>
      </c>
    </row>
    <row r="8" spans="4:12" x14ac:dyDescent="0.2">
      <c r="D8">
        <v>1500</v>
      </c>
      <c r="E8">
        <f>D5*D8/1000000</f>
        <v>1158.78</v>
      </c>
    </row>
    <row r="10" spans="4:12" x14ac:dyDescent="0.2">
      <c r="H10">
        <v>0.1</v>
      </c>
      <c r="I10" s="25">
        <v>0.25</v>
      </c>
      <c r="J10">
        <v>32</v>
      </c>
    </row>
    <row r="11" spans="4:12" x14ac:dyDescent="0.2"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35</v>
      </c>
      <c r="K11" t="s">
        <v>34</v>
      </c>
    </row>
    <row r="12" spans="4:12" x14ac:dyDescent="0.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80" x14ac:dyDescent="0.2">
      <c r="D14" s="1" t="s">
        <v>38</v>
      </c>
      <c r="E14" s="1" t="s">
        <v>39</v>
      </c>
      <c r="F14" s="1" t="s">
        <v>40</v>
      </c>
      <c r="G14" s="1" t="s">
        <v>41</v>
      </c>
      <c r="H14" s="1" t="s">
        <v>42</v>
      </c>
      <c r="I14" s="1" t="s">
        <v>21</v>
      </c>
      <c r="J14" s="1" t="s">
        <v>46</v>
      </c>
    </row>
    <row r="15" spans="4:12" x14ac:dyDescent="0.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11" x14ac:dyDescent="0.2">
      <c r="D17" t="s">
        <v>45</v>
      </c>
    </row>
    <row r="18" spans="4:11" x14ac:dyDescent="0.2">
      <c r="D18">
        <f>1024*1024</f>
        <v>1048576</v>
      </c>
      <c r="E18">
        <v>5</v>
      </c>
    </row>
    <row r="19" spans="4:11" x14ac:dyDescent="0.2">
      <c r="I19">
        <v>2.5</v>
      </c>
      <c r="J19" s="25">
        <v>0.8</v>
      </c>
    </row>
    <row r="20" spans="4:11" x14ac:dyDescent="0.2">
      <c r="I20" t="s">
        <v>145</v>
      </c>
      <c r="J20" t="s">
        <v>146</v>
      </c>
    </row>
    <row r="21" spans="4:11" x14ac:dyDescent="0.2">
      <c r="G21" s="59" t="s">
        <v>115</v>
      </c>
      <c r="H21" s="60">
        <v>892784</v>
      </c>
      <c r="I21" s="47">
        <f>H21/$I$19</f>
        <v>357113.59999999998</v>
      </c>
      <c r="J21">
        <f t="shared" ref="J21:J28" si="0">I21/$J$19</f>
        <v>446391.99999999994</v>
      </c>
      <c r="K21" s="68">
        <f>J21/1000000</f>
        <v>0.44639199999999996</v>
      </c>
    </row>
    <row r="22" spans="4:11" x14ac:dyDescent="0.2">
      <c r="G22" s="59" t="s">
        <v>116</v>
      </c>
      <c r="H22" s="60">
        <v>689916</v>
      </c>
      <c r="I22" s="47">
        <f t="shared" ref="I22:I29" si="1">H22/$I$19</f>
        <v>275966.40000000002</v>
      </c>
      <c r="J22">
        <f t="shared" si="0"/>
        <v>344958</v>
      </c>
      <c r="K22" s="68">
        <f t="shared" ref="K22:K29" si="2">J22/1000000</f>
        <v>0.34495799999999999</v>
      </c>
    </row>
    <row r="23" spans="4:11" x14ac:dyDescent="0.2">
      <c r="G23" s="59" t="s">
        <v>117</v>
      </c>
      <c r="H23" s="60">
        <v>201083</v>
      </c>
      <c r="I23" s="47">
        <f t="shared" si="1"/>
        <v>80433.2</v>
      </c>
      <c r="J23">
        <f t="shared" si="0"/>
        <v>100541.49999999999</v>
      </c>
      <c r="K23" s="68">
        <f t="shared" si="2"/>
        <v>0.10054149999999999</v>
      </c>
    </row>
    <row r="24" spans="4:11" x14ac:dyDescent="0.2">
      <c r="G24" s="59" t="s">
        <v>118</v>
      </c>
      <c r="H24" s="60">
        <v>101</v>
      </c>
      <c r="I24" s="47">
        <f t="shared" si="1"/>
        <v>40.4</v>
      </c>
      <c r="J24">
        <f t="shared" si="0"/>
        <v>50.499999999999993</v>
      </c>
      <c r="K24" s="68">
        <f t="shared" si="2"/>
        <v>5.0499999999999994E-5</v>
      </c>
    </row>
    <row r="25" spans="4:11" x14ac:dyDescent="0.2">
      <c r="G25" s="59" t="s">
        <v>119</v>
      </c>
      <c r="H25" s="60">
        <v>1811914</v>
      </c>
      <c r="I25" s="47">
        <f t="shared" si="1"/>
        <v>724765.6</v>
      </c>
      <c r="J25">
        <f t="shared" si="0"/>
        <v>905956.99999999988</v>
      </c>
      <c r="K25" s="68">
        <f t="shared" si="2"/>
        <v>0.9059569999999999</v>
      </c>
    </row>
    <row r="26" spans="4:11" x14ac:dyDescent="0.2">
      <c r="G26" s="59" t="s">
        <v>120</v>
      </c>
      <c r="H26" s="60">
        <v>140912</v>
      </c>
      <c r="I26" s="47">
        <f t="shared" si="1"/>
        <v>56364.800000000003</v>
      </c>
      <c r="J26">
        <f t="shared" si="0"/>
        <v>70456</v>
      </c>
      <c r="K26" s="68">
        <f t="shared" si="2"/>
        <v>7.0456000000000005E-2</v>
      </c>
    </row>
    <row r="27" spans="4:11" x14ac:dyDescent="0.2">
      <c r="G27" s="59" t="s">
        <v>121</v>
      </c>
      <c r="H27" s="60">
        <v>1562889</v>
      </c>
      <c r="I27" s="47">
        <f t="shared" si="1"/>
        <v>625155.6</v>
      </c>
      <c r="J27">
        <f t="shared" si="0"/>
        <v>781444.49999999988</v>
      </c>
      <c r="K27" s="68">
        <f t="shared" si="2"/>
        <v>0.78144449999999988</v>
      </c>
    </row>
    <row r="28" spans="4:11" x14ac:dyDescent="0.2">
      <c r="G28" s="59" t="s">
        <v>122</v>
      </c>
      <c r="H28" s="60">
        <v>2796538</v>
      </c>
      <c r="I28" s="47">
        <f t="shared" si="1"/>
        <v>1118615.2</v>
      </c>
      <c r="J28">
        <f t="shared" si="0"/>
        <v>1398268.9999999998</v>
      </c>
      <c r="K28" s="68">
        <f t="shared" si="2"/>
        <v>1.3982689999999998</v>
      </c>
    </row>
    <row r="29" spans="4:11" x14ac:dyDescent="0.2">
      <c r="G29" s="59" t="s">
        <v>123</v>
      </c>
      <c r="H29" s="60">
        <v>6171342</v>
      </c>
      <c r="I29" s="47">
        <f t="shared" si="1"/>
        <v>2468536.7999999998</v>
      </c>
      <c r="J29">
        <f>I29/$J$19</f>
        <v>3085670.9999999995</v>
      </c>
      <c r="K29" s="68">
        <f t="shared" si="2"/>
        <v>3.0856709999999996</v>
      </c>
    </row>
    <row r="31" spans="4:11" x14ac:dyDescent="0.2">
      <c r="J31" t="s">
        <v>147</v>
      </c>
      <c r="K31" s="68">
        <f>K29-K32</f>
        <v>1.6874019999999998</v>
      </c>
    </row>
    <row r="32" spans="4:11" x14ac:dyDescent="0.2">
      <c r="J32" t="s">
        <v>148</v>
      </c>
      <c r="K32" s="68">
        <f>K28</f>
        <v>1.3982689999999998</v>
      </c>
    </row>
    <row r="33" spans="7:11" x14ac:dyDescent="0.2">
      <c r="G33">
        <v>100</v>
      </c>
    </row>
    <row r="34" spans="7:11" x14ac:dyDescent="0.2">
      <c r="G34" t="s">
        <v>124</v>
      </c>
      <c r="H34" t="s">
        <v>125</v>
      </c>
      <c r="I34" t="s">
        <v>126</v>
      </c>
      <c r="J34" t="s">
        <v>127</v>
      </c>
      <c r="K34" t="s">
        <v>128</v>
      </c>
    </row>
    <row r="35" spans="7:11" x14ac:dyDescent="0.2">
      <c r="G35" t="s">
        <v>129</v>
      </c>
      <c r="H35" t="s">
        <v>130</v>
      </c>
      <c r="I35" t="s">
        <v>131</v>
      </c>
      <c r="J35" t="s">
        <v>132</v>
      </c>
      <c r="K35" t="s">
        <v>133</v>
      </c>
    </row>
    <row r="36" spans="7:11" x14ac:dyDescent="0.2">
      <c r="G36" t="s">
        <v>134</v>
      </c>
      <c r="H36">
        <v>0</v>
      </c>
      <c r="I36">
        <v>0</v>
      </c>
      <c r="J36">
        <v>0</v>
      </c>
      <c r="K36">
        <v>0</v>
      </c>
    </row>
    <row r="37" spans="7:11" x14ac:dyDescent="0.2">
      <c r="G37" t="s">
        <v>135</v>
      </c>
      <c r="H37">
        <v>88.496600000000001</v>
      </c>
      <c r="I37">
        <v>0.18</v>
      </c>
      <c r="J37" s="27">
        <v>74447</v>
      </c>
      <c r="K37">
        <v>88.751000000000005</v>
      </c>
    </row>
    <row r="38" spans="7:11" x14ac:dyDescent="0.2">
      <c r="G38" t="s">
        <v>136</v>
      </c>
      <c r="H38">
        <v>0</v>
      </c>
      <c r="I38" s="27">
        <v>2.4610000000000001E-3</v>
      </c>
      <c r="J38">
        <v>0</v>
      </c>
      <c r="K38" s="27">
        <v>2.4610000000000001E-3</v>
      </c>
    </row>
    <row r="39" spans="7:11" x14ac:dyDescent="0.2">
      <c r="G39" t="s">
        <v>137</v>
      </c>
      <c r="H39" s="27">
        <v>1.9258999999999999E-3</v>
      </c>
      <c r="I39" s="27">
        <v>4.4684E-3</v>
      </c>
      <c r="J39">
        <v>20.669899999999998</v>
      </c>
      <c r="K39" s="27">
        <v>6.4149999999999997E-3</v>
      </c>
    </row>
    <row r="40" spans="7:11" x14ac:dyDescent="0.2">
      <c r="G40" t="s">
        <v>138</v>
      </c>
      <c r="H40">
        <v>159.5924</v>
      </c>
      <c r="I40">
        <v>0.34970000000000001</v>
      </c>
      <c r="J40" s="27">
        <v>33237</v>
      </c>
      <c r="K40">
        <v>159.97409999999999</v>
      </c>
    </row>
    <row r="41" spans="7:11" x14ac:dyDescent="0.2">
      <c r="G41" t="s">
        <v>139</v>
      </c>
      <c r="H41" s="27">
        <v>2.9445999999999999E-5</v>
      </c>
      <c r="I41" s="27">
        <v>9.6167000000000006E-6</v>
      </c>
      <c r="J41">
        <v>0.56030000000000002</v>
      </c>
      <c r="K41" s="27">
        <v>3.9623000000000003E-5</v>
      </c>
    </row>
    <row r="42" spans="7:11" x14ac:dyDescent="0.2">
      <c r="G42" t="s">
        <v>140</v>
      </c>
      <c r="H42">
        <v>0.2049</v>
      </c>
      <c r="I42">
        <v>0.80449999999999999</v>
      </c>
      <c r="J42" s="27">
        <v>37569</v>
      </c>
      <c r="K42">
        <v>1.0466</v>
      </c>
    </row>
    <row r="43" spans="7:11" x14ac:dyDescent="0.2">
      <c r="G43" t="s">
        <v>141</v>
      </c>
      <c r="H43">
        <v>248.29580000000001</v>
      </c>
      <c r="I43">
        <v>1.3411999999999999</v>
      </c>
      <c r="J43" s="27">
        <v>0.14527000000000001</v>
      </c>
      <c r="K43">
        <v>249.78059999999999</v>
      </c>
    </row>
    <row r="45" spans="7:11" x14ac:dyDescent="0.2">
      <c r="G45">
        <v>500</v>
      </c>
    </row>
    <row r="46" spans="7:11" x14ac:dyDescent="0.2">
      <c r="G46" t="str">
        <f>G34</f>
        <v xml:space="preserve">              </v>
      </c>
      <c r="H46" t="str">
        <f t="shared" ref="H46:K46" si="3">H34</f>
        <v xml:space="preserve">  Internal     </v>
      </c>
      <c r="I46" t="str">
        <f t="shared" si="3"/>
        <v xml:space="preserve">    Switching     </v>
      </c>
      <c r="J46" t="str">
        <f t="shared" si="3"/>
        <v xml:space="preserve">      Leakage     </v>
      </c>
      <c r="K46" t="str">
        <f t="shared" si="3"/>
        <v xml:space="preserve">       Total     </v>
      </c>
    </row>
    <row r="47" spans="7:11" x14ac:dyDescent="0.2">
      <c r="G47" t="str">
        <f t="shared" ref="G47:K54" si="4">G35</f>
        <v xml:space="preserve">Power Group   </v>
      </c>
      <c r="H47" t="str">
        <f t="shared" si="4"/>
        <v xml:space="preserve">   Power       </v>
      </c>
      <c r="I47" t="str">
        <f t="shared" si="4"/>
        <v xml:space="preserve">     Power        </v>
      </c>
      <c r="J47" t="str">
        <f t="shared" si="4"/>
        <v xml:space="preserve">       Power      </v>
      </c>
      <c r="K47" t="str">
        <f t="shared" si="4"/>
        <v xml:space="preserve">        Power    </v>
      </c>
    </row>
    <row r="48" spans="7:11" x14ac:dyDescent="0.2">
      <c r="G48" t="str">
        <f t="shared" si="4"/>
        <v xml:space="preserve">io_pad        </v>
      </c>
      <c r="H48">
        <f t="shared" ref="H48:K48" si="5">H36*$G$45/$G$33</f>
        <v>0</v>
      </c>
      <c r="I48">
        <f t="shared" si="5"/>
        <v>0</v>
      </c>
      <c r="J48">
        <f t="shared" si="5"/>
        <v>0</v>
      </c>
      <c r="K48">
        <f t="shared" si="5"/>
        <v>0</v>
      </c>
    </row>
    <row r="49" spans="7:11" x14ac:dyDescent="0.2">
      <c r="G49" t="str">
        <f t="shared" si="4"/>
        <v xml:space="preserve">memory        </v>
      </c>
      <c r="H49">
        <f t="shared" ref="H49:K49" si="6">H37*$G$45/$G$33</f>
        <v>442.483</v>
      </c>
      <c r="I49">
        <f t="shared" si="6"/>
        <v>0.9</v>
      </c>
      <c r="J49">
        <f t="shared" si="6"/>
        <v>372235</v>
      </c>
      <c r="K49">
        <f t="shared" si="6"/>
        <v>443.755</v>
      </c>
    </row>
    <row r="50" spans="7:11" x14ac:dyDescent="0.2">
      <c r="G50" t="str">
        <f t="shared" si="4"/>
        <v xml:space="preserve">black_box     </v>
      </c>
      <c r="H50">
        <f t="shared" ref="H50:K50" si="7">H38*$G$45/$G$33</f>
        <v>0</v>
      </c>
      <c r="I50">
        <f t="shared" si="7"/>
        <v>1.2305000000000002E-2</v>
      </c>
      <c r="J50">
        <f t="shared" si="7"/>
        <v>0</v>
      </c>
      <c r="K50">
        <f t="shared" si="7"/>
        <v>1.2305000000000002E-2</v>
      </c>
    </row>
    <row r="51" spans="7:11" x14ac:dyDescent="0.2">
      <c r="G51" t="str">
        <f t="shared" si="4"/>
        <v xml:space="preserve">clock_network </v>
      </c>
      <c r="H51">
        <f t="shared" ref="H51:K51" si="8">H39*$G$45/$G$33</f>
        <v>9.6294999999999992E-3</v>
      </c>
      <c r="I51">
        <f t="shared" si="8"/>
        <v>2.2342000000000001E-2</v>
      </c>
      <c r="J51">
        <f t="shared" si="8"/>
        <v>103.34949999999999</v>
      </c>
      <c r="K51">
        <f t="shared" si="8"/>
        <v>3.2074999999999999E-2</v>
      </c>
    </row>
    <row r="52" spans="7:11" x14ac:dyDescent="0.2">
      <c r="G52" t="str">
        <f t="shared" si="4"/>
        <v xml:space="preserve">register      </v>
      </c>
      <c r="H52">
        <f t="shared" ref="H52:K52" si="9">H40*$G$45/$G$33</f>
        <v>797.96199999999999</v>
      </c>
      <c r="I52">
        <f t="shared" si="9"/>
        <v>1.7484999999999999</v>
      </c>
      <c r="J52">
        <f t="shared" si="9"/>
        <v>166185</v>
      </c>
      <c r="K52">
        <f t="shared" si="9"/>
        <v>799.87049999999999</v>
      </c>
    </row>
    <row r="53" spans="7:11" x14ac:dyDescent="0.2">
      <c r="G53" t="str">
        <f t="shared" si="4"/>
        <v xml:space="preserve">sequential    </v>
      </c>
      <c r="H53">
        <f t="shared" ref="H53:K53" si="10">H41*$G$45/$G$33</f>
        <v>1.4723000000000001E-4</v>
      </c>
      <c r="I53">
        <f t="shared" si="10"/>
        <v>4.8083500000000001E-5</v>
      </c>
      <c r="J53">
        <f t="shared" si="10"/>
        <v>2.8015000000000003</v>
      </c>
      <c r="K53">
        <f t="shared" si="10"/>
        <v>1.9811500000000004E-4</v>
      </c>
    </row>
    <row r="54" spans="7:11" x14ac:dyDescent="0.2">
      <c r="G54" t="str">
        <f t="shared" si="4"/>
        <v xml:space="preserve">combinational </v>
      </c>
      <c r="H54">
        <f t="shared" ref="H54:K55" si="11">H42*$G$45/$G$33</f>
        <v>1.0245</v>
      </c>
      <c r="I54">
        <f t="shared" si="11"/>
        <v>4.0225</v>
      </c>
      <c r="J54">
        <f t="shared" si="11"/>
        <v>187845</v>
      </c>
      <c r="K54">
        <f t="shared" si="11"/>
        <v>5.2329999999999997</v>
      </c>
    </row>
    <row r="55" spans="7:11" x14ac:dyDescent="0.2">
      <c r="H55">
        <f t="shared" si="11"/>
        <v>1241.479</v>
      </c>
      <c r="I55">
        <f t="shared" si="11"/>
        <v>6.7060000000000004</v>
      </c>
      <c r="J55">
        <f t="shared" si="11"/>
        <v>0.72635000000000005</v>
      </c>
      <c r="K55">
        <f t="shared" si="11"/>
        <v>1248.903</v>
      </c>
    </row>
    <row r="58" spans="7:11" x14ac:dyDescent="0.2">
      <c r="H58">
        <f>H55</f>
        <v>1241.479</v>
      </c>
      <c r="I58">
        <f>I55</f>
        <v>6.7060000000000004</v>
      </c>
      <c r="J58">
        <f>J55</f>
        <v>0.72635000000000005</v>
      </c>
      <c r="K58">
        <f>SUM(H58:J58)</f>
        <v>1248.9113499999999</v>
      </c>
    </row>
    <row r="59" spans="7:11" x14ac:dyDescent="0.2">
      <c r="G59" t="s">
        <v>149</v>
      </c>
      <c r="H59">
        <f>H58</f>
        <v>1241.479</v>
      </c>
      <c r="I59">
        <f>H58</f>
        <v>1241.479</v>
      </c>
      <c r="J59">
        <f>J58</f>
        <v>0.72635000000000005</v>
      </c>
      <c r="K59">
        <f>SUM(H59:J59)</f>
        <v>2483.68435</v>
      </c>
    </row>
    <row r="61" spans="7:11" x14ac:dyDescent="0.2">
      <c r="I61">
        <v>2</v>
      </c>
      <c r="J61" t="s">
        <v>145</v>
      </c>
      <c r="K61">
        <f>K59/I61</f>
        <v>1241.842175</v>
      </c>
    </row>
    <row r="63" spans="7:11" x14ac:dyDescent="0.2">
      <c r="J63" t="s">
        <v>150</v>
      </c>
      <c r="K63">
        <f>(K61/K29)*1000/G45</f>
        <v>804.90899710306132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8:R33"/>
  <sheetViews>
    <sheetView showGridLines="0" workbookViewId="0">
      <selection activeCell="F13" sqref="F13"/>
    </sheetView>
  </sheetViews>
  <sheetFormatPr baseColWidth="10" defaultRowHeight="16" x14ac:dyDescent="0.2"/>
  <cols>
    <col min="5" max="5" width="10.83203125" style="35"/>
    <col min="6" max="6" width="15.83203125" style="35" customWidth="1"/>
    <col min="7" max="7" width="19.5" customWidth="1"/>
    <col min="14" max="14" width="5.6640625" bestFit="1" customWidth="1"/>
    <col min="15" max="15" width="6.1640625" style="36" bestFit="1" customWidth="1"/>
    <col min="16" max="16" width="32" style="36" bestFit="1" customWidth="1"/>
    <col min="17" max="17" width="12.5" style="36" bestFit="1" customWidth="1"/>
    <col min="18" max="18" width="10" style="36" bestFit="1" customWidth="1"/>
  </cols>
  <sheetData>
    <row r="8" spans="5:10" ht="48" x14ac:dyDescent="0.2">
      <c r="E8" s="38" t="s">
        <v>62</v>
      </c>
      <c r="F8" s="39" t="s">
        <v>74</v>
      </c>
      <c r="J8" t="s">
        <v>73</v>
      </c>
    </row>
    <row r="9" spans="5:10" x14ac:dyDescent="0.2">
      <c r="E9" s="37" t="s">
        <v>66</v>
      </c>
      <c r="F9" s="44">
        <v>25.04</v>
      </c>
      <c r="H9" s="47">
        <f>F9*700/500</f>
        <v>35.055999999999997</v>
      </c>
    </row>
    <row r="10" spans="5:10" x14ac:dyDescent="0.2">
      <c r="E10" s="37" t="s">
        <v>67</v>
      </c>
      <c r="F10" s="44">
        <v>26.4</v>
      </c>
      <c r="H10" s="47">
        <f t="shared" ref="H10:H18" si="0">F10*700/500</f>
        <v>36.96</v>
      </c>
    </row>
    <row r="11" spans="5:10" x14ac:dyDescent="0.2">
      <c r="E11" s="37" t="s">
        <v>63</v>
      </c>
      <c r="F11" s="44">
        <v>26.6</v>
      </c>
      <c r="H11" s="47">
        <f t="shared" si="0"/>
        <v>37.24</v>
      </c>
    </row>
    <row r="12" spans="5:10" x14ac:dyDescent="0.2">
      <c r="E12" s="37" t="s">
        <v>69</v>
      </c>
      <c r="F12" s="44">
        <v>28.93</v>
      </c>
      <c r="H12" s="47">
        <f t="shared" si="0"/>
        <v>40.502000000000002</v>
      </c>
    </row>
    <row r="13" spans="5:10" x14ac:dyDescent="0.2">
      <c r="E13" s="37" t="s">
        <v>64</v>
      </c>
      <c r="F13" s="44">
        <v>30.8</v>
      </c>
      <c r="H13" s="47">
        <f t="shared" si="0"/>
        <v>43.12</v>
      </c>
    </row>
    <row r="14" spans="5:10" x14ac:dyDescent="0.2">
      <c r="E14" s="37" t="s">
        <v>81</v>
      </c>
      <c r="F14" s="44">
        <v>32.08</v>
      </c>
      <c r="H14" s="47">
        <f t="shared" si="0"/>
        <v>44.911999999999999</v>
      </c>
    </row>
    <row r="15" spans="5:10" x14ac:dyDescent="0.2">
      <c r="E15" s="37" t="s">
        <v>70</v>
      </c>
      <c r="F15" s="44">
        <v>27.7</v>
      </c>
      <c r="H15" s="47">
        <f t="shared" si="0"/>
        <v>38.78</v>
      </c>
    </row>
    <row r="16" spans="5:10" x14ac:dyDescent="0.2">
      <c r="E16" s="37" t="s">
        <v>71</v>
      </c>
      <c r="F16" s="44">
        <v>29.08</v>
      </c>
      <c r="H16" s="47">
        <f t="shared" si="0"/>
        <v>40.712000000000003</v>
      </c>
    </row>
    <row r="17" spans="5:18" x14ac:dyDescent="0.2">
      <c r="E17" s="37" t="s">
        <v>72</v>
      </c>
      <c r="F17" s="44">
        <v>30.9</v>
      </c>
      <c r="H17" s="47">
        <f t="shared" si="0"/>
        <v>43.26</v>
      </c>
    </row>
    <row r="18" spans="5:18" x14ac:dyDescent="0.2">
      <c r="E18" s="37" t="s">
        <v>65</v>
      </c>
      <c r="F18" s="44">
        <v>32.369999999999997</v>
      </c>
      <c r="H18" s="47">
        <f t="shared" si="0"/>
        <v>45.317999999999998</v>
      </c>
    </row>
    <row r="22" spans="5:18" s="51" customFormat="1" ht="51" customHeight="1" x14ac:dyDescent="0.2">
      <c r="E22" s="48" t="s">
        <v>75</v>
      </c>
      <c r="F22" s="49" t="s">
        <v>49</v>
      </c>
      <c r="G22" s="50" t="s">
        <v>77</v>
      </c>
      <c r="H22" s="50" t="s">
        <v>83</v>
      </c>
      <c r="I22" s="50" t="s">
        <v>84</v>
      </c>
      <c r="O22" s="52"/>
      <c r="P22" s="52"/>
      <c r="Q22" s="52"/>
      <c r="R22" s="52"/>
    </row>
    <row r="23" spans="5:18" x14ac:dyDescent="0.2">
      <c r="E23" s="37">
        <v>1</v>
      </c>
      <c r="F23" s="41">
        <v>363</v>
      </c>
      <c r="G23" s="41" t="s">
        <v>63</v>
      </c>
      <c r="H23" s="42">
        <f>DNN!Z8</f>
        <v>0.44046983449012278</v>
      </c>
      <c r="I23" s="46">
        <f>VLOOKUP(G23,$E$9:$F$18,2,FALSE)*H23</f>
        <v>11.716497597437266</v>
      </c>
      <c r="K23" s="43">
        <v>10.9</v>
      </c>
    </row>
    <row r="24" spans="5:18" x14ac:dyDescent="0.2">
      <c r="E24" s="37">
        <v>2</v>
      </c>
      <c r="F24" s="41">
        <v>4</v>
      </c>
      <c r="G24" s="84" t="s">
        <v>79</v>
      </c>
      <c r="H24" s="84"/>
      <c r="I24" s="84"/>
    </row>
    <row r="25" spans="5:18" x14ac:dyDescent="0.2">
      <c r="E25" s="37">
        <v>3</v>
      </c>
      <c r="F25" s="41">
        <v>2400</v>
      </c>
      <c r="G25" s="41" t="s">
        <v>81</v>
      </c>
      <c r="H25" s="42">
        <f>DNN!Z12</f>
        <v>0.2830655729748095</v>
      </c>
      <c r="I25" s="46">
        <f>VLOOKUP(G25,$E$9:$F$18,2,FALSE)*H25</f>
        <v>9.0807435810318875</v>
      </c>
      <c r="K25" s="43">
        <v>8.5</v>
      </c>
    </row>
    <row r="26" spans="5:18" x14ac:dyDescent="0.2">
      <c r="E26" s="37">
        <v>4</v>
      </c>
      <c r="F26" s="41">
        <v>4</v>
      </c>
      <c r="G26" s="84" t="s">
        <v>79</v>
      </c>
      <c r="H26" s="84"/>
      <c r="I26" s="84"/>
    </row>
    <row r="27" spans="5:18" x14ac:dyDescent="0.2">
      <c r="E27" s="37">
        <v>5</v>
      </c>
      <c r="F27" s="41">
        <v>2304</v>
      </c>
      <c r="G27" s="41" t="s">
        <v>64</v>
      </c>
      <c r="H27" s="42">
        <f>DNN!Z16</f>
        <v>9.8432267145561331E-2</v>
      </c>
      <c r="I27" s="46">
        <f>VLOOKUP(G27,$E$9:$F$18,2,FALSE)*H27</f>
        <v>3.0317138280832889</v>
      </c>
      <c r="K27" s="43">
        <v>3</v>
      </c>
    </row>
    <row r="28" spans="5:18" x14ac:dyDescent="0.2">
      <c r="E28" s="37">
        <v>6</v>
      </c>
      <c r="F28" s="41">
        <v>3456</v>
      </c>
      <c r="G28" s="41" t="s">
        <v>81</v>
      </c>
      <c r="H28" s="42">
        <f>DNN!Z18</f>
        <v>9.8432267145561331E-2</v>
      </c>
      <c r="I28" s="46">
        <f t="shared" ref="I28:I32" si="1">VLOOKUP(G28,$E$9:$F$18,2,FALSE)*H28</f>
        <v>3.1577071300296073</v>
      </c>
      <c r="K28" s="43" t="s">
        <v>82</v>
      </c>
    </row>
    <row r="29" spans="5:18" x14ac:dyDescent="0.2">
      <c r="E29" s="37">
        <v>7</v>
      </c>
      <c r="F29" s="41">
        <v>3456</v>
      </c>
      <c r="G29" s="37" t="s">
        <v>81</v>
      </c>
      <c r="H29" s="42">
        <f>DNN!Z20</f>
        <v>6.5621511430374216E-2</v>
      </c>
      <c r="I29" s="46">
        <f t="shared" si="1"/>
        <v>2.1051380866864049</v>
      </c>
      <c r="K29" s="43">
        <v>2</v>
      </c>
    </row>
    <row r="30" spans="5:18" x14ac:dyDescent="0.2">
      <c r="E30" s="37">
        <v>8</v>
      </c>
      <c r="F30" s="41">
        <v>43264</v>
      </c>
      <c r="G30" s="41" t="s">
        <v>65</v>
      </c>
      <c r="H30" s="42">
        <f>DNN!Z22</f>
        <v>6.2126874726981512E-3</v>
      </c>
      <c r="I30" s="46">
        <f t="shared" si="1"/>
        <v>0.20110469349123913</v>
      </c>
      <c r="K30" s="43">
        <v>0.2</v>
      </c>
    </row>
    <row r="31" spans="5:18" x14ac:dyDescent="0.2">
      <c r="E31" s="37">
        <v>9</v>
      </c>
      <c r="F31" s="41">
        <v>4096</v>
      </c>
      <c r="G31" s="41" t="s">
        <v>65</v>
      </c>
      <c r="H31" s="42">
        <v>0.01</v>
      </c>
      <c r="I31" s="46">
        <f t="shared" si="1"/>
        <v>0.32369999999999999</v>
      </c>
      <c r="K31" s="43">
        <v>0.2</v>
      </c>
    </row>
    <row r="32" spans="5:18" x14ac:dyDescent="0.2">
      <c r="E32" s="37">
        <v>10</v>
      </c>
      <c r="F32" s="41">
        <v>4096</v>
      </c>
      <c r="G32" s="41" t="s">
        <v>65</v>
      </c>
      <c r="H32" s="45">
        <f>DNN!Z26</f>
        <v>1.5531718681745378E-3</v>
      </c>
      <c r="I32" s="46">
        <f t="shared" si="1"/>
        <v>5.0276173372809783E-2</v>
      </c>
      <c r="K32" s="43">
        <v>0.05</v>
      </c>
    </row>
    <row r="33" spans="6:11" x14ac:dyDescent="0.2">
      <c r="F33" s="40" t="s">
        <v>78</v>
      </c>
      <c r="G33" s="40" t="s">
        <v>78</v>
      </c>
      <c r="H33" s="41" t="s">
        <v>76</v>
      </c>
      <c r="I33" s="46">
        <f>I23+I25+SUM(I27:I32)</f>
        <v>29.666881090132502</v>
      </c>
      <c r="K33" s="43" t="s">
        <v>80</v>
      </c>
    </row>
  </sheetData>
  <mergeCells count="2">
    <mergeCell ref="G24:I24"/>
    <mergeCell ref="G26:I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AP40"/>
  <sheetViews>
    <sheetView topLeftCell="A8" workbookViewId="0">
      <selection activeCell="I37" sqref="I37"/>
    </sheetView>
  </sheetViews>
  <sheetFormatPr baseColWidth="10" defaultRowHeight="16" x14ac:dyDescent="0.2"/>
  <cols>
    <col min="1" max="17" width="10.83203125" style="1"/>
    <col min="18" max="18" width="14.5" style="1" bestFit="1" customWidth="1"/>
    <col min="19" max="21" width="14.5" style="1" customWidth="1"/>
    <col min="22" max="22" width="11.83203125" style="1" bestFit="1" customWidth="1"/>
    <col min="23" max="26" width="10.83203125" style="1"/>
    <col min="27" max="27" width="11.83203125" style="1" bestFit="1" customWidth="1"/>
    <col min="28" max="30" width="10.83203125" style="1"/>
    <col min="31" max="31" width="11.83203125" style="1" bestFit="1" customWidth="1"/>
    <col min="32" max="33" width="10.83203125" style="1"/>
    <col min="34" max="34" width="30.1640625" style="1" customWidth="1"/>
    <col min="35" max="35" width="11" style="1" bestFit="1" customWidth="1"/>
    <col min="36" max="38" width="10.83203125" style="1"/>
    <col min="39" max="39" width="11.83203125" style="1" bestFit="1" customWidth="1"/>
    <col min="40" max="16384" width="10.83203125" style="1"/>
  </cols>
  <sheetData>
    <row r="2" spans="5:33" ht="32" x14ac:dyDescent="0.2">
      <c r="V2" s="1" t="s">
        <v>85</v>
      </c>
      <c r="W2" s="1" t="s">
        <v>1</v>
      </c>
      <c r="X2" s="1" t="s">
        <v>87</v>
      </c>
      <c r="Y2" s="1">
        <v>32</v>
      </c>
      <c r="Z2" s="1" t="s">
        <v>91</v>
      </c>
      <c r="AA2" s="61">
        <v>0.1</v>
      </c>
      <c r="AB2" s="1" t="s">
        <v>143</v>
      </c>
      <c r="AC2" s="54">
        <v>500000000</v>
      </c>
      <c r="AD2" s="1" t="s">
        <v>95</v>
      </c>
      <c r="AE2" s="1">
        <v>16</v>
      </c>
    </row>
    <row r="3" spans="5:33" x14ac:dyDescent="0.2">
      <c r="AC3" s="54"/>
      <c r="AD3" s="1" t="s">
        <v>96</v>
      </c>
      <c r="AE3" s="15">
        <v>2200000000</v>
      </c>
    </row>
    <row r="4" spans="5:33" ht="32" x14ac:dyDescent="0.2">
      <c r="AC4" s="54"/>
      <c r="AD4" s="1" t="s">
        <v>97</v>
      </c>
      <c r="AE4" s="15">
        <v>16000000000</v>
      </c>
    </row>
    <row r="5" spans="5:33" ht="32" x14ac:dyDescent="0.2">
      <c r="AC5" s="54"/>
      <c r="AD5" s="1" t="s">
        <v>99</v>
      </c>
      <c r="AE5" s="19">
        <v>60</v>
      </c>
    </row>
    <row r="6" spans="5:33" ht="32" x14ac:dyDescent="0.2">
      <c r="AC6" s="54"/>
      <c r="AD6" s="1" t="s">
        <v>98</v>
      </c>
      <c r="AE6" s="19">
        <f>ROUNDUP(AE5/AE2,0)</f>
        <v>4</v>
      </c>
    </row>
    <row r="7" spans="5:33" ht="32" x14ac:dyDescent="0.2">
      <c r="AC7" s="54"/>
      <c r="AD7" s="1" t="s">
        <v>100</v>
      </c>
      <c r="AE7" s="15">
        <f>AE5*AE3</f>
        <v>132000000000</v>
      </c>
    </row>
    <row r="8" spans="5:33" ht="32" x14ac:dyDescent="0.2">
      <c r="AC8" s="54"/>
      <c r="AD8" s="1" t="s">
        <v>101</v>
      </c>
      <c r="AE8" s="15">
        <f>AE6*AE4</f>
        <v>64000000000</v>
      </c>
    </row>
    <row r="9" spans="5:33" x14ac:dyDescent="0.2">
      <c r="AC9" s="54"/>
      <c r="AE9" s="15"/>
    </row>
    <row r="10" spans="5:33" x14ac:dyDescent="0.2">
      <c r="AC10" s="54"/>
      <c r="AE10" s="15"/>
    </row>
    <row r="11" spans="5:33" x14ac:dyDescent="0.2">
      <c r="AC11" s="54"/>
      <c r="AE11" s="15"/>
    </row>
    <row r="12" spans="5:33" x14ac:dyDescent="0.2">
      <c r="AC12" s="54"/>
    </row>
    <row r="13" spans="5:33" x14ac:dyDescent="0.2">
      <c r="AC13" s="54"/>
    </row>
    <row r="15" spans="5:33" x14ac:dyDescent="0.2">
      <c r="N15" s="77" t="s">
        <v>9</v>
      </c>
      <c r="O15" s="85"/>
      <c r="P15" s="79"/>
      <c r="Q15" s="80"/>
      <c r="X15" s="86" t="s">
        <v>90</v>
      </c>
      <c r="Y15" s="86"/>
      <c r="Z15" s="87" t="s">
        <v>86</v>
      </c>
      <c r="AA15" s="87"/>
      <c r="AC15" s="1" t="s">
        <v>93</v>
      </c>
    </row>
    <row r="16" spans="5:33" ht="80" x14ac:dyDescent="0.2">
      <c r="E16" s="12" t="s">
        <v>0</v>
      </c>
      <c r="F16" s="13" t="s">
        <v>1</v>
      </c>
      <c r="G16" s="14" t="s">
        <v>2</v>
      </c>
      <c r="I16" s="12" t="s">
        <v>4</v>
      </c>
      <c r="J16" s="14" t="s">
        <v>5</v>
      </c>
      <c r="L16" s="11" t="s">
        <v>6</v>
      </c>
      <c r="M16" s="9"/>
      <c r="N16" s="12" t="s">
        <v>7</v>
      </c>
      <c r="O16" s="13" t="s">
        <v>8</v>
      </c>
      <c r="P16" s="14" t="s">
        <v>12</v>
      </c>
      <c r="Q16" s="14" t="s">
        <v>16</v>
      </c>
      <c r="R16" s="11" t="s">
        <v>10</v>
      </c>
      <c r="S16" s="3"/>
      <c r="T16" s="3" t="s">
        <v>114</v>
      </c>
      <c r="U16" s="3" t="s">
        <v>144</v>
      </c>
      <c r="V16" s="1" t="s">
        <v>17</v>
      </c>
      <c r="W16" s="1" t="s">
        <v>94</v>
      </c>
      <c r="X16" s="31" t="s">
        <v>88</v>
      </c>
      <c r="Y16" s="31" t="s">
        <v>89</v>
      </c>
      <c r="Z16" s="31" t="s">
        <v>88</v>
      </c>
      <c r="AA16" s="31" t="s">
        <v>89</v>
      </c>
      <c r="AC16" s="1" t="s">
        <v>92</v>
      </c>
      <c r="AE16" s="1" t="s">
        <v>103</v>
      </c>
      <c r="AF16" s="1" t="s">
        <v>102</v>
      </c>
      <c r="AG16" s="1" t="s">
        <v>104</v>
      </c>
    </row>
    <row r="17" spans="4:42" x14ac:dyDescent="0.2">
      <c r="D17" s="8"/>
      <c r="E17" s="2"/>
      <c r="F17" s="3"/>
      <c r="G17" s="4"/>
      <c r="I17" s="2"/>
      <c r="J17" s="4"/>
      <c r="L17" s="9"/>
      <c r="M17" s="9"/>
      <c r="N17" s="2"/>
      <c r="O17" s="3"/>
      <c r="P17" s="4"/>
      <c r="Q17" s="4"/>
      <c r="R17" s="16"/>
      <c r="S17" s="58"/>
      <c r="T17" s="58"/>
      <c r="U17" s="58"/>
      <c r="V17" s="15"/>
      <c r="X17" s="31"/>
      <c r="Y17" s="31"/>
    </row>
    <row r="18" spans="4:42" x14ac:dyDescent="0.2">
      <c r="D18" s="9" t="s">
        <v>13</v>
      </c>
      <c r="E18" s="2">
        <v>7</v>
      </c>
      <c r="F18" s="3">
        <v>7</v>
      </c>
      <c r="G18" s="4">
        <v>512</v>
      </c>
      <c r="I18" s="2"/>
      <c r="J18" s="4"/>
      <c r="L18" s="9">
        <f>E18*F18*G18</f>
        <v>25088</v>
      </c>
      <c r="M18" s="9"/>
      <c r="N18" s="2"/>
      <c r="O18" s="3"/>
      <c r="P18" s="4"/>
      <c r="Q18" s="4"/>
      <c r="R18" s="16"/>
      <c r="S18" s="58"/>
      <c r="T18" s="58">
        <f>L18*$Y$2</f>
        <v>802816</v>
      </c>
      <c r="U18" s="58"/>
      <c r="V18" s="15"/>
      <c r="X18" s="31"/>
      <c r="Y18" s="31"/>
    </row>
    <row r="19" spans="4:42" x14ac:dyDescent="0.2">
      <c r="D19" s="9"/>
      <c r="E19" s="2"/>
      <c r="F19" s="3"/>
      <c r="G19" s="4"/>
      <c r="I19" s="2"/>
      <c r="J19" s="4"/>
      <c r="L19" s="9"/>
      <c r="M19" s="9"/>
      <c r="N19" s="2"/>
      <c r="O19" s="3"/>
      <c r="P19" s="4"/>
      <c r="Q19" s="4"/>
      <c r="R19" s="16"/>
      <c r="S19" s="58"/>
      <c r="T19" s="58"/>
      <c r="V19" s="15"/>
      <c r="X19" s="31"/>
      <c r="Y19" s="31"/>
    </row>
    <row r="20" spans="4:42" x14ac:dyDescent="0.2">
      <c r="D20" s="9" t="s">
        <v>15</v>
      </c>
      <c r="E20" s="2">
        <v>1</v>
      </c>
      <c r="F20" s="3">
        <v>4096</v>
      </c>
      <c r="G20" s="4">
        <v>1</v>
      </c>
      <c r="I20" s="2">
        <f>E18</f>
        <v>7</v>
      </c>
      <c r="J20" s="4">
        <f>F18</f>
        <v>7</v>
      </c>
      <c r="L20" s="9">
        <f>E20*F20*G20</f>
        <v>4096</v>
      </c>
      <c r="M20" s="9"/>
      <c r="N20" s="2">
        <f>IF(D20="Conv",I20*J20*G18,IF(D20="fully",I20*J20*G18,0))</f>
        <v>25088</v>
      </c>
      <c r="O20" s="3">
        <f>IF(D20="conv",I20*J20*G18-1,IF(D20="fully",I20*J20*G18-1,0))</f>
        <v>25087</v>
      </c>
      <c r="P20" s="4">
        <f>IF(D20="pool",I20*J20,0)</f>
        <v>0</v>
      </c>
      <c r="Q20" s="4">
        <f>MAX(N20,O20)</f>
        <v>25088</v>
      </c>
      <c r="R20" s="16">
        <f>L20*(N20+O20+P20)</f>
        <v>205516800</v>
      </c>
      <c r="S20" s="58"/>
      <c r="T20" s="58">
        <f>L20*$Y$2</f>
        <v>131072</v>
      </c>
      <c r="U20" s="58">
        <f>E18*F18*G18*$Y$2</f>
        <v>802816</v>
      </c>
      <c r="V20" s="15">
        <f>IF(W2="Y",Q20*L20+L18,Q20*2*L20)</f>
        <v>102785536</v>
      </c>
      <c r="W20" s="1">
        <f>IF(D20="fully",I20*J20*G18*E20*F20*G20,0)</f>
        <v>102760448</v>
      </c>
      <c r="X20" s="53">
        <f>V20*$Y$2</f>
        <v>3289137152</v>
      </c>
      <c r="Y20" s="31">
        <f>L20*$Y$2</f>
        <v>131072</v>
      </c>
      <c r="Z20" s="15">
        <f>X20/$AA$2</f>
        <v>32891371520</v>
      </c>
      <c r="AA20" s="15">
        <f>Y20/$AA$2</f>
        <v>1310720</v>
      </c>
      <c r="AC20" s="19">
        <f>Z20/$AC$2</f>
        <v>65.78274304</v>
      </c>
    </row>
    <row r="21" spans="4:42" x14ac:dyDescent="0.2">
      <c r="D21" s="9"/>
      <c r="E21" s="2"/>
      <c r="F21" s="3"/>
      <c r="G21" s="4"/>
      <c r="I21" s="2"/>
      <c r="J21" s="4"/>
      <c r="L21" s="9"/>
      <c r="M21" s="9"/>
      <c r="N21" s="2"/>
      <c r="O21" s="3"/>
      <c r="P21" s="4"/>
      <c r="Q21" s="4"/>
      <c r="R21" s="16"/>
      <c r="S21" s="58"/>
      <c r="T21" s="58"/>
      <c r="U21" s="58"/>
      <c r="V21" s="15"/>
      <c r="X21" s="31"/>
      <c r="Y21" s="31"/>
    </row>
    <row r="22" spans="4:42" x14ac:dyDescent="0.2">
      <c r="D22" s="9" t="s">
        <v>15</v>
      </c>
      <c r="E22" s="2">
        <v>1</v>
      </c>
      <c r="F22" s="3">
        <v>4096</v>
      </c>
      <c r="G22" s="4">
        <v>1</v>
      </c>
      <c r="I22" s="2">
        <f>E20</f>
        <v>1</v>
      </c>
      <c r="J22" s="4">
        <f>F20</f>
        <v>4096</v>
      </c>
      <c r="L22" s="9">
        <f>E22*F22*G22</f>
        <v>4096</v>
      </c>
      <c r="M22" s="9"/>
      <c r="N22" s="2">
        <f>IF(D22="Conv",I22*J22*G20,IF(D22="fully",I22*J22*G20,0))</f>
        <v>4096</v>
      </c>
      <c r="O22" s="3">
        <f>IF(D22="conv",I22*J22*G20-1,IF(D22="fully",I22*J22*G20-1,0))</f>
        <v>4095</v>
      </c>
      <c r="P22" s="4">
        <f>IF(D22="pool",I22*J22,0)</f>
        <v>0</v>
      </c>
      <c r="Q22" s="4">
        <f>MAX(N22,O22)</f>
        <v>4096</v>
      </c>
      <c r="R22" s="16">
        <f>L22*(N22+O22+P22)</f>
        <v>33550336</v>
      </c>
      <c r="S22" s="58"/>
      <c r="T22" s="58">
        <f>L22*$Y$2</f>
        <v>131072</v>
      </c>
      <c r="U22" s="58">
        <f>E20*F20*G20*$Y$2</f>
        <v>131072</v>
      </c>
      <c r="V22" s="15">
        <f>IF(W4="Y",Q22*L22+L20,Q22*2*L22)</f>
        <v>33554432</v>
      </c>
      <c r="W22" s="1">
        <f>IF(D22="fully",I22*J22*G20*E22*F22*G22,0)</f>
        <v>16777216</v>
      </c>
      <c r="X22" s="53">
        <f>V22*$Y$2</f>
        <v>1073741824</v>
      </c>
      <c r="Y22" s="31">
        <f>L22*$Y$2</f>
        <v>131072</v>
      </c>
      <c r="Z22" s="15">
        <f>X22/$AA$2</f>
        <v>10737418240</v>
      </c>
      <c r="AA22" s="15">
        <f>Y22/$AA$2</f>
        <v>1310720</v>
      </c>
      <c r="AC22" s="19">
        <f>Z22/$AC$2</f>
        <v>21.47483648</v>
      </c>
    </row>
    <row r="23" spans="4:42" x14ac:dyDescent="0.2">
      <c r="D23" s="9"/>
      <c r="E23" s="2"/>
      <c r="F23" s="3"/>
      <c r="G23" s="4"/>
      <c r="I23" s="2"/>
      <c r="J23" s="4"/>
      <c r="L23" s="9"/>
      <c r="M23" s="9"/>
      <c r="N23" s="2"/>
      <c r="O23" s="3"/>
      <c r="P23" s="4"/>
      <c r="Q23" s="4"/>
      <c r="R23" s="16"/>
      <c r="S23" s="58"/>
      <c r="T23" s="58"/>
      <c r="U23" s="58"/>
      <c r="V23" s="15"/>
      <c r="X23" s="31"/>
      <c r="Y23" s="31"/>
      <c r="AK23" s="19">
        <f>AC26</f>
        <v>92.626288639999999</v>
      </c>
      <c r="AL23" s="19">
        <f>AG26</f>
        <v>1</v>
      </c>
    </row>
    <row r="24" spans="4:42" x14ac:dyDescent="0.2">
      <c r="D24" s="10" t="s">
        <v>15</v>
      </c>
      <c r="E24" s="5">
        <v>1</v>
      </c>
      <c r="F24" s="6">
        <v>1024</v>
      </c>
      <c r="G24" s="7">
        <v>1</v>
      </c>
      <c r="I24" s="5">
        <f>E22</f>
        <v>1</v>
      </c>
      <c r="J24" s="7">
        <f>F22</f>
        <v>4096</v>
      </c>
      <c r="L24" s="10">
        <f>E24*F24*G24</f>
        <v>1024</v>
      </c>
      <c r="M24" s="9"/>
      <c r="N24" s="5">
        <f>IF(D24="Conv",I24*J24*G22,IF(D24="fully",I24*J24*G22,0))</f>
        <v>4096</v>
      </c>
      <c r="O24" s="6">
        <f>IF(D24="conv",I24*J24*G22-1,IF(D24="fully",I24*J24*G22-1,0))</f>
        <v>4095</v>
      </c>
      <c r="P24" s="7">
        <f>IF(D24="pool",I24*J24,0)</f>
        <v>0</v>
      </c>
      <c r="Q24" s="7">
        <f>MAX(N24,O24)</f>
        <v>4096</v>
      </c>
      <c r="R24" s="17">
        <f>L24*(N24+O24+P24)</f>
        <v>8387584</v>
      </c>
      <c r="S24" s="58"/>
      <c r="T24" s="58">
        <f>L24*$Y$2</f>
        <v>32768</v>
      </c>
      <c r="U24" s="58">
        <f>E22*F22*G22*$Y$2</f>
        <v>131072</v>
      </c>
      <c r="V24" s="15">
        <f>IF(W6="Y",Q24*L24+L22,Q24*2*L24)</f>
        <v>8388608</v>
      </c>
      <c r="W24" s="1">
        <f>IF(D24="fully",I24*J24*G22*E24*F24*G24,0)</f>
        <v>4194304</v>
      </c>
      <c r="X24" s="53">
        <f>V24*$Y$2</f>
        <v>268435456</v>
      </c>
      <c r="Y24" s="31">
        <f>L24*$Y$2</f>
        <v>32768</v>
      </c>
      <c r="Z24" s="15">
        <f>X24/$AA$2</f>
        <v>2684354560</v>
      </c>
      <c r="AA24" s="15">
        <f>Y24/$AA$2</f>
        <v>327680</v>
      </c>
      <c r="AC24" s="19">
        <f>Z24/$AC$2</f>
        <v>5.3687091200000001</v>
      </c>
    </row>
    <row r="25" spans="4:42" x14ac:dyDescent="0.2">
      <c r="R25" s="15"/>
      <c r="S25" s="15"/>
      <c r="T25" s="15"/>
      <c r="U25" s="15"/>
      <c r="V25" s="15"/>
    </row>
    <row r="26" spans="4:42" x14ac:dyDescent="0.2">
      <c r="K26" s="20"/>
      <c r="R26" s="15"/>
      <c r="S26" s="15"/>
      <c r="T26" s="15">
        <f>SUM(T20:T24)</f>
        <v>294912</v>
      </c>
      <c r="U26" s="15"/>
      <c r="V26" s="15">
        <f t="shared" ref="V26:AA26" si="0">SUM(V20:V24)</f>
        <v>144728576</v>
      </c>
      <c r="W26" s="15">
        <f t="shared" si="0"/>
        <v>123731968</v>
      </c>
      <c r="X26" s="15">
        <f t="shared" si="0"/>
        <v>4631314432</v>
      </c>
      <c r="Y26" s="15">
        <f t="shared" si="0"/>
        <v>294912</v>
      </c>
      <c r="Z26" s="15">
        <f t="shared" si="0"/>
        <v>46313144320</v>
      </c>
      <c r="AA26" s="15">
        <f t="shared" si="0"/>
        <v>2949120</v>
      </c>
      <c r="AC26" s="19">
        <f>Z26/$AC$2</f>
        <v>92.626288639999999</v>
      </c>
      <c r="AE26" s="19">
        <f>ROUNDUP(Z26/AE7,0)</f>
        <v>1</v>
      </c>
      <c r="AF26" s="19">
        <f>ROUNDUP(X26/AE8,0)</f>
        <v>1</v>
      </c>
      <c r="AG26" s="19">
        <f>MAX(AE26,AF26)</f>
        <v>1</v>
      </c>
    </row>
    <row r="27" spans="4:42" x14ac:dyDescent="0.2">
      <c r="R27" s="15"/>
      <c r="S27" s="15"/>
      <c r="T27" s="15"/>
      <c r="U27" s="15"/>
      <c r="V27" s="21"/>
      <c r="W27" s="22"/>
      <c r="AM27" s="57">
        <f>AA2*1000</f>
        <v>100</v>
      </c>
      <c r="AN27" s="57">
        <f>AC26</f>
        <v>92.626288639999999</v>
      </c>
      <c r="AO27" s="57">
        <f>AE26</f>
        <v>1</v>
      </c>
      <c r="AP27" s="62">
        <f>1/(AM27*0.001)</f>
        <v>10</v>
      </c>
    </row>
    <row r="28" spans="4:42" x14ac:dyDescent="0.2">
      <c r="R28" s="15"/>
      <c r="S28" s="15"/>
      <c r="T28" s="15"/>
      <c r="U28" s="15"/>
      <c r="V28" s="15"/>
    </row>
    <row r="29" spans="4:42" x14ac:dyDescent="0.2">
      <c r="R29" s="15"/>
      <c r="S29" s="15"/>
      <c r="T29" s="15"/>
      <c r="U29" s="15"/>
      <c r="V29" s="15"/>
      <c r="AM29" s="89" t="s">
        <v>112</v>
      </c>
      <c r="AN29" s="90"/>
      <c r="AO29" s="90"/>
      <c r="AP29" s="80"/>
    </row>
    <row r="30" spans="4:42" ht="32" x14ac:dyDescent="0.2">
      <c r="R30" s="15"/>
      <c r="S30" s="15"/>
      <c r="T30" s="15"/>
      <c r="U30" s="15"/>
      <c r="V30" s="15"/>
      <c r="W30" s="15">
        <f>W26*32</f>
        <v>3959422976</v>
      </c>
      <c r="AH30" s="88" t="s">
        <v>111</v>
      </c>
      <c r="AI30" s="88"/>
      <c r="AM30" s="55" t="s">
        <v>113</v>
      </c>
      <c r="AN30" s="55" t="s">
        <v>106</v>
      </c>
      <c r="AO30" s="55" t="s">
        <v>105</v>
      </c>
      <c r="AP30" s="11" t="s">
        <v>142</v>
      </c>
    </row>
    <row r="31" spans="4:42" x14ac:dyDescent="0.2">
      <c r="R31" s="15"/>
      <c r="S31" s="15"/>
      <c r="T31" s="15"/>
      <c r="U31" s="15"/>
      <c r="V31" s="15"/>
      <c r="AH31" s="55" t="s">
        <v>107</v>
      </c>
      <c r="AI31" s="56">
        <f>AE3</f>
        <v>2200000000</v>
      </c>
      <c r="AM31" s="55">
        <v>10</v>
      </c>
      <c r="AN31" s="57">
        <v>926.26288639999996</v>
      </c>
      <c r="AO31" s="55">
        <v>4</v>
      </c>
      <c r="AP31" s="63">
        <v>100</v>
      </c>
    </row>
    <row r="32" spans="4:42" x14ac:dyDescent="0.2">
      <c r="P32" s="12"/>
      <c r="Q32" s="13"/>
      <c r="R32" s="18"/>
      <c r="S32" s="58"/>
      <c r="T32" s="58"/>
      <c r="U32" s="58"/>
      <c r="V32" s="15"/>
      <c r="AH32" s="55" t="s">
        <v>108</v>
      </c>
      <c r="AI32" s="56">
        <f>AE4</f>
        <v>16000000000</v>
      </c>
      <c r="AM32" s="63">
        <v>16.666599999999999</v>
      </c>
      <c r="AN32" s="63">
        <v>555.75995487981959</v>
      </c>
      <c r="AO32" s="64">
        <v>3</v>
      </c>
      <c r="AP32" s="63">
        <v>60.000240000960005</v>
      </c>
    </row>
    <row r="33" spans="17:42" x14ac:dyDescent="0.2">
      <c r="R33" s="15"/>
      <c r="S33" s="15"/>
      <c r="T33" s="15"/>
      <c r="U33" s="15"/>
      <c r="V33" s="15"/>
      <c r="AH33" s="55" t="s">
        <v>99</v>
      </c>
      <c r="AI33" s="57">
        <f>AE5</f>
        <v>60</v>
      </c>
      <c r="AM33" s="57">
        <v>33.333300000000001</v>
      </c>
      <c r="AN33" s="57">
        <v>277.87914379914378</v>
      </c>
      <c r="AO33" s="55">
        <v>2</v>
      </c>
      <c r="AP33" s="63">
        <v>30.000030000029998</v>
      </c>
    </row>
    <row r="34" spans="17:42" x14ac:dyDescent="0.2">
      <c r="R34" s="15"/>
      <c r="S34" s="15"/>
      <c r="T34" s="15"/>
      <c r="U34" s="15"/>
      <c r="V34" s="15"/>
      <c r="AH34" s="55" t="s">
        <v>109</v>
      </c>
      <c r="AI34" s="57">
        <f>AE6</f>
        <v>4</v>
      </c>
      <c r="AM34" s="55">
        <v>100</v>
      </c>
      <c r="AN34" s="57">
        <v>92.626288639999999</v>
      </c>
      <c r="AO34" s="55">
        <v>1</v>
      </c>
      <c r="AP34" s="63">
        <v>10</v>
      </c>
    </row>
    <row r="35" spans="17:42" x14ac:dyDescent="0.2">
      <c r="Q35" s="19"/>
      <c r="R35" s="15"/>
      <c r="S35" s="15"/>
      <c r="T35" s="15"/>
      <c r="U35" s="15"/>
      <c r="AH35" s="55" t="s">
        <v>101</v>
      </c>
      <c r="AI35" s="56">
        <f>AE8</f>
        <v>64000000000</v>
      </c>
    </row>
    <row r="36" spans="17:42" x14ac:dyDescent="0.2">
      <c r="R36" s="15"/>
      <c r="S36" s="15"/>
      <c r="T36" s="15"/>
      <c r="U36" s="15"/>
      <c r="V36" s="15"/>
      <c r="W36" s="1">
        <f>6*60</f>
        <v>360</v>
      </c>
      <c r="AH36" s="55" t="s">
        <v>110</v>
      </c>
      <c r="AI36" s="56">
        <f>AE7</f>
        <v>132000000000</v>
      </c>
    </row>
    <row r="37" spans="17:42" x14ac:dyDescent="0.2">
      <c r="Q37" s="15"/>
      <c r="R37" s="15"/>
      <c r="S37" s="15"/>
      <c r="T37" s="15"/>
      <c r="U37" s="15"/>
    </row>
    <row r="38" spans="17:42" x14ac:dyDescent="0.2">
      <c r="R38" s="15"/>
      <c r="S38" s="15"/>
      <c r="T38" s="15"/>
      <c r="U38" s="15"/>
      <c r="V38" s="15"/>
    </row>
    <row r="40" spans="17:42" x14ac:dyDescent="0.2">
      <c r="R40" s="15"/>
      <c r="S40" s="15"/>
      <c r="T40" s="15"/>
      <c r="U40" s="15"/>
    </row>
  </sheetData>
  <mergeCells count="5">
    <mergeCell ref="N15:Q15"/>
    <mergeCell ref="X15:Y15"/>
    <mergeCell ref="Z15:AA15"/>
    <mergeCell ref="AH30:AI30"/>
    <mergeCell ref="AM29:AP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AB42"/>
  <sheetViews>
    <sheetView workbookViewId="0">
      <selection activeCell="AA8" sqref="AA8"/>
    </sheetView>
  </sheetViews>
  <sheetFormatPr baseColWidth="10" defaultRowHeight="16" x14ac:dyDescent="0.2"/>
  <cols>
    <col min="1" max="4" width="10.83203125" style="67"/>
    <col min="5" max="7" width="11" style="67" bestFit="1" customWidth="1"/>
    <col min="8" max="9" width="10.83203125" style="67"/>
    <col min="10" max="12" width="11" style="67" bestFit="1" customWidth="1"/>
    <col min="13" max="13" width="11" style="72" bestFit="1" customWidth="1"/>
    <col min="14" max="18" width="11" style="67" bestFit="1" customWidth="1"/>
    <col min="19" max="19" width="11" style="72" customWidth="1"/>
    <col min="20" max="24" width="11" style="67" bestFit="1" customWidth="1"/>
    <col min="25" max="25" width="14.6640625" style="67" bestFit="1" customWidth="1"/>
    <col min="26" max="26" width="12" style="67" bestFit="1" customWidth="1"/>
    <col min="27" max="28" width="11" style="67" bestFit="1" customWidth="1"/>
    <col min="29" max="29" width="11.6640625" style="67" bestFit="1" customWidth="1"/>
    <col min="30" max="16384" width="10.83203125" style="67"/>
  </cols>
  <sheetData>
    <row r="4" spans="4:28" ht="32" x14ac:dyDescent="0.2">
      <c r="T4" s="77" t="s">
        <v>76</v>
      </c>
      <c r="U4" s="78"/>
      <c r="V4" s="79"/>
      <c r="W4" s="80"/>
      <c r="X4" s="3"/>
      <c r="Z4" s="67" t="s">
        <v>155</v>
      </c>
      <c r="AA4" s="67" t="s">
        <v>1</v>
      </c>
    </row>
    <row r="5" spans="4:28" ht="32" x14ac:dyDescent="0.2">
      <c r="E5" s="12" t="s">
        <v>0</v>
      </c>
      <c r="F5" s="65" t="s">
        <v>1</v>
      </c>
      <c r="G5" s="66" t="s">
        <v>2</v>
      </c>
      <c r="H5" s="3"/>
      <c r="I5" s="3"/>
      <c r="J5" s="67" t="s">
        <v>151</v>
      </c>
      <c r="K5" s="12" t="s">
        <v>4</v>
      </c>
      <c r="L5" s="66" t="s">
        <v>5</v>
      </c>
      <c r="M5" s="3" t="s">
        <v>156</v>
      </c>
      <c r="N5" s="3" t="s">
        <v>43</v>
      </c>
      <c r="O5" s="11" t="s">
        <v>6</v>
      </c>
      <c r="P5" s="11"/>
      <c r="Q5" s="11" t="s">
        <v>37</v>
      </c>
      <c r="R5" s="12" t="s">
        <v>152</v>
      </c>
      <c r="S5" s="12"/>
      <c r="T5" s="12" t="s">
        <v>26</v>
      </c>
      <c r="U5" s="65" t="s">
        <v>7</v>
      </c>
      <c r="V5" s="65" t="s">
        <v>8</v>
      </c>
      <c r="W5" s="66" t="s">
        <v>153</v>
      </c>
      <c r="X5" s="66" t="s">
        <v>16</v>
      </c>
      <c r="Y5" s="11" t="s">
        <v>154</v>
      </c>
      <c r="AA5" s="67" t="s">
        <v>17</v>
      </c>
      <c r="AB5" s="67" t="s">
        <v>157</v>
      </c>
    </row>
    <row r="6" spans="4:28" x14ac:dyDescent="0.2">
      <c r="D6" s="8" t="s">
        <v>3</v>
      </c>
      <c r="E6" s="2">
        <v>1280</v>
      </c>
      <c r="F6" s="3">
        <v>720</v>
      </c>
      <c r="G6" s="4">
        <v>3</v>
      </c>
      <c r="H6" s="3"/>
      <c r="I6" s="3"/>
      <c r="K6" s="2"/>
      <c r="L6" s="4"/>
      <c r="M6" s="3"/>
      <c r="N6" s="3"/>
      <c r="O6" s="9">
        <f>E6*F6*G6</f>
        <v>2764800</v>
      </c>
      <c r="Q6" s="9">
        <f>E6*F6*G6</f>
        <v>2764800</v>
      </c>
      <c r="R6" s="2"/>
      <c r="S6" s="2"/>
      <c r="T6" s="73"/>
      <c r="U6" s="74"/>
      <c r="V6" s="58"/>
      <c r="W6" s="75"/>
      <c r="X6" s="75"/>
      <c r="Y6" s="9"/>
    </row>
    <row r="7" spans="4:28" x14ac:dyDescent="0.2">
      <c r="D7" s="9"/>
      <c r="E7" s="2"/>
      <c r="F7" s="3"/>
      <c r="G7" s="4"/>
      <c r="H7" s="3"/>
      <c r="I7" s="3"/>
      <c r="K7" s="2"/>
      <c r="L7" s="4"/>
      <c r="M7" s="3"/>
      <c r="N7" s="3"/>
      <c r="O7" s="9"/>
      <c r="Q7" s="9"/>
      <c r="R7" s="2"/>
      <c r="S7" s="2"/>
      <c r="T7" s="73"/>
      <c r="U7" s="58"/>
      <c r="V7" s="58"/>
      <c r="W7" s="75"/>
      <c r="X7" s="75"/>
      <c r="Y7" s="9"/>
    </row>
    <row r="8" spans="4:28" x14ac:dyDescent="0.2">
      <c r="D8" s="9" t="s">
        <v>13</v>
      </c>
      <c r="E8" s="3">
        <f>IF($D8="conv",CEILING(E6/$J8,1),CEILING(E6/K8,1))</f>
        <v>320</v>
      </c>
      <c r="F8" s="3">
        <f>IF($D8="conv",CEILING(F6/$J8,1),CEILING(F6/L8,1))</f>
        <v>180</v>
      </c>
      <c r="G8" s="4">
        <v>96</v>
      </c>
      <c r="H8" s="3"/>
      <c r="I8" s="3"/>
      <c r="J8" s="67">
        <v>4</v>
      </c>
      <c r="K8" s="2">
        <v>11</v>
      </c>
      <c r="L8" s="4">
        <v>11</v>
      </c>
      <c r="M8" s="3">
        <f>G6</f>
        <v>3</v>
      </c>
      <c r="N8" s="3">
        <f>K8*L8*G6</f>
        <v>363</v>
      </c>
      <c r="O8" s="9">
        <f>E8*F8*G8</f>
        <v>5529600</v>
      </c>
      <c r="Q8" s="9">
        <f>E8*F8*G8</f>
        <v>5529600</v>
      </c>
      <c r="R8" s="2">
        <f>G8</f>
        <v>96</v>
      </c>
      <c r="S8" s="2"/>
      <c r="T8" s="73">
        <f>IF($D8="conv",K8*L8*G6*G8,(IF($D8="fully",E6*F6*G6*E8*F8*G8,0)))</f>
        <v>34848</v>
      </c>
      <c r="U8" s="58">
        <f>IF(D8="Conv",K8*L8*M8*E8*F8*G8,IF(D8="fully",K8*L8*G6*E8*F8,0))</f>
        <v>2007244800</v>
      </c>
      <c r="V8" s="58">
        <f>IF(D8="conv",K8*L8*M8*E8*F8*G8-1,IF(D8="fully",K8*L8*G6*E8*F8-1,(IF($D8="pool",K8*L8*E8*F8*G8,0))))</f>
        <v>2007244799</v>
      </c>
      <c r="W8" s="75">
        <f>IF(D8="pool",K8*L8,0)</f>
        <v>0</v>
      </c>
      <c r="X8" s="75">
        <f>U8+V8</f>
        <v>4014489599</v>
      </c>
      <c r="Y8" s="16">
        <f>(U8+V8+W8)</f>
        <v>4014489599</v>
      </c>
      <c r="AA8" s="15">
        <f>IF($D8="conv",$G8*($K8*$L8*$M8+$K8*$L8*$M8+($K8-$J8)*($L8-$J8)*$M8*($E8-1)*($F8-1)),IF($D8="pool",$K8*$L8*$E8*$F8*$G8,IF($D8="fully",$E6*$F6*$G6*$E8*$F8*$G8,(IF($D8="ae",$G8*($K8*$L8*$M8*$E8*$F8+$K8*$L8*$M8+($K8-$J8)*($L8-$J8)*$M8*($E8-1)*($F8-1)),0)))))</f>
        <v>805879008</v>
      </c>
      <c r="AB8" s="15">
        <f>IF($D8="conv",$G8*$E8*$F8,IF($D8="pool",$G8*$E8*$F8,IF($D8="fully",$G8*$E8*$F8,0)))</f>
        <v>5529600</v>
      </c>
    </row>
    <row r="9" spans="4:28" x14ac:dyDescent="0.2">
      <c r="D9" s="9"/>
      <c r="E9" s="2"/>
      <c r="F9" s="3"/>
      <c r="G9" s="4"/>
      <c r="H9" s="3"/>
      <c r="I9" s="3"/>
      <c r="K9" s="2"/>
      <c r="L9" s="4"/>
      <c r="M9" s="3"/>
      <c r="N9" s="3"/>
      <c r="O9" s="9"/>
      <c r="Q9" s="9"/>
      <c r="R9" s="2"/>
      <c r="S9" s="2"/>
      <c r="T9" s="73"/>
      <c r="U9" s="58"/>
      <c r="V9" s="58"/>
      <c r="W9" s="75"/>
      <c r="X9" s="75"/>
      <c r="Y9" s="16"/>
      <c r="AA9" s="15"/>
    </row>
    <row r="10" spans="4:28" x14ac:dyDescent="0.2">
      <c r="D10" s="9" t="s">
        <v>14</v>
      </c>
      <c r="E10" s="3">
        <f>IF($D10="conv",CEILING(E8/$J10,1),CEILING(E8/K10,1))</f>
        <v>160</v>
      </c>
      <c r="F10" s="3">
        <f>IF($D10="conv",CEILING(F8/$J10,1),CEILING(F8/L10,1))</f>
        <v>90</v>
      </c>
      <c r="G10" s="4">
        <v>96</v>
      </c>
      <c r="H10" s="3"/>
      <c r="I10" s="3"/>
      <c r="J10" s="67">
        <v>2</v>
      </c>
      <c r="K10" s="2">
        <v>2</v>
      </c>
      <c r="L10" s="4">
        <v>2</v>
      </c>
      <c r="M10" s="3">
        <v>1</v>
      </c>
      <c r="N10" s="3">
        <f>K10*L10*G8</f>
        <v>384</v>
      </c>
      <c r="O10" s="9">
        <f>E10*F10*G10</f>
        <v>1382400</v>
      </c>
      <c r="Q10" s="9">
        <f>E10*F10*G10</f>
        <v>1382400</v>
      </c>
      <c r="R10" s="2">
        <f t="shared" ref="R10:R22" si="0">G10</f>
        <v>96</v>
      </c>
      <c r="S10" s="2"/>
      <c r="T10" s="73">
        <f>IF($D10="conv",K10*L10*G8*G10,(IF($D10="fully",E8*F8*G8*E10*F10*G10,0)))</f>
        <v>0</v>
      </c>
      <c r="U10" s="58">
        <f>IF(D10="Conv",K10*L10*M10*E10*F10*G10,IF(D10="fully",K10*L10*G8*E10*F10,0))</f>
        <v>0</v>
      </c>
      <c r="V10" s="58">
        <f>IF(D10="conv",K10*L10*M10*E10*F10*G10-1,IF(D10="fully",K10*L10*G8*E10*F10-1,(IF($D10="pool",K10*L10*E10*F10*G10,0))))</f>
        <v>5529600</v>
      </c>
      <c r="W10" s="75">
        <f>IF(D10="pool",E10*F10*G10,0)</f>
        <v>1382400</v>
      </c>
      <c r="X10" s="75">
        <f>U10+V10</f>
        <v>5529600</v>
      </c>
      <c r="Y10" s="16">
        <f>(U10+V10+W10)</f>
        <v>6912000</v>
      </c>
      <c r="AA10" s="15">
        <f>IF($D10="conv",$G10*($K10*$L10*$M10+$K10*$L10*$M10+($K10-$J10)*($L10-$J10)*$M10*($E10-1)*($F10-1)),IF($D10="pool",$K10*$L10*$E10*$F10*$G10,IF($D10="fully",$E8*$F8*$G8*$E10*$F10*$G10,(IF($D10="ae",$G10*($K10*$L10*$M10*$E10*$F10+$K10*$L10*$M10+($K10-$J10)*($L10-$J10)*$M10*($E10-1)*($F10-1)),0)))))</f>
        <v>5529600</v>
      </c>
      <c r="AB10" s="15">
        <f>IF($D10="conv",$G10*$E10*$F10,IF($D10="pool",$G10*$E10*$F10,IF($D10="fully",$G10*$E10*$F10,0)))</f>
        <v>1382400</v>
      </c>
    </row>
    <row r="11" spans="4:28" x14ac:dyDescent="0.2">
      <c r="D11" s="9"/>
      <c r="E11" s="2"/>
      <c r="F11" s="3"/>
      <c r="G11" s="4"/>
      <c r="H11" s="3"/>
      <c r="I11" s="3"/>
      <c r="K11" s="2"/>
      <c r="L11" s="4"/>
      <c r="M11" s="3"/>
      <c r="N11" s="3"/>
      <c r="O11" s="9"/>
      <c r="Q11" s="9"/>
      <c r="R11" s="2"/>
      <c r="S11" s="2"/>
      <c r="T11" s="73"/>
      <c r="U11" s="58"/>
      <c r="V11" s="58"/>
      <c r="W11" s="75"/>
      <c r="X11" s="75"/>
      <c r="Y11" s="16"/>
      <c r="AA11" s="15"/>
    </row>
    <row r="12" spans="4:28" x14ac:dyDescent="0.2">
      <c r="D12" s="9" t="s">
        <v>13</v>
      </c>
      <c r="E12" s="3">
        <f>IF($D12="conv",CEILING(E10/$J12,1),CEILING(E10/K12,1))</f>
        <v>40</v>
      </c>
      <c r="F12" s="3">
        <f>IF($D12="conv",CEILING(F10/$J12,1),CEILING(F10/L12,1))</f>
        <v>23</v>
      </c>
      <c r="G12" s="4">
        <v>256</v>
      </c>
      <c r="H12" s="3"/>
      <c r="I12" s="3"/>
      <c r="J12" s="67">
        <v>4</v>
      </c>
      <c r="K12" s="2">
        <v>5</v>
      </c>
      <c r="L12" s="4">
        <v>5</v>
      </c>
      <c r="M12" s="3">
        <f>G10</f>
        <v>96</v>
      </c>
      <c r="N12" s="3">
        <f>K12*L12*G10</f>
        <v>2400</v>
      </c>
      <c r="O12" s="9">
        <f>E12*F12*G12</f>
        <v>235520</v>
      </c>
      <c r="Q12" s="9">
        <f>E12*F12*G12</f>
        <v>235520</v>
      </c>
      <c r="R12" s="2">
        <f t="shared" si="0"/>
        <v>256</v>
      </c>
      <c r="S12" s="2"/>
      <c r="T12" s="73">
        <f>IF($D12="conv",K12*L12*G10*G12,(IF($D12="fully",E10*F10*G10*E12*F12*G12,0)))</f>
        <v>614400</v>
      </c>
      <c r="U12" s="58">
        <f>IF(D12="Conv",K12*L12*M12*E12*F12*G12,IF(D12="fully",K12*L12*G10*E12*F12,0))</f>
        <v>565248000</v>
      </c>
      <c r="V12" s="58">
        <f>IF(D12="conv",K12*L12*M12*E12*F12*G12-1,IF(D12="fully",K12*L12*G10*E12*F12-1,(IF($D12="pool",K12*L12*E12*F12*G12,0))))</f>
        <v>565247999</v>
      </c>
      <c r="W12" s="75">
        <f>IF(D12="pool",K12*L12,0)</f>
        <v>0</v>
      </c>
      <c r="X12" s="75">
        <f>U12+V12</f>
        <v>1130495999</v>
      </c>
      <c r="Y12" s="16">
        <f>(U12+V12+W12)</f>
        <v>1130495999</v>
      </c>
      <c r="AA12" s="15">
        <f>IF($D12="conv",$G12*($K12*$L12*$M12+$K12*$L12*$M12+($K12-$J12)*($L12-$J12)*$M12*($E12-1)*($F12-1)),IF($D12="pool",$K12*$L12*$E12*$F12*$G12,IF($D12="fully",$E10*$F10*$G10*$E12*$F12*$G12,(IF($D12="ae",$G12*($K12*$L12*$M12*$E12*$F12+$K12*$L12*$M12+($K12-$J12)*($L12-$J12)*$M12*($E12-1)*($F12-1)),0)))))</f>
        <v>22315008</v>
      </c>
      <c r="AB12" s="15">
        <f>IF($D12="conv",$G12*$E12*$F12,IF($D12="pool",$G12*$E12*$F12,IF($D12="fully",$G12*$E12*$F12,0)))</f>
        <v>235520</v>
      </c>
    </row>
    <row r="13" spans="4:28" x14ac:dyDescent="0.2">
      <c r="D13" s="9"/>
      <c r="E13" s="2"/>
      <c r="F13" s="3"/>
      <c r="G13" s="4"/>
      <c r="H13" s="3"/>
      <c r="I13" s="3"/>
      <c r="K13" s="2"/>
      <c r="L13" s="4"/>
      <c r="M13" s="3"/>
      <c r="N13" s="3"/>
      <c r="O13" s="9"/>
      <c r="Q13" s="9"/>
      <c r="R13" s="2"/>
      <c r="S13" s="2"/>
      <c r="T13" s="73"/>
      <c r="U13" s="58"/>
      <c r="V13" s="58"/>
      <c r="W13" s="75"/>
      <c r="X13" s="75"/>
      <c r="Y13" s="16"/>
      <c r="AA13" s="15"/>
    </row>
    <row r="14" spans="4:28" x14ac:dyDescent="0.2">
      <c r="D14" s="9" t="s">
        <v>14</v>
      </c>
      <c r="E14" s="3">
        <f>IF($D14="conv",CEILING(E12/$J14,1),CEILING(E12/K14,1))</f>
        <v>20</v>
      </c>
      <c r="F14" s="3">
        <f>IF($D14="conv",CEILING(F12/$J14,1),CEILING(F12/L14,1))</f>
        <v>12</v>
      </c>
      <c r="G14" s="4">
        <v>256</v>
      </c>
      <c r="H14" s="3"/>
      <c r="I14" s="3"/>
      <c r="J14" s="67">
        <v>2</v>
      </c>
      <c r="K14" s="2">
        <v>2</v>
      </c>
      <c r="L14" s="4">
        <v>2</v>
      </c>
      <c r="M14" s="3">
        <v>1</v>
      </c>
      <c r="N14" s="3">
        <f>K14*L14*G12</f>
        <v>1024</v>
      </c>
      <c r="O14" s="9">
        <f>E14*F14*G14</f>
        <v>61440</v>
      </c>
      <c r="Q14" s="9">
        <f>E14*F14*G14</f>
        <v>61440</v>
      </c>
      <c r="R14" s="2">
        <f t="shared" si="0"/>
        <v>256</v>
      </c>
      <c r="S14" s="2"/>
      <c r="T14" s="73">
        <f>IF($D14="conv",K14*L14*G12*G14,(IF($D14="fully",E12*F12*G12*E14*F14*G14,0)))</f>
        <v>0</v>
      </c>
      <c r="U14" s="58">
        <f>IF(D14="Conv",K14*L14*M14*E14*F14*G14,IF(D14="fully",K14*L14*G12*E14*F14,0))</f>
        <v>0</v>
      </c>
      <c r="V14" s="58">
        <f>IF(D14="conv",K14*L14*M14*E14*F14*G14-1,IF(D14="fully",K14*L14*G12*E14*F14-1,(IF($D14="pool",K14*L14*E14*F14*G14,0))))</f>
        <v>245760</v>
      </c>
      <c r="W14" s="75">
        <f>IF(D14="pool",E14*F14*G14,0)</f>
        <v>61440</v>
      </c>
      <c r="X14" s="75">
        <f>U14+V14</f>
        <v>245760</v>
      </c>
      <c r="Y14" s="16">
        <f>(U14+V14+W14)</f>
        <v>307200</v>
      </c>
      <c r="AA14" s="15">
        <f>IF($D14="conv",$G14*($K14*$L14*$M14+$K14*$L14*$M14+($K14-$J14)*($L14-$J14)*$M14*($E14-1)*($F14-1)),IF($D14="pool",$K14*$L14*$E14*$F14*$G14,IF($D14="fully",$E12*$F12*$G12*$E14*$F14*$G14,(IF($D14="ae",$G14*($K14*$L14*$M14*$E14*$F14+$K14*$L14*$M14+($K14-$J14)*($L14-$J14)*$M14*($E14-1)*($F14-1)),0)))))</f>
        <v>245760</v>
      </c>
      <c r="AB14" s="15">
        <f>IF($D14="conv",$G14*$E14*$F14,IF($D14="pool",$G14*$E14*$F14,IF($D14="fully",$G14*$E14*$F14,0)))</f>
        <v>61440</v>
      </c>
    </row>
    <row r="15" spans="4:28" x14ac:dyDescent="0.2">
      <c r="D15" s="9"/>
      <c r="E15" s="2"/>
      <c r="F15" s="3"/>
      <c r="G15" s="4"/>
      <c r="H15" s="3"/>
      <c r="I15" s="3"/>
      <c r="K15" s="2"/>
      <c r="L15" s="4"/>
      <c r="M15" s="3"/>
      <c r="N15" s="3"/>
      <c r="O15" s="9"/>
      <c r="Q15" s="9"/>
      <c r="R15" s="2"/>
      <c r="S15" s="2"/>
      <c r="T15" s="73"/>
      <c r="U15" s="58"/>
      <c r="V15" s="58"/>
      <c r="W15" s="75"/>
      <c r="X15" s="75"/>
      <c r="Y15" s="16"/>
      <c r="AA15" s="15"/>
    </row>
    <row r="16" spans="4:28" x14ac:dyDescent="0.2">
      <c r="D16" s="9" t="s">
        <v>13</v>
      </c>
      <c r="E16" s="3">
        <f>IF($D16="conv",CEILING(E14/$J16,1),CEILING(E14/K16,1))</f>
        <v>10</v>
      </c>
      <c r="F16" s="3">
        <f>IF($D16="conv",CEILING(F14/$J16,1),CEILING(F14/L16,1))</f>
        <v>6</v>
      </c>
      <c r="G16" s="4">
        <v>384</v>
      </c>
      <c r="H16" s="3"/>
      <c r="I16" s="3"/>
      <c r="J16" s="67">
        <v>2</v>
      </c>
      <c r="K16" s="2">
        <v>3</v>
      </c>
      <c r="L16" s="4">
        <v>3</v>
      </c>
      <c r="M16" s="3">
        <f>G14</f>
        <v>256</v>
      </c>
      <c r="N16" s="3">
        <f>K16*L16*G14</f>
        <v>2304</v>
      </c>
      <c r="O16" s="9">
        <f>E16*F16*G16</f>
        <v>23040</v>
      </c>
      <c r="Q16" s="9">
        <f>E16*F16*G16</f>
        <v>23040</v>
      </c>
      <c r="R16" s="2">
        <f t="shared" si="0"/>
        <v>384</v>
      </c>
      <c r="S16" s="2"/>
      <c r="T16" s="73">
        <f>IF($D16="conv",K16*L16*G14*G16,(IF($D16="fully",E14*F14*G14*E16*F16*G16,0)))</f>
        <v>884736</v>
      </c>
      <c r="U16" s="58">
        <f>IF(D16="Conv",K16*L16*M16*E16*F16*G16,IF(D16="fully",K16*L16*G14*E16*F16,0))</f>
        <v>53084160</v>
      </c>
      <c r="V16" s="58">
        <f>IF(D16="conv",K16*L16*M16*E16*F16*G16-1,IF(D16="fully",K16*L16*G14*E16*F16-1,(IF($D16="pool",K16*L16*E16*F16*G16,0))))</f>
        <v>53084159</v>
      </c>
      <c r="W16" s="75">
        <f>IF(D16="pool",K16*L16,0)</f>
        <v>0</v>
      </c>
      <c r="X16" s="75">
        <f>U16+V16</f>
        <v>106168319</v>
      </c>
      <c r="Y16" s="16">
        <f>(U16+V16+W16)</f>
        <v>106168319</v>
      </c>
      <c r="AA16" s="15">
        <f>IF($D16="conv",$G16*($K16*$L16*$M16+$K16*$L16*$M16+($K16-$J16)*($L16-$J16)*$M16*($E16-1)*($F16-1)),IF($D16="pool",$K16*$L16*$E16*$F16*$G16,IF($D16="fully",$E14*$F14*$G14*$E16*$F16*$G16,(IF($D16="ae",$G16*($K16*$L16*$M16*$E16*$F16+$K16*$L16*$M16+($K16-$J16)*($L16-$J16)*$M16*($E16-1)*($F16-1)),0)))))</f>
        <v>6193152</v>
      </c>
      <c r="AB16" s="15">
        <f>IF($D16="conv",$G16*$E16*$F16,IF($D16="pool",$G16*$E16*$F16,IF($D16="fully",$G16*$E16*$F16,0)))</f>
        <v>23040</v>
      </c>
    </row>
    <row r="17" spans="4:28" x14ac:dyDescent="0.2">
      <c r="D17" s="9"/>
      <c r="E17" s="2"/>
      <c r="F17" s="3"/>
      <c r="G17" s="4"/>
      <c r="H17" s="3"/>
      <c r="I17" s="3"/>
      <c r="K17" s="2"/>
      <c r="L17" s="4"/>
      <c r="M17" s="3"/>
      <c r="N17" s="3"/>
      <c r="O17" s="9"/>
      <c r="Q17" s="9"/>
      <c r="R17" s="2"/>
      <c r="S17" s="2"/>
      <c r="T17" s="73"/>
      <c r="U17" s="58"/>
      <c r="V17" s="58"/>
      <c r="W17" s="75"/>
      <c r="X17" s="75"/>
      <c r="Y17" s="16"/>
      <c r="AA17" s="15"/>
    </row>
    <row r="18" spans="4:28" x14ac:dyDescent="0.2">
      <c r="D18" s="9" t="s">
        <v>15</v>
      </c>
      <c r="E18" s="2">
        <v>1</v>
      </c>
      <c r="F18" s="3">
        <v>4096</v>
      </c>
      <c r="G18" s="4">
        <v>1</v>
      </c>
      <c r="H18" s="3"/>
      <c r="I18" s="3"/>
      <c r="K18" s="2">
        <f>E16</f>
        <v>10</v>
      </c>
      <c r="L18" s="4">
        <f>F16</f>
        <v>6</v>
      </c>
      <c r="M18" s="3">
        <f>G16</f>
        <v>384</v>
      </c>
      <c r="N18" s="3">
        <f>K18*L18*G16</f>
        <v>23040</v>
      </c>
      <c r="O18" s="9">
        <f>E18*F18*G18</f>
        <v>4096</v>
      </c>
      <c r="Q18" s="9">
        <f>E18*F18*G18</f>
        <v>4096</v>
      </c>
      <c r="R18" s="2">
        <f t="shared" si="0"/>
        <v>1</v>
      </c>
      <c r="S18" s="2"/>
      <c r="T18" s="73">
        <f>IF($D18="conv",K18*L18*G16*G18,(IF($D18="fully",E16*F16*G16*E18*F18*G18,0)))</f>
        <v>94371840</v>
      </c>
      <c r="U18" s="58">
        <f>IF(D18="Conv",K18*L18*M18*E18*F18*G18,IF(D18="fully",K18*L18*G16*E18*F18,0))</f>
        <v>94371840</v>
      </c>
      <c r="V18" s="58">
        <f>IF(D18="conv",K18*L18*M18*E18*F18*G18-1,IF(D18="fully",K18*L18*G16*E18*F18-1,(IF($D18="pool",K18*L18*E18*F18*G18,0))))</f>
        <v>94371839</v>
      </c>
      <c r="W18" s="75">
        <f>IF(D18="pool",K18*L18,0)</f>
        <v>0</v>
      </c>
      <c r="X18" s="75">
        <f>U18+V18</f>
        <v>188743679</v>
      </c>
      <c r="Y18" s="16">
        <f>(U18+V18+W18)</f>
        <v>188743679</v>
      </c>
      <c r="AA18" s="15">
        <f>IF($D18="conv",$G18*($K18*$L18*$M18+$K18*$L18*$M18+($K18-$J18)*($L18-$J18)*$M18*($E18-1)*($F18-1)),IF($D18="pool",$K18*$L18*$E18*$F18*$G18,IF($D18="fully",$E16*$F16*$G16*$E18*$F18*$G18,(IF($D18="ae",$G18*($K18*$L18*$M18*$E18*$F18+$K18*$L18*$M18+($K18-$J18)*($L18-$J18)*$M18*($E18-1)*($F18-1)),0)))))</f>
        <v>94371840</v>
      </c>
      <c r="AB18" s="15">
        <f>IF($D18="conv",$G18*$E18*$F18,IF($D18="pool",$G18*$E18*$F18,IF($D18="fully",$G18*$E18*$F18,0)))</f>
        <v>4096</v>
      </c>
    </row>
    <row r="19" spans="4:28" x14ac:dyDescent="0.2">
      <c r="D19" s="9"/>
      <c r="E19" s="2"/>
      <c r="F19" s="3"/>
      <c r="G19" s="4"/>
      <c r="H19" s="3"/>
      <c r="I19" s="3"/>
      <c r="K19" s="2"/>
      <c r="L19" s="4"/>
      <c r="M19" s="3"/>
      <c r="N19" s="3"/>
      <c r="O19" s="9"/>
      <c r="Q19" s="9"/>
      <c r="R19" s="2"/>
      <c r="S19" s="2"/>
      <c r="T19" s="73"/>
      <c r="U19" s="58"/>
      <c r="V19" s="58"/>
      <c r="W19" s="75"/>
      <c r="X19" s="75"/>
      <c r="Y19" s="16"/>
      <c r="AA19" s="15"/>
    </row>
    <row r="20" spans="4:28" x14ac:dyDescent="0.2">
      <c r="D20" s="9" t="s">
        <v>15</v>
      </c>
      <c r="E20" s="2">
        <v>1</v>
      </c>
      <c r="F20" s="3">
        <v>4096</v>
      </c>
      <c r="G20" s="4">
        <v>1</v>
      </c>
      <c r="H20" s="3"/>
      <c r="I20" s="3"/>
      <c r="K20" s="2">
        <v>1</v>
      </c>
      <c r="L20" s="4">
        <v>4096</v>
      </c>
      <c r="M20" s="3">
        <f>G18</f>
        <v>1</v>
      </c>
      <c r="N20" s="3">
        <f>K20*L20*G18</f>
        <v>4096</v>
      </c>
      <c r="O20" s="9">
        <f>E20*F20*G20</f>
        <v>4096</v>
      </c>
      <c r="Q20" s="9">
        <f>E20*F20*G20</f>
        <v>4096</v>
      </c>
      <c r="R20" s="2">
        <f t="shared" si="0"/>
        <v>1</v>
      </c>
      <c r="S20" s="2"/>
      <c r="T20" s="73">
        <f>IF($D20="conv",K20*L20*G18*G20,(IF($D20="fully",E18*F18*G18*E20*F20*G20,0)))</f>
        <v>16777216</v>
      </c>
      <c r="U20" s="58">
        <f>IF(D20="Conv",K20*L20*M20*E20*F20*G20,IF(D20="fully",K20*L20*G18*E20*F20,0))</f>
        <v>16777216</v>
      </c>
      <c r="V20" s="58">
        <f>IF(D20="conv",K20*L20*M20*E20*F20*G20-1,IF(D20="fully",K20*L20*G18*E20*F20-1,(IF($D20="pool",K20*L20*E20*F20*G20,0))))</f>
        <v>16777215</v>
      </c>
      <c r="W20" s="75">
        <f>IF(D20="pool",K20*L20,0)</f>
        <v>0</v>
      </c>
      <c r="X20" s="75">
        <f>U20+V20</f>
        <v>33554431</v>
      </c>
      <c r="Y20" s="16">
        <f>(U20+V20+W20)</f>
        <v>33554431</v>
      </c>
      <c r="AA20" s="15">
        <f>IF($D20="conv",$G20*($K20*$L20*$M20+$K20*$L20*$M20+($K20-$J20)*($L20-$J20)*$M20*($E20-1)*($F20-1)),IF($D20="pool",$K20*$L20*$E20*$F20*$G20,IF($D20="fully",$E18*$F18*$G18*$E20*$F20*$G20,(IF($D20="ae",$G20*($K20*$L20*$M20*$E20*$F20+$K20*$L20*$M20+($K20-$J20)*($L20-$J20)*$M20*($E20-1)*($F20-1)),0)))))</f>
        <v>16777216</v>
      </c>
      <c r="AB20" s="15">
        <f>IF($D20="conv",$G20*$E20*$F20,IF($D20="pool",$G20*$E20*$F20,IF($D20="fully",$G20*$E20*$F20,0)))</f>
        <v>4096</v>
      </c>
    </row>
    <row r="21" spans="4:28" x14ac:dyDescent="0.2">
      <c r="D21" s="9"/>
      <c r="E21" s="2"/>
      <c r="F21" s="3"/>
      <c r="G21" s="4"/>
      <c r="H21" s="3"/>
      <c r="I21" s="3"/>
      <c r="K21" s="2"/>
      <c r="L21" s="4"/>
      <c r="M21" s="3"/>
      <c r="N21" s="3"/>
      <c r="O21" s="9"/>
      <c r="Q21" s="9"/>
      <c r="R21" s="2"/>
      <c r="S21" s="2"/>
      <c r="T21" s="73"/>
      <c r="U21" s="58"/>
      <c r="V21" s="58"/>
      <c r="W21" s="75"/>
      <c r="X21" s="75"/>
      <c r="Y21" s="16"/>
      <c r="AA21" s="15"/>
    </row>
    <row r="22" spans="4:28" x14ac:dyDescent="0.2">
      <c r="D22" s="10" t="s">
        <v>15</v>
      </c>
      <c r="E22" s="5">
        <v>1</v>
      </c>
      <c r="F22" s="6">
        <v>1000</v>
      </c>
      <c r="G22" s="7">
        <v>1</v>
      </c>
      <c r="H22" s="3"/>
      <c r="I22" s="3"/>
      <c r="K22" s="5">
        <v>1</v>
      </c>
      <c r="L22" s="7">
        <v>4096</v>
      </c>
      <c r="M22" s="3">
        <f>G20</f>
        <v>1</v>
      </c>
      <c r="N22" s="3">
        <f>K22*L22*G20</f>
        <v>4096</v>
      </c>
      <c r="O22" s="10">
        <f>E22*F22*G22</f>
        <v>1000</v>
      </c>
      <c r="P22" s="7"/>
      <c r="Q22" s="10">
        <f>E22*F22*G22</f>
        <v>1000</v>
      </c>
      <c r="R22" s="2">
        <f t="shared" si="0"/>
        <v>1</v>
      </c>
      <c r="S22" s="2"/>
      <c r="T22" s="73">
        <f>IF($D22="conv",K22*L22*G20*G22,(IF($D22="fully",E20*F20*G20*E22*F22*G22,0)))</f>
        <v>4096000</v>
      </c>
      <c r="U22" s="58">
        <f>IF(D22="Conv",K22*L22*M22*E22*F22*G22,IF(D22="fully",K22*L22*G20*E22*F22,0))</f>
        <v>4096000</v>
      </c>
      <c r="V22" s="58">
        <f>IF(D22="conv",K22*L22*M22*E22*F22*G22-1,IF(D22="fully",K22*L22*G20*E22*F22-1,(IF($D22="pool",K22*L22*E22*F22*G22,0))))</f>
        <v>4095999</v>
      </c>
      <c r="W22" s="76">
        <f>IF(D22="pool",K22*L22,0)</f>
        <v>0</v>
      </c>
      <c r="X22" s="75">
        <f>U22+V22</f>
        <v>8191999</v>
      </c>
      <c r="Y22" s="16">
        <f>(U22+V22+W22)</f>
        <v>8191999</v>
      </c>
      <c r="AA22" s="15">
        <f>IF($D22="conv",$G22*($K22*$L22*$M22+$K22*$L22*$M22+($K22-$J22)*($L22-$J22)*$M22*($E22-1)*($F22-1)),IF($D22="pool",$K22*$L22*$E22*$F22*$G22,IF($D22="fully",$E20*$F20*$G20*$E22*$F22*$G22,(IF($D22="ae",$G22*($K22*$L22*$M22*$E22*$F22+$K22*$L22*$M22+($K22-$J22)*($L22-$J22)*$M22*($E22-1)*($F22-1)),0)))))</f>
        <v>4096000</v>
      </c>
      <c r="AB22" s="15">
        <f>IF($D22="conv",$G22*$E22*$F22,IF($D22="pool",$G22*$E22*$F22,IF($D22="fully",$G22*$E22*$F22,0)))</f>
        <v>1000</v>
      </c>
    </row>
    <row r="23" spans="4:28" x14ac:dyDescent="0.2">
      <c r="Y23" s="15"/>
      <c r="AA23" s="15"/>
    </row>
    <row r="24" spans="4:28" x14ac:dyDescent="0.2">
      <c r="P24" s="23" t="s">
        <v>27</v>
      </c>
      <c r="Q24" s="24">
        <f>SUM(Q8:Q22)</f>
        <v>7241192</v>
      </c>
      <c r="R24" s="24"/>
      <c r="S24" s="24"/>
      <c r="T24" s="24"/>
      <c r="Y24" s="15"/>
      <c r="AA24" s="72"/>
    </row>
    <row r="25" spans="4:28" ht="48" x14ac:dyDescent="0.2">
      <c r="L25" s="67" t="s">
        <v>44</v>
      </c>
      <c r="N25" s="67">
        <f>(SUM(N8:N22)-N18)/10</f>
        <v>1466.7</v>
      </c>
      <c r="Q25" s="67" t="s">
        <v>23</v>
      </c>
      <c r="Y25" s="15"/>
      <c r="Z25" s="15"/>
    </row>
    <row r="26" spans="4:28" x14ac:dyDescent="0.2">
      <c r="Y26" s="15"/>
      <c r="Z26" s="15"/>
    </row>
    <row r="27" spans="4:28" x14ac:dyDescent="0.2">
      <c r="Y27" s="15"/>
      <c r="Z27" s="15"/>
    </row>
    <row r="28" spans="4:28" x14ac:dyDescent="0.2">
      <c r="Y28" s="15"/>
      <c r="Z28" s="15"/>
    </row>
    <row r="29" spans="4:28" x14ac:dyDescent="0.2">
      <c r="Y29" s="15"/>
      <c r="Z29" s="15"/>
    </row>
    <row r="30" spans="4:28" x14ac:dyDescent="0.2">
      <c r="W30" s="12" t="s">
        <v>154</v>
      </c>
      <c r="X30" s="65"/>
      <c r="Y30" s="18">
        <f>SUM(Y8:Y22)</f>
        <v>5488863226</v>
      </c>
      <c r="Z30" s="15"/>
    </row>
    <row r="31" spans="4:28" s="72" customFormat="1" x14ac:dyDescent="0.2">
      <c r="W31" s="3"/>
      <c r="X31" s="3"/>
      <c r="Y31" s="58"/>
      <c r="Z31" s="15"/>
    </row>
    <row r="32" spans="4:28" ht="32" x14ac:dyDescent="0.2">
      <c r="O32" s="86" t="s">
        <v>164</v>
      </c>
      <c r="P32" s="86"/>
      <c r="W32" s="67" t="s">
        <v>158</v>
      </c>
      <c r="Y32" s="15"/>
      <c r="Z32" s="15">
        <f>SUM(AB8:AB22)</f>
        <v>7241192</v>
      </c>
    </row>
    <row r="33" spans="15:28" x14ac:dyDescent="0.2">
      <c r="O33" s="67" t="s">
        <v>163</v>
      </c>
      <c r="P33" s="67">
        <v>16</v>
      </c>
      <c r="W33" s="67" t="s">
        <v>18</v>
      </c>
      <c r="Y33" s="15"/>
      <c r="Z33" s="15">
        <f>SUM(AA8:AA22)</f>
        <v>955407584</v>
      </c>
    </row>
    <row r="34" spans="15:28" ht="48" x14ac:dyDescent="0.2">
      <c r="O34" s="67" t="s">
        <v>165</v>
      </c>
      <c r="P34" s="67">
        <v>32</v>
      </c>
      <c r="R34" s="67" t="s">
        <v>166</v>
      </c>
      <c r="T34" s="67" t="s">
        <v>163</v>
      </c>
      <c r="U34" s="67">
        <f>VLOOKUP(T34,O33:P37,2,FALSE)</f>
        <v>16</v>
      </c>
      <c r="W34" s="67" t="s">
        <v>19</v>
      </c>
      <c r="X34" s="19">
        <v>1</v>
      </c>
      <c r="Y34" s="15"/>
    </row>
    <row r="35" spans="15:28" x14ac:dyDescent="0.2">
      <c r="W35" s="67" t="s">
        <v>159</v>
      </c>
      <c r="Y35" s="15"/>
      <c r="Z35" s="15">
        <f>X34*Z32</f>
        <v>7241192</v>
      </c>
    </row>
    <row r="36" spans="15:28" s="72" customFormat="1" x14ac:dyDescent="0.2">
      <c r="W36" s="67" t="s">
        <v>160</v>
      </c>
      <c r="Y36" s="15"/>
      <c r="Z36" s="15">
        <f>Z33*X34</f>
        <v>955407584</v>
      </c>
    </row>
    <row r="37" spans="15:28" ht="32" x14ac:dyDescent="0.2">
      <c r="T37" s="67" t="s">
        <v>161</v>
      </c>
      <c r="U37" s="67">
        <v>30</v>
      </c>
      <c r="W37" s="67" t="s">
        <v>25</v>
      </c>
      <c r="X37" s="15">
        <f>1/U37</f>
        <v>3.3333333333333333E-2</v>
      </c>
      <c r="Y37" s="15"/>
    </row>
    <row r="38" spans="15:28" ht="48" x14ac:dyDescent="0.2">
      <c r="W38" s="67" t="s">
        <v>162</v>
      </c>
      <c r="Y38" s="15"/>
      <c r="Z38" s="32">
        <f>Z36*U34/X37</f>
        <v>458595640320</v>
      </c>
      <c r="AA38" s="22">
        <f>(32+1)/64</f>
        <v>0.515625</v>
      </c>
      <c r="AB38" s="67" t="s">
        <v>58</v>
      </c>
    </row>
    <row r="40" spans="15:28" x14ac:dyDescent="0.2">
      <c r="W40" s="67" t="s">
        <v>10</v>
      </c>
      <c r="Y40" s="15">
        <f>Y30*X34/X37</f>
        <v>164665896780</v>
      </c>
    </row>
    <row r="42" spans="15:28" x14ac:dyDescent="0.2">
      <c r="W42" s="72" t="s">
        <v>168</v>
      </c>
      <c r="X42" s="72"/>
      <c r="Y42" s="15">
        <f>SUM(T8:T22)*U34+SUM(Q6:Q22)*U34</f>
        <v>2028560512</v>
      </c>
    </row>
  </sheetData>
  <mergeCells count="2">
    <mergeCell ref="T4:W4"/>
    <mergeCell ref="O32:P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9FB-E050-1540-9D30-B63105C37D86}">
  <dimension ref="D4:AB31"/>
  <sheetViews>
    <sheetView workbookViewId="0">
      <selection activeCell="Z13" sqref="Z13"/>
    </sheetView>
  </sheetViews>
  <sheetFormatPr baseColWidth="10" defaultRowHeight="16" x14ac:dyDescent="0.2"/>
  <cols>
    <col min="1" max="4" width="10.83203125" style="72"/>
    <col min="5" max="7" width="11" style="72" bestFit="1" customWidth="1"/>
    <col min="8" max="9" width="10.83203125" style="72"/>
    <col min="10" max="23" width="11" style="72" bestFit="1" customWidth="1"/>
    <col min="24" max="24" width="14.6640625" style="72" bestFit="1" customWidth="1"/>
    <col min="25" max="25" width="12" style="72" bestFit="1" customWidth="1"/>
    <col min="26" max="27" width="11" style="72" bestFit="1" customWidth="1"/>
    <col min="28" max="28" width="11.6640625" style="72" bestFit="1" customWidth="1"/>
    <col min="29" max="16384" width="10.83203125" style="72"/>
  </cols>
  <sheetData>
    <row r="4" spans="4:28" ht="32" x14ac:dyDescent="0.2">
      <c r="S4" s="77" t="s">
        <v>76</v>
      </c>
      <c r="T4" s="78"/>
      <c r="U4" s="79"/>
      <c r="V4" s="80"/>
      <c r="W4" s="3"/>
      <c r="Y4" s="72" t="s">
        <v>155</v>
      </c>
      <c r="Z4" s="72" t="s">
        <v>1</v>
      </c>
    </row>
    <row r="5" spans="4:28" ht="32" x14ac:dyDescent="0.2">
      <c r="E5" s="12" t="s">
        <v>0</v>
      </c>
      <c r="F5" s="70" t="s">
        <v>1</v>
      </c>
      <c r="G5" s="71" t="s">
        <v>2</v>
      </c>
      <c r="H5" s="3"/>
      <c r="I5" s="3"/>
      <c r="J5" s="72" t="s">
        <v>151</v>
      </c>
      <c r="K5" s="12" t="s">
        <v>4</v>
      </c>
      <c r="L5" s="71" t="s">
        <v>5</v>
      </c>
      <c r="M5" s="3" t="s">
        <v>156</v>
      </c>
      <c r="N5" s="3" t="s">
        <v>43</v>
      </c>
      <c r="O5" s="11" t="s">
        <v>6</v>
      </c>
      <c r="P5" s="11"/>
      <c r="Q5" s="11" t="s">
        <v>37</v>
      </c>
      <c r="R5" s="12" t="s">
        <v>152</v>
      </c>
      <c r="S5" s="12" t="s">
        <v>26</v>
      </c>
      <c r="T5" s="70" t="s">
        <v>7</v>
      </c>
      <c r="U5" s="70" t="s">
        <v>8</v>
      </c>
      <c r="V5" s="71" t="s">
        <v>153</v>
      </c>
      <c r="W5" s="71" t="s">
        <v>16</v>
      </c>
      <c r="X5" s="11" t="s">
        <v>154</v>
      </c>
      <c r="Z5" s="72" t="s">
        <v>17</v>
      </c>
      <c r="AA5" s="72" t="s">
        <v>157</v>
      </c>
    </row>
    <row r="6" spans="4:28" x14ac:dyDescent="0.2">
      <c r="D6" s="8" t="s">
        <v>3</v>
      </c>
      <c r="E6" s="2">
        <v>1280</v>
      </c>
      <c r="F6" s="3">
        <v>720</v>
      </c>
      <c r="G6" s="4">
        <v>3</v>
      </c>
      <c r="H6" s="3"/>
      <c r="I6" s="3"/>
      <c r="K6" s="2"/>
      <c r="L6" s="4"/>
      <c r="M6" s="3"/>
      <c r="N6" s="3"/>
      <c r="O6" s="9">
        <f>E6*F6*G6</f>
        <v>2764800</v>
      </c>
      <c r="Q6" s="9">
        <f>E6*F6*G6</f>
        <v>2764800</v>
      </c>
      <c r="R6" s="2"/>
      <c r="S6" s="2"/>
      <c r="T6" s="69"/>
      <c r="U6" s="3"/>
      <c r="V6" s="4"/>
      <c r="W6" s="4"/>
      <c r="X6" s="9"/>
    </row>
    <row r="7" spans="4:28" x14ac:dyDescent="0.2">
      <c r="D7" s="9"/>
      <c r="E7" s="2"/>
      <c r="F7" s="3"/>
      <c r="G7" s="4"/>
      <c r="H7" s="3"/>
      <c r="I7" s="3"/>
      <c r="K7" s="2"/>
      <c r="L7" s="4"/>
      <c r="M7" s="3"/>
      <c r="N7" s="3"/>
      <c r="O7" s="9"/>
      <c r="Q7" s="9"/>
      <c r="R7" s="2"/>
      <c r="S7" s="73"/>
      <c r="T7" s="58"/>
      <c r="U7" s="58"/>
      <c r="V7" s="75"/>
      <c r="W7" s="75"/>
      <c r="X7" s="16"/>
    </row>
    <row r="8" spans="4:28" x14ac:dyDescent="0.2">
      <c r="D8" s="9" t="s">
        <v>14</v>
      </c>
      <c r="E8" s="3">
        <f>IF($D8="conv",CEILING(E6/$J8,1),CEILING(E6/K8,1))</f>
        <v>320</v>
      </c>
      <c r="F8" s="3">
        <f>IF($D8="conv",CEILING(F6/$J8,1),CEILING(F6/L8,1))</f>
        <v>180</v>
      </c>
      <c r="G8" s="4">
        <v>96</v>
      </c>
      <c r="H8" s="3"/>
      <c r="I8" s="3"/>
      <c r="J8" s="72">
        <v>4</v>
      </c>
      <c r="K8" s="2">
        <v>4</v>
      </c>
      <c r="L8" s="4">
        <v>4</v>
      </c>
      <c r="M8" s="3">
        <v>1</v>
      </c>
      <c r="N8" s="3">
        <f>K8*L8*G6</f>
        <v>48</v>
      </c>
      <c r="O8" s="9">
        <f>E8*F8*G8</f>
        <v>5529600</v>
      </c>
      <c r="Q8" s="9">
        <f>E8*F8*G8</f>
        <v>5529600</v>
      </c>
      <c r="R8" s="2">
        <f t="shared" ref="R8" si="0">G8</f>
        <v>96</v>
      </c>
      <c r="S8" s="73"/>
      <c r="T8" s="73">
        <f>IF($D8="conv",K8*L8*G6*G8,(IF($D8="fully",E6*F6*G6*E8*F8*G8,0)))</f>
        <v>0</v>
      </c>
      <c r="U8" s="58">
        <f>IF(D8="Conv",K8*L8*M8*E8*F8*G8,IF(D8="fully",K8*L8*G6*E8*F8,0))</f>
        <v>0</v>
      </c>
      <c r="V8" s="58">
        <f>IF(D8="conv",K8*L8*M8*E8*F8*G8-1,IF(D8="fully",K8*L8*G6*E8*F8-1,(IF($D8="pool",K8*L8*E8*F8*G8,0))))</f>
        <v>88473600</v>
      </c>
      <c r="W8" s="75">
        <f>T8+U8</f>
        <v>0</v>
      </c>
      <c r="X8" s="75">
        <f>W8+V8</f>
        <v>88473600</v>
      </c>
      <c r="Y8" s="16"/>
      <c r="Z8" s="15">
        <f>IF($D8="conv",$G8*($K8*$L8*$M8+$K8*$L8*$M8+($K8-$J8)*($L8-$J8)*$M8*($E8-1)*($F8-1)),IF($D8="pool",$K8*$L8*$E8*$F8*$G8,IF($D8="fully",$E6*$F6*$G6*$E8*$F8*$G8,(IF($D8="ae",$G8*($K8*$L8*$M8*$E8*$F8+$K8*$L8*$M8+($K8-$J8)*($L8-$J8)*$M8*($E8-1)*($F8-1)),0)))))</f>
        <v>88473600</v>
      </c>
      <c r="AA8" s="15">
        <f>IF($D8="conv",K8*L8*M8+K8*L8*M8+(K8-J8)*(L8-J8)*M8*E8*F8,IF($D8="pool",K8*L8*E8*F8*G8,IF($D8="fully",E6*F6*G6*E8*F8*G8,0)))</f>
        <v>88473600</v>
      </c>
      <c r="AB8" s="15">
        <f>IF($D8="conv",$G8*$E8*$F8,IF($D8="pool",$G8*$E8*$F8,IF($D8="fully",$G8*$E8*$F8,0)))</f>
        <v>5529600</v>
      </c>
    </row>
    <row r="9" spans="4:28" x14ac:dyDescent="0.2">
      <c r="D9" s="9"/>
      <c r="E9" s="3"/>
      <c r="F9" s="3"/>
      <c r="G9" s="4"/>
      <c r="H9" s="3"/>
      <c r="I9" s="3"/>
      <c r="K9" s="2"/>
      <c r="L9" s="3"/>
      <c r="M9" s="3"/>
      <c r="N9" s="3"/>
      <c r="O9" s="9"/>
      <c r="Q9" s="9"/>
      <c r="R9" s="2"/>
      <c r="S9" s="73"/>
      <c r="T9" s="58"/>
      <c r="U9" s="58"/>
      <c r="V9" s="75"/>
      <c r="W9" s="75"/>
      <c r="X9" s="16"/>
    </row>
    <row r="10" spans="4:28" x14ac:dyDescent="0.2">
      <c r="D10" s="9" t="s">
        <v>15</v>
      </c>
      <c r="E10" s="3">
        <v>1</v>
      </c>
      <c r="F10" s="3">
        <v>512</v>
      </c>
      <c r="G10" s="4">
        <v>1</v>
      </c>
      <c r="H10" s="3"/>
      <c r="I10" s="3"/>
      <c r="J10" s="72">
        <v>4</v>
      </c>
      <c r="K10" s="2">
        <f>E6</f>
        <v>1280</v>
      </c>
      <c r="L10" s="2">
        <f>F6</f>
        <v>720</v>
      </c>
      <c r="M10" s="2">
        <f>G6</f>
        <v>3</v>
      </c>
      <c r="N10" s="3">
        <f>K10*L10*G6</f>
        <v>2764800</v>
      </c>
      <c r="O10" s="9">
        <f>E10*F10*G10</f>
        <v>512</v>
      </c>
      <c r="Q10" s="9">
        <f>E10*F10*G10</f>
        <v>512</v>
      </c>
      <c r="R10" s="2">
        <f>G10</f>
        <v>1</v>
      </c>
      <c r="S10" s="73">
        <f>IF($D10="conv",K10*L10*G6*G10,(IF($D10="fully",E6*F6*G6*E10*F10*G10,0)))</f>
        <v>1415577600</v>
      </c>
      <c r="T10" s="58">
        <f>IF(D10="Conv",K10*L10*M10*E10*F10*G10,IF(D10="fully",K10*L10*G6*E10*F10,0))</f>
        <v>1415577600</v>
      </c>
      <c r="U10" s="58">
        <f>IF(D10="conv",K10*L10*M10*E10*F10*G10-1,IF(D10="fully",K10*L10*G6*E10*F10-1,(IF($D10="pool",K10*L10*E10*F10*G10,0))))</f>
        <v>1415577599</v>
      </c>
      <c r="V10" s="75">
        <f>IF(D10="pool",K10*L10,0)</f>
        <v>0</v>
      </c>
      <c r="W10" s="75">
        <f>T10+U10</f>
        <v>2831155199</v>
      </c>
      <c r="X10" s="75">
        <f>W10+V10</f>
        <v>2831155199</v>
      </c>
      <c r="Z10" s="15">
        <f>IF($D10="conv",$G10*($K10*$L10*$M10+$K10*$L10*$M10+($K10-$J10)*($L10-$J10)*$M10*($E10-1)*($F10-1)),IF($D10="pool",$K10*$L10*$E10*$F10*$G10,IF($D10="fully",$E8*$F8*$G8*$E10*$F10*$G10,(IF($D10="ae",$G10*($K10*$L10*$M10*$E10*$F10+$K10*$L10*$M10+($K10-$J10)*($L10-$J10)*$M10*($E10-1)*($F10-1)),0)))))</f>
        <v>2831155200</v>
      </c>
      <c r="AA10" s="15">
        <f>IF($D10="conv",$G10*$E10*$F10,IF($D10="pool",$G10*$E10*$F10,IF($D10="fully",$G10*$E10*$F10,0)))</f>
        <v>512</v>
      </c>
    </row>
    <row r="11" spans="4:28" x14ac:dyDescent="0.2">
      <c r="D11" s="9"/>
      <c r="E11" s="2"/>
      <c r="F11" s="3"/>
      <c r="G11" s="4"/>
      <c r="H11" s="3"/>
      <c r="I11" s="3"/>
      <c r="K11" s="2"/>
      <c r="L11" s="4"/>
      <c r="M11" s="3"/>
      <c r="N11" s="3"/>
      <c r="O11" s="9"/>
      <c r="Q11" s="9"/>
      <c r="R11" s="2"/>
      <c r="S11" s="73"/>
      <c r="T11" s="58"/>
      <c r="U11" s="58"/>
      <c r="V11" s="75"/>
      <c r="W11" s="75"/>
      <c r="X11" s="16"/>
      <c r="Z11" s="15"/>
    </row>
    <row r="12" spans="4:28" x14ac:dyDescent="0.2">
      <c r="D12" s="9" t="s">
        <v>15</v>
      </c>
      <c r="E12" s="3">
        <f>IF($D12="conv",CEILING(E10/$J12,1),CEILING(E10/K12,1))</f>
        <v>1</v>
      </c>
      <c r="F12" s="3">
        <v>1</v>
      </c>
      <c r="G12" s="4">
        <v>1</v>
      </c>
      <c r="H12" s="3"/>
      <c r="I12" s="3"/>
      <c r="J12" s="72">
        <v>2</v>
      </c>
      <c r="K12" s="2">
        <v>2</v>
      </c>
      <c r="L12" s="4">
        <v>2</v>
      </c>
      <c r="M12" s="3">
        <v>1</v>
      </c>
      <c r="N12" s="3">
        <f>K12*L12*G10</f>
        <v>4</v>
      </c>
      <c r="O12" s="9">
        <f>E12*F12*G12</f>
        <v>1</v>
      </c>
      <c r="Q12" s="9">
        <f>E12*F12*G12</f>
        <v>1</v>
      </c>
      <c r="R12" s="2">
        <f t="shared" ref="R12" si="1">G12</f>
        <v>1</v>
      </c>
      <c r="S12" s="73">
        <f>IF($D12="conv",K12*L12*G10*G12,(IF($D12="fully",E10*F10*G10*E12*F12*G12,0)))</f>
        <v>512</v>
      </c>
      <c r="T12" s="58">
        <f>IF(D12="Conv",K12*L12*M12*E12*F12*G12,IF(D12="fully",K12*L12*G10*E12*F12,0))</f>
        <v>4</v>
      </c>
      <c r="U12" s="58">
        <f>IF(D12="conv",K12*L12*M12*E12*F12*G12-1,IF(D12="fully",K12*L12*G10*E12*F12-1,(IF($D12="pool",K12*L12*E12*F12*G12,0))))</f>
        <v>3</v>
      </c>
      <c r="V12" s="75">
        <f>IF(D12="pool",E12*F12*G12,0)</f>
        <v>0</v>
      </c>
      <c r="W12" s="75">
        <f>MAX(T12,U12)</f>
        <v>4</v>
      </c>
      <c r="X12" s="75">
        <f>W12+V12</f>
        <v>4</v>
      </c>
      <c r="Z12" s="15">
        <f>IF($D12="conv",$G12*($K12*$L12*$M12+$K12*$L12*$M12+($K12-$J12)*($L12-$J12)*$M12*($E12-1)*($F12-1)),IF($D12="pool",$K12*$L12*$E12*$F12*$G12,IF($D12="fully",$E10*$F10*$G10*$E12*$F12*$G12,(IF($D12="ae",$G12*($K12*$L12*$M12*$E12*$F12+$K12*$L12*$M12+($K12-$J12)*($L12-$J12)*$M12*($E12-1)*($F12-1)),0)))))</f>
        <v>512</v>
      </c>
      <c r="AA12" s="15">
        <f>IF($D12="conv",$G12*$E12*$F12,IF($D12="pool",$G12*$E12*$F12,IF($D12="fully",$G12*$E12*$F12,0)))</f>
        <v>1</v>
      </c>
    </row>
    <row r="13" spans="4:28" x14ac:dyDescent="0.2">
      <c r="D13" s="9"/>
      <c r="E13" s="2"/>
      <c r="F13" s="3"/>
      <c r="G13" s="4"/>
      <c r="H13" s="3"/>
      <c r="I13" s="3"/>
      <c r="K13" s="2"/>
      <c r="L13" s="4"/>
      <c r="M13" s="3"/>
      <c r="N13" s="3"/>
      <c r="O13" s="9"/>
      <c r="Q13" s="9"/>
      <c r="R13" s="2"/>
      <c r="S13" s="73"/>
      <c r="T13" s="58"/>
      <c r="U13" s="58"/>
      <c r="V13" s="75"/>
      <c r="W13" s="75"/>
      <c r="X13" s="16"/>
      <c r="Z13" s="15"/>
    </row>
    <row r="14" spans="4:28" x14ac:dyDescent="0.2">
      <c r="X14" s="15"/>
      <c r="Z14" s="15"/>
    </row>
    <row r="15" spans="4:28" x14ac:dyDescent="0.2">
      <c r="P15" s="23" t="s">
        <v>27</v>
      </c>
      <c r="Q15" s="24">
        <f>SUM(Q10:Q13)</f>
        <v>513</v>
      </c>
      <c r="R15" s="24"/>
      <c r="S15" s="24"/>
      <c r="X15" s="15"/>
    </row>
    <row r="16" spans="4:28" ht="48" x14ac:dyDescent="0.2">
      <c r="L16" s="72" t="s">
        <v>44</v>
      </c>
      <c r="N16" s="72" t="e">
        <f>(SUM(N10:N13)-#REF!)/10</f>
        <v>#REF!</v>
      </c>
      <c r="Q16" s="72" t="s">
        <v>23</v>
      </c>
      <c r="V16" s="72">
        <f>SUM(V10:V13)</f>
        <v>0</v>
      </c>
      <c r="W16" s="72">
        <f>SUM(W10:W13)</f>
        <v>2831155203</v>
      </c>
      <c r="X16" s="15"/>
      <c r="Y16" s="15"/>
    </row>
    <row r="17" spans="15:27" x14ac:dyDescent="0.2">
      <c r="X17" s="15"/>
      <c r="Y17" s="15"/>
      <c r="Z17" s="72" t="s">
        <v>22</v>
      </c>
    </row>
    <row r="18" spans="15:27" x14ac:dyDescent="0.2">
      <c r="X18" s="15"/>
      <c r="Y18" s="15"/>
    </row>
    <row r="19" spans="15:27" x14ac:dyDescent="0.2">
      <c r="X19" s="15"/>
      <c r="Y19" s="15"/>
    </row>
    <row r="20" spans="15:27" x14ac:dyDescent="0.2">
      <c r="X20" s="15"/>
      <c r="Y20" s="15"/>
    </row>
    <row r="21" spans="15:27" x14ac:dyDescent="0.2">
      <c r="V21" s="12" t="s">
        <v>154</v>
      </c>
      <c r="W21" s="70"/>
      <c r="X21" s="18">
        <f>SUM(X10:X13)</f>
        <v>2831155203</v>
      </c>
      <c r="Y21" s="15"/>
    </row>
    <row r="22" spans="15:27" x14ac:dyDescent="0.2">
      <c r="V22" s="3"/>
      <c r="W22" s="3"/>
      <c r="X22" s="58"/>
      <c r="Y22" s="15"/>
    </row>
    <row r="23" spans="15:27" ht="32" x14ac:dyDescent="0.2">
      <c r="O23" s="86" t="s">
        <v>164</v>
      </c>
      <c r="P23" s="86"/>
      <c r="V23" s="72" t="s">
        <v>158</v>
      </c>
      <c r="X23" s="15"/>
      <c r="Y23" s="15">
        <f>SUM(AA10:AA13)</f>
        <v>513</v>
      </c>
    </row>
    <row r="24" spans="15:27" x14ac:dyDescent="0.2">
      <c r="O24" s="72" t="s">
        <v>163</v>
      </c>
      <c r="P24" s="72">
        <v>16</v>
      </c>
      <c r="V24" s="72" t="s">
        <v>18</v>
      </c>
      <c r="X24" s="15"/>
      <c r="Y24" s="15">
        <f>SUM(Z10:Z13)</f>
        <v>2831155712</v>
      </c>
    </row>
    <row r="25" spans="15:27" ht="48" x14ac:dyDescent="0.2">
      <c r="O25" s="72" t="s">
        <v>165</v>
      </c>
      <c r="P25" s="72">
        <v>32</v>
      </c>
      <c r="R25" s="72" t="s">
        <v>166</v>
      </c>
      <c r="S25" s="72" t="s">
        <v>163</v>
      </c>
      <c r="T25" s="72">
        <f>VLOOKUP(S25,O24:P28,2,FALSE)</f>
        <v>16</v>
      </c>
      <c r="V25" s="72" t="s">
        <v>19</v>
      </c>
      <c r="W25" s="19">
        <v>1</v>
      </c>
      <c r="X25" s="15"/>
    </row>
    <row r="26" spans="15:27" x14ac:dyDescent="0.2">
      <c r="V26" s="72" t="s">
        <v>159</v>
      </c>
      <c r="X26" s="15"/>
      <c r="Y26" s="15">
        <f>W25*Y23</f>
        <v>513</v>
      </c>
    </row>
    <row r="27" spans="15:27" x14ac:dyDescent="0.2">
      <c r="V27" s="72" t="s">
        <v>160</v>
      </c>
      <c r="X27" s="15"/>
      <c r="Y27" s="15">
        <f>Y24*W25</f>
        <v>2831155712</v>
      </c>
    </row>
    <row r="28" spans="15:27" ht="32" x14ac:dyDescent="0.2">
      <c r="S28" s="72" t="s">
        <v>161</v>
      </c>
      <c r="T28" s="72">
        <v>30</v>
      </c>
      <c r="V28" s="72" t="s">
        <v>25</v>
      </c>
      <c r="W28" s="15">
        <f>1/T28</f>
        <v>3.3333333333333333E-2</v>
      </c>
      <c r="X28" s="15"/>
    </row>
    <row r="29" spans="15:27" ht="48" x14ac:dyDescent="0.2">
      <c r="V29" s="72" t="s">
        <v>162</v>
      </c>
      <c r="X29" s="15"/>
      <c r="Y29" s="32">
        <f>Y27*T25/W28</f>
        <v>1358954741760</v>
      </c>
      <c r="Z29" s="22">
        <f>(32+1)/64</f>
        <v>0.515625</v>
      </c>
      <c r="AA29" s="72" t="s">
        <v>58</v>
      </c>
    </row>
    <row r="31" spans="15:27" ht="32" x14ac:dyDescent="0.2">
      <c r="V31" s="72" t="s">
        <v>10</v>
      </c>
      <c r="X31" s="15">
        <f>X21*W25/W28</f>
        <v>84934656090</v>
      </c>
    </row>
  </sheetData>
  <mergeCells count="2">
    <mergeCell ref="S4:V4"/>
    <mergeCell ref="O23:P23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2150-5ADA-E545-9617-81B9093D38F9}">
  <dimension ref="D4:AB42"/>
  <sheetViews>
    <sheetView topLeftCell="A4" workbookViewId="0">
      <selection activeCell="W42" sqref="W42:Y42"/>
    </sheetView>
  </sheetViews>
  <sheetFormatPr baseColWidth="10" defaultRowHeight="16" x14ac:dyDescent="0.2"/>
  <cols>
    <col min="1" max="4" width="10.83203125" style="72"/>
    <col min="5" max="7" width="11" style="72" bestFit="1" customWidth="1"/>
    <col min="8" max="9" width="10.83203125" style="72"/>
    <col min="10" max="18" width="11" style="72" bestFit="1" customWidth="1"/>
    <col min="19" max="19" width="11" style="72" customWidth="1"/>
    <col min="20" max="24" width="11" style="72" bestFit="1" customWidth="1"/>
    <col min="25" max="25" width="14.6640625" style="72" bestFit="1" customWidth="1"/>
    <col min="26" max="26" width="12" style="72" bestFit="1" customWidth="1"/>
    <col min="27" max="28" width="11" style="72" bestFit="1" customWidth="1"/>
    <col min="29" max="29" width="11.6640625" style="72" bestFit="1" customWidth="1"/>
    <col min="30" max="16384" width="10.83203125" style="72"/>
  </cols>
  <sheetData>
    <row r="4" spans="4:28" ht="32" x14ac:dyDescent="0.2">
      <c r="T4" s="77" t="s">
        <v>76</v>
      </c>
      <c r="U4" s="78"/>
      <c r="V4" s="79"/>
      <c r="W4" s="80"/>
      <c r="X4" s="3"/>
      <c r="Z4" s="72" t="s">
        <v>155</v>
      </c>
      <c r="AA4" s="72" t="s">
        <v>1</v>
      </c>
    </row>
    <row r="5" spans="4:28" ht="32" x14ac:dyDescent="0.2">
      <c r="E5" s="12" t="s">
        <v>0</v>
      </c>
      <c r="F5" s="70" t="s">
        <v>1</v>
      </c>
      <c r="G5" s="71" t="s">
        <v>2</v>
      </c>
      <c r="H5" s="3"/>
      <c r="I5" s="3"/>
      <c r="J5" s="72" t="s">
        <v>151</v>
      </c>
      <c r="K5" s="12" t="s">
        <v>4</v>
      </c>
      <c r="L5" s="71" t="s">
        <v>5</v>
      </c>
      <c r="M5" s="3" t="s">
        <v>156</v>
      </c>
      <c r="N5" s="3" t="s">
        <v>43</v>
      </c>
      <c r="O5" s="11" t="s">
        <v>6</v>
      </c>
      <c r="P5" s="11"/>
      <c r="Q5" s="11" t="s">
        <v>37</v>
      </c>
      <c r="R5" s="12" t="s">
        <v>152</v>
      </c>
      <c r="S5" s="12"/>
      <c r="T5" s="12" t="s">
        <v>26</v>
      </c>
      <c r="U5" s="70" t="s">
        <v>7</v>
      </c>
      <c r="V5" s="70" t="s">
        <v>8</v>
      </c>
      <c r="W5" s="71" t="s">
        <v>153</v>
      </c>
      <c r="X5" s="71" t="s">
        <v>16</v>
      </c>
      <c r="Y5" s="11" t="s">
        <v>154</v>
      </c>
      <c r="AA5" s="72" t="s">
        <v>17</v>
      </c>
      <c r="AB5" s="72" t="s">
        <v>157</v>
      </c>
    </row>
    <row r="6" spans="4:28" x14ac:dyDescent="0.2">
      <c r="D6" s="8" t="s">
        <v>3</v>
      </c>
      <c r="E6" s="2">
        <v>1280</v>
      </c>
      <c r="F6" s="3">
        <v>720</v>
      </c>
      <c r="G6" s="4">
        <v>3</v>
      </c>
      <c r="H6" s="3"/>
      <c r="I6" s="3"/>
      <c r="K6" s="2"/>
      <c r="L6" s="4"/>
      <c r="M6" s="3"/>
      <c r="N6" s="3"/>
      <c r="O6" s="9">
        <f>E6*F6*G6</f>
        <v>2764800</v>
      </c>
      <c r="Q6" s="9">
        <f>E6*F6*G6</f>
        <v>2764800</v>
      </c>
      <c r="R6" s="2"/>
      <c r="S6" s="2"/>
      <c r="T6" s="73"/>
      <c r="U6" s="74"/>
      <c r="V6" s="58"/>
      <c r="W6" s="75"/>
      <c r="X6" s="75"/>
      <c r="Y6" s="9"/>
    </row>
    <row r="7" spans="4:28" x14ac:dyDescent="0.2">
      <c r="D7" s="9"/>
      <c r="E7" s="2"/>
      <c r="F7" s="3"/>
      <c r="G7" s="4"/>
      <c r="H7" s="3"/>
      <c r="I7" s="3"/>
      <c r="K7" s="2"/>
      <c r="L7" s="4"/>
      <c r="M7" s="3"/>
      <c r="N7" s="3"/>
      <c r="O7" s="9"/>
      <c r="Q7" s="9"/>
      <c r="R7" s="2"/>
      <c r="S7" s="2"/>
      <c r="T7" s="73"/>
      <c r="U7" s="58"/>
      <c r="V7" s="58"/>
      <c r="W7" s="75"/>
      <c r="X7" s="75"/>
      <c r="Y7" s="9"/>
    </row>
    <row r="8" spans="4:28" x14ac:dyDescent="0.2">
      <c r="D8" s="9" t="s">
        <v>14</v>
      </c>
      <c r="E8" s="3">
        <f>IF($D8="conv",CEILING(E6/$J8,1),IF($D8="pool",CEILING(E6/K8,1),IF($D8="ae",CEILING(E6/$J8,1),0)))</f>
        <v>320</v>
      </c>
      <c r="F8" s="3">
        <f>IF($D8="conv",CEILING(F6/$J8,1),IF($D8="pool",CEILING(F6/L8,1),IF($D8="ae",0,0)))</f>
        <v>180</v>
      </c>
      <c r="G8" s="4">
        <f>G6</f>
        <v>3</v>
      </c>
      <c r="H8" s="3"/>
      <c r="I8" s="3"/>
      <c r="J8" s="72">
        <v>4</v>
      </c>
      <c r="K8" s="2">
        <v>4</v>
      </c>
      <c r="L8" s="4">
        <v>4</v>
      </c>
      <c r="M8" s="3">
        <v>1</v>
      </c>
      <c r="N8" s="3">
        <f>K8*L8*G6</f>
        <v>48</v>
      </c>
      <c r="O8" s="9">
        <f>E8*F8*G8</f>
        <v>172800</v>
      </c>
      <c r="Q8" s="9">
        <f>E8*F8*G8</f>
        <v>172800</v>
      </c>
      <c r="R8" s="2">
        <f>G8</f>
        <v>3</v>
      </c>
      <c r="S8" s="2"/>
      <c r="T8" s="73">
        <f>IF($D8="conv",K8*L8*G6*G8,(IF($D8="fully",E6*F6*G6*E8*F8*G8,(IF($D8="ae",K8*L8*M8*E8*F8*G8,0)))))</f>
        <v>0</v>
      </c>
      <c r="U8" s="58">
        <f>IF(D8="Conv",K8*L8*M8*E8*F8*G8,IF(D8="fully",K8*L8*G6*E8*F8,0))</f>
        <v>0</v>
      </c>
      <c r="V8" s="58">
        <f>IF(D8="conv",K8*L8*M8*E8*F8*G8-1,IF(D8="fully",K8*L8*G6*E8*F8-1,(IF($D8="pool",K8*L8*E8*F8*G8,0))))</f>
        <v>2764800</v>
      </c>
      <c r="W8" s="75">
        <f>IF(D8="pool",K8*L8,0)</f>
        <v>16</v>
      </c>
      <c r="X8" s="75">
        <f>U8+V8</f>
        <v>2764800</v>
      </c>
      <c r="Y8" s="16">
        <f>(U8+V8+W8)</f>
        <v>2764816</v>
      </c>
      <c r="AA8" s="15">
        <f>IF($D8="conv",$G8*($K8*$L8*$M8+$K8*$L8*$M8+($K8-$J8)*($L8-$J8)*$M8*($E8-1)*($F8-1)),IF($D8="pool",$K8*$L8*$E8*$F8*$G8,IF($D8="fully",$E6*$F6*$G6*$E8*$F8*$G8,(IF($D8="ae",$G8*($K8*$L8*$M8*$E8*$F8+$K8*$L8*$M8+($K8-$J8)*($L8-$J8)*$M8*($E8-1)*($F8-1)),0)))))</f>
        <v>2764800</v>
      </c>
      <c r="AB8" s="15">
        <f>IF($D8="conv",$G8*$E8*$F8,IF($D8="pool",$G8*$E8*$F8,IF($D8="fully",$G8*$E8*$F8,0)))</f>
        <v>172800</v>
      </c>
    </row>
    <row r="9" spans="4:28" x14ac:dyDescent="0.2">
      <c r="D9" s="9"/>
      <c r="E9" s="2"/>
      <c r="F9" s="3"/>
      <c r="G9" s="4"/>
      <c r="H9" s="3"/>
      <c r="I9" s="3"/>
      <c r="K9" s="2"/>
      <c r="L9" s="4"/>
      <c r="M9" s="3"/>
      <c r="N9" s="3"/>
      <c r="O9" s="9"/>
      <c r="Q9" s="9"/>
      <c r="R9" s="2"/>
      <c r="S9" s="2"/>
      <c r="T9" s="73"/>
      <c r="U9" s="58"/>
      <c r="V9" s="58"/>
      <c r="W9" s="75"/>
      <c r="X9" s="75"/>
      <c r="Y9" s="16"/>
      <c r="AA9" s="15"/>
    </row>
    <row r="10" spans="4:28" x14ac:dyDescent="0.2">
      <c r="D10" s="9" t="s">
        <v>167</v>
      </c>
      <c r="E10" s="3">
        <f>IF($D10="conv",CEILING(E8/$J10,1),IF($D10="pool",CEILING(E8/K10,1),IF($D10="ae",CEILING(E8/$J10,1),0)))</f>
        <v>80</v>
      </c>
      <c r="F10" s="3">
        <f>IF($D10="conv",CEILING(F8/$J10,1),IF($D10="pool",CEILING(F8/L10,1),IF($D10="ae",CEILING(F8/$J10,1),0)))</f>
        <v>45</v>
      </c>
      <c r="G10" s="4">
        <v>24</v>
      </c>
      <c r="H10" s="3"/>
      <c r="I10" s="3"/>
      <c r="J10" s="72">
        <v>4</v>
      </c>
      <c r="K10" s="2">
        <v>11</v>
      </c>
      <c r="L10" s="4">
        <v>11</v>
      </c>
      <c r="M10" s="3">
        <f>G8</f>
        <v>3</v>
      </c>
      <c r="N10" s="3">
        <f>K10*L10*G8</f>
        <v>363</v>
      </c>
      <c r="O10" s="9">
        <f>E10*F10*G10</f>
        <v>86400</v>
      </c>
      <c r="Q10" s="9">
        <f>E10*F10*G10</f>
        <v>86400</v>
      </c>
      <c r="R10" s="2">
        <f t="shared" ref="R10:R22" si="0">G10</f>
        <v>24</v>
      </c>
      <c r="S10" s="2"/>
      <c r="T10" s="73">
        <f>IF($D10="conv",K10*L10*G8*G10,(IF($D10="fully",E8*F8*G8*E10*F10*G10,(IF($D10="ae",K10*L10*M10*E10*F10*G10,0)))))</f>
        <v>31363200</v>
      </c>
      <c r="U10" s="58">
        <f>IF(D10="Conv",K10*L10*M10*E10*F10*G10,IF(D10="fully",K10*L10*G8*E10*F10,0))</f>
        <v>0</v>
      </c>
      <c r="V10" s="58">
        <f>IF(D10="conv",K10*L10*M10*E10*F10*G10-1,IF(D10="fully",K10*L10*G8*E10*F10-1,(IF($D10="pool",K10*L10*E10*F10*G10,0))))</f>
        <v>0</v>
      </c>
      <c r="W10" s="75">
        <f>IF(D10="pool",E10*F10*G10,0)</f>
        <v>0</v>
      </c>
      <c r="X10" s="75">
        <f>U10+V10</f>
        <v>0</v>
      </c>
      <c r="Y10" s="16">
        <f>(U10+V10+W10)</f>
        <v>0</v>
      </c>
      <c r="AA10" s="15">
        <f>IF($D10="conv",$G10*($K10*$L10*$M10+$K10*$L10*$M10+($K10-$J10)*($L10-$J10)*$M10*($E10-1)*($F10-1)),IF($D10="pool",$K10*$L10*$E10*$F10*$G10,IF($D10="fully",$E8*$F8*$G8*$E10*$F10*$G10,(IF($D10="ae",$G10*($K10*$L10*$M10*$E10*$F10+$K10*$L10*$M10+($K10-$J10)*($L10-$J10)*$M10*($E10-1)*($F10-1)),0)))))</f>
        <v>43635240</v>
      </c>
      <c r="AB10" s="15">
        <f>IF($D10="conv",$G10*$E10*$F10,IF($D10="pool",$G10*$E10*$F10,IF($D10="fully",$G10*$E10*$F10,0)))</f>
        <v>0</v>
      </c>
    </row>
    <row r="11" spans="4:28" x14ac:dyDescent="0.2">
      <c r="D11" s="9"/>
      <c r="E11" s="2"/>
      <c r="F11" s="3"/>
      <c r="G11" s="4"/>
      <c r="H11" s="3"/>
      <c r="I11" s="3"/>
      <c r="K11" s="2"/>
      <c r="L11" s="4"/>
      <c r="M11" s="3"/>
      <c r="N11" s="3"/>
      <c r="O11" s="9"/>
      <c r="Q11" s="9"/>
      <c r="R11" s="2"/>
      <c r="S11" s="2"/>
      <c r="T11" s="73"/>
      <c r="U11" s="58"/>
      <c r="V11" s="58"/>
      <c r="W11" s="75"/>
      <c r="X11" s="75"/>
      <c r="Y11" s="16"/>
      <c r="AA11" s="15"/>
    </row>
    <row r="12" spans="4:28" x14ac:dyDescent="0.2">
      <c r="D12" s="9" t="s">
        <v>14</v>
      </c>
      <c r="E12" s="3">
        <f>IF($D12="conv",CEILING(E10/$J12,1),CEILING(E10/K12,1))</f>
        <v>40</v>
      </c>
      <c r="F12" s="3">
        <f>IF($D12="conv",CEILING(F10/$J12,1),CEILING(F10/L12,1))</f>
        <v>23</v>
      </c>
      <c r="G12" s="4">
        <v>32</v>
      </c>
      <c r="H12" s="3"/>
      <c r="I12" s="3"/>
      <c r="J12" s="72">
        <v>2</v>
      </c>
      <c r="K12" s="2">
        <v>2</v>
      </c>
      <c r="L12" s="4">
        <v>2</v>
      </c>
      <c r="M12" s="3">
        <v>1</v>
      </c>
      <c r="N12" s="3">
        <f>K12*L12*G10</f>
        <v>96</v>
      </c>
      <c r="O12" s="9">
        <f>E12*F12*G12</f>
        <v>29440</v>
      </c>
      <c r="Q12" s="9">
        <f>E12*F12*G12</f>
        <v>29440</v>
      </c>
      <c r="R12" s="2">
        <f t="shared" si="0"/>
        <v>32</v>
      </c>
      <c r="S12" s="2"/>
      <c r="T12" s="73">
        <f>IF($D12="conv",K12*L12*G10*G12,(IF($D12="fully",E10*F10*G10*E12*F12*G12,(IF($D12="ae",K12*L12*M12*E12*F12*G12,0)))))</f>
        <v>0</v>
      </c>
      <c r="U12" s="58">
        <f>IF(D12="Conv",K12*L12*M12*E12*F12*G12,IF(D12="fully",K12*L12*G10*E12*F12,0))</f>
        <v>0</v>
      </c>
      <c r="V12" s="58">
        <f>IF(D12="conv",K12*L12*M12*E12*F12*G12-1,IF(D12="fully",K12*L12*G10*E12*F12-1,(IF($D12="pool",K12*L12*E12*F12*G12,0))))</f>
        <v>117760</v>
      </c>
      <c r="W12" s="75">
        <f>IF(D12="pool",K12*L12,0)</f>
        <v>4</v>
      </c>
      <c r="X12" s="75">
        <f>U12+V12</f>
        <v>117760</v>
      </c>
      <c r="Y12" s="16">
        <f>(U12+V12+W12)</f>
        <v>117764</v>
      </c>
      <c r="AA12" s="15">
        <f>IF($D12="conv",$G12*($K12*$L12*$M12+$K12*$L12*$M12+($K12-$J12)*($L12-$J12)*$M12*($E12-1)*($F12-1)),IF($D12="pool",$K12*$L12*$E12*$F12*$G12,IF($D12="fully",$E10*$F10*$G10*$E12*$F12*$G12,(IF($D12="ae",$G12*($K12*$L12*$M12*$E12*$F12+$K12*$L12*$M12+($K12-$J12)*($L12-$J12)*$M12*($E12-1)*($F12-1)),0)))))</f>
        <v>117760</v>
      </c>
      <c r="AB12" s="15">
        <f>IF($D12="conv",$G12*$E12*$F12,IF($D12="pool",$G12*$E12*$F12,IF($D12="fully",$G12*$E12*$F12,0)))</f>
        <v>29440</v>
      </c>
    </row>
    <row r="13" spans="4:28" x14ac:dyDescent="0.2">
      <c r="D13" s="9"/>
      <c r="E13" s="2"/>
      <c r="F13" s="3"/>
      <c r="G13" s="4"/>
      <c r="H13" s="3"/>
      <c r="I13" s="3"/>
      <c r="K13" s="2"/>
      <c r="L13" s="4"/>
      <c r="M13" s="3"/>
      <c r="N13" s="3"/>
      <c r="O13" s="9"/>
      <c r="Q13" s="9"/>
      <c r="R13" s="2"/>
      <c r="S13" s="2"/>
      <c r="T13" s="73"/>
      <c r="U13" s="58"/>
      <c r="V13" s="58"/>
      <c r="W13" s="75"/>
      <c r="X13" s="75"/>
      <c r="Y13" s="16"/>
      <c r="AA13" s="15"/>
    </row>
    <row r="14" spans="4:28" x14ac:dyDescent="0.2">
      <c r="D14" s="9" t="s">
        <v>167</v>
      </c>
      <c r="E14" s="3">
        <f>IF($D14="conv",CEILING(E12/$J14,1),CEILING(E12/K14,1))</f>
        <v>8</v>
      </c>
      <c r="F14" s="3">
        <f>IF($D14="conv",CEILING(F12/$J14,1),CEILING(F12/L14,1))</f>
        <v>5</v>
      </c>
      <c r="G14" s="4">
        <v>32</v>
      </c>
      <c r="H14" s="3"/>
      <c r="I14" s="3"/>
      <c r="J14" s="72">
        <v>4</v>
      </c>
      <c r="K14" s="2">
        <v>5</v>
      </c>
      <c r="L14" s="4">
        <v>5</v>
      </c>
      <c r="M14" s="3">
        <f>G12</f>
        <v>32</v>
      </c>
      <c r="N14" s="3">
        <f>K14*L14*G12</f>
        <v>800</v>
      </c>
      <c r="O14" s="9">
        <f>E14*F14*G14</f>
        <v>1280</v>
      </c>
      <c r="Q14" s="9">
        <f>E14*F14*G14</f>
        <v>1280</v>
      </c>
      <c r="R14" s="2">
        <f t="shared" ref="R14" si="1">G14</f>
        <v>32</v>
      </c>
      <c r="S14" s="2"/>
      <c r="T14" s="73">
        <f>IF($D14="conv",K14*L14*G12*G14,(IF($D14="fully",E12*F12*G12*E14*F14*G14,(IF($D14="ae",K14*L14*M14*E14*F14*G14,0)))))</f>
        <v>1024000</v>
      </c>
      <c r="U14" s="58">
        <f>IF(D14="Conv",K14*L14*M14*E14*F14*G14,IF(D14="fully",K14*L14*G12*E14*F14,0))</f>
        <v>0</v>
      </c>
      <c r="V14" s="58">
        <f>IF(D14="conv",K14*L14*M14*E14*F14*G14-1,IF(D14="fully",K14*L14*G12*E14*F14-1,(IF($D14="pool",K14*L14*E14*F14*G14,0))))</f>
        <v>0</v>
      </c>
      <c r="W14" s="75">
        <f>IF(D14="pool",K14*L14,0)</f>
        <v>0</v>
      </c>
      <c r="X14" s="75">
        <f>U14+V14</f>
        <v>0</v>
      </c>
      <c r="Y14" s="16">
        <f>(U14+V14+W14)</f>
        <v>0</v>
      </c>
      <c r="AA14" s="15">
        <f>IF($D14="conv",$G14*($K14*$L14*$M14+$K14*$L14*$M14+($K14-$J14)*($L14-$J14)*$M14*($E14-1)*($F14-1)),IF($D14="pool",$K14*$L14*$E14*$F14*$G14,IF($D14="fully",$E12*$F12*$G12*$E14*$F14*$G14,(IF($D14="ae",$G14*($K14*$L14*$M14*$E14*$F14+$K14*$L14*$M14+($K14-$J14)*($L14-$J14)*$M14*($E14-1)*($F14-1)),0)))))</f>
        <v>1078272</v>
      </c>
      <c r="AB14" s="15">
        <f>IF($D14="conv",$G14*$E14*$F14,IF($D14="pool",$G14*$E14*$F14,IF($D14="fully",$G14*$E14*$F14,0)))</f>
        <v>0</v>
      </c>
    </row>
    <row r="15" spans="4:28" x14ac:dyDescent="0.2">
      <c r="D15" s="9"/>
      <c r="E15" s="2"/>
      <c r="F15" s="3"/>
      <c r="G15" s="4"/>
      <c r="H15" s="3"/>
      <c r="I15" s="3"/>
      <c r="K15" s="2"/>
      <c r="L15" s="4"/>
      <c r="M15" s="3"/>
      <c r="N15" s="3"/>
      <c r="O15" s="9"/>
      <c r="Q15" s="9"/>
      <c r="R15" s="2"/>
      <c r="S15" s="2"/>
      <c r="T15" s="73"/>
      <c r="U15" s="58"/>
      <c r="V15" s="58"/>
      <c r="W15" s="75"/>
      <c r="X15" s="75"/>
      <c r="Y15" s="16"/>
      <c r="AA15" s="15"/>
    </row>
    <row r="16" spans="4:28" x14ac:dyDescent="0.2">
      <c r="D16" s="9" t="s">
        <v>167</v>
      </c>
      <c r="E16" s="3">
        <f>IF($D16="conv",CEILING(E14/$J16,1),CEILING(E14/K16,1))</f>
        <v>3</v>
      </c>
      <c r="F16" s="3">
        <f>IF($D16="conv",CEILING(F14/$J16,1),CEILING(F14/L16,1))</f>
        <v>2</v>
      </c>
      <c r="G16" s="4">
        <v>64</v>
      </c>
      <c r="H16" s="3"/>
      <c r="I16" s="3"/>
      <c r="J16" s="72">
        <v>2</v>
      </c>
      <c r="K16" s="2">
        <v>3</v>
      </c>
      <c r="L16" s="4">
        <v>3</v>
      </c>
      <c r="M16" s="3">
        <f>G14</f>
        <v>32</v>
      </c>
      <c r="N16" s="3">
        <f>K16*L16*G14</f>
        <v>288</v>
      </c>
      <c r="O16" s="9">
        <f>E16*F16*G16</f>
        <v>384</v>
      </c>
      <c r="Q16" s="9">
        <f>E16*F16*G16</f>
        <v>384</v>
      </c>
      <c r="R16" s="2">
        <f t="shared" si="0"/>
        <v>64</v>
      </c>
      <c r="S16" s="2"/>
      <c r="T16" s="73">
        <f>IF($D16="conv",K16*L16*G14*G16,(IF($D16="fully",E14*F14*G14*E16*F16*G16,(IF($D16="ae",K16*L16*M16*E16*F16*G16,0)))))</f>
        <v>110592</v>
      </c>
      <c r="U16" s="58">
        <f>IF(D16="Conv",K16*L16*M16*E16*F16*G16,IF(D16="fully",K16*L16*G14*E16*F16,0))</f>
        <v>0</v>
      </c>
      <c r="V16" s="58">
        <f>IF(D16="conv",K16*L16*M16*E16*F16*G16-1,IF(D16="fully",K16*L16*G14*E16*F16-1,(IF($D16="pool",K16*L16*E16*F16*G16,0))))</f>
        <v>0</v>
      </c>
      <c r="W16" s="75">
        <f>IF(D16="pool",K16*L16,0)</f>
        <v>0</v>
      </c>
      <c r="X16" s="75">
        <f>U16+V16</f>
        <v>0</v>
      </c>
      <c r="Y16" s="16">
        <f>(U16+V16+W16)</f>
        <v>0</v>
      </c>
      <c r="AA16" s="15">
        <f>IF($D16="conv",$G16*($K16*$L16*$M16+$K16*$L16*$M16+($K16-$J16)*($L16-$J16)*$M16*($E16-1)*($F16-1)),IF($D16="pool",$K16*$L16*$E16*$F16*$G16,IF($D16="fully",$E14*$F14*$G14*$E16*$F16*$G16,(IF($D16="ae",$G16*($K16*$L16*$M16*$E16*$F16+$K16*$L16*$M16+($K16-$J16)*($L16-$J16)*$M16*($E16-1)*($F16-1)),0)))))</f>
        <v>133120</v>
      </c>
      <c r="AB16" s="15">
        <f>IF($D16="conv",$G16*$E16*$F16,IF($D16="pool",$G16*$E16*$F16,IF($D16="fully",$G16*$E16*$F16,0)))</f>
        <v>0</v>
      </c>
    </row>
    <row r="17" spans="4:28" x14ac:dyDescent="0.2">
      <c r="D17" s="9"/>
      <c r="E17" s="2"/>
      <c r="F17" s="3"/>
      <c r="G17" s="4"/>
      <c r="H17" s="3"/>
      <c r="I17" s="3"/>
      <c r="K17" s="2"/>
      <c r="L17" s="4"/>
      <c r="M17" s="3"/>
      <c r="N17" s="3"/>
      <c r="O17" s="9"/>
      <c r="Q17" s="9"/>
      <c r="R17" s="2"/>
      <c r="S17" s="2"/>
      <c r="T17" s="73"/>
      <c r="U17" s="58"/>
      <c r="V17" s="58"/>
      <c r="W17" s="75"/>
      <c r="X17" s="75"/>
      <c r="Y17" s="16"/>
      <c r="AA17" s="15"/>
    </row>
    <row r="18" spans="4:28" x14ac:dyDescent="0.2">
      <c r="D18" s="9" t="s">
        <v>15</v>
      </c>
      <c r="E18" s="2">
        <v>1</v>
      </c>
      <c r="F18" s="3">
        <v>1024</v>
      </c>
      <c r="G18" s="4">
        <v>1</v>
      </c>
      <c r="H18" s="3"/>
      <c r="I18" s="3"/>
      <c r="K18" s="2">
        <f>E16</f>
        <v>3</v>
      </c>
      <c r="L18" s="4">
        <f>F16</f>
        <v>2</v>
      </c>
      <c r="M18" s="3">
        <f>G16</f>
        <v>64</v>
      </c>
      <c r="N18" s="3">
        <f>K18*L18*G16</f>
        <v>384</v>
      </c>
      <c r="O18" s="9">
        <f>E18*F18*G18</f>
        <v>1024</v>
      </c>
      <c r="Q18" s="9">
        <f>E18*F18*G18</f>
        <v>1024</v>
      </c>
      <c r="R18" s="2">
        <f t="shared" si="0"/>
        <v>1</v>
      </c>
      <c r="S18" s="2"/>
      <c r="T18" s="73">
        <f>IF($D18="conv",K18*L18*G16*G18,(IF($D18="fully",E16*F16*G16*E18*F18*G18,(IF($D18="ae",K18*L18*M18*E18*F18*G18,0)))))</f>
        <v>393216</v>
      </c>
      <c r="U18" s="58">
        <f>IF(D18="Conv",K18*L18*M18*E18*F18*G18,IF(D18="fully",K18*L18*G16*E18*F18,0))</f>
        <v>393216</v>
      </c>
      <c r="V18" s="58">
        <f>IF(D18="conv",K18*L18*M18*E18*F18*G18-1,IF(D18="fully",K18*L18*G16*E18*F18-1,(IF($D18="pool",K18*L18*E18*F18*G18,0))))</f>
        <v>393215</v>
      </c>
      <c r="W18" s="75">
        <f>IF(D18="pool",K18*L18,0)</f>
        <v>0</v>
      </c>
      <c r="X18" s="75">
        <f>U18+V18</f>
        <v>786431</v>
      </c>
      <c r="Y18" s="16">
        <f>(U18+V18+W18)</f>
        <v>786431</v>
      </c>
      <c r="AA18" s="15">
        <f>IF($D18="conv",$G18*($K18*$L18*$M18+$K18*$L18*$M18+($K18-$J18)*($L18-$J18)*$M18*($E18-1)*($F18-1)),IF($D18="pool",$K18*$L18*$E18*$F18*$G18,IF($D18="fully",$E16*$F16*$G16*$E18*$F18*$G18,(IF($D18="ae",$G18*($K18*$L18*$M18*$E18*$F18+$K18*$L18*$M18+($K18-$J18)*($L18-$J18)*$M18*($E18-1)*($F18-1)),0)))))</f>
        <v>393216</v>
      </c>
      <c r="AB18" s="15">
        <f>IF($D18="conv",$G18*$E18*$F18,IF($D18="pool",$G18*$E18*$F18,IF($D18="fully",$G18*$E18*$F18,0)))</f>
        <v>1024</v>
      </c>
    </row>
    <row r="19" spans="4:28" x14ac:dyDescent="0.2">
      <c r="D19" s="9"/>
      <c r="E19" s="2"/>
      <c r="F19" s="3"/>
      <c r="G19" s="4"/>
      <c r="H19" s="3"/>
      <c r="I19" s="3"/>
      <c r="K19" s="2"/>
      <c r="L19" s="4"/>
      <c r="M19" s="3"/>
      <c r="N19" s="3"/>
      <c r="O19" s="9"/>
      <c r="Q19" s="9"/>
      <c r="R19" s="2"/>
      <c r="S19" s="2"/>
      <c r="T19" s="73"/>
      <c r="U19" s="58"/>
      <c r="V19" s="58"/>
      <c r="W19" s="75"/>
      <c r="X19" s="75"/>
      <c r="Y19" s="16"/>
      <c r="AA19" s="15"/>
    </row>
    <row r="20" spans="4:28" x14ac:dyDescent="0.2">
      <c r="D20" s="9" t="s">
        <v>15</v>
      </c>
      <c r="E20" s="2">
        <v>1</v>
      </c>
      <c r="F20" s="3">
        <v>1</v>
      </c>
      <c r="G20" s="4">
        <v>1</v>
      </c>
      <c r="H20" s="3"/>
      <c r="I20" s="3"/>
      <c r="K20" s="2">
        <v>1</v>
      </c>
      <c r="L20" s="4">
        <v>4096</v>
      </c>
      <c r="M20" s="3">
        <f>G18</f>
        <v>1</v>
      </c>
      <c r="N20" s="3">
        <f>K20*L20*G18</f>
        <v>4096</v>
      </c>
      <c r="O20" s="9">
        <f>E20*F20*G20</f>
        <v>1</v>
      </c>
      <c r="Q20" s="9">
        <f>E20*F20*G20</f>
        <v>1</v>
      </c>
      <c r="R20" s="2">
        <f t="shared" si="0"/>
        <v>1</v>
      </c>
      <c r="S20" s="2"/>
      <c r="T20" s="73">
        <f>IF($D20="conv",K20*L20*G18*G20,(IF($D20="fully",E18*F18*G18*E20*F20*G20,(IF($D20="ae",K20*L20*M20*E20*F20*G20,0)))))</f>
        <v>1024</v>
      </c>
      <c r="U20" s="58">
        <f>IF(D20="Conv",K20*L20*M20*E20*F20*G20,IF(D20="fully",K20*L20*G18*E20*F20,0))</f>
        <v>4096</v>
      </c>
      <c r="V20" s="58">
        <f>IF(D20="conv",K20*L20*M20*E20*F20*G20-1,IF(D20="fully",K20*L20*G18*E20*F20-1,(IF($D20="pool",K20*L20*E20*F20*G20,0))))</f>
        <v>4095</v>
      </c>
      <c r="W20" s="75">
        <f>IF(D20="pool",K20*L20,0)</f>
        <v>0</v>
      </c>
      <c r="X20" s="75">
        <f>U20+V20</f>
        <v>8191</v>
      </c>
      <c r="Y20" s="16">
        <f>(U20+V20+W20)</f>
        <v>8191</v>
      </c>
      <c r="AA20" s="15">
        <f>IF($D20="conv",$G20*($K20*$L20*$M20+$K20*$L20*$M20+($K20-$J20)*($L20-$J20)*$M20*($E20-1)*($F20-1)),IF($D20="pool",$K20*$L20*$E20*$F20*$G20,IF($D20="fully",$E18*$F18*$G18*$E20*$F20*$G20,(IF($D20="ae",$G20*($K20*$L20*$M20*$E20*$F20+$K20*$L20*$M20+($K20-$J20)*($L20-$J20)*$M20*($E20-1)*($F20-1)),0)))))</f>
        <v>1024</v>
      </c>
      <c r="AB20" s="15">
        <f>IF($D20="conv",$G20*$E20*$F20,IF($D20="pool",$G20*$E20*$F20,IF($D20="fully",$G20*$E20*$F20,0)))</f>
        <v>1</v>
      </c>
    </row>
    <row r="21" spans="4:28" x14ac:dyDescent="0.2">
      <c r="D21" s="9"/>
      <c r="E21" s="2"/>
      <c r="F21" s="3"/>
      <c r="G21" s="4"/>
      <c r="H21" s="3"/>
      <c r="I21" s="3"/>
      <c r="K21" s="2"/>
      <c r="L21" s="4"/>
      <c r="M21" s="3"/>
      <c r="N21" s="3"/>
      <c r="O21" s="9"/>
      <c r="Q21" s="9"/>
      <c r="R21" s="2"/>
      <c r="S21" s="2"/>
      <c r="T21" s="73"/>
      <c r="U21" s="58"/>
      <c r="V21" s="58"/>
      <c r="W21" s="75"/>
      <c r="X21" s="75"/>
      <c r="Y21" s="16"/>
      <c r="AA21" s="15"/>
    </row>
    <row r="22" spans="4:28" x14ac:dyDescent="0.2">
      <c r="D22" s="10" t="s">
        <v>15</v>
      </c>
      <c r="E22" s="5">
        <v>1</v>
      </c>
      <c r="F22" s="6">
        <v>1000</v>
      </c>
      <c r="G22" s="7">
        <v>1</v>
      </c>
      <c r="H22" s="3"/>
      <c r="I22" s="3"/>
      <c r="K22" s="5">
        <v>1</v>
      </c>
      <c r="L22" s="7">
        <v>4096</v>
      </c>
      <c r="M22" s="3">
        <f>G20</f>
        <v>1</v>
      </c>
      <c r="N22" s="3">
        <f>K22*L22*G20</f>
        <v>4096</v>
      </c>
      <c r="O22" s="10">
        <f>E22*F22*G22</f>
        <v>1000</v>
      </c>
      <c r="P22" s="7"/>
      <c r="Q22" s="10">
        <f>E22*F22*G22</f>
        <v>1000</v>
      </c>
      <c r="R22" s="2">
        <f t="shared" si="0"/>
        <v>1</v>
      </c>
      <c r="S22" s="2"/>
      <c r="T22" s="73">
        <f>IF($D22="conv",K22*L22*G20*G22,(IF($D22="fully",E20*F20*G20*E22*F22*G22,(IF($D22="ae",K22*L22*M22*E22*F22*G22,0)))))</f>
        <v>1000</v>
      </c>
      <c r="U22" s="58">
        <f>IF(D22="Conv",K22*L22*M22*E22*F22*G22,IF(D22="fully",K22*L22*G20*E22*F22,0))</f>
        <v>4096000</v>
      </c>
      <c r="V22" s="58">
        <f>IF(D22="conv",K22*L22*M22*E22*F22*G22-1,IF(D22="fully",K22*L22*G20*E22*F22-1,(IF($D22="pool",K22*L22*E22*F22*G22,0))))</f>
        <v>4095999</v>
      </c>
      <c r="W22" s="76">
        <f>IF(D22="pool",K22*L22,0)</f>
        <v>0</v>
      </c>
      <c r="X22" s="75">
        <f>U22+V22</f>
        <v>8191999</v>
      </c>
      <c r="Y22" s="16">
        <f>(U22+V22+W22)</f>
        <v>8191999</v>
      </c>
      <c r="AA22" s="15">
        <f>IF($D22="conv",$G22*($K22*$L22*$M22+$K22*$L22*$M22+($K22-$J22)*($L22-$J22)*$M22*($E22-1)*($F22-1)),IF($D22="pool",$K22*$L22*$E22*$F22*$G22,IF($D22="fully",$E20*$F20*$G20*$E22*$F22*$G22,(IF($D22="ae",$G22*($K22*$L22*$M22*$E22*$F22+$K22*$L22*$M22+($K22-$J22)*($L22-$J22)*$M22*($E22-1)*($F22-1)),0)))))</f>
        <v>1000</v>
      </c>
      <c r="AB22" s="15">
        <f>IF($D22="conv",$G22*$E22*$F22,IF($D22="pool",$G22*$E22*$F22,IF($D22="fully",$G22*$E22*$F22,0)))</f>
        <v>1000</v>
      </c>
    </row>
    <row r="23" spans="4:28" x14ac:dyDescent="0.2">
      <c r="Y23" s="15"/>
      <c r="AA23" s="15"/>
    </row>
    <row r="24" spans="4:28" x14ac:dyDescent="0.2">
      <c r="P24" s="23" t="s">
        <v>27</v>
      </c>
      <c r="Q24" s="24">
        <f>SUM(Q8:Q22)</f>
        <v>292329</v>
      </c>
      <c r="R24" s="24"/>
      <c r="S24" s="24"/>
      <c r="T24" s="24"/>
      <c r="Y24" s="15"/>
    </row>
    <row r="25" spans="4:28" ht="48" x14ac:dyDescent="0.2">
      <c r="L25" s="72" t="s">
        <v>44</v>
      </c>
      <c r="N25" s="72">
        <f>(SUM(N8:N22)-N18)/10</f>
        <v>978.7</v>
      </c>
      <c r="Q25" s="72" t="s">
        <v>23</v>
      </c>
      <c r="Y25" s="15"/>
      <c r="Z25" s="15"/>
    </row>
    <row r="26" spans="4:28" x14ac:dyDescent="0.2">
      <c r="Y26" s="15"/>
      <c r="Z26" s="15"/>
    </row>
    <row r="27" spans="4:28" x14ac:dyDescent="0.2">
      <c r="Y27" s="15"/>
      <c r="Z27" s="15"/>
    </row>
    <row r="28" spans="4:28" x14ac:dyDescent="0.2">
      <c r="Y28" s="15"/>
      <c r="Z28" s="15"/>
    </row>
    <row r="29" spans="4:28" x14ac:dyDescent="0.2">
      <c r="Y29" s="15"/>
      <c r="Z29" s="15"/>
    </row>
    <row r="30" spans="4:28" x14ac:dyDescent="0.2">
      <c r="W30" s="12" t="s">
        <v>154</v>
      </c>
      <c r="X30" s="70"/>
      <c r="Y30" s="18">
        <f>SUM(Y8:Y22)</f>
        <v>11869201</v>
      </c>
      <c r="Z30" s="15"/>
    </row>
    <row r="31" spans="4:28" x14ac:dyDescent="0.2">
      <c r="W31" s="3"/>
      <c r="X31" s="3"/>
      <c r="Y31" s="58"/>
      <c r="Z31" s="15"/>
    </row>
    <row r="32" spans="4:28" ht="32" x14ac:dyDescent="0.2">
      <c r="O32" s="86" t="s">
        <v>164</v>
      </c>
      <c r="P32" s="86"/>
      <c r="W32" s="72" t="s">
        <v>158</v>
      </c>
      <c r="Y32" s="15"/>
      <c r="Z32" s="15">
        <f>SUM(AB8:AB22)</f>
        <v>204265</v>
      </c>
    </row>
    <row r="33" spans="15:28" x14ac:dyDescent="0.2">
      <c r="O33" s="72" t="s">
        <v>163</v>
      </c>
      <c r="P33" s="72">
        <v>16</v>
      </c>
      <c r="W33" s="72" t="s">
        <v>18</v>
      </c>
      <c r="Y33" s="15"/>
      <c r="Z33" s="15">
        <f>SUM(AA8:AA22)</f>
        <v>48124432</v>
      </c>
    </row>
    <row r="34" spans="15:28" ht="48" x14ac:dyDescent="0.2">
      <c r="O34" s="72" t="s">
        <v>165</v>
      </c>
      <c r="P34" s="72">
        <v>32</v>
      </c>
      <c r="R34" s="72" t="s">
        <v>166</v>
      </c>
      <c r="T34" s="72" t="s">
        <v>163</v>
      </c>
      <c r="U34" s="72">
        <f>VLOOKUP(T34,O33:P37,2,FALSE)</f>
        <v>16</v>
      </c>
      <c r="W34" s="72" t="s">
        <v>19</v>
      </c>
      <c r="X34" s="19">
        <v>1</v>
      </c>
      <c r="Y34" s="15"/>
    </row>
    <row r="35" spans="15:28" x14ac:dyDescent="0.2">
      <c r="W35" s="72" t="s">
        <v>159</v>
      </c>
      <c r="Y35" s="15"/>
      <c r="Z35" s="15">
        <f>X34*Z32</f>
        <v>204265</v>
      </c>
    </row>
    <row r="36" spans="15:28" x14ac:dyDescent="0.2">
      <c r="W36" s="72" t="s">
        <v>160</v>
      </c>
      <c r="Y36" s="15"/>
      <c r="Z36" s="15">
        <f>Z33*X34</f>
        <v>48124432</v>
      </c>
    </row>
    <row r="37" spans="15:28" ht="32" x14ac:dyDescent="0.2">
      <c r="T37" s="72" t="s">
        <v>161</v>
      </c>
      <c r="U37" s="72">
        <v>30</v>
      </c>
      <c r="W37" s="72" t="s">
        <v>25</v>
      </c>
      <c r="X37" s="15">
        <f>1/U37</f>
        <v>3.3333333333333333E-2</v>
      </c>
      <c r="Y37" s="15"/>
    </row>
    <row r="38" spans="15:28" ht="48" x14ac:dyDescent="0.2">
      <c r="W38" s="72" t="s">
        <v>162</v>
      </c>
      <c r="Y38" s="15"/>
      <c r="Z38" s="32">
        <f>Z36*U34/X37</f>
        <v>23099727360</v>
      </c>
      <c r="AA38" s="22">
        <f>(32+1)/64</f>
        <v>0.515625</v>
      </c>
      <c r="AB38" s="72" t="s">
        <v>58</v>
      </c>
    </row>
    <row r="40" spans="15:28" x14ac:dyDescent="0.2">
      <c r="W40" s="72" t="s">
        <v>10</v>
      </c>
      <c r="Y40" s="15">
        <f>Y30*X34/X37</f>
        <v>356076030</v>
      </c>
    </row>
    <row r="42" spans="15:28" x14ac:dyDescent="0.2">
      <c r="W42" s="72" t="s">
        <v>168</v>
      </c>
      <c r="Y42" s="15">
        <f>SUM(T8:T22)*U34+SUM(Q6:Q22)*U34</f>
        <v>575202576</v>
      </c>
    </row>
  </sheetData>
  <mergeCells count="2">
    <mergeCell ref="T4:W4"/>
    <mergeCell ref="O32:P3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E308-997B-4845-A1F8-E72AEF14D256}">
  <dimension ref="D4:AL42"/>
  <sheetViews>
    <sheetView tabSelected="1" topLeftCell="A5" workbookViewId="0">
      <selection activeCell="AG24" sqref="AG24"/>
    </sheetView>
  </sheetViews>
  <sheetFormatPr baseColWidth="10" defaultRowHeight="16" x14ac:dyDescent="0.2"/>
  <cols>
    <col min="1" max="4" width="10.83203125" style="72"/>
    <col min="5" max="7" width="11" style="72" bestFit="1" customWidth="1"/>
    <col min="8" max="9" width="10.83203125" style="72"/>
    <col min="10" max="18" width="11" style="72" bestFit="1" customWidth="1"/>
    <col min="19" max="19" width="11" style="72" customWidth="1"/>
    <col min="20" max="24" width="11" style="72" bestFit="1" customWidth="1"/>
    <col min="25" max="25" width="14.6640625" style="72" bestFit="1" customWidth="1"/>
    <col min="26" max="26" width="12" style="72" bestFit="1" customWidth="1"/>
    <col min="27" max="28" width="11" style="72" bestFit="1" customWidth="1"/>
    <col min="29" max="29" width="11.6640625" style="72" bestFit="1" customWidth="1"/>
    <col min="30" max="16384" width="10.83203125" style="72"/>
  </cols>
  <sheetData>
    <row r="4" spans="4:38" ht="32" x14ac:dyDescent="0.2">
      <c r="T4" s="77" t="s">
        <v>76</v>
      </c>
      <c r="U4" s="78"/>
      <c r="V4" s="79"/>
      <c r="W4" s="80"/>
      <c r="X4" s="3"/>
      <c r="Z4" s="72" t="s">
        <v>155</v>
      </c>
      <c r="AA4" s="72" t="s">
        <v>1</v>
      </c>
      <c r="AJ4" s="86" t="s">
        <v>172</v>
      </c>
      <c r="AK4" s="86"/>
      <c r="AL4" s="86"/>
    </row>
    <row r="5" spans="4:38" ht="32" x14ac:dyDescent="0.2">
      <c r="E5" s="12" t="s">
        <v>0</v>
      </c>
      <c r="F5" s="70" t="s">
        <v>1</v>
      </c>
      <c r="G5" s="71" t="s">
        <v>2</v>
      </c>
      <c r="H5" s="3"/>
      <c r="I5" s="3"/>
      <c r="J5" s="72" t="s">
        <v>151</v>
      </c>
      <c r="K5" s="12" t="s">
        <v>4</v>
      </c>
      <c r="L5" s="71" t="s">
        <v>5</v>
      </c>
      <c r="M5" s="3" t="s">
        <v>156</v>
      </c>
      <c r="N5" s="3" t="s">
        <v>43</v>
      </c>
      <c r="O5" s="11" t="s">
        <v>6</v>
      </c>
      <c r="P5" s="11"/>
      <c r="Q5" s="11" t="s">
        <v>37</v>
      </c>
      <c r="R5" s="12" t="s">
        <v>152</v>
      </c>
      <c r="S5" s="12"/>
      <c r="T5" s="12" t="s">
        <v>26</v>
      </c>
      <c r="U5" s="70" t="s">
        <v>7</v>
      </c>
      <c r="V5" s="70" t="s">
        <v>8</v>
      </c>
      <c r="W5" s="71" t="s">
        <v>153</v>
      </c>
      <c r="X5" s="71" t="s">
        <v>16</v>
      </c>
      <c r="Y5" s="11" t="s">
        <v>154</v>
      </c>
      <c r="AA5" s="72" t="s">
        <v>17</v>
      </c>
      <c r="AB5" s="72" t="s">
        <v>157</v>
      </c>
      <c r="AJ5" s="72" t="s">
        <v>169</v>
      </c>
      <c r="AK5" s="72" t="s">
        <v>170</v>
      </c>
      <c r="AL5" s="72" t="s">
        <v>171</v>
      </c>
    </row>
    <row r="6" spans="4:38" x14ac:dyDescent="0.2">
      <c r="D6" s="8" t="s">
        <v>3</v>
      </c>
      <c r="E6" s="2">
        <v>1280</v>
      </c>
      <c r="F6" s="3">
        <v>720</v>
      </c>
      <c r="G6" s="4">
        <v>3</v>
      </c>
      <c r="H6" s="3"/>
      <c r="I6" s="3"/>
      <c r="K6" s="2"/>
      <c r="L6" s="4"/>
      <c r="M6" s="3"/>
      <c r="N6" s="3"/>
      <c r="O6" s="9">
        <f>Xdim*Ydim*Features</f>
        <v>2764800</v>
      </c>
      <c r="Q6" s="9">
        <f>Xdim*Ydim*Features</f>
        <v>2764800</v>
      </c>
      <c r="R6" s="2"/>
      <c r="S6" s="2"/>
      <c r="T6" s="73"/>
      <c r="U6" s="74"/>
      <c r="V6" s="58"/>
      <c r="W6" s="75"/>
      <c r="X6" s="75"/>
      <c r="Y6" s="9"/>
    </row>
    <row r="7" spans="4:38" x14ac:dyDescent="0.2">
      <c r="D7" s="9"/>
      <c r="E7" s="2"/>
      <c r="F7" s="3"/>
      <c r="G7" s="4"/>
      <c r="H7" s="3"/>
      <c r="I7" s="3"/>
      <c r="K7" s="2"/>
      <c r="L7" s="4"/>
      <c r="M7" s="3"/>
      <c r="N7" s="3"/>
      <c r="O7" s="9"/>
      <c r="Q7" s="9"/>
      <c r="R7" s="2"/>
      <c r="S7" s="2"/>
      <c r="T7" s="73"/>
      <c r="U7" s="58"/>
      <c r="V7" s="58"/>
      <c r="W7" s="75"/>
      <c r="X7" s="75"/>
      <c r="Y7" s="9"/>
    </row>
    <row r="8" spans="4:38" x14ac:dyDescent="0.2">
      <c r="D8" s="9" t="s">
        <v>13</v>
      </c>
      <c r="E8" s="3">
        <f>IF(Type="conv",CEILING(Xprev/Stride,1),CEILING(Xprev/Kx,1))</f>
        <v>320</v>
      </c>
      <c r="F8" s="3">
        <f>IF(Type="conv",CEILING(Yprev/Stride,1),CEILING(Yprev/Ky,1))</f>
        <v>180</v>
      </c>
      <c r="G8" s="4">
        <v>96</v>
      </c>
      <c r="H8" s="3"/>
      <c r="I8" s="3"/>
      <c r="J8" s="72">
        <v>4</v>
      </c>
      <c r="K8" s="2">
        <v>11</v>
      </c>
      <c r="L8" s="4">
        <v>11</v>
      </c>
      <c r="M8" s="3">
        <f>FeaturesPrev</f>
        <v>3</v>
      </c>
      <c r="N8" s="3">
        <f>Kx*Ky*FeaturesPrev</f>
        <v>363</v>
      </c>
      <c r="O8" s="9">
        <f>Xdim*Ydim*Features</f>
        <v>5529600</v>
      </c>
      <c r="Q8" s="9">
        <f>Xdim*Ydim*Features</f>
        <v>5529600</v>
      </c>
      <c r="R8" s="2">
        <f>Features</f>
        <v>96</v>
      </c>
      <c r="S8" s="2"/>
      <c r="T8" s="73">
        <f>IF(Type="conv",Kx*Ky*FeaturesPrev*Features,(IF(Type="fully",Xprev*Yprev*FeaturesPrev*Xdim*Ydim*Features,0)))</f>
        <v>34848</v>
      </c>
      <c r="U8" s="58">
        <f>IF(Type="Conv",Kx*Ky*Kz*Xdim*Ydim*Features,IF(Type="fully",Kx*Ky*FeaturesPrev*Xdim*Ydim,0))</f>
        <v>2007244800</v>
      </c>
      <c r="V8" s="58">
        <f>IF(Type="conv",Kx*Ky*Kz*Xdim*Ydim*Features-1,IF(Type="fully",Kx*Ky*FeaturesPrev*Xdim*Ydim-1,(IF(Type="pool",Kx*Ky*Xdim*Ydim*Features,0))))</f>
        <v>2007244799</v>
      </c>
      <c r="W8" s="75">
        <f>IF(Type="pool",Kx*Ky,0)</f>
        <v>0</v>
      </c>
      <c r="X8" s="75">
        <f>U8+V8</f>
        <v>4014489599</v>
      </c>
      <c r="Y8" s="16">
        <f>(U8+V8+W8)</f>
        <v>4014489599</v>
      </c>
      <c r="AA8" s="15">
        <f>IF(Type="conv",Features*(Kx*Ky*Kz+Kx*Ky*Kz+(Kx-Stride)*(Ky-Stride)*Kz*(Xdim-1)*(Ydim-1)),IF(Type="pool",Kx*Ky*Xdim*Ydim*Features,IF(Type="fully",Xprev*Yprev*FeaturesPrev*Xdim*Ydim*Features,(IF(Type="ae",Features*(Kx*Ky*Kz*Xdim*Ydim+Kx*Ky*Kz+(Kx-Stride)*(Ky-Stride)*Kz*(Xdim-1)*(Ydim-1)),0)))))</f>
        <v>805879008</v>
      </c>
      <c r="AB8" s="15">
        <f>IF(Type="conv",Features*Xdim*Ydim,IF(Type="pool",Features*Xdim*Ydim,IF(Type="fully",Features*Xdim*Ydim,0)))</f>
        <v>5529600</v>
      </c>
      <c r="AJ8" s="72">
        <f>E6</f>
        <v>1280</v>
      </c>
      <c r="AK8" s="72">
        <f>F6</f>
        <v>720</v>
      </c>
      <c r="AL8" s="72">
        <f>G6</f>
        <v>3</v>
      </c>
    </row>
    <row r="9" spans="4:38" x14ac:dyDescent="0.2">
      <c r="D9" s="9"/>
      <c r="E9" s="2"/>
      <c r="F9" s="3"/>
      <c r="G9" s="4"/>
      <c r="H9" s="3"/>
      <c r="I9" s="3"/>
      <c r="K9" s="2"/>
      <c r="L9" s="4"/>
      <c r="M9" s="3"/>
      <c r="N9" s="3"/>
      <c r="O9" s="9"/>
      <c r="Q9" s="9"/>
      <c r="R9" s="2"/>
      <c r="S9" s="2"/>
      <c r="T9" s="73"/>
      <c r="U9" s="58"/>
      <c r="V9" s="58"/>
      <c r="W9" s="75"/>
      <c r="X9" s="75"/>
      <c r="Y9" s="16"/>
      <c r="AA9" s="15"/>
    </row>
    <row r="10" spans="4:38" x14ac:dyDescent="0.2">
      <c r="D10" s="9" t="s">
        <v>14</v>
      </c>
      <c r="E10" s="3">
        <f>IF($D10="conv",CEILING(E8/$J10,1),CEILING(E8/K10,1))</f>
        <v>160</v>
      </c>
      <c r="F10" s="3">
        <f>IF($D10="conv",CEILING(F8/$J10,1),CEILING(F8/L10,1))</f>
        <v>90</v>
      </c>
      <c r="G10" s="4">
        <v>96</v>
      </c>
      <c r="H10" s="3"/>
      <c r="I10" s="3"/>
      <c r="J10" s="72">
        <v>2</v>
      </c>
      <c r="K10" s="2">
        <v>2</v>
      </c>
      <c r="L10" s="4">
        <v>2</v>
      </c>
      <c r="M10" s="3">
        <v>1</v>
      </c>
      <c r="N10" s="3">
        <f>Kx*Ky*G8</f>
        <v>384</v>
      </c>
      <c r="O10" s="9">
        <f>Xdim*Ydim*Features</f>
        <v>1382400</v>
      </c>
      <c r="Q10" s="9">
        <f>Xdim*Ydim*Features</f>
        <v>1382400</v>
      </c>
      <c r="R10" s="2">
        <f>Features</f>
        <v>96</v>
      </c>
      <c r="S10" s="2"/>
      <c r="T10" s="73">
        <f>IF(Type="conv",Kx*Ky*G8*Features,(IF(Type="fully",E8*F8*G8*Xdim*Ydim*Features,0)))</f>
        <v>0</v>
      </c>
      <c r="U10" s="58">
        <f>IF(Type="Conv",Kx*Ky*Kz*Xdim*Ydim*Features,IF(Type="fully",Kx*Ky*G8*Xdim*Ydim,0))</f>
        <v>0</v>
      </c>
      <c r="V10" s="58">
        <f>IF(Type="conv",Kx*Ky*Kz*Xdim*Ydim*Features-1,IF(Type="fully",Kx*Ky*G8*Xdim*Ydim-1,(IF(Type="pool",Kx*Ky*Xdim*Ydim*Features,0))))</f>
        <v>5529600</v>
      </c>
      <c r="W10" s="75">
        <f>IF(Type="pool",Kx*Ky,0)</f>
        <v>4</v>
      </c>
      <c r="X10" s="75">
        <f>U10+V10</f>
        <v>5529600</v>
      </c>
      <c r="Y10" s="16">
        <f>(U10+V10+W10)</f>
        <v>5529604</v>
      </c>
      <c r="AA10" s="15">
        <f>IF(Type="conv",Features*(Kx*Ky*Kz+Kx*Ky*Kz+(Kx-$J10)*(Ky-$J10)*Kz*(Xdim-1)*(Ydim-1)),IF(Type="pool",Kx*Ky*Xdim*Ydim*Features,IF(Type="fully",$E8*$F8*$G8*Xdim*Ydim*Features,(IF(Type="ae",Features*(Kx*Ky*Kz*Xdim*Ydim+Kx*Ky*Kz+(Kx-$J10)*(Ky-$J10)*Kz*(Xdim-1)*(Ydim-1)),0)))))</f>
        <v>5529600</v>
      </c>
      <c r="AB10" s="15">
        <f>IF(Type="conv",Features*Xdim*Ydim,IF(Type="pool",Features*Xdim*Ydim,IF(Type="fully",Features*Xdim*Ydim,0)))</f>
        <v>1382400</v>
      </c>
      <c r="AJ10" s="72">
        <f>E8</f>
        <v>320</v>
      </c>
      <c r="AK10" s="72">
        <f>F8</f>
        <v>180</v>
      </c>
      <c r="AL10" s="72">
        <f>G8</f>
        <v>96</v>
      </c>
    </row>
    <row r="11" spans="4:38" x14ac:dyDescent="0.2">
      <c r="D11" s="9"/>
      <c r="E11" s="2"/>
      <c r="F11" s="3"/>
      <c r="G11" s="4"/>
      <c r="H11" s="3"/>
      <c r="I11" s="3"/>
      <c r="K11" s="2"/>
      <c r="L11" s="4"/>
      <c r="M11" s="3"/>
      <c r="N11" s="3"/>
      <c r="O11" s="9"/>
      <c r="Q11" s="9"/>
      <c r="R11" s="2"/>
      <c r="S11" s="2"/>
      <c r="T11" s="73"/>
      <c r="U11" s="58"/>
      <c r="V11" s="58"/>
      <c r="W11" s="75"/>
      <c r="X11" s="75"/>
      <c r="Y11" s="16"/>
      <c r="AA11" s="15"/>
    </row>
    <row r="12" spans="4:38" x14ac:dyDescent="0.2">
      <c r="D12" s="9" t="s">
        <v>13</v>
      </c>
      <c r="E12" s="3">
        <f>IF($D12="conv",CEILING(E10/$J12,1),CEILING(E10/K12,1))</f>
        <v>40</v>
      </c>
      <c r="F12" s="3">
        <f>IF($D12="conv",CEILING(F10/$J12,1),CEILING(F10/L12,1))</f>
        <v>23</v>
      </c>
      <c r="G12" s="4">
        <v>256</v>
      </c>
      <c r="H12" s="3"/>
      <c r="I12" s="3"/>
      <c r="J12" s="72">
        <v>4</v>
      </c>
      <c r="K12" s="2">
        <v>5</v>
      </c>
      <c r="L12" s="4">
        <v>5</v>
      </c>
      <c r="M12" s="3">
        <f>FeaturesMinus1</f>
        <v>96</v>
      </c>
      <c r="N12" s="3">
        <f>Kx*Ky*G10</f>
        <v>2400</v>
      </c>
      <c r="O12" s="9">
        <f>Xdim*Ydim*Features</f>
        <v>235520</v>
      </c>
      <c r="Q12" s="9">
        <f>Xdim*Ydim*Features</f>
        <v>235520</v>
      </c>
      <c r="R12" s="2">
        <f>Features</f>
        <v>256</v>
      </c>
      <c r="S12" s="2"/>
      <c r="T12" s="73">
        <f>IF(Type="conv",Kx*Ky*G10*Features,(IF(Type="fully",E10*F10*G10*Xdim*Ydim*Features,0)))</f>
        <v>614400</v>
      </c>
      <c r="U12" s="58">
        <f>IF(Type="Conv",Kx*Ky*Kz*Xdim*Ydim*Features,IF(Type="fully",Kx*Ky*G10*Xdim*Ydim,0))</f>
        <v>565248000</v>
      </c>
      <c r="V12" s="58">
        <f>IF(Type="conv",Kx*Ky*Kz*Xdim*Ydim*Features-1,IF(Type="fully",Kx*Ky*G10*Xdim*Ydim-1,(IF(Type="pool",Kx*Ky*Xdim*Ydim*Features,0))))</f>
        <v>565247999</v>
      </c>
      <c r="W12" s="75">
        <f>IF(Type="pool",Kx*Ky,0)</f>
        <v>0</v>
      </c>
      <c r="X12" s="75">
        <f>U12+V12</f>
        <v>1130495999</v>
      </c>
      <c r="Y12" s="16">
        <f>(U12+V12+W12)</f>
        <v>1130495999</v>
      </c>
      <c r="AA12" s="15">
        <f>IF(Type="conv",Features*(Kx*Ky*Kz+Kx*Ky*Kz+(Kx-$J12)*(Ky-$J12)*Kz*(Xdim-1)*(Ydim-1)),IF(Type="pool",Kx*Ky*Xdim*Ydim*Features,IF(Type="fully",$E10*$F10*$G10*Xdim*Ydim*Features,(IF(Type="ae",Features*(Kx*Ky*Kz*Xdim*Ydim+Kx*Ky*Kz+(Kx-$J12)*(Ky-$J12)*Kz*(Xdim-1)*(Ydim-1)),0)))))</f>
        <v>22315008</v>
      </c>
      <c r="AB12" s="15">
        <f>IF(Type="conv",Features*Xdim*Ydim,IF(Type="pool",Features*Xdim*Ydim,IF(Type="fully",Features*Xdim*Ydim,0)))</f>
        <v>235520</v>
      </c>
      <c r="AJ12" s="72">
        <f>E10</f>
        <v>160</v>
      </c>
      <c r="AK12" s="72">
        <f>F10</f>
        <v>90</v>
      </c>
      <c r="AL12" s="72">
        <f>G10</f>
        <v>96</v>
      </c>
    </row>
    <row r="13" spans="4:38" x14ac:dyDescent="0.2">
      <c r="D13" s="9"/>
      <c r="E13" s="2"/>
      <c r="F13" s="3"/>
      <c r="G13" s="4"/>
      <c r="H13" s="3"/>
      <c r="I13" s="3"/>
      <c r="K13" s="2"/>
      <c r="L13" s="4"/>
      <c r="M13" s="3"/>
      <c r="N13" s="3"/>
      <c r="O13" s="9"/>
      <c r="Q13" s="9"/>
      <c r="R13" s="2"/>
      <c r="S13" s="2"/>
      <c r="T13" s="73"/>
      <c r="U13" s="58"/>
      <c r="V13" s="58"/>
      <c r="W13" s="75"/>
      <c r="X13" s="75"/>
      <c r="Y13" s="16"/>
      <c r="AA13" s="15"/>
    </row>
    <row r="14" spans="4:38" x14ac:dyDescent="0.2">
      <c r="D14" s="9" t="s">
        <v>14</v>
      </c>
      <c r="E14" s="3">
        <f>IF($D14="conv",CEILING(E12/$J14,1),CEILING(E12/K14,1))</f>
        <v>20</v>
      </c>
      <c r="F14" s="3">
        <f>IF($D14="conv",CEILING(F12/$J14,1),CEILING(F12/L14,1))</f>
        <v>12</v>
      </c>
      <c r="G14" s="4">
        <v>256</v>
      </c>
      <c r="H14" s="3"/>
      <c r="I14" s="3"/>
      <c r="J14" s="72">
        <v>2</v>
      </c>
      <c r="K14" s="2">
        <v>2</v>
      </c>
      <c r="L14" s="4">
        <v>2</v>
      </c>
      <c r="M14" s="3">
        <v>1</v>
      </c>
      <c r="N14" s="3">
        <f>Kx*Ky*G12</f>
        <v>1024</v>
      </c>
      <c r="O14" s="9">
        <f>Xdim*Ydim*Features</f>
        <v>61440</v>
      </c>
      <c r="Q14" s="9">
        <f>Xdim*Ydim*Features</f>
        <v>61440</v>
      </c>
      <c r="R14" s="2">
        <f>Features</f>
        <v>256</v>
      </c>
      <c r="S14" s="2"/>
      <c r="T14" s="73">
        <f>IF(Type="conv",Kx*Ky*G12*Features,(IF(Type="fully",E12*F12*G12*Xdim*Ydim*Features,0)))</f>
        <v>0</v>
      </c>
      <c r="U14" s="58">
        <f>IF(Type="Conv",Kx*Ky*Kz*Xdim*Ydim*Features,IF(Type="fully",Kx*Ky*G12*Xdim*Ydim,0))</f>
        <v>0</v>
      </c>
      <c r="V14" s="58">
        <f>IF(Type="conv",Kx*Ky*Kz*Xdim*Ydim*Features-1,IF(Type="fully",Kx*Ky*G12*Xdim*Ydim-1,(IF(Type="pool",Kx*Ky*Xdim*Ydim*Features,0))))</f>
        <v>245760</v>
      </c>
      <c r="W14" s="75">
        <f>IF(Type="pool",Kx*Ky,0)</f>
        <v>4</v>
      </c>
      <c r="X14" s="75">
        <f>U14+V14</f>
        <v>245760</v>
      </c>
      <c r="Y14" s="16">
        <f>(U14+V14+W14)</f>
        <v>245764</v>
      </c>
      <c r="AA14" s="15">
        <f>IF(Type="conv",Features*(Kx*Ky*Kz+Kx*Ky*Kz+(Kx-$J14)*(Ky-$J14)*Kz*(Xdim-1)*(Ydim-1)),IF(Type="pool",Kx*Ky*Xdim*Ydim*Features,IF(Type="fully",$E12*$F12*$G12*Xdim*Ydim*Features,(IF(Type="ae",Features*(Kx*Ky*Kz*Xdim*Ydim+Kx*Ky*Kz+(Kx-$J14)*(Ky-$J14)*Kz*(Xdim-1)*(Ydim-1)),0)))))</f>
        <v>245760</v>
      </c>
      <c r="AB14" s="15">
        <f>IF(Type="conv",Features*Xdim*Ydim,IF(Type="pool",Features*Xdim*Ydim,IF(Type="fully",Features*Xdim*Ydim,0)))</f>
        <v>61440</v>
      </c>
      <c r="AJ14" s="72">
        <f>E12</f>
        <v>40</v>
      </c>
      <c r="AK14" s="72">
        <f>F12</f>
        <v>23</v>
      </c>
      <c r="AL14" s="72">
        <f>G12</f>
        <v>256</v>
      </c>
    </row>
    <row r="15" spans="4:38" x14ac:dyDescent="0.2">
      <c r="D15" s="9"/>
      <c r="E15" s="2"/>
      <c r="F15" s="3"/>
      <c r="G15" s="4"/>
      <c r="H15" s="3"/>
      <c r="I15" s="3"/>
      <c r="K15" s="2"/>
      <c r="L15" s="4"/>
      <c r="M15" s="3"/>
      <c r="N15" s="3"/>
      <c r="O15" s="9"/>
      <c r="Q15" s="9"/>
      <c r="R15" s="2"/>
      <c r="S15" s="2"/>
      <c r="T15" s="73"/>
      <c r="U15" s="58"/>
      <c r="V15" s="58"/>
      <c r="W15" s="75"/>
      <c r="X15" s="75"/>
      <c r="Y15" s="16"/>
      <c r="AA15" s="15"/>
    </row>
    <row r="16" spans="4:38" x14ac:dyDescent="0.2">
      <c r="D16" s="9" t="s">
        <v>13</v>
      </c>
      <c r="E16" s="3">
        <f>IF($D16="conv",CEILING(E14/$J16,1),CEILING(E14/K16,1))</f>
        <v>10</v>
      </c>
      <c r="F16" s="3">
        <f>IF($D16="conv",CEILING(F14/$J16,1),CEILING(F14/L16,1))</f>
        <v>6</v>
      </c>
      <c r="G16" s="4">
        <v>384</v>
      </c>
      <c r="H16" s="3"/>
      <c r="I16" s="3"/>
      <c r="J16" s="72">
        <v>2</v>
      </c>
      <c r="K16" s="2">
        <v>3</v>
      </c>
      <c r="L16" s="4">
        <v>3</v>
      </c>
      <c r="M16" s="3">
        <f>FeaturesMinus1</f>
        <v>256</v>
      </c>
      <c r="N16" s="3">
        <f>Kx*Ky*G14</f>
        <v>2304</v>
      </c>
      <c r="O16" s="9">
        <f>Xdim*Ydim*Features</f>
        <v>23040</v>
      </c>
      <c r="Q16" s="9">
        <f>Xdim*Ydim*Features</f>
        <v>23040</v>
      </c>
      <c r="R16" s="2">
        <f>Features</f>
        <v>384</v>
      </c>
      <c r="S16" s="2"/>
      <c r="T16" s="73">
        <f>IF(Type="conv",Kx*Ky*G14*Features,(IF(Type="fully",E14*F14*G14*Xdim*Ydim*Features,0)))</f>
        <v>884736</v>
      </c>
      <c r="U16" s="58">
        <f>IF(Type="Conv",Kx*Ky*Kz*Xdim*Ydim*Features,IF(Type="fully",Kx*Ky*G14*Xdim*Ydim,0))</f>
        <v>53084160</v>
      </c>
      <c r="V16" s="58">
        <f>IF(Type="conv",Kx*Ky*Kz*Xdim*Ydim*Features-1,IF(Type="fully",Kx*Ky*G14*Xdim*Ydim-1,(IF(Type="pool",Kx*Ky*Xdim*Ydim*Features,0))))</f>
        <v>53084159</v>
      </c>
      <c r="W16" s="75">
        <f>IF(Type="pool",Kx*Ky,0)</f>
        <v>0</v>
      </c>
      <c r="X16" s="75">
        <f>U16+V16</f>
        <v>106168319</v>
      </c>
      <c r="Y16" s="16">
        <f>(U16+V16+W16)</f>
        <v>106168319</v>
      </c>
      <c r="AA16" s="15">
        <f>IF(Type="conv",Features*(Kx*Ky*Kz+Kx*Ky*Kz+(Kx-$J16)*(Ky-$J16)*Kz*(Xdim-1)*(Ydim-1)),IF(Type="pool",Kx*Ky*Xdim*Ydim*Features,IF(Type="fully",$E14*$F14*$G14*Xdim*Ydim*Features,(IF(Type="ae",Features*(Kx*Ky*Kz*Xdim*Ydim+Kx*Ky*Kz+(Kx-$J16)*(Ky-$J16)*Kz*(Xdim-1)*(Ydim-1)),0)))))</f>
        <v>6193152</v>
      </c>
      <c r="AB16" s="15">
        <f>IF(Type="conv",Features*Xdim*Ydim,IF(Type="pool",Features*Xdim*Ydim,IF(Type="fully",Features*Xdim*Ydim,0)))</f>
        <v>23040</v>
      </c>
      <c r="AJ16" s="72">
        <f>E14</f>
        <v>20</v>
      </c>
      <c r="AK16" s="72">
        <f>F14</f>
        <v>12</v>
      </c>
      <c r="AL16" s="72">
        <f>G14</f>
        <v>256</v>
      </c>
    </row>
    <row r="17" spans="4:38" x14ac:dyDescent="0.2">
      <c r="D17" s="9"/>
      <c r="E17" s="2"/>
      <c r="F17" s="3"/>
      <c r="G17" s="4"/>
      <c r="H17" s="3"/>
      <c r="I17" s="3"/>
      <c r="K17" s="2"/>
      <c r="L17" s="4"/>
      <c r="M17" s="3"/>
      <c r="N17" s="3"/>
      <c r="O17" s="9"/>
      <c r="Q17" s="9"/>
      <c r="R17" s="2"/>
      <c r="S17" s="2"/>
      <c r="T17" s="73"/>
      <c r="U17" s="58"/>
      <c r="V17" s="58"/>
      <c r="W17" s="75"/>
      <c r="X17" s="75"/>
      <c r="Y17" s="16"/>
      <c r="AA17" s="15"/>
    </row>
    <row r="18" spans="4:38" x14ac:dyDescent="0.2">
      <c r="D18" s="9" t="s">
        <v>15</v>
      </c>
      <c r="E18" s="2">
        <v>1</v>
      </c>
      <c r="F18" s="3">
        <v>4096</v>
      </c>
      <c r="G18" s="4">
        <v>1</v>
      </c>
      <c r="H18" s="3"/>
      <c r="I18" s="3"/>
      <c r="K18" s="2">
        <f>E16</f>
        <v>10</v>
      </c>
      <c r="L18" s="4">
        <f>F16</f>
        <v>6</v>
      </c>
      <c r="M18" s="3">
        <f>FeaturesMinus1</f>
        <v>384</v>
      </c>
      <c r="N18" s="3">
        <f>Kx*Ky*G16</f>
        <v>23040</v>
      </c>
      <c r="O18" s="9">
        <f>Xdim*Ydim*Features</f>
        <v>4096</v>
      </c>
      <c r="Q18" s="9">
        <f>Xdim*Ydim*Features</f>
        <v>4096</v>
      </c>
      <c r="R18" s="2">
        <f>Features</f>
        <v>1</v>
      </c>
      <c r="S18" s="2"/>
      <c r="T18" s="73">
        <f>IF(Type="conv",Kx*Ky*G16*Features,(IF(Type="fully",E16*F16*G16*Xdim*Ydim*Features,0)))</f>
        <v>94371840</v>
      </c>
      <c r="U18" s="58">
        <f>IF(Type="Conv",Kx*Ky*Kz*Xdim*Ydim*Features,IF(Type="fully",Kx*Ky*G16*Xdim*Ydim,0))</f>
        <v>94371840</v>
      </c>
      <c r="V18" s="58">
        <f>IF(Type="conv",Kx*Ky*Kz*Xdim*Ydim*Features-1,IF(Type="fully",Kx*Ky*G16*Xdim*Ydim-1,(IF(Type="pool",Kx*Ky*Xdim*Ydim*Features,0))))</f>
        <v>94371839</v>
      </c>
      <c r="W18" s="75">
        <f>IF(Type="pool",Kx*Ky,0)</f>
        <v>0</v>
      </c>
      <c r="X18" s="75">
        <f>U18+V18</f>
        <v>188743679</v>
      </c>
      <c r="Y18" s="16">
        <f>(U18+V18+W18)</f>
        <v>188743679</v>
      </c>
      <c r="AA18" s="15">
        <f>IF(Type="conv",Features*(Kx*Ky*Kz+Kx*Ky*Kz+(Kx-$J18)*(Ky-$J18)*Kz*(Xdim-1)*(Ydim-1)),IF(Type="pool",Kx*Ky*Xdim*Ydim*Features,IF(Type="fully",$E16*$F16*$G16*Xdim*Ydim*Features,(IF(Type="ae",Features*(Kx*Ky*Kz*Xdim*Ydim+Kx*Ky*Kz+(Kx-$J18)*(Ky-$J18)*Kz*(Xdim-1)*(Ydim-1)),0)))))</f>
        <v>94371840</v>
      </c>
      <c r="AB18" s="15">
        <f>IF(Type="conv",Features*Xdim*Ydim,IF(Type="pool",Features*Xdim*Ydim,IF(Type="fully",Features*Xdim*Ydim,0)))</f>
        <v>4096</v>
      </c>
      <c r="AJ18" s="72">
        <f>E16</f>
        <v>10</v>
      </c>
      <c r="AK18" s="72">
        <f>F16</f>
        <v>6</v>
      </c>
      <c r="AL18" s="72">
        <f>G16</f>
        <v>384</v>
      </c>
    </row>
    <row r="19" spans="4:38" x14ac:dyDescent="0.2">
      <c r="D19" s="9"/>
      <c r="E19" s="2"/>
      <c r="F19" s="3"/>
      <c r="G19" s="4"/>
      <c r="H19" s="3"/>
      <c r="I19" s="3"/>
      <c r="K19" s="2"/>
      <c r="L19" s="4"/>
      <c r="M19" s="3"/>
      <c r="N19" s="3"/>
      <c r="O19" s="9"/>
      <c r="Q19" s="9"/>
      <c r="R19" s="2"/>
      <c r="S19" s="2"/>
      <c r="T19" s="73"/>
      <c r="U19" s="58"/>
      <c r="V19" s="58"/>
      <c r="W19" s="75"/>
      <c r="X19" s="75"/>
      <c r="Y19" s="16"/>
      <c r="AA19" s="15"/>
    </row>
    <row r="20" spans="4:38" x14ac:dyDescent="0.2">
      <c r="D20" s="9" t="s">
        <v>15</v>
      </c>
      <c r="E20" s="2">
        <v>1</v>
      </c>
      <c r="F20" s="3">
        <v>4096</v>
      </c>
      <c r="G20" s="4">
        <v>1</v>
      </c>
      <c r="H20" s="3"/>
      <c r="I20" s="3"/>
      <c r="K20" s="2">
        <v>1</v>
      </c>
      <c r="L20" s="4">
        <v>4096</v>
      </c>
      <c r="M20" s="3">
        <f>FeaturesMinus1</f>
        <v>1</v>
      </c>
      <c r="N20" s="3">
        <f>Kx*Ky*G18</f>
        <v>4096</v>
      </c>
      <c r="O20" s="9">
        <f>Xdim*Ydim*Features</f>
        <v>4096</v>
      </c>
      <c r="Q20" s="9">
        <f>Xdim*Ydim*Features</f>
        <v>4096</v>
      </c>
      <c r="R20" s="2">
        <f>Features</f>
        <v>1</v>
      </c>
      <c r="S20" s="2"/>
      <c r="T20" s="73">
        <f>IF(Type="conv",Kx*Ky*G18*Features,(IF(Type="fully",E18*F18*G18*Xdim*Ydim*Features,0)))</f>
        <v>16777216</v>
      </c>
      <c r="U20" s="58">
        <f>IF(Type="Conv",Kx*Ky*Kz*Xdim*Ydim*Features,IF(Type="fully",Kx*Ky*G18*Xdim*Ydim,0))</f>
        <v>16777216</v>
      </c>
      <c r="V20" s="58">
        <f>IF(Type="conv",Kx*Ky*Kz*Xdim*Ydim*Features-1,IF(Type="fully",Kx*Ky*G18*Xdim*Ydim-1,(IF(Type="pool",Kx*Ky*Xdim*Ydim*Features,0))))</f>
        <v>16777215</v>
      </c>
      <c r="W20" s="75">
        <f>IF(Type="pool",Kx*Ky,0)</f>
        <v>0</v>
      </c>
      <c r="X20" s="75">
        <f>U20+V20</f>
        <v>33554431</v>
      </c>
      <c r="Y20" s="16">
        <f>(U20+V20+W20)</f>
        <v>33554431</v>
      </c>
      <c r="AA20" s="15">
        <f>IF(Type="conv",Features*(Kx*Ky*Kz+Kx*Ky*Kz+(Kx-$J20)*(Ky-$J20)*Kz*(Xdim-1)*(Ydim-1)),IF(Type="pool",Kx*Ky*Xdim*Ydim*Features,IF(Type="fully",$E18*$F18*$G18*Xdim*Ydim*Features,(IF(Type="ae",Features*(Kx*Ky*Kz*Xdim*Ydim+Kx*Ky*Kz+(Kx-$J20)*(Ky-$J20)*Kz*(Xdim-1)*(Ydim-1)),0)))))</f>
        <v>16777216</v>
      </c>
      <c r="AB20" s="15">
        <f>IF(Type="conv",Features*Xdim*Ydim,IF(Type="pool",Features*Xdim*Ydim,IF(Type="fully",Features*Xdim*Ydim,0)))</f>
        <v>4096</v>
      </c>
      <c r="AJ20" s="72">
        <f>E18</f>
        <v>1</v>
      </c>
      <c r="AK20" s="72">
        <f>F18</f>
        <v>4096</v>
      </c>
      <c r="AL20" s="72">
        <f>G18</f>
        <v>1</v>
      </c>
    </row>
    <row r="21" spans="4:38" x14ac:dyDescent="0.2">
      <c r="D21" s="9"/>
      <c r="E21" s="2"/>
      <c r="F21" s="3"/>
      <c r="G21" s="4"/>
      <c r="H21" s="3"/>
      <c r="I21" s="3"/>
      <c r="K21" s="2"/>
      <c r="L21" s="4"/>
      <c r="M21" s="3"/>
      <c r="N21" s="3"/>
      <c r="O21" s="9"/>
      <c r="Q21" s="9"/>
      <c r="R21" s="2"/>
      <c r="S21" s="2"/>
      <c r="T21" s="73"/>
      <c r="U21" s="58"/>
      <c r="V21" s="58"/>
      <c r="W21" s="75"/>
      <c r="X21" s="75"/>
      <c r="Y21" s="16"/>
      <c r="AA21" s="15"/>
    </row>
    <row r="22" spans="4:38" x14ac:dyDescent="0.2">
      <c r="D22" s="10" t="s">
        <v>15</v>
      </c>
      <c r="E22" s="5">
        <v>1</v>
      </c>
      <c r="F22" s="6">
        <v>1000</v>
      </c>
      <c r="G22" s="7">
        <v>1</v>
      </c>
      <c r="H22" s="3"/>
      <c r="I22" s="3"/>
      <c r="K22" s="5">
        <v>1</v>
      </c>
      <c r="L22" s="7">
        <v>4096</v>
      </c>
      <c r="M22" s="3">
        <f>FeaturesMinus1</f>
        <v>1</v>
      </c>
      <c r="N22" s="3">
        <f>Kx*Ky*G20</f>
        <v>4096</v>
      </c>
      <c r="O22" s="9">
        <f>Xdim*Ydim*Features</f>
        <v>1000</v>
      </c>
      <c r="Q22" s="9">
        <f>Xdim*Ydim*Features</f>
        <v>1000</v>
      </c>
      <c r="R22" s="2">
        <f>Features</f>
        <v>1</v>
      </c>
      <c r="S22" s="2"/>
      <c r="T22" s="73">
        <f>IF(Type="conv",Kx*Ky*G20*Features,(IF(Type="fully",E20*F20*G20*Xdim*Ydim*Features,0)))</f>
        <v>4096000</v>
      </c>
      <c r="U22" s="58">
        <f>IF(Type="Conv",Kx*Ky*Kz*Xdim*Ydim*Features,IF(Type="fully",Kx*Ky*G20*Xdim*Ydim,0))</f>
        <v>4096000</v>
      </c>
      <c r="V22" s="58">
        <f>IF(Type="conv",Kx*Ky*Kz*Xdim*Ydim*Features-1,IF(Type="fully",Kx*Ky*G20*Xdim*Ydim-1,(IF(Type="pool",Kx*Ky*Xdim*Ydim*Features,0))))</f>
        <v>4095999</v>
      </c>
      <c r="W22" s="75">
        <f>IF(Type="pool",Kx*Ky,0)</f>
        <v>0</v>
      </c>
      <c r="X22" s="75">
        <f>U22+V22</f>
        <v>8191999</v>
      </c>
      <c r="Y22" s="16">
        <f>(U22+V22+W22)</f>
        <v>8191999</v>
      </c>
      <c r="AA22" s="15">
        <f>IF(Type="conv",Features*(Kx*Ky*Kz+Kx*Ky*Kz+(Kx-$J22)*(Ky-$J22)*Kz*(Xdim-1)*(Ydim-1)),IF(Type="pool",Kx*Ky*Xdim*Ydim*Features,IF(Type="fully",$E20*$F20*$G20*Xdim*Ydim*Features,(IF(Type="ae",Features*(Kx*Ky*Kz*Xdim*Ydim+Kx*Ky*Kz+(Kx-$J22)*(Ky-$J22)*Kz*(Xdim-1)*(Ydim-1)),0)))))</f>
        <v>4096000</v>
      </c>
      <c r="AB22" s="15">
        <f>IF(Type="conv",Features*Xdim*Ydim,IF(Type="pool",Features*Xdim*Ydim,IF(Type="fully",Features*Xdim*Ydim,0)))</f>
        <v>1000</v>
      </c>
      <c r="AJ22" s="72">
        <f>E20</f>
        <v>1</v>
      </c>
      <c r="AK22" s="72">
        <f>F20</f>
        <v>4096</v>
      </c>
      <c r="AL22" s="72">
        <f>G20</f>
        <v>1</v>
      </c>
    </row>
    <row r="23" spans="4:38" x14ac:dyDescent="0.2">
      <c r="Y23" s="15"/>
      <c r="AA23" s="15"/>
    </row>
    <row r="24" spans="4:38" x14ac:dyDescent="0.2">
      <c r="P24" s="23" t="s">
        <v>27</v>
      </c>
      <c r="Q24" s="24">
        <f>SUM(Q8:Q22)</f>
        <v>7241192</v>
      </c>
      <c r="R24" s="24"/>
      <c r="S24" s="24"/>
      <c r="T24" s="24"/>
      <c r="Y24" s="15"/>
    </row>
    <row r="25" spans="4:38" ht="48" x14ac:dyDescent="0.2">
      <c r="L25" s="72" t="s">
        <v>44</v>
      </c>
      <c r="N25" s="72">
        <f>(SUM(N8:N22)-N18)/10</f>
        <v>1466.7</v>
      </c>
      <c r="Q25" s="72" t="s">
        <v>23</v>
      </c>
      <c r="Y25" s="15"/>
      <c r="Z25" s="15"/>
    </row>
    <row r="26" spans="4:38" x14ac:dyDescent="0.2">
      <c r="Y26" s="15"/>
      <c r="Z26" s="15"/>
    </row>
    <row r="27" spans="4:38" x14ac:dyDescent="0.2">
      <c r="Y27" s="15"/>
      <c r="Z27" s="15"/>
    </row>
    <row r="28" spans="4:38" x14ac:dyDescent="0.2">
      <c r="Y28" s="15"/>
      <c r="Z28" s="15"/>
    </row>
    <row r="29" spans="4:38" x14ac:dyDescent="0.2">
      <c r="Y29" s="15"/>
      <c r="Z29" s="15"/>
      <c r="AE29" s="87" t="s">
        <v>173</v>
      </c>
      <c r="AF29" s="87"/>
      <c r="AG29" s="87"/>
      <c r="AH29" s="87"/>
      <c r="AI29" s="87"/>
    </row>
    <row r="30" spans="4:38" x14ac:dyDescent="0.2">
      <c r="W30" s="12" t="s">
        <v>154</v>
      </c>
      <c r="X30" s="70"/>
      <c r="Y30" s="18">
        <f>SUM(Y8:Y22)</f>
        <v>5487419394</v>
      </c>
      <c r="Z30" s="15"/>
      <c r="AE30" s="15" t="s">
        <v>154</v>
      </c>
      <c r="AF30" s="15"/>
      <c r="AG30" s="15">
        <v>5488863226</v>
      </c>
      <c r="AH30" s="15"/>
      <c r="AI30" s="15"/>
    </row>
    <row r="31" spans="4:38" x14ac:dyDescent="0.2">
      <c r="W31" s="3"/>
      <c r="X31" s="3"/>
      <c r="Y31" s="58"/>
      <c r="Z31" s="15"/>
      <c r="AE31" s="15"/>
      <c r="AF31" s="15"/>
      <c r="AG31" s="15"/>
      <c r="AH31" s="15"/>
      <c r="AI31" s="15"/>
    </row>
    <row r="32" spans="4:38" ht="32" x14ac:dyDescent="0.2">
      <c r="O32" s="86" t="s">
        <v>164</v>
      </c>
      <c r="P32" s="86"/>
      <c r="W32" s="72" t="s">
        <v>158</v>
      </c>
      <c r="Y32" s="15"/>
      <c r="Z32" s="15">
        <f>SUM(AB8:AB22)</f>
        <v>7241192</v>
      </c>
      <c r="AE32" s="15" t="s">
        <v>158</v>
      </c>
      <c r="AF32" s="15"/>
      <c r="AG32" s="15"/>
      <c r="AH32" s="15">
        <v>7241192</v>
      </c>
      <c r="AI32" s="15"/>
    </row>
    <row r="33" spans="15:35" x14ac:dyDescent="0.2">
      <c r="O33" s="72" t="s">
        <v>163</v>
      </c>
      <c r="P33" s="72">
        <v>16</v>
      </c>
      <c r="W33" s="72" t="s">
        <v>18</v>
      </c>
      <c r="Y33" s="15"/>
      <c r="Z33" s="15">
        <f>SUM(AA8:AA22)</f>
        <v>955407584</v>
      </c>
      <c r="AE33" s="15" t="s">
        <v>18</v>
      </c>
      <c r="AF33" s="15"/>
      <c r="AG33" s="15"/>
      <c r="AH33" s="15">
        <v>955407584</v>
      </c>
      <c r="AI33" s="15"/>
    </row>
    <row r="34" spans="15:35" ht="48" x14ac:dyDescent="0.2">
      <c r="O34" s="72" t="s">
        <v>165</v>
      </c>
      <c r="P34" s="72">
        <v>32</v>
      </c>
      <c r="R34" s="72" t="s">
        <v>166</v>
      </c>
      <c r="T34" s="72" t="s">
        <v>163</v>
      </c>
      <c r="U34" s="72">
        <f>VLOOKUP(T34,O33:P37,2,FALSE)</f>
        <v>16</v>
      </c>
      <c r="W34" s="72" t="s">
        <v>19</v>
      </c>
      <c r="X34" s="19">
        <v>1</v>
      </c>
      <c r="Y34" s="15"/>
      <c r="AE34" s="15" t="s">
        <v>19</v>
      </c>
      <c r="AF34" s="15">
        <v>1</v>
      </c>
      <c r="AG34" s="15"/>
      <c r="AH34" s="15"/>
      <c r="AI34" s="15"/>
    </row>
    <row r="35" spans="15:35" x14ac:dyDescent="0.2">
      <c r="W35" s="72" t="s">
        <v>159</v>
      </c>
      <c r="Y35" s="15"/>
      <c r="Z35" s="15">
        <f>X34*Z32</f>
        <v>7241192</v>
      </c>
      <c r="AE35" s="15" t="s">
        <v>159</v>
      </c>
      <c r="AF35" s="15"/>
      <c r="AG35" s="15"/>
      <c r="AH35" s="15">
        <v>7241192</v>
      </c>
      <c r="AI35" s="15"/>
    </row>
    <row r="36" spans="15:35" x14ac:dyDescent="0.2">
      <c r="W36" s="72" t="s">
        <v>160</v>
      </c>
      <c r="Y36" s="15"/>
      <c r="Z36" s="15">
        <f>Z33*X34</f>
        <v>955407584</v>
      </c>
      <c r="AA36" s="22">
        <f>(32+1)/64</f>
        <v>0.515625</v>
      </c>
      <c r="AE36" s="15" t="s">
        <v>160</v>
      </c>
      <c r="AF36" s="15"/>
      <c r="AG36" s="15"/>
      <c r="AH36" s="15">
        <v>955407584</v>
      </c>
      <c r="AI36" s="15"/>
    </row>
    <row r="37" spans="15:35" ht="32" x14ac:dyDescent="0.2">
      <c r="T37" s="72" t="s">
        <v>161</v>
      </c>
      <c r="U37" s="72">
        <v>30</v>
      </c>
      <c r="W37" s="72" t="s">
        <v>25</v>
      </c>
      <c r="X37" s="15">
        <f>1/U37</f>
        <v>3.3333333333333333E-2</v>
      </c>
      <c r="Y37" s="15"/>
      <c r="AE37" s="15" t="s">
        <v>25</v>
      </c>
      <c r="AF37" s="15">
        <v>3.3333333333333333E-2</v>
      </c>
      <c r="AG37" s="15"/>
      <c r="AH37" s="15"/>
      <c r="AI37" s="15"/>
    </row>
    <row r="38" spans="15:35" ht="48" x14ac:dyDescent="0.2">
      <c r="W38" s="72" t="s">
        <v>162</v>
      </c>
      <c r="Y38" s="15"/>
      <c r="Z38" s="32">
        <f>Z36*U34/X37</f>
        <v>458595640320</v>
      </c>
      <c r="AB38" s="72" t="s">
        <v>58</v>
      </c>
      <c r="AE38" s="15" t="s">
        <v>162</v>
      </c>
      <c r="AF38" s="15"/>
      <c r="AG38" s="15"/>
      <c r="AH38" s="15">
        <v>458595640320</v>
      </c>
      <c r="AI38" s="15">
        <v>0.515625</v>
      </c>
    </row>
    <row r="39" spans="15:35" x14ac:dyDescent="0.2">
      <c r="AE39" s="15"/>
      <c r="AF39" s="15"/>
      <c r="AG39" s="15"/>
      <c r="AH39" s="15"/>
      <c r="AI39" s="15"/>
    </row>
    <row r="40" spans="15:35" ht="32" x14ac:dyDescent="0.2">
      <c r="W40" s="72" t="s">
        <v>10</v>
      </c>
      <c r="Y40" s="15">
        <f>Y30*X34/X37</f>
        <v>164622581820</v>
      </c>
      <c r="AE40" s="15" t="s">
        <v>10</v>
      </c>
      <c r="AF40" s="15"/>
      <c r="AG40" s="15">
        <v>164665896780</v>
      </c>
      <c r="AH40" s="15"/>
      <c r="AI40" s="15"/>
    </row>
    <row r="41" spans="15:35" x14ac:dyDescent="0.2">
      <c r="AE41" s="15"/>
      <c r="AF41" s="15"/>
      <c r="AG41" s="15"/>
      <c r="AH41" s="15"/>
      <c r="AI41" s="15"/>
    </row>
    <row r="42" spans="15:35" x14ac:dyDescent="0.2">
      <c r="W42" s="72" t="s">
        <v>168</v>
      </c>
      <c r="Y42" s="15">
        <f>SUM(T8:T22)*U34+SUM(Q6:Q22)*U34</f>
        <v>2028560512</v>
      </c>
      <c r="AE42" s="15" t="s">
        <v>168</v>
      </c>
      <c r="AF42" s="15"/>
      <c r="AG42" s="15">
        <v>2028560512</v>
      </c>
      <c r="AH42" s="15"/>
      <c r="AI42" s="15"/>
    </row>
  </sheetData>
  <mergeCells count="4">
    <mergeCell ref="T4:W4"/>
    <mergeCell ref="O32:P32"/>
    <mergeCell ref="AJ4:AL4"/>
    <mergeCell ref="AE29:AI29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CNN</vt:lpstr>
      <vt:lpstr>DNN</vt:lpstr>
      <vt:lpstr>XU</vt:lpstr>
      <vt:lpstr>Performance</vt:lpstr>
      <vt:lpstr>XU FC bandwidth</vt:lpstr>
      <vt:lpstr>UAV CNN-based Classifier</vt:lpstr>
      <vt:lpstr>UAV MLP Anomaly</vt:lpstr>
      <vt:lpstr>UAV AE-based Anomaly</vt:lpstr>
      <vt:lpstr>UAV CNN-based Classifier test</vt:lpstr>
      <vt:lpstr>Adds</vt:lpstr>
      <vt:lpstr>Divides</vt:lpstr>
      <vt:lpstr>Feature</vt:lpstr>
      <vt:lpstr>Features</vt:lpstr>
      <vt:lpstr>FeaturesMinus1</vt:lpstr>
      <vt:lpstr>FeaturesPrev</vt:lpstr>
      <vt:lpstr>FLOPsubTotal</vt:lpstr>
      <vt:lpstr>FMA</vt:lpstr>
      <vt:lpstr>XU!foo</vt:lpstr>
      <vt:lpstr>XU!foo_1</vt:lpstr>
      <vt:lpstr>XU!foo_2</vt:lpstr>
      <vt:lpstr>Kx</vt:lpstr>
      <vt:lpstr>Ky</vt:lpstr>
      <vt:lpstr>Kz</vt:lpstr>
      <vt:lpstr>Mults</vt:lpstr>
      <vt:lpstr>ReadSubTotal</vt:lpstr>
      <vt:lpstr>Stride</vt:lpstr>
      <vt:lpstr>Type</vt:lpstr>
      <vt:lpstr>Performance!Untitled</vt:lpstr>
      <vt:lpstr>Weights</vt:lpstr>
      <vt:lpstr>WriteSubTotal</vt:lpstr>
      <vt:lpstr>Xdim</vt:lpstr>
      <vt:lpstr>Xprev</vt:lpstr>
      <vt:lpstr>Ydim</vt:lpstr>
      <vt:lpstr>Yprev</vt:lpstr>
      <vt:lpstr>Zprev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Microsoft Office User</cp:lastModifiedBy>
  <dcterms:created xsi:type="dcterms:W3CDTF">2016-07-14T19:52:23Z</dcterms:created>
  <dcterms:modified xsi:type="dcterms:W3CDTF">2018-08-10T20:24:54Z</dcterms:modified>
</cp:coreProperties>
</file>