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6080" yWindow="-20420" windowWidth="28120" windowHeight="199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I19" i="1"/>
  <c r="H19" i="1"/>
  <c r="G19" i="1"/>
  <c r="F19" i="1"/>
  <c r="J19" i="1"/>
  <c r="H13" i="1"/>
  <c r="H25" i="1"/>
  <c r="G25" i="1"/>
  <c r="F25" i="1"/>
  <c r="E25" i="1"/>
  <c r="G7" i="1"/>
  <c r="G8" i="1"/>
  <c r="F49" i="1"/>
  <c r="F54" i="1"/>
  <c r="F12" i="1"/>
  <c r="F40" i="1"/>
  <c r="F41" i="1"/>
  <c r="F36" i="1"/>
  <c r="F38" i="1"/>
  <c r="F39" i="1"/>
  <c r="F37" i="1"/>
  <c r="F35" i="1"/>
  <c r="F34" i="1"/>
  <c r="F31" i="1"/>
  <c r="F27" i="1"/>
  <c r="F13" i="1"/>
  <c r="F7" i="1"/>
  <c r="F8" i="1"/>
  <c r="F24" i="1"/>
  <c r="F23" i="1"/>
  <c r="F22" i="1"/>
  <c r="E36" i="1"/>
  <c r="I12" i="1"/>
  <c r="I40" i="1"/>
  <c r="H12" i="1"/>
  <c r="H40" i="1"/>
  <c r="G12" i="1"/>
  <c r="G40" i="1"/>
  <c r="E12" i="1"/>
  <c r="E40" i="1"/>
  <c r="E34" i="1"/>
  <c r="I36" i="1"/>
  <c r="I38" i="1"/>
  <c r="I39" i="1"/>
  <c r="H36" i="1"/>
  <c r="H38" i="1"/>
  <c r="H39" i="1"/>
  <c r="G36" i="1"/>
  <c r="G38" i="1"/>
  <c r="G39" i="1"/>
  <c r="E38" i="1"/>
  <c r="E39" i="1"/>
  <c r="J49" i="1"/>
  <c r="J54" i="1"/>
  <c r="I49" i="1"/>
  <c r="I54" i="1"/>
  <c r="H49" i="1"/>
  <c r="H54" i="1"/>
  <c r="G49" i="1"/>
  <c r="G54" i="1"/>
  <c r="E49" i="1"/>
  <c r="E54" i="1"/>
  <c r="L33" i="1"/>
  <c r="E35" i="1"/>
  <c r="J8" i="1"/>
  <c r="J23" i="1"/>
  <c r="G23" i="1"/>
  <c r="E23" i="1"/>
  <c r="P21" i="1"/>
  <c r="I41" i="1"/>
  <c r="I8" i="1"/>
  <c r="I37" i="1"/>
  <c r="I21" i="1"/>
  <c r="I22" i="1"/>
  <c r="J21" i="1"/>
  <c r="N21" i="1"/>
  <c r="H41" i="1"/>
  <c r="M21" i="1"/>
  <c r="G41" i="1"/>
  <c r="L21" i="1"/>
  <c r="E41" i="1"/>
  <c r="N16" i="1"/>
  <c r="M16" i="1"/>
  <c r="L16" i="1"/>
  <c r="H7" i="1"/>
  <c r="H8" i="1"/>
  <c r="H37" i="1"/>
  <c r="G37" i="1"/>
  <c r="E8" i="1"/>
  <c r="E37" i="1"/>
  <c r="J37" i="1"/>
  <c r="H22" i="1"/>
  <c r="H34" i="1"/>
  <c r="H35" i="1"/>
  <c r="G22" i="1"/>
  <c r="G34" i="1"/>
  <c r="G35" i="1"/>
  <c r="E22" i="1"/>
  <c r="J27" i="1"/>
  <c r="J31" i="1"/>
  <c r="G27" i="1"/>
  <c r="G31" i="1"/>
  <c r="E27" i="1"/>
  <c r="E31" i="1"/>
  <c r="J7" i="1"/>
  <c r="N7" i="1"/>
  <c r="P7" i="1"/>
  <c r="Q27" i="1"/>
  <c r="Q26" i="1"/>
  <c r="M7" i="1"/>
  <c r="L7" i="1"/>
  <c r="G13" i="1"/>
  <c r="G15" i="1"/>
  <c r="E13" i="1"/>
  <c r="I34" i="1"/>
  <c r="I35" i="1"/>
  <c r="I23" i="1"/>
  <c r="I27" i="1"/>
  <c r="I31" i="1"/>
  <c r="H23" i="1"/>
  <c r="G24" i="1"/>
  <c r="E24" i="1"/>
  <c r="H27" i="1"/>
  <c r="H31" i="1"/>
  <c r="S27" i="1"/>
  <c r="J24" i="1"/>
  <c r="H24" i="1"/>
  <c r="P24" i="1"/>
  <c r="I24" i="1"/>
</calcChain>
</file>

<file path=xl/comments1.xml><?xml version="1.0" encoding="utf-8"?>
<comments xmlns="http://schemas.openxmlformats.org/spreadsheetml/2006/main">
  <authors>
    <author>Lee Baker</author>
  </authors>
  <commentList>
    <comment ref="F7" authorId="0">
      <text>
        <r>
          <rPr>
            <b/>
            <sz val="9"/>
            <color indexed="81"/>
            <rFont val="Calibri"/>
            <family val="2"/>
          </rPr>
          <t>Lee Baker:</t>
        </r>
        <r>
          <rPr>
            <sz val="9"/>
            <color indexed="81"/>
            <rFont val="Calibri"/>
            <family val="2"/>
          </rPr>
          <t xml:space="preserve">
16 vaults
8 GBps per vault</t>
        </r>
      </text>
    </comment>
    <comment ref="F8" authorId="0">
      <text>
        <r>
          <rPr>
            <b/>
            <sz val="9"/>
            <color indexed="81"/>
            <rFont val="Calibri"/>
            <family val="2"/>
          </rPr>
          <t>Lee Baker:</t>
        </r>
        <r>
          <rPr>
            <sz val="9"/>
            <color indexed="81"/>
            <rFont val="Calibri"/>
            <family val="2"/>
          </rPr>
          <t xml:space="preserve">
 Its not clear whether Neurocube connects ditectly to a vault.
Looking at the documentation suggests all data goes thru the NoC.
In which case they assume the DRAM bandwidth can be maintained thru the NoC.
Did they f%^$%^$^g prove it, I don’t think so.</t>
        </r>
      </text>
    </comment>
    <comment ref="G8" authorId="0">
      <text>
        <r>
          <rPr>
            <b/>
            <sz val="9"/>
            <color indexed="81"/>
            <rFont val="Calibri"/>
            <family val="2"/>
          </rPr>
          <t>Lee Baker:</t>
        </r>
        <r>
          <rPr>
            <sz val="9"/>
            <color indexed="81"/>
            <rFont val="Calibri"/>
            <family val="2"/>
          </rPr>
          <t xml:space="preserve">
Cluster conencts to interconnect network, not directly to a vault
-&gt; Limited by the interconnect network
 Its not clear whether Neurocube connects ditectly to a vault.
Looking at the documentation suggests all data goes thru the NoC.
</t>
        </r>
      </text>
    </comment>
  </commentList>
</comments>
</file>

<file path=xl/sharedStrings.xml><?xml version="1.0" encoding="utf-8"?>
<sst xmlns="http://schemas.openxmlformats.org/spreadsheetml/2006/main" count="93" uniqueCount="54">
  <si>
    <t>TPU</t>
  </si>
  <si>
    <t>bps</t>
  </si>
  <si>
    <t>watts</t>
  </si>
  <si>
    <t>freq</t>
  </si>
  <si>
    <t>power</t>
  </si>
  <si>
    <t>GFLOPS</t>
  </si>
  <si>
    <t>GFLOP/W</t>
  </si>
  <si>
    <t>format</t>
  </si>
  <si>
    <t>binary32</t>
  </si>
  <si>
    <t>DaDianao</t>
  </si>
  <si>
    <t>Area</t>
  </si>
  <si>
    <t>PE area</t>
  </si>
  <si>
    <t>PE Watts</t>
  </si>
  <si>
    <t>mW/mmsq</t>
  </si>
  <si>
    <t>3DLee</t>
  </si>
  <si>
    <t>BW required</t>
  </si>
  <si>
    <t>Storage required</t>
  </si>
  <si>
    <t>NS</t>
  </si>
  <si>
    <t>DaD</t>
  </si>
  <si>
    <t>area</t>
  </si>
  <si>
    <t>MB</t>
  </si>
  <si>
    <t>Mb</t>
  </si>
  <si>
    <t>node system</t>
  </si>
  <si>
    <t>DRAM Bps</t>
  </si>
  <si>
    <t>Cap/BW</t>
  </si>
  <si>
    <t>Power at capacity</t>
  </si>
  <si>
    <t>Power at bandwidth</t>
  </si>
  <si>
    <t>NeuroStream</t>
  </si>
  <si>
    <t>Ratio</t>
  </si>
  <si>
    <t>Hot</t>
  </si>
  <si>
    <t>Cold</t>
  </si>
  <si>
    <t>Just right</t>
  </si>
  <si>
    <t>DRAM Bandwidth Ratio</t>
  </si>
  <si>
    <t>Area ratio</t>
  </si>
  <si>
    <t>Capacity ratio</t>
  </si>
  <si>
    <t>Bandwidth to 
Capacity Ratio</t>
  </si>
  <si>
    <t>this work</t>
  </si>
  <si>
    <t>GPU</t>
  </si>
  <si>
    <t>Sampling time</t>
  </si>
  <si>
    <t>Bandwidth at capacity</t>
  </si>
  <si>
    <t>Number of devices to meet capacity</t>
  </si>
  <si>
    <t>Area required to meet capacity</t>
  </si>
  <si>
    <t>Bandwidth/Capacity
(Goldilocks ratio)</t>
  </si>
  <si>
    <t>Coldest</t>
  </si>
  <si>
    <t>Colder</t>
  </si>
  <si>
    <t>BW Utilization at capacity
(Goldilocks ratio)</t>
  </si>
  <si>
    <t>Area with bandwidth and capacity</t>
  </si>
  <si>
    <t>Power with bandwidth and capacity</t>
  </si>
  <si>
    <t>Neurocube/Tetris</t>
  </si>
  <si>
    <t>binary16</t>
  </si>
  <si>
    <t>NeuroCube</t>
  </si>
  <si>
    <t>Not bad</t>
  </si>
  <si>
    <t>Number of devices to meet bandwidth</t>
  </si>
  <si>
    <t>Area required to meet 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</si>
</sst>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1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" fontId="0" fillId="0" borderId="4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1" fontId="0" fillId="0" borderId="7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righ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9" fontId="0" fillId="0" borderId="0" xfId="0" applyNumberFormat="1" applyBorder="1" applyAlignment="1">
      <alignment horizontal="center" vertical="center"/>
    </xf>
    <xf numFmtId="1" fontId="3" fillId="0" borderId="0" xfId="0" applyNumberFormat="1" applyFont="1" applyAlignment="1">
      <alignment horizontal="right"/>
    </xf>
    <xf numFmtId="0" fontId="0" fillId="5" borderId="8" xfId="0" applyFill="1" applyBorder="1" applyAlignment="1">
      <alignment horizontal="right" wrapText="1"/>
    </xf>
    <xf numFmtId="1" fontId="0" fillId="5" borderId="8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right"/>
    </xf>
    <xf numFmtId="9" fontId="0" fillId="5" borderId="8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4" fillId="0" borderId="0" xfId="163" applyNumberForma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 vertical="center"/>
    </xf>
  </cellXfs>
  <cellStyles count="2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Normal" xfId="0" builtinId="0"/>
    <cellStyle name="Normal_Sheet1" xfId="16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S55"/>
  <sheetViews>
    <sheetView tabSelected="1" topLeftCell="A4" zoomScale="125" zoomScaleNormal="125" zoomScalePageLayoutView="125" workbookViewId="0">
      <selection activeCell="E19" sqref="E19"/>
    </sheetView>
  </sheetViews>
  <sheetFormatPr baseColWidth="10" defaultRowHeight="15" x14ac:dyDescent="0"/>
  <cols>
    <col min="3" max="3" width="17.5" customWidth="1"/>
    <col min="4" max="4" width="39.1640625" style="1" customWidth="1"/>
    <col min="5" max="7" width="12" style="2" customWidth="1"/>
    <col min="8" max="8" width="12" style="3" customWidth="1"/>
    <col min="9" max="9" width="12.1640625" style="2" bestFit="1" customWidth="1"/>
    <col min="10" max="10" width="12" style="2" customWidth="1"/>
    <col min="19" max="19" width="10.83203125" style="13"/>
  </cols>
  <sheetData>
    <row r="1" spans="3:19">
      <c r="D1" s="5" t="s">
        <v>16</v>
      </c>
      <c r="E1" s="3">
        <v>60000000000</v>
      </c>
      <c r="F1" s="3"/>
    </row>
    <row r="2" spans="3:19">
      <c r="D2" s="5" t="s">
        <v>15</v>
      </c>
      <c r="E2" s="3">
        <v>33000000000000</v>
      </c>
      <c r="F2" s="3"/>
      <c r="L2" s="53" t="s">
        <v>32</v>
      </c>
      <c r="M2" s="53"/>
      <c r="N2" s="53"/>
    </row>
    <row r="3" spans="3:19">
      <c r="D3" s="1" t="s">
        <v>38</v>
      </c>
      <c r="E3" s="3">
        <v>1.6E-2</v>
      </c>
      <c r="F3" s="3"/>
      <c r="I3" s="3"/>
      <c r="J3" s="5"/>
      <c r="L3" s="13"/>
      <c r="M3" s="13"/>
      <c r="N3" s="13"/>
    </row>
    <row r="4" spans="3:19">
      <c r="I4" s="3"/>
      <c r="J4" s="5"/>
      <c r="L4" s="13"/>
      <c r="M4" s="13"/>
      <c r="N4" s="13"/>
    </row>
    <row r="5" spans="3:19">
      <c r="I5" s="3"/>
      <c r="J5" s="5"/>
      <c r="L5" s="13"/>
      <c r="M5" s="13"/>
      <c r="N5" s="13"/>
    </row>
    <row r="6" spans="3:19" s="51" customFormat="1" ht="30">
      <c r="C6" s="46"/>
      <c r="D6" s="47"/>
      <c r="E6" s="48" t="s">
        <v>0</v>
      </c>
      <c r="F6" s="48" t="s">
        <v>48</v>
      </c>
      <c r="G6" s="48" t="s">
        <v>27</v>
      </c>
      <c r="H6" s="49" t="s">
        <v>9</v>
      </c>
      <c r="I6" s="50" t="s">
        <v>37</v>
      </c>
      <c r="J6" s="48" t="s">
        <v>14</v>
      </c>
      <c r="L6" s="48" t="s">
        <v>0</v>
      </c>
      <c r="M6" s="48" t="s">
        <v>17</v>
      </c>
      <c r="N6" s="48" t="s">
        <v>18</v>
      </c>
      <c r="S6" s="50"/>
    </row>
    <row r="7" spans="3:19">
      <c r="D7" s="1" t="s">
        <v>23</v>
      </c>
      <c r="E7" s="3">
        <v>36000000000</v>
      </c>
      <c r="F7" s="3">
        <f>16*8000000000</f>
        <v>128000000000</v>
      </c>
      <c r="G7" s="3">
        <f>G8/8</f>
        <v>32000000000</v>
      </c>
      <c r="H7" s="3">
        <f>4096*606000000/8</f>
        <v>310272000000</v>
      </c>
      <c r="I7" s="29">
        <v>720000000000</v>
      </c>
      <c r="J7" s="3">
        <f>J8/8</f>
        <v>8192000000000</v>
      </c>
      <c r="L7" s="14">
        <f>$J$7/E7</f>
        <v>227.55555555555554</v>
      </c>
      <c r="M7" s="14">
        <f>$J$7/G7</f>
        <v>256</v>
      </c>
      <c r="N7" s="14">
        <f>$J$7/H7</f>
        <v>26.402640264026402</v>
      </c>
      <c r="P7" s="12">
        <f>N7*H9/J13</f>
        <v>5.6220022002200221</v>
      </c>
    </row>
    <row r="8" spans="3:19">
      <c r="D8" s="1" t="s">
        <v>1</v>
      </c>
      <c r="E8" s="2">
        <f>E7*8</f>
        <v>288000000000</v>
      </c>
      <c r="F8" s="2">
        <f>F7*8</f>
        <v>1024000000000</v>
      </c>
      <c r="G8" s="2">
        <f>256000000000</f>
        <v>256000000000</v>
      </c>
      <c r="H8" s="3">
        <f>H7*8</f>
        <v>2482176000000</v>
      </c>
      <c r="I8" s="2">
        <f>I7*8</f>
        <v>5760000000000</v>
      </c>
      <c r="J8" s="3">
        <f>2048*J10*64</f>
        <v>65536000000000</v>
      </c>
    </row>
    <row r="9" spans="3:19" s="12" customFormat="1">
      <c r="D9" s="11" t="s">
        <v>2</v>
      </c>
      <c r="E9" s="4">
        <v>40</v>
      </c>
      <c r="F9" s="4">
        <v>6.94</v>
      </c>
      <c r="G9" s="4">
        <v>11</v>
      </c>
      <c r="H9" s="4">
        <v>15.97</v>
      </c>
      <c r="I9" s="31">
        <v>250</v>
      </c>
      <c r="J9" s="4">
        <v>75</v>
      </c>
    </row>
    <row r="10" spans="3:19">
      <c r="D10" s="1" t="s">
        <v>3</v>
      </c>
      <c r="E10" s="3">
        <v>700000000</v>
      </c>
      <c r="F10" s="3">
        <v>500000000</v>
      </c>
      <c r="G10" s="3">
        <v>1000000000</v>
      </c>
      <c r="H10" s="3">
        <v>606000000</v>
      </c>
      <c r="I10" s="29">
        <v>1300000000</v>
      </c>
      <c r="J10" s="3">
        <v>500000000</v>
      </c>
    </row>
    <row r="11" spans="3:19">
      <c r="D11" s="1" t="s">
        <v>7</v>
      </c>
      <c r="F11" s="2" t="s">
        <v>49</v>
      </c>
      <c r="G11" s="2" t="s">
        <v>8</v>
      </c>
    </row>
    <row r="12" spans="3:19" s="7" customFormat="1">
      <c r="D12" s="40" t="s">
        <v>52</v>
      </c>
      <c r="E12" s="9">
        <f>$E$2/E8</f>
        <v>114.58333333333333</v>
      </c>
      <c r="F12" s="9">
        <f>$E$2/F8</f>
        <v>32.2265625</v>
      </c>
      <c r="G12" s="9">
        <f>$E$2/G8</f>
        <v>128.90625</v>
      </c>
      <c r="H12" s="9">
        <f>$E$2/H8</f>
        <v>13.294786509900991</v>
      </c>
      <c r="I12" s="9">
        <f>$E$2/I8</f>
        <v>5.729166666666667</v>
      </c>
      <c r="J12" s="9"/>
      <c r="S12" s="14"/>
    </row>
    <row r="13" spans="3:19">
      <c r="D13" s="1" t="s">
        <v>4</v>
      </c>
      <c r="E13" s="45">
        <f>E12*E9</f>
        <v>4583.333333333333</v>
      </c>
      <c r="F13" s="45">
        <f>F12*F9</f>
        <v>223.65234375</v>
      </c>
      <c r="G13" s="45">
        <f>G12*G9</f>
        <v>1417.96875</v>
      </c>
      <c r="H13" s="45">
        <f>H12*H9</f>
        <v>212.31774056311883</v>
      </c>
      <c r="I13" s="45">
        <v>250</v>
      </c>
      <c r="J13" s="2">
        <v>75</v>
      </c>
    </row>
    <row r="14" spans="3:19">
      <c r="D14" s="1" t="s">
        <v>5</v>
      </c>
      <c r="G14" s="2">
        <v>250</v>
      </c>
      <c r="L14" s="54" t="s">
        <v>33</v>
      </c>
      <c r="M14" s="53"/>
      <c r="N14" s="53"/>
    </row>
    <row r="15" spans="3:19">
      <c r="D15" s="1" t="s">
        <v>6</v>
      </c>
      <c r="G15" s="4">
        <f>G14/G9</f>
        <v>22.727272727272727</v>
      </c>
      <c r="L15" s="2" t="s">
        <v>0</v>
      </c>
      <c r="M15" s="2" t="s">
        <v>17</v>
      </c>
      <c r="N15" s="2" t="s">
        <v>18</v>
      </c>
    </row>
    <row r="16" spans="3:19">
      <c r="D16" s="1" t="s">
        <v>10</v>
      </c>
      <c r="E16" s="2">
        <v>300</v>
      </c>
      <c r="F16" s="2">
        <v>68</v>
      </c>
      <c r="G16" s="2">
        <v>99</v>
      </c>
      <c r="H16" s="9">
        <v>67</v>
      </c>
      <c r="I16" s="2">
        <v>561</v>
      </c>
      <c r="J16" s="2">
        <v>350</v>
      </c>
      <c r="L16" s="15">
        <f>$J$16/E16</f>
        <v>1.1666666666666667</v>
      </c>
      <c r="M16" s="15">
        <f>$J$16/G16</f>
        <v>3.5353535353535355</v>
      </c>
      <c r="N16" s="15">
        <f>$J$16/H16</f>
        <v>5.2238805970149258</v>
      </c>
    </row>
    <row r="17" spans="4:19">
      <c r="D17" s="1" t="s">
        <v>11</v>
      </c>
      <c r="G17" s="2">
        <v>8.1999999999999993</v>
      </c>
    </row>
    <row r="18" spans="4:19">
      <c r="D18" s="1" t="s">
        <v>12</v>
      </c>
      <c r="G18" s="2">
        <v>2.5</v>
      </c>
    </row>
    <row r="19" spans="4:19" s="7" customFormat="1">
      <c r="D19" s="8" t="s">
        <v>13</v>
      </c>
      <c r="E19" s="9">
        <f>((E13/(E12*E16))*1000)*(1000000000/E10)</f>
        <v>190.47619047619048</v>
      </c>
      <c r="F19" s="9">
        <f>((F13/(F12*F16))*1000)*(1000000000/F10)</f>
        <v>204.11764705882354</v>
      </c>
      <c r="G19" s="9">
        <f>((G13/(G12*G16))*1000)*(1000000000/G10)</f>
        <v>111.1111111111111</v>
      </c>
      <c r="H19" s="9">
        <f>((H13/(H12*H16))*1000)*(1000000000/H10)</f>
        <v>393.33037781390078</v>
      </c>
      <c r="I19" s="9">
        <f>((I13/(I12*I16))*1000)*(1000000000/I10)</f>
        <v>59.833214913428826</v>
      </c>
      <c r="J19" s="9">
        <f>((J13/J16)*1000)*(1000000000/J10)</f>
        <v>428.57142857142856</v>
      </c>
      <c r="L19" s="55" t="s">
        <v>34</v>
      </c>
      <c r="M19" s="55"/>
      <c r="N19" s="55"/>
      <c r="S19" s="14"/>
    </row>
    <row r="20" spans="4:19">
      <c r="L20" s="2" t="s">
        <v>0</v>
      </c>
      <c r="M20" s="2" t="s">
        <v>17</v>
      </c>
      <c r="N20" s="2" t="s">
        <v>18</v>
      </c>
    </row>
    <row r="21" spans="4:19">
      <c r="D21" s="1" t="s">
        <v>20</v>
      </c>
      <c r="E21" s="3">
        <v>8000000000</v>
      </c>
      <c r="F21" s="3">
        <v>1000000000</v>
      </c>
      <c r="G21" s="3">
        <v>1000000000</v>
      </c>
      <c r="H21" s="3">
        <v>36000000</v>
      </c>
      <c r="I21" s="3">
        <f>16000000000</f>
        <v>16000000000</v>
      </c>
      <c r="J21" s="3">
        <f>J22/8</f>
        <v>8000000000</v>
      </c>
      <c r="L21" s="15">
        <f>$J$21/E21</f>
        <v>1</v>
      </c>
      <c r="M21" s="15">
        <f>$J$21/G21</f>
        <v>8</v>
      </c>
      <c r="N21" s="15">
        <f>$J$21/H21</f>
        <v>222.22222222222223</v>
      </c>
      <c r="P21" s="7">
        <f>$J$22/H21</f>
        <v>1777.7777777777778</v>
      </c>
      <c r="S21" s="29">
        <v>16000000000</v>
      </c>
    </row>
    <row r="22" spans="4:19">
      <c r="D22" s="1" t="s">
        <v>21</v>
      </c>
      <c r="E22" s="3">
        <f>E21*8</f>
        <v>64000000000</v>
      </c>
      <c r="F22" s="3">
        <f>F21*8</f>
        <v>8000000000</v>
      </c>
      <c r="G22" s="3">
        <f>G21*8</f>
        <v>8000000000</v>
      </c>
      <c r="H22" s="3">
        <f>H21*8</f>
        <v>288000000</v>
      </c>
      <c r="I22" s="3">
        <f>I21*8</f>
        <v>128000000000</v>
      </c>
      <c r="J22" s="3">
        <v>64000000000</v>
      </c>
      <c r="S22" s="3">
        <v>64000000000</v>
      </c>
    </row>
    <row r="23" spans="4:19" s="7" customFormat="1">
      <c r="D23" s="8" t="s">
        <v>40</v>
      </c>
      <c r="E23" s="9">
        <f t="shared" ref="E23:J23" si="0">CEILING($E$1/E22,1)</f>
        <v>1</v>
      </c>
      <c r="F23" s="9">
        <f t="shared" si="0"/>
        <v>8</v>
      </c>
      <c r="G23" s="9">
        <f t="shared" si="0"/>
        <v>8</v>
      </c>
      <c r="H23" s="9">
        <f t="shared" si="0"/>
        <v>209</v>
      </c>
      <c r="I23" s="9">
        <f t="shared" si="0"/>
        <v>1</v>
      </c>
      <c r="J23" s="9">
        <f t="shared" si="0"/>
        <v>1</v>
      </c>
      <c r="Q23" s="2">
        <v>175</v>
      </c>
      <c r="S23" s="14"/>
    </row>
    <row r="24" spans="4:19">
      <c r="D24" s="1" t="s">
        <v>41</v>
      </c>
      <c r="E24" s="9">
        <f t="shared" ref="E24:J24" si="1">E23*E16</f>
        <v>300</v>
      </c>
      <c r="F24" s="9">
        <f t="shared" si="1"/>
        <v>544</v>
      </c>
      <c r="G24" s="9">
        <f t="shared" si="1"/>
        <v>792</v>
      </c>
      <c r="H24" s="9">
        <f t="shared" si="1"/>
        <v>14003</v>
      </c>
      <c r="I24" s="9">
        <f t="shared" si="1"/>
        <v>561</v>
      </c>
      <c r="J24" s="9">
        <f t="shared" si="1"/>
        <v>350</v>
      </c>
      <c r="P24" s="6">
        <f>H24/Q23</f>
        <v>80.017142857142858</v>
      </c>
    </row>
    <row r="25" spans="4:19">
      <c r="D25" s="1" t="s">
        <v>53</v>
      </c>
      <c r="E25" s="9">
        <f>E12*E16</f>
        <v>34375</v>
      </c>
      <c r="F25" s="9">
        <f>F12*F16</f>
        <v>2191.40625</v>
      </c>
      <c r="G25" s="9">
        <f>G12*G16</f>
        <v>12761.71875</v>
      </c>
      <c r="H25" s="9">
        <f>H12*H16</f>
        <v>890.75069616336634</v>
      </c>
      <c r="I25" s="56">
        <v>34375</v>
      </c>
      <c r="J25" s="56">
        <v>34375</v>
      </c>
      <c r="P25">
        <v>64</v>
      </c>
      <c r="Q25" s="10" t="s">
        <v>22</v>
      </c>
    </row>
    <row r="26" spans="4:19">
      <c r="P26" t="s">
        <v>19</v>
      </c>
      <c r="Q26" s="7">
        <f>64*H16/Q23</f>
        <v>24.502857142857142</v>
      </c>
    </row>
    <row r="27" spans="4:19">
      <c r="D27" s="1" t="s">
        <v>24</v>
      </c>
      <c r="E27" s="4">
        <f t="shared" ref="E27:J27" si="2">E22/E8</f>
        <v>0.22222222222222221</v>
      </c>
      <c r="F27" s="4">
        <f t="shared" si="2"/>
        <v>7.8125E-3</v>
      </c>
      <c r="G27" s="4">
        <f t="shared" si="2"/>
        <v>3.125E-2</v>
      </c>
      <c r="H27" s="4">
        <f t="shared" si="2"/>
        <v>1.1602722772277227E-4</v>
      </c>
      <c r="I27" s="4">
        <f t="shared" si="2"/>
        <v>2.2222222222222223E-2</v>
      </c>
      <c r="J27" s="52">
        <f t="shared" si="2"/>
        <v>9.765625E-4</v>
      </c>
      <c r="L27" s="30"/>
      <c r="M27" s="30"/>
      <c r="N27" s="30"/>
      <c r="O27" s="30"/>
      <c r="P27" s="30" t="s">
        <v>4</v>
      </c>
      <c r="Q27" s="30">
        <f>P25*H9/J13</f>
        <v>13.627733333333333</v>
      </c>
      <c r="R27" s="30"/>
      <c r="S27" s="4">
        <f>S22/I8</f>
        <v>1.1111111111111112E-2</v>
      </c>
    </row>
    <row r="30" spans="4:19">
      <c r="E30" s="16" t="s">
        <v>0</v>
      </c>
      <c r="F30" s="16" t="s">
        <v>50</v>
      </c>
      <c r="G30" s="16" t="s">
        <v>27</v>
      </c>
      <c r="H30" s="17" t="s">
        <v>9</v>
      </c>
      <c r="I30" s="16" t="s">
        <v>37</v>
      </c>
      <c r="J30" s="16" t="s">
        <v>36</v>
      </c>
    </row>
    <row r="31" spans="4:19" ht="30">
      <c r="D31" s="25" t="s">
        <v>35</v>
      </c>
      <c r="E31" s="18">
        <f t="shared" ref="E31:J31" si="3">1/E27</f>
        <v>4.5</v>
      </c>
      <c r="F31" s="18">
        <f t="shared" si="3"/>
        <v>128</v>
      </c>
      <c r="G31" s="18">
        <f t="shared" si="3"/>
        <v>32</v>
      </c>
      <c r="H31" s="18">
        <f t="shared" si="3"/>
        <v>8618.6666666666679</v>
      </c>
      <c r="I31" s="18">
        <f t="shared" si="3"/>
        <v>45</v>
      </c>
      <c r="J31" s="18">
        <f t="shared" si="3"/>
        <v>1024</v>
      </c>
    </row>
    <row r="32" spans="4:19">
      <c r="E32" s="33"/>
      <c r="F32" s="33"/>
      <c r="G32" s="33"/>
      <c r="H32" s="34"/>
      <c r="I32" s="33"/>
      <c r="J32" s="33"/>
    </row>
    <row r="33" spans="4:19">
      <c r="E33" s="16" t="s">
        <v>0</v>
      </c>
      <c r="F33" s="16" t="s">
        <v>50</v>
      </c>
      <c r="G33" s="16" t="s">
        <v>27</v>
      </c>
      <c r="H33" s="17" t="s">
        <v>9</v>
      </c>
      <c r="I33" s="16" t="s">
        <v>37</v>
      </c>
      <c r="J33" s="2" t="s">
        <v>36</v>
      </c>
      <c r="L33" s="9">
        <f>$J$22/J22*J9</f>
        <v>75</v>
      </c>
    </row>
    <row r="34" spans="4:19">
      <c r="D34" s="19" t="s">
        <v>25</v>
      </c>
      <c r="E34" s="21">
        <f>($E$1/E22)*E9</f>
        <v>37.5</v>
      </c>
      <c r="F34" s="21">
        <f>($E$1/F22)*F9</f>
        <v>52.050000000000004</v>
      </c>
      <c r="G34" s="21">
        <f>$E$1/G22*G9</f>
        <v>82.5</v>
      </c>
      <c r="H34" s="21">
        <f>$E$1/H22*H9</f>
        <v>3327.0833333333335</v>
      </c>
      <c r="I34" s="21">
        <f>$E$1/I22*I9</f>
        <v>117.1875</v>
      </c>
      <c r="J34" s="9"/>
    </row>
    <row r="35" spans="4:19">
      <c r="D35" s="20" t="s">
        <v>28</v>
      </c>
      <c r="E35" s="22">
        <f>E34/$J$13</f>
        <v>0.5</v>
      </c>
      <c r="F35" s="22">
        <f>F34/$J$13</f>
        <v>0.69400000000000006</v>
      </c>
      <c r="G35" s="22">
        <f>G34/$J$13</f>
        <v>1.1000000000000001</v>
      </c>
      <c r="H35" s="22">
        <f>H34/$J$13</f>
        <v>44.361111111111114</v>
      </c>
      <c r="I35" s="22">
        <f>I34/$J$13</f>
        <v>1.5625</v>
      </c>
      <c r="J35" s="9"/>
    </row>
    <row r="36" spans="4:19">
      <c r="D36" s="23" t="s">
        <v>26</v>
      </c>
      <c r="E36" s="21">
        <f>$E$2/E8*E9</f>
        <v>4583.333333333333</v>
      </c>
      <c r="F36" s="21">
        <f>$E$2/F8*F9</f>
        <v>223.65234375</v>
      </c>
      <c r="G36" s="21">
        <f>$E$2/G8*G9</f>
        <v>1417.96875</v>
      </c>
      <c r="H36" s="21">
        <f>$E$2/H8*H9</f>
        <v>212.31774056311883</v>
      </c>
      <c r="I36" s="21">
        <f>$E$2/I8*I9</f>
        <v>1432.2916666666667</v>
      </c>
    </row>
    <row r="37" spans="4:19">
      <c r="D37" s="24" t="s">
        <v>28</v>
      </c>
      <c r="E37" s="22">
        <f>E36/$J$13</f>
        <v>61.111111111111107</v>
      </c>
      <c r="F37" s="22">
        <f>F36/$J$13</f>
        <v>2.9820312499999999</v>
      </c>
      <c r="G37" s="22">
        <f>G36/$J$13</f>
        <v>18.90625</v>
      </c>
      <c r="H37" s="22">
        <f>H36/$J$13</f>
        <v>2.8309032075082512</v>
      </c>
      <c r="I37" s="22">
        <f>I36/$J$13</f>
        <v>19.097222222222225</v>
      </c>
      <c r="J37" s="3">
        <f>J8</f>
        <v>65536000000000</v>
      </c>
    </row>
    <row r="38" spans="4:19">
      <c r="D38" s="41" t="s">
        <v>47</v>
      </c>
      <c r="E38" s="42">
        <f>MAX(E34,E36)</f>
        <v>4583.333333333333</v>
      </c>
      <c r="F38" s="42">
        <f>MAX(F34,F36)</f>
        <v>223.65234375</v>
      </c>
      <c r="G38" s="42">
        <f>MAX(G34,G36)</f>
        <v>1417.96875</v>
      </c>
      <c r="H38" s="42">
        <f>MAX(H34,H36)</f>
        <v>3327.0833333333335</v>
      </c>
      <c r="I38" s="42">
        <f>MAX(I34,I36)</f>
        <v>1432.2916666666667</v>
      </c>
      <c r="J38" s="3"/>
      <c r="S38" s="36"/>
    </row>
    <row r="39" spans="4:19">
      <c r="D39" s="43" t="s">
        <v>28</v>
      </c>
      <c r="E39" s="44">
        <f>E38/$J$13</f>
        <v>61.111111111111107</v>
      </c>
      <c r="F39" s="44">
        <f>F38/$J$13</f>
        <v>2.9820312499999999</v>
      </c>
      <c r="G39" s="44">
        <f>G38/$J$13</f>
        <v>18.90625</v>
      </c>
      <c r="H39" s="44">
        <f>H38/$J$13</f>
        <v>44.361111111111114</v>
      </c>
      <c r="I39" s="44">
        <f>I38/$J$13</f>
        <v>19.097222222222225</v>
      </c>
      <c r="J39" s="3"/>
      <c r="S39" s="36"/>
    </row>
    <row r="40" spans="4:19">
      <c r="D40" s="23" t="s">
        <v>46</v>
      </c>
      <c r="E40" s="21">
        <f>MAX(E23,E12)*E16</f>
        <v>34375</v>
      </c>
      <c r="F40" s="21">
        <f>MAX(F23,F12)*F16</f>
        <v>2191.40625</v>
      </c>
      <c r="G40" s="21">
        <f>MAX(G23,G12)*G16</f>
        <v>12761.71875</v>
      </c>
      <c r="H40" s="21">
        <f>MAX(H23,H12)*H16</f>
        <v>14003</v>
      </c>
      <c r="I40" s="21">
        <f>MAX(I23,I12)*I16</f>
        <v>3214.0625</v>
      </c>
    </row>
    <row r="41" spans="4:19">
      <c r="D41" s="24" t="s">
        <v>28</v>
      </c>
      <c r="E41" s="22">
        <f>E40/$J$16</f>
        <v>98.214285714285708</v>
      </c>
      <c r="F41" s="22">
        <f>F40/$J$16</f>
        <v>6.2611607142857144</v>
      </c>
      <c r="G41" s="22">
        <f>G40/$J$16</f>
        <v>36.462053571428569</v>
      </c>
      <c r="H41" s="22">
        <f>H40/$J$16</f>
        <v>40.008571428571429</v>
      </c>
      <c r="I41" s="22">
        <f>I40/$J$16</f>
        <v>9.1830357142857135</v>
      </c>
    </row>
    <row r="42" spans="4:19">
      <c r="D42" s="38"/>
      <c r="E42" s="39"/>
      <c r="F42" s="39"/>
      <c r="G42" s="39"/>
      <c r="H42" s="39"/>
      <c r="I42" s="39"/>
      <c r="S42" s="36"/>
    </row>
    <row r="43" spans="4:19">
      <c r="D43" s="38"/>
      <c r="E43" s="39"/>
      <c r="F43" s="39"/>
      <c r="G43" s="39"/>
      <c r="H43" s="39"/>
      <c r="I43" s="39"/>
      <c r="S43" s="36"/>
    </row>
    <row r="44" spans="4:19">
      <c r="D44" s="38"/>
      <c r="E44" s="39"/>
      <c r="F44" s="39"/>
      <c r="G44" s="39"/>
      <c r="H44" s="39"/>
      <c r="I44" s="39"/>
      <c r="S44" s="36"/>
    </row>
    <row r="45" spans="4:19">
      <c r="D45" s="38"/>
      <c r="E45" s="39"/>
      <c r="F45" s="39"/>
      <c r="G45" s="39"/>
      <c r="H45" s="39"/>
      <c r="I45" s="39"/>
      <c r="S45" s="36"/>
    </row>
    <row r="46" spans="4:19">
      <c r="D46" s="1" t="s">
        <v>39</v>
      </c>
    </row>
    <row r="48" spans="4:19">
      <c r="E48" s="16" t="s">
        <v>0</v>
      </c>
      <c r="F48" s="16" t="s">
        <v>50</v>
      </c>
      <c r="G48" s="16" t="s">
        <v>27</v>
      </c>
      <c r="H48" s="17" t="s">
        <v>9</v>
      </c>
      <c r="I48" s="16" t="s">
        <v>37</v>
      </c>
      <c r="J48" s="16" t="s">
        <v>36</v>
      </c>
    </row>
    <row r="49" spans="4:10" ht="30">
      <c r="D49" s="35" t="s">
        <v>42</v>
      </c>
      <c r="E49" s="32">
        <f t="shared" ref="E49:J49" si="4">E23*E8/$E$2</f>
        <v>8.7272727272727276E-3</v>
      </c>
      <c r="F49" s="32">
        <f t="shared" si="4"/>
        <v>0.24824242424242424</v>
      </c>
      <c r="G49" s="32">
        <f t="shared" si="4"/>
        <v>6.2060606060606059E-2</v>
      </c>
      <c r="H49" s="32">
        <f t="shared" si="4"/>
        <v>15.720447999999999</v>
      </c>
      <c r="I49" s="32">
        <f t="shared" si="4"/>
        <v>0.17454545454545456</v>
      </c>
      <c r="J49" s="32">
        <f t="shared" si="4"/>
        <v>1.9859393939393939</v>
      </c>
    </row>
    <row r="50" spans="4:10">
      <c r="E50" s="27" t="s">
        <v>30</v>
      </c>
      <c r="F50" s="26" t="s">
        <v>51</v>
      </c>
      <c r="G50" s="27" t="s">
        <v>30</v>
      </c>
      <c r="H50" s="28" t="s">
        <v>29</v>
      </c>
      <c r="I50" s="27" t="s">
        <v>30</v>
      </c>
      <c r="J50" s="26" t="s">
        <v>31</v>
      </c>
    </row>
    <row r="53" spans="4:10">
      <c r="E53" s="16" t="s">
        <v>0</v>
      </c>
      <c r="F53" s="16" t="s">
        <v>50</v>
      </c>
      <c r="G53" s="16" t="s">
        <v>27</v>
      </c>
      <c r="H53" s="17" t="s">
        <v>9</v>
      </c>
      <c r="I53" s="16" t="s">
        <v>37</v>
      </c>
      <c r="J53" s="16" t="s">
        <v>36</v>
      </c>
    </row>
    <row r="54" spans="4:10" ht="30">
      <c r="D54" s="37" t="s">
        <v>45</v>
      </c>
      <c r="E54" s="32">
        <f t="shared" ref="E54:J54" si="5">1/E49</f>
        <v>114.58333333333333</v>
      </c>
      <c r="F54" s="32">
        <f t="shared" si="5"/>
        <v>4.0283203125</v>
      </c>
      <c r="G54" s="32">
        <f t="shared" si="5"/>
        <v>16.11328125</v>
      </c>
      <c r="H54" s="32">
        <f t="shared" si="5"/>
        <v>6.3611418707660239E-2</v>
      </c>
      <c r="I54" s="32">
        <f t="shared" si="5"/>
        <v>5.7291666666666661</v>
      </c>
      <c r="J54" s="32">
        <f t="shared" si="5"/>
        <v>0.5035400390625</v>
      </c>
    </row>
    <row r="55" spans="4:10">
      <c r="E55" s="27" t="s">
        <v>43</v>
      </c>
      <c r="F55" s="27" t="s">
        <v>30</v>
      </c>
      <c r="G55" s="27" t="s">
        <v>44</v>
      </c>
      <c r="H55" s="28" t="s">
        <v>29</v>
      </c>
      <c r="I55" s="27" t="s">
        <v>30</v>
      </c>
      <c r="J55" s="26" t="s">
        <v>31</v>
      </c>
    </row>
  </sheetData>
  <mergeCells count="3">
    <mergeCell ref="L2:N2"/>
    <mergeCell ref="L14:N14"/>
    <mergeCell ref="L19:N19"/>
  </mergeCells>
  <pageMargins left="0.75" right="0.75" top="1" bottom="1" header="0.5" footer="0.5"/>
  <pageSetup orientation="portrait" horizontalDpi="4294967292" verticalDpi="4294967292"/>
  <ignoredErrors>
    <ignoredError sqref="G36:I36 G38:I38 E38 E36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2018-02-17T14:26:05Z</dcterms:created>
  <dcterms:modified xsi:type="dcterms:W3CDTF">2018-03-04T23:56:45Z</dcterms:modified>
</cp:coreProperties>
</file>