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 activeTab="3"/>
  </bookViews>
  <sheets>
    <sheet name="PE" sheetId="2" r:id="rId1"/>
    <sheet name="Manager" sheetId="1" r:id="rId2"/>
    <sheet name="DRAM" sheetId="4" r:id="rId3"/>
    <sheet name="Summary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3" l="1"/>
  <c r="I10" i="3"/>
  <c r="J5" i="4"/>
  <c r="J17" i="4"/>
  <c r="K17" i="4"/>
  <c r="P11" i="4"/>
  <c r="P7" i="4"/>
  <c r="Q7" i="4"/>
  <c r="Q11" i="4"/>
  <c r="Q13" i="4"/>
  <c r="N7" i="4"/>
  <c r="K7" i="4"/>
  <c r="L7" i="4"/>
  <c r="K11" i="4"/>
  <c r="L11" i="4"/>
  <c r="O7" i="4"/>
  <c r="B11" i="4"/>
  <c r="C11" i="4"/>
  <c r="D11" i="4"/>
  <c r="E11" i="4"/>
  <c r="F11" i="4"/>
  <c r="G11" i="4"/>
  <c r="H11" i="4"/>
  <c r="D5" i="3"/>
  <c r="D6" i="3"/>
  <c r="J8" i="3"/>
  <c r="L8" i="3"/>
  <c r="L5" i="3"/>
  <c r="L19" i="2"/>
  <c r="F7" i="2"/>
  <c r="F7" i="1"/>
  <c r="L21" i="1"/>
  <c r="L22" i="1"/>
  <c r="M21" i="1"/>
  <c r="M22" i="1"/>
  <c r="N22" i="1"/>
  <c r="F12" i="1"/>
  <c r="M21" i="2"/>
  <c r="M22" i="2"/>
  <c r="L21" i="2"/>
  <c r="L22" i="2"/>
  <c r="N22" i="2"/>
  <c r="F12" i="2"/>
  <c r="H8" i="2"/>
  <c r="G8" i="2"/>
  <c r="F8" i="2"/>
  <c r="L14" i="2"/>
  <c r="H7" i="1"/>
  <c r="G7" i="1"/>
  <c r="H8" i="1"/>
  <c r="G8" i="1"/>
  <c r="F8" i="1"/>
  <c r="F6" i="2"/>
  <c r="G6" i="2"/>
  <c r="H6" i="2"/>
  <c r="F16" i="1"/>
  <c r="G12" i="1"/>
  <c r="G16" i="1"/>
  <c r="H16" i="1"/>
  <c r="I16" i="1"/>
  <c r="J16" i="1"/>
  <c r="F14" i="1"/>
  <c r="I14" i="1"/>
  <c r="J14" i="1"/>
  <c r="F16" i="2"/>
  <c r="G12" i="2"/>
  <c r="G16" i="2"/>
  <c r="H16" i="2"/>
  <c r="I16" i="2"/>
  <c r="J16" i="2"/>
  <c r="F14" i="2"/>
  <c r="G14" i="2"/>
  <c r="H14" i="2"/>
  <c r="I14" i="2"/>
  <c r="J14" i="2"/>
  <c r="D8" i="3"/>
  <c r="D9" i="3"/>
  <c r="C7" i="4"/>
  <c r="D7" i="4"/>
  <c r="G7" i="4"/>
  <c r="H7" i="4"/>
  <c r="D7" i="3"/>
  <c r="D11" i="3"/>
  <c r="G5" i="3"/>
  <c r="G6" i="3"/>
  <c r="G7" i="3"/>
  <c r="G8" i="3"/>
  <c r="G9" i="3"/>
  <c r="H10" i="3"/>
  <c r="D24" i="3"/>
  <c r="D23" i="3"/>
  <c r="D22" i="3"/>
  <c r="D21" i="3"/>
  <c r="D20" i="3"/>
  <c r="D19" i="3"/>
  <c r="D18" i="3"/>
  <c r="D17" i="3"/>
  <c r="C24" i="3"/>
  <c r="C23" i="3"/>
  <c r="C22" i="3"/>
  <c r="C21" i="3"/>
  <c r="C20" i="3"/>
  <c r="C19" i="3"/>
  <c r="C18" i="3"/>
  <c r="C17" i="3"/>
  <c r="D16" i="3"/>
  <c r="C16" i="3"/>
  <c r="H21" i="2"/>
  <c r="G21" i="2"/>
  <c r="F21" i="2"/>
  <c r="I20" i="2"/>
  <c r="H11" i="2"/>
  <c r="G11" i="2"/>
  <c r="F11" i="2"/>
  <c r="F7" i="4"/>
  <c r="E7" i="4"/>
  <c r="B7" i="4"/>
  <c r="F15" i="2"/>
  <c r="G15" i="2"/>
  <c r="H15" i="2"/>
  <c r="I15" i="2"/>
  <c r="J15" i="2"/>
  <c r="F15" i="1"/>
  <c r="G15" i="1"/>
  <c r="H15" i="1"/>
  <c r="I15" i="1"/>
  <c r="J15" i="1"/>
  <c r="I11" i="2"/>
  <c r="I21" i="2"/>
  <c r="F13" i="1"/>
  <c r="G13" i="1"/>
  <c r="H13" i="1"/>
  <c r="I13" i="1"/>
  <c r="J13" i="1"/>
  <c r="G14" i="1"/>
  <c r="H14" i="1"/>
  <c r="F13" i="2"/>
  <c r="G13" i="2"/>
  <c r="H13" i="2"/>
  <c r="I13" i="2"/>
  <c r="J13" i="2"/>
  <c r="H12" i="2"/>
  <c r="I12" i="2"/>
  <c r="G6" i="1"/>
  <c r="H12" i="1"/>
  <c r="I12" i="1"/>
  <c r="I11" i="1"/>
</calcChain>
</file>

<file path=xl/sharedStrings.xml><?xml version="1.0" encoding="utf-8"?>
<sst xmlns="http://schemas.openxmlformats.org/spreadsheetml/2006/main" count="102" uniqueCount="73">
  <si>
    <t>Internal</t>
  </si>
  <si>
    <t>Leakage</t>
  </si>
  <si>
    <t>Total</t>
  </si>
  <si>
    <t>65nm @ 100MHz</t>
  </si>
  <si>
    <t>Net switch</t>
  </si>
  <si>
    <t>28nm @ 100MHz</t>
  </si>
  <si>
    <t>28nm @ 1GHz</t>
  </si>
  <si>
    <t>28nm @ 0.5GHz</t>
  </si>
  <si>
    <t>Array</t>
  </si>
  <si>
    <t>Manager SAIF</t>
  </si>
  <si>
    <t>Manager</t>
  </si>
  <si>
    <t>PE</t>
  </si>
  <si>
    <t>DRAM</t>
  </si>
  <si>
    <t>Freq</t>
  </si>
  <si>
    <t>mem_acc_cont</t>
  </si>
  <si>
    <t>PO</t>
  </si>
  <si>
    <t>PC</t>
  </si>
  <si>
    <t>PR</t>
  </si>
  <si>
    <t>CR</t>
  </si>
  <si>
    <t>CW</t>
  </si>
  <si>
    <t>NOP</t>
  </si>
  <si>
    <t>pJ</t>
  </si>
  <si>
    <t>Total Energy</t>
  </si>
  <si>
    <t>End uS</t>
  </si>
  <si>
    <t>start uS</t>
  </si>
  <si>
    <t>Time</t>
  </si>
  <si>
    <t>DRAM Port Power</t>
  </si>
  <si>
    <t>Total DRAM Power</t>
  </si>
  <si>
    <t>factor</t>
  </si>
  <si>
    <t>Channels</t>
  </si>
  <si>
    <t>Clock gate</t>
  </si>
  <si>
    <t>N</t>
  </si>
  <si>
    <t>Clock gating Opportunities</t>
  </si>
  <si>
    <t>Bandwidth</t>
  </si>
  <si>
    <t>Eff</t>
  </si>
  <si>
    <t>DRAM TSVs</t>
  </si>
  <si>
    <t>Stack Bus TSVs</t>
  </si>
  <si>
    <t>e/gbps</t>
  </si>
  <si>
    <t>65nm-&gt;28nm</t>
  </si>
  <si>
    <t>Better or Worse</t>
  </si>
  <si>
    <t>Percentage</t>
  </si>
  <si>
    <t>CONV2</t>
  </si>
  <si>
    <t>CONV-294</t>
  </si>
  <si>
    <t>CONV-300</t>
  </si>
  <si>
    <t>FC-350</t>
  </si>
  <si>
    <t>FC-500</t>
  </si>
  <si>
    <t>FC-7</t>
  </si>
  <si>
    <t>CONV-500</t>
  </si>
  <si>
    <t>CONV-1000</t>
  </si>
  <si>
    <t>FC-1000</t>
  </si>
  <si>
    <t>nw</t>
  </si>
  <si>
    <t>mw</t>
  </si>
  <si>
    <t>from ptpx</t>
  </si>
  <si>
    <t>Logic</t>
  </si>
  <si>
    <t>memory</t>
  </si>
  <si>
    <t>Memory represents</t>
  </si>
  <si>
    <t xml:space="preserve">                 Internal         Switching           Leakage            Total</t>
  </si>
  <si>
    <t>Power Group      Power            Power               Power              Power   (   %    )  Attrs</t>
  </si>
  <si>
    <t>--------------------------------------------------------------------------------------------------</t>
  </si>
  <si>
    <t>io_pad             0.0000            0.0000            0.0000            0.0000  (   0.00%)</t>
  </si>
  <si>
    <t>memory            42.0345            0.2705        5.6409e+04           42.3614  (  23.03%)</t>
  </si>
  <si>
    <t>black_box          0.0000            0.0000            0.0000            0.0000  (   0.00%)</t>
  </si>
  <si>
    <t>clock_network      1.4283            1.1332          763.9230            2.5622  (   1.39%)</t>
  </si>
  <si>
    <t>register         136.3892            1.0543        2.3841e+04          137.4689  (  74.75%)</t>
  </si>
  <si>
    <t>sequential         0.0000            0.0000            0.0000            0.0000  (   0.00%)</t>
  </si>
  <si>
    <t>combinational      0.5831            0.9131        2.1908e+04            1.5180  (   0.83%)</t>
  </si>
  <si>
    <t>Total            180.4350 mW         3.3711 mW     1.0292e+05 nW       183.9105 mW</t>
  </si>
  <si>
    <t>TPU</t>
  </si>
  <si>
    <t>BW</t>
  </si>
  <si>
    <t>64 ports</t>
  </si>
  <si>
    <t>Reqd</t>
  </si>
  <si>
    <t>Num cycles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</si>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</sst>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00E+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right" vertic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0" fillId="0" borderId="0" xfId="0" applyNumberFormat="1"/>
    <xf numFmtId="164" fontId="0" fillId="0" borderId="0" xfId="0" applyNumberFormat="1" applyAlignment="1">
      <alignment horizontal="center"/>
    </xf>
    <xf numFmtId="0" fontId="3" fillId="0" borderId="0" xfId="0" applyFont="1"/>
    <xf numFmtId="10" fontId="3" fillId="0" borderId="0" xfId="0" applyNumberFormat="1" applyFont="1"/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Q29"/>
  <sheetViews>
    <sheetView topLeftCell="A6" workbookViewId="0">
      <selection activeCell="L20" sqref="L20"/>
    </sheetView>
  </sheetViews>
  <sheetFormatPr baseColWidth="10" defaultRowHeight="15" x14ac:dyDescent="0"/>
  <cols>
    <col min="3" max="5" width="10.83203125" style="4"/>
    <col min="6" max="7" width="10.83203125" style="1"/>
    <col min="8" max="8" width="12.1640625" style="1" bestFit="1" customWidth="1"/>
    <col min="9" max="10" width="10.83203125" style="1"/>
    <col min="13" max="13" width="10.83203125" style="6"/>
  </cols>
  <sheetData>
    <row r="6" spans="3:17">
      <c r="E6" s="4" t="s">
        <v>39</v>
      </c>
      <c r="F6" s="2">
        <f>1/F8</f>
        <v>0.1973094170403587</v>
      </c>
      <c r="G6" s="2">
        <f>1/G8</f>
        <v>0.82352941176470595</v>
      </c>
      <c r="H6" s="2">
        <f>1/H8</f>
        <v>2425.742574257426</v>
      </c>
    </row>
    <row r="7" spans="3:17">
      <c r="E7" s="4" t="s">
        <v>54</v>
      </c>
      <c r="F7" s="1">
        <f>MIN(L12/O12,F8)</f>
        <v>5.0681818181818192</v>
      </c>
      <c r="G7" s="2"/>
      <c r="J7" s="1" t="s">
        <v>8</v>
      </c>
    </row>
    <row r="8" spans="3:17">
      <c r="E8" s="4" t="s">
        <v>53</v>
      </c>
      <c r="F8" s="2">
        <f>L11/O11</f>
        <v>5.0681818181818192</v>
      </c>
      <c r="G8" s="2">
        <f>M11/P11</f>
        <v>1.2142857142857142</v>
      </c>
      <c r="H8" s="5">
        <f>N11/Q11</f>
        <v>4.1224489795918366E-4</v>
      </c>
      <c r="J8" s="1">
        <v>64</v>
      </c>
    </row>
    <row r="9" spans="3:17">
      <c r="F9" s="1" t="s">
        <v>52</v>
      </c>
      <c r="L9" t="s">
        <v>51</v>
      </c>
      <c r="M9" s="6" t="s">
        <v>51</v>
      </c>
      <c r="N9" t="s">
        <v>50</v>
      </c>
    </row>
    <row r="10" spans="3:17">
      <c r="F10" s="1" t="s">
        <v>0</v>
      </c>
      <c r="G10" s="1" t="s">
        <v>4</v>
      </c>
      <c r="H10" s="1" t="s">
        <v>1</v>
      </c>
      <c r="I10" s="1" t="s">
        <v>2</v>
      </c>
      <c r="L10" s="1" t="s">
        <v>0</v>
      </c>
      <c r="M10" s="1" t="s">
        <v>4</v>
      </c>
      <c r="N10" s="1" t="s">
        <v>1</v>
      </c>
      <c r="O10" s="16" t="s">
        <v>0</v>
      </c>
      <c r="P10" s="16" t="s">
        <v>4</v>
      </c>
      <c r="Q10" s="16" t="s">
        <v>1</v>
      </c>
    </row>
    <row r="11" spans="3:17">
      <c r="E11" s="4" t="s">
        <v>3</v>
      </c>
      <c r="F11" s="3">
        <f>0.14-IF(Summary!D2="Y",F21,0)</f>
        <v>0.14000000000000001</v>
      </c>
      <c r="G11" s="3">
        <f>0.0309-IF(Summary!D2="Y",G21,0)</f>
        <v>3.09E-2</v>
      </c>
      <c r="H11" s="5">
        <f>0.0000613-IF(Summary!D2="Y",H21,0)</f>
        <v>6.1299999999999999E-5</v>
      </c>
      <c r="I11" s="3">
        <f>SUM(F11:H11)-IF(F28="Y",I21,0)</f>
        <v>0.17096130000000001</v>
      </c>
      <c r="J11" s="3"/>
      <c r="K11" t="s">
        <v>53</v>
      </c>
      <c r="L11">
        <v>66.900000000000006</v>
      </c>
      <c r="M11" s="6">
        <v>1.53</v>
      </c>
      <c r="N11">
        <v>2.02</v>
      </c>
      <c r="O11">
        <v>13.2</v>
      </c>
      <c r="P11">
        <v>1.26</v>
      </c>
      <c r="Q11">
        <v>4900</v>
      </c>
    </row>
    <row r="12" spans="3:17">
      <c r="C12" s="4">
        <v>100</v>
      </c>
      <c r="E12" s="4" t="s">
        <v>5</v>
      </c>
      <c r="F12" s="3">
        <f>N22</f>
        <v>2.7623318385650221E-2</v>
      </c>
      <c r="G12" s="3">
        <f>G11/G$8</f>
        <v>2.5447058823529413E-2</v>
      </c>
      <c r="H12" s="5">
        <f>H$11/H$8</f>
        <v>0.14869801980198019</v>
      </c>
      <c r="I12" s="3">
        <f>SUM(F12:H12)</f>
        <v>0.20176839701115984</v>
      </c>
      <c r="J12" s="3"/>
      <c r="K12" t="s">
        <v>54</v>
      </c>
      <c r="L12">
        <v>2.36</v>
      </c>
      <c r="O12">
        <v>4.3799999999999999E-2</v>
      </c>
    </row>
    <row r="13" spans="3:17" s="6" customFormat="1">
      <c r="C13" s="4">
        <v>1000</v>
      </c>
      <c r="D13" s="4"/>
      <c r="E13" s="4" t="s">
        <v>6</v>
      </c>
      <c r="F13" s="3">
        <f t="shared" ref="F13:G16" si="0">F$12*$C13/$C$12</f>
        <v>0.2762331838565022</v>
      </c>
      <c r="G13" s="3">
        <f t="shared" si="0"/>
        <v>0.25447058823529412</v>
      </c>
      <c r="H13" s="5">
        <f>H$11/H$8</f>
        <v>0.14869801980198019</v>
      </c>
      <c r="I13" s="3">
        <f>SUM(F13:H13)</f>
        <v>0.67940179189377647</v>
      </c>
      <c r="J13" s="3">
        <f>I13*$J$8</f>
        <v>43.481714681201694</v>
      </c>
      <c r="K13"/>
      <c r="L13"/>
    </row>
    <row r="14" spans="3:17" s="6" customFormat="1">
      <c r="C14" s="4">
        <v>700</v>
      </c>
      <c r="D14" s="4"/>
      <c r="E14" s="4" t="s">
        <v>6</v>
      </c>
      <c r="F14" s="3">
        <f t="shared" si="0"/>
        <v>0.19336322869955155</v>
      </c>
      <c r="G14" s="3">
        <f t="shared" si="0"/>
        <v>0.17812941176470587</v>
      </c>
      <c r="H14" s="5">
        <f>H$11/H$8</f>
        <v>0.14869801980198019</v>
      </c>
      <c r="I14" s="3">
        <f>SUM(F14:H14)</f>
        <v>0.52019066026623761</v>
      </c>
      <c r="J14" s="3">
        <f>I14*$J$8</f>
        <v>33.292202257039207</v>
      </c>
      <c r="K14"/>
      <c r="L14">
        <f>L11/O11</f>
        <v>5.0681818181818192</v>
      </c>
    </row>
    <row r="15" spans="3:17" s="6" customFormat="1">
      <c r="C15" s="4">
        <v>600</v>
      </c>
      <c r="D15" s="4"/>
      <c r="E15" s="4" t="s">
        <v>7</v>
      </c>
      <c r="F15" s="3">
        <f t="shared" si="0"/>
        <v>0.16573991031390134</v>
      </c>
      <c r="G15" s="3">
        <f t="shared" si="0"/>
        <v>0.15268235294117649</v>
      </c>
      <c r="H15" s="5">
        <f>H$11/H$8</f>
        <v>0.14869801980198019</v>
      </c>
      <c r="I15" s="3">
        <f>SUM(F15:H15)</f>
        <v>0.46712028305705799</v>
      </c>
      <c r="J15" s="3">
        <f>I15*$J$8</f>
        <v>29.895698115651712</v>
      </c>
      <c r="K15"/>
      <c r="L15"/>
    </row>
    <row r="16" spans="3:17" s="6" customFormat="1">
      <c r="C16" s="4">
        <v>500</v>
      </c>
      <c r="D16" s="4"/>
      <c r="E16" s="4" t="s">
        <v>7</v>
      </c>
      <c r="F16" s="3">
        <f t="shared" si="0"/>
        <v>0.1381165919282511</v>
      </c>
      <c r="G16" s="3">
        <f t="shared" si="0"/>
        <v>0.12723529411764706</v>
      </c>
      <c r="H16" s="5">
        <f>H$11/H$8</f>
        <v>0.14869801980198019</v>
      </c>
      <c r="I16" s="3">
        <f>SUM(F16:H16)</f>
        <v>0.41404990584787837</v>
      </c>
      <c r="J16" s="3">
        <f>I16*$J$8</f>
        <v>26.499193974264216</v>
      </c>
      <c r="K16"/>
      <c r="L16"/>
    </row>
    <row r="17" spans="3:17" s="6" customFormat="1">
      <c r="C17" s="4"/>
      <c r="D17" s="4"/>
      <c r="E17" s="4"/>
      <c r="F17" s="3"/>
      <c r="G17" s="3"/>
      <c r="H17" s="3"/>
      <c r="I17" s="1"/>
      <c r="J17" s="1"/>
      <c r="K17"/>
      <c r="L17"/>
    </row>
    <row r="18" spans="3:17">
      <c r="L18" t="s">
        <v>55</v>
      </c>
      <c r="O18" s="19" t="s">
        <v>56</v>
      </c>
      <c r="P18" s="19"/>
      <c r="Q18" s="19"/>
    </row>
    <row r="19" spans="3:17">
      <c r="E19" s="4" t="s">
        <v>32</v>
      </c>
      <c r="L19" s="17">
        <f>42.3614/183.9105</f>
        <v>0.23033703894013666</v>
      </c>
      <c r="M19" s="2"/>
      <c r="O19" s="19" t="s">
        <v>57</v>
      </c>
      <c r="P19" s="19"/>
      <c r="Q19" s="19"/>
    </row>
    <row r="20" spans="3:17">
      <c r="E20" s="4" t="s">
        <v>14</v>
      </c>
      <c r="F20" s="1">
        <v>4.1799999999999997E-2</v>
      </c>
      <c r="G20" s="5">
        <v>1.06E-5</v>
      </c>
      <c r="H20" s="5">
        <v>2.0800000000000001E-5</v>
      </c>
      <c r="I20" s="3">
        <f>SUM(F20:H20)</f>
        <v>4.1831399999999998E-2</v>
      </c>
      <c r="O20" s="19" t="s">
        <v>58</v>
      </c>
      <c r="P20" s="19"/>
      <c r="Q20" s="19"/>
    </row>
    <row r="21" spans="3:17">
      <c r="E21" s="4" t="s">
        <v>2</v>
      </c>
      <c r="F21" s="1">
        <f>SUM(F18:F20)</f>
        <v>4.1799999999999997E-2</v>
      </c>
      <c r="G21" s="1">
        <f>SUM(G18:G20)</f>
        <v>1.06E-5</v>
      </c>
      <c r="H21" s="1">
        <f>SUM(H18:H20)</f>
        <v>2.0800000000000001E-5</v>
      </c>
      <c r="I21" s="3">
        <f>SUM(F21:H21)</f>
        <v>4.1831399999999998E-2</v>
      </c>
      <c r="L21" s="7">
        <f>F11*(1-L19)</f>
        <v>0.10775281454838087</v>
      </c>
      <c r="M21" s="18">
        <f>F11*L19</f>
        <v>3.2247185451619136E-2</v>
      </c>
      <c r="O21" s="19" t="s">
        <v>59</v>
      </c>
      <c r="P21" s="19"/>
      <c r="Q21" s="19"/>
    </row>
    <row r="22" spans="3:17">
      <c r="H22" s="5"/>
      <c r="L22">
        <f>L21/F8</f>
        <v>2.1260645022998913E-2</v>
      </c>
      <c r="M22" s="6">
        <f>M21/F7</f>
        <v>6.3626733626513075E-3</v>
      </c>
      <c r="N22" s="9">
        <f>L22+M22</f>
        <v>2.7623318385650221E-2</v>
      </c>
      <c r="O22" s="19" t="s">
        <v>60</v>
      </c>
      <c r="P22" s="19"/>
      <c r="Q22" s="19"/>
    </row>
    <row r="23" spans="3:17">
      <c r="H23" s="5"/>
      <c r="O23" s="19" t="s">
        <v>61</v>
      </c>
      <c r="P23" s="19"/>
      <c r="Q23" s="19"/>
    </row>
    <row r="24" spans="3:17">
      <c r="O24" s="19" t="s">
        <v>62</v>
      </c>
      <c r="P24" s="19"/>
      <c r="Q24" s="19"/>
    </row>
    <row r="25" spans="3:17">
      <c r="O25" t="s">
        <v>63</v>
      </c>
    </row>
    <row r="26" spans="3:17">
      <c r="O26" t="s">
        <v>64</v>
      </c>
    </row>
    <row r="27" spans="3:17">
      <c r="O27" t="s">
        <v>65</v>
      </c>
    </row>
    <row r="28" spans="3:17">
      <c r="O28" t="s">
        <v>58</v>
      </c>
    </row>
    <row r="29" spans="3:17">
      <c r="O29" t="s">
        <v>66</v>
      </c>
    </row>
  </sheetData>
  <conditionalFormatting sqref="F6:H6">
    <cfRule type="cellIs" dxfId="1" priority="3" operator="greater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O23"/>
  <sheetViews>
    <sheetView workbookViewId="0">
      <selection activeCell="F7" sqref="F7"/>
    </sheetView>
  </sheetViews>
  <sheetFormatPr baseColWidth="10" defaultRowHeight="15" x14ac:dyDescent="0"/>
  <cols>
    <col min="3" max="5" width="10.83203125" style="4"/>
    <col min="6" max="7" width="10.83203125" style="1"/>
    <col min="8" max="8" width="12.1640625" style="1" bestFit="1" customWidth="1"/>
    <col min="9" max="10" width="10.83203125" style="1"/>
    <col min="13" max="13" width="10.83203125" style="6"/>
  </cols>
  <sheetData>
    <row r="6" spans="3:10">
      <c r="G6" s="2">
        <f>1.4062/1.1415</f>
        <v>1.2318878668418747</v>
      </c>
    </row>
    <row r="7" spans="3:10">
      <c r="F7" s="2">
        <f>MIN(6,PE!F7)</f>
        <v>5.0681818181818192</v>
      </c>
      <c r="G7" s="2">
        <f>1/G8</f>
        <v>0.81659167247607567</v>
      </c>
      <c r="H7" s="5">
        <f>1/H8</f>
        <v>243.39205967512393</v>
      </c>
      <c r="J7" s="1" t="s">
        <v>8</v>
      </c>
    </row>
    <row r="8" spans="3:10">
      <c r="E8" s="4" t="s">
        <v>38</v>
      </c>
      <c r="F8" s="2">
        <f>67.3998/13.3129</f>
        <v>5.0627436546507516</v>
      </c>
      <c r="G8" s="2">
        <f>1.5779/1.2885</f>
        <v>1.2246022506790843</v>
      </c>
      <c r="H8" s="5">
        <f>20.377/4959.6</f>
        <v>4.1085974675377042E-3</v>
      </c>
      <c r="J8" s="1">
        <v>64</v>
      </c>
    </row>
    <row r="9" spans="3:10">
      <c r="D9" s="4" t="s">
        <v>9</v>
      </c>
      <c r="F9" s="1" t="s">
        <v>52</v>
      </c>
    </row>
    <row r="10" spans="3:10">
      <c r="F10" s="1" t="s">
        <v>0</v>
      </c>
      <c r="G10" s="1" t="s">
        <v>4</v>
      </c>
      <c r="H10" s="1" t="s">
        <v>1</v>
      </c>
      <c r="I10" s="1" t="s">
        <v>2</v>
      </c>
    </row>
    <row r="11" spans="3:10">
      <c r="E11" s="4" t="s">
        <v>3</v>
      </c>
      <c r="F11" s="3">
        <v>0.14199999999999999</v>
      </c>
      <c r="G11" s="3">
        <v>0.123</v>
      </c>
      <c r="H11" s="15">
        <v>9.2E-5</v>
      </c>
      <c r="I11" s="3">
        <f t="shared" ref="I11:I16" si="0">SUM(F11:H11)</f>
        <v>0.26509199999999999</v>
      </c>
    </row>
    <row r="12" spans="3:10">
      <c r="C12" s="4">
        <v>100</v>
      </c>
      <c r="E12" s="4" t="s">
        <v>5</v>
      </c>
      <c r="F12" s="3">
        <f>N22</f>
        <v>2.8041011488457397E-2</v>
      </c>
      <c r="G12" s="3">
        <f>G11/G$8</f>
        <v>0.10044077571455731</v>
      </c>
      <c r="H12" s="15">
        <f>H$11/H$8</f>
        <v>2.2392069490111403E-2</v>
      </c>
      <c r="I12" s="3">
        <f t="shared" si="0"/>
        <v>0.15087385669312611</v>
      </c>
    </row>
    <row r="13" spans="3:10">
      <c r="C13" s="4">
        <v>1000</v>
      </c>
      <c r="E13" s="4" t="s">
        <v>6</v>
      </c>
      <c r="F13" s="3">
        <f t="shared" ref="F13:G16" si="1">F$12*$C13/$C$12</f>
        <v>0.28041011488457396</v>
      </c>
      <c r="G13" s="3">
        <f t="shared" si="1"/>
        <v>1.0044077571455732</v>
      </c>
      <c r="H13" s="15">
        <f>H$11/H$8</f>
        <v>2.2392069490111403E-2</v>
      </c>
      <c r="I13" s="3">
        <f t="shared" si="0"/>
        <v>1.3072099415202585</v>
      </c>
      <c r="J13" s="3">
        <f>I13*$J$8</f>
        <v>83.661436257296543</v>
      </c>
    </row>
    <row r="14" spans="3:10">
      <c r="C14" s="4">
        <v>700</v>
      </c>
      <c r="E14" s="4" t="s">
        <v>6</v>
      </c>
      <c r="F14" s="3">
        <f t="shared" si="1"/>
        <v>0.19628708041920176</v>
      </c>
      <c r="G14" s="3">
        <f t="shared" si="1"/>
        <v>0.70308543000190116</v>
      </c>
      <c r="H14" s="15">
        <f>H$11/H$8</f>
        <v>2.2392069490111403E-2</v>
      </c>
      <c r="I14" s="3">
        <f t="shared" si="0"/>
        <v>0.9217645799112143</v>
      </c>
      <c r="J14" s="3">
        <f>I14*$J$8</f>
        <v>58.992933114317715</v>
      </c>
    </row>
    <row r="15" spans="3:10">
      <c r="C15" s="4">
        <v>600</v>
      </c>
      <c r="E15" s="4" t="s">
        <v>7</v>
      </c>
      <c r="F15" s="3">
        <f t="shared" si="1"/>
        <v>0.1682460689307444</v>
      </c>
      <c r="G15" s="3">
        <f t="shared" si="1"/>
        <v>0.60264465428734393</v>
      </c>
      <c r="H15" s="15">
        <f>H$11/H$8</f>
        <v>2.2392069490111403E-2</v>
      </c>
      <c r="I15" s="3">
        <f t="shared" si="0"/>
        <v>0.79328279270819979</v>
      </c>
      <c r="J15" s="3">
        <f>I15*$J$8</f>
        <v>50.770098733324787</v>
      </c>
    </row>
    <row r="16" spans="3:10">
      <c r="C16" s="4">
        <v>500</v>
      </c>
      <c r="E16" s="4" t="s">
        <v>7</v>
      </c>
      <c r="F16" s="3">
        <f t="shared" si="1"/>
        <v>0.14020505744228698</v>
      </c>
      <c r="G16" s="3">
        <f t="shared" si="1"/>
        <v>0.50220387857278659</v>
      </c>
      <c r="H16" s="15">
        <f>H$11/H$8</f>
        <v>2.2392069490111403E-2</v>
      </c>
      <c r="I16" s="3">
        <f t="shared" si="0"/>
        <v>0.66480100550518495</v>
      </c>
      <c r="J16" s="3">
        <f>I16*$J$8</f>
        <v>42.547264352331837</v>
      </c>
    </row>
    <row r="17" spans="5:15">
      <c r="F17" s="3"/>
      <c r="G17" s="3"/>
      <c r="H17" s="3"/>
    </row>
    <row r="18" spans="5:15">
      <c r="L18" s="19" t="s">
        <v>55</v>
      </c>
      <c r="M18" s="19"/>
      <c r="N18" s="19"/>
    </row>
    <row r="19" spans="5:15">
      <c r="L19" s="20">
        <v>0.23330000000000001</v>
      </c>
      <c r="M19" s="21"/>
      <c r="N19" s="19"/>
    </row>
    <row r="20" spans="5:15">
      <c r="E20" s="8" t="s">
        <v>32</v>
      </c>
      <c r="F20" s="3"/>
      <c r="G20" s="3"/>
      <c r="H20" s="3"/>
      <c r="L20" s="19"/>
      <c r="M20" s="22"/>
      <c r="N20" s="19"/>
    </row>
    <row r="21" spans="5:15">
      <c r="L21" s="7">
        <f>F11*(1-L19)</f>
        <v>0.10887139999999998</v>
      </c>
      <c r="M21" s="18">
        <f>F11*L19</f>
        <v>3.3128600000000001E-2</v>
      </c>
      <c r="O21" s="7"/>
    </row>
    <row r="22" spans="5:15">
      <c r="H22" s="5"/>
      <c r="L22">
        <f>L21/F8</f>
        <v>2.150442673509417E-2</v>
      </c>
      <c r="M22" s="6">
        <f>M21/F7</f>
        <v>6.5365847533632275E-3</v>
      </c>
      <c r="N22" s="9">
        <f>L22+M22</f>
        <v>2.8041011488457397E-2</v>
      </c>
      <c r="O22" s="7"/>
    </row>
    <row r="23" spans="5:15">
      <c r="H23" s="5"/>
    </row>
  </sheetData>
  <conditionalFormatting sqref="F7:H7">
    <cfRule type="cellIs" dxfId="0" priority="1" operator="greater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workbookViewId="0">
      <selection activeCell="O7" sqref="O7"/>
    </sheetView>
  </sheetViews>
  <sheetFormatPr baseColWidth="10" defaultRowHeight="15" x14ac:dyDescent="0"/>
  <cols>
    <col min="10" max="10" width="12.1640625" bestFit="1" customWidth="1"/>
    <col min="12" max="12" width="16" customWidth="1"/>
    <col min="16" max="16" width="12.1640625" bestFit="1" customWidth="1"/>
  </cols>
  <sheetData>
    <row r="2" spans="1:17">
      <c r="K2" s="7"/>
      <c r="L2" s="7"/>
      <c r="M2" s="7"/>
      <c r="N2" s="7"/>
    </row>
    <row r="3" spans="1:17">
      <c r="H3" t="s">
        <v>71</v>
      </c>
      <c r="I3">
        <v>2377</v>
      </c>
      <c r="K3" s="7"/>
      <c r="L3" s="7">
        <v>64</v>
      </c>
      <c r="M3" s="7"/>
      <c r="N3" s="7"/>
      <c r="P3">
        <v>4096</v>
      </c>
      <c r="Q3" t="s">
        <v>69</v>
      </c>
    </row>
    <row r="4" spans="1:17" ht="30">
      <c r="A4" s="12"/>
      <c r="B4" s="12" t="s">
        <v>20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2" t="s">
        <v>23</v>
      </c>
      <c r="I4" s="12" t="s">
        <v>24</v>
      </c>
      <c r="J4" s="12" t="s">
        <v>25</v>
      </c>
      <c r="K4" s="13" t="s">
        <v>26</v>
      </c>
      <c r="L4" s="13" t="s">
        <v>27</v>
      </c>
      <c r="M4" s="13"/>
      <c r="N4" s="7"/>
    </row>
    <row r="5" spans="1:17">
      <c r="B5">
        <v>1862</v>
      </c>
      <c r="C5">
        <v>281</v>
      </c>
      <c r="D5">
        <v>263</v>
      </c>
      <c r="E5">
        <v>0</v>
      </c>
      <c r="F5">
        <v>268</v>
      </c>
      <c r="G5">
        <v>16</v>
      </c>
      <c r="H5">
        <v>28</v>
      </c>
      <c r="I5">
        <v>1.2</v>
      </c>
      <c r="J5" s="11">
        <f>I3*(1/(Summary!D3))</f>
        <v>4.7540000000000004</v>
      </c>
      <c r="K5" s="7"/>
      <c r="L5" s="7"/>
      <c r="M5" s="7"/>
      <c r="N5" s="7"/>
      <c r="P5" t="s">
        <v>68</v>
      </c>
    </row>
    <row r="6" spans="1:17">
      <c r="A6" t="s">
        <v>21</v>
      </c>
      <c r="B6">
        <v>20</v>
      </c>
      <c r="C6">
        <v>100</v>
      </c>
      <c r="D6">
        <v>320</v>
      </c>
      <c r="E6">
        <v>320</v>
      </c>
      <c r="F6">
        <v>64</v>
      </c>
      <c r="G6">
        <v>64</v>
      </c>
      <c r="K6" s="7"/>
      <c r="L6" s="7"/>
      <c r="M6" t="s">
        <v>29</v>
      </c>
      <c r="N6" s="7" t="s">
        <v>28</v>
      </c>
      <c r="O6" s="7" t="s">
        <v>72</v>
      </c>
      <c r="P6" s="11"/>
    </row>
    <row r="7" spans="1:17">
      <c r="A7" t="s">
        <v>22</v>
      </c>
      <c r="B7">
        <f t="shared" ref="B7:G7" si="0">B5*B6</f>
        <v>37240</v>
      </c>
      <c r="C7">
        <f t="shared" si="0"/>
        <v>28100</v>
      </c>
      <c r="D7">
        <f t="shared" si="0"/>
        <v>84160</v>
      </c>
      <c r="E7">
        <f t="shared" si="0"/>
        <v>0</v>
      </c>
      <c r="F7">
        <f t="shared" si="0"/>
        <v>17152</v>
      </c>
      <c r="G7">
        <f t="shared" si="0"/>
        <v>1024</v>
      </c>
      <c r="H7">
        <f>SUM(B7:G7)</f>
        <v>167676</v>
      </c>
      <c r="K7" s="7">
        <f>H7*0.000000000001/(J5*0.000001)</f>
        <v>3.527050904501472E-2</v>
      </c>
      <c r="L7" s="7">
        <f>$L$3*K7</f>
        <v>2.2573125788809421</v>
      </c>
      <c r="M7">
        <v>2</v>
      </c>
      <c r="N7" s="7">
        <f>MAX(Q14/Q13,1)</f>
        <v>1</v>
      </c>
      <c r="O7" s="7">
        <f>(L7+L11)*N7</f>
        <v>4.5146251577618841</v>
      </c>
      <c r="P7" s="11">
        <f>F5*$P$3/$J$5*1000000</f>
        <v>230906184265.88135</v>
      </c>
      <c r="Q7" s="11">
        <f>P7*$L$3</f>
        <v>14777995793016.406</v>
      </c>
    </row>
    <row r="8" spans="1:17">
      <c r="K8" s="7"/>
      <c r="L8" s="7"/>
      <c r="M8" s="7"/>
      <c r="N8" s="7"/>
      <c r="P8" s="11"/>
    </row>
    <row r="9" spans="1:17">
      <c r="B9">
        <v>1862</v>
      </c>
      <c r="C9">
        <v>281</v>
      </c>
      <c r="D9">
        <v>263</v>
      </c>
      <c r="E9">
        <v>0</v>
      </c>
      <c r="F9">
        <v>268</v>
      </c>
      <c r="G9">
        <v>16</v>
      </c>
      <c r="H9">
        <v>28</v>
      </c>
      <c r="K9" s="7"/>
      <c r="L9" s="7"/>
      <c r="M9" s="7"/>
      <c r="N9" s="7"/>
      <c r="P9" s="11"/>
    </row>
    <row r="10" spans="1:17">
      <c r="B10">
        <v>20</v>
      </c>
      <c r="C10">
        <v>100</v>
      </c>
      <c r="D10">
        <v>320</v>
      </c>
      <c r="E10">
        <v>320</v>
      </c>
      <c r="F10">
        <v>64</v>
      </c>
      <c r="G10">
        <v>64</v>
      </c>
      <c r="P10" s="11"/>
    </row>
    <row r="11" spans="1:17">
      <c r="B11">
        <f t="shared" ref="B11:G11" si="1">B9*B10</f>
        <v>37240</v>
      </c>
      <c r="C11">
        <f t="shared" si="1"/>
        <v>28100</v>
      </c>
      <c r="D11">
        <f t="shared" si="1"/>
        <v>84160</v>
      </c>
      <c r="E11">
        <f t="shared" si="1"/>
        <v>0</v>
      </c>
      <c r="F11">
        <f t="shared" si="1"/>
        <v>17152</v>
      </c>
      <c r="G11">
        <f t="shared" si="1"/>
        <v>1024</v>
      </c>
      <c r="H11">
        <f>SUM(B11:G11)</f>
        <v>167676</v>
      </c>
      <c r="K11" s="7">
        <f>H11*0.000000000001/(J5*0.000001)</f>
        <v>3.527050904501472E-2</v>
      </c>
      <c r="L11" s="7">
        <f>$L$3*K11</f>
        <v>2.2573125788809421</v>
      </c>
      <c r="P11" s="11">
        <f>F9*$P$3/$J$5*1000000</f>
        <v>230906184265.88135</v>
      </c>
      <c r="Q11" s="11">
        <f>P11*$L$3</f>
        <v>14777995793016.406</v>
      </c>
    </row>
    <row r="12" spans="1:17">
      <c r="P12" s="11"/>
    </row>
    <row r="13" spans="1:17">
      <c r="P13" t="s">
        <v>2</v>
      </c>
      <c r="Q13" s="11">
        <f>SUM(Q7:Q11)</f>
        <v>29555991586032.812</v>
      </c>
    </row>
    <row r="14" spans="1:17">
      <c r="P14" t="s">
        <v>70</v>
      </c>
      <c r="Q14" s="11">
        <v>26000000000000</v>
      </c>
    </row>
    <row r="17" spans="10:11">
      <c r="J17" s="11">
        <f>(32*33)*I3/J5*1000000</f>
        <v>528000000000</v>
      </c>
      <c r="K17" s="11">
        <f>J17*L3</f>
        <v>33792000000000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abSelected="1" workbookViewId="0">
      <selection activeCell="L10" sqref="L10"/>
    </sheetView>
  </sheetViews>
  <sheetFormatPr baseColWidth="10" defaultRowHeight="15" x14ac:dyDescent="0"/>
  <cols>
    <col min="3" max="3" width="10.83203125" style="1"/>
    <col min="4" max="4" width="11.83203125" style="1" bestFit="1" customWidth="1"/>
  </cols>
  <sheetData>
    <row r="2" spans="1:12">
      <c r="C2" s="1" t="s">
        <v>30</v>
      </c>
      <c r="D2" s="1" t="s">
        <v>31</v>
      </c>
    </row>
    <row r="3" spans="1:12">
      <c r="C3" s="1" t="s">
        <v>13</v>
      </c>
      <c r="D3" s="1">
        <v>500</v>
      </c>
    </row>
    <row r="4" spans="1:12">
      <c r="G4" t="s">
        <v>40</v>
      </c>
    </row>
    <row r="5" spans="1:12">
      <c r="C5" s="4" t="s">
        <v>10</v>
      </c>
      <c r="D5" s="2">
        <f>VLOOKUP(D3,Manager!C11:J16,8,FALSE)</f>
        <v>42.547264352331837</v>
      </c>
      <c r="G5" s="14">
        <f>D5/$D$11</f>
        <v>0.56398414238079808</v>
      </c>
      <c r="I5">
        <v>56.4</v>
      </c>
      <c r="L5">
        <f>58.7+36.5+2.2+1.6+1</f>
        <v>100</v>
      </c>
    </row>
    <row r="6" spans="1:12">
      <c r="C6" s="4" t="s">
        <v>11</v>
      </c>
      <c r="D6" s="2">
        <f>VLOOKUP(D3,PE!C11:J16,8,FALSE)</f>
        <v>26.499193974264216</v>
      </c>
      <c r="G6" s="14">
        <f>D6/$D$11</f>
        <v>0.35125936801947966</v>
      </c>
      <c r="I6">
        <v>35.1</v>
      </c>
    </row>
    <row r="7" spans="1:12">
      <c r="C7" s="4" t="s">
        <v>12</v>
      </c>
      <c r="D7" s="2">
        <f>DRAM!O7</f>
        <v>4.5146251577618841</v>
      </c>
      <c r="E7" t="s">
        <v>37</v>
      </c>
      <c r="G7" s="14">
        <f>D7/$D$11</f>
        <v>5.9843494911596268E-2</v>
      </c>
      <c r="I7">
        <v>6</v>
      </c>
    </row>
    <row r="8" spans="1:12">
      <c r="C8" s="4" t="s">
        <v>35</v>
      </c>
      <c r="D8" s="2">
        <f>F8*E8*D$3*1000000/1000000000*2*64</f>
        <v>1.1437440000000001</v>
      </c>
      <c r="E8" s="11">
        <v>4.1999999999999996E-6</v>
      </c>
      <c r="F8">
        <v>4255</v>
      </c>
      <c r="G8" s="14">
        <f>D8/$D$11</f>
        <v>1.5160868477971391E-2</v>
      </c>
      <c r="I8">
        <v>1.5</v>
      </c>
      <c r="J8">
        <f>((D5+D6)/(175*2))*1000/D3</f>
        <v>0.39455119043769171</v>
      </c>
      <c r="K8" t="s">
        <v>67</v>
      </c>
      <c r="L8">
        <f>(40/300)*1/0.7</f>
        <v>0.19047619047619049</v>
      </c>
    </row>
    <row r="9" spans="1:12">
      <c r="C9" s="4" t="s">
        <v>36</v>
      </c>
      <c r="D9" s="2">
        <f>F9*E9*D$3*1000000/1000000000*2*64</f>
        <v>0.73570559999999996</v>
      </c>
      <c r="E9" s="11">
        <v>4.1999999999999996E-6</v>
      </c>
      <c r="F9">
        <v>2737</v>
      </c>
      <c r="G9" s="14">
        <f>D9/$D$11</f>
        <v>9.7521262101545689E-3</v>
      </c>
      <c r="I9">
        <v>1</v>
      </c>
      <c r="L9">
        <f>68/(175*2)*(1/0.5)</f>
        <v>0.38857142857142857</v>
      </c>
    </row>
    <row r="10" spans="1:12">
      <c r="H10" s="14">
        <f>SUM(G5:G9)</f>
        <v>0.99999999999999989</v>
      </c>
      <c r="I10">
        <f>SUM(I5:I9)</f>
        <v>100</v>
      </c>
    </row>
    <row r="11" spans="1:12">
      <c r="C11" s="1" t="s">
        <v>2</v>
      </c>
      <c r="D11" s="2">
        <f>SUM(D5:D9)</f>
        <v>75.440533084357938</v>
      </c>
    </row>
    <row r="14" spans="1:12">
      <c r="C14" s="1" t="s">
        <v>33</v>
      </c>
    </row>
    <row r="15" spans="1:12">
      <c r="B15" t="s">
        <v>34</v>
      </c>
      <c r="C15" s="1">
        <v>500</v>
      </c>
      <c r="D15" s="1">
        <v>700</v>
      </c>
    </row>
    <row r="16" spans="1:12">
      <c r="A16" t="s">
        <v>41</v>
      </c>
      <c r="B16" s="9">
        <v>0.65</v>
      </c>
      <c r="C16" s="10">
        <f>2048*64*C$15/1000000*$B16</f>
        <v>42.598400000000005</v>
      </c>
      <c r="D16" s="10">
        <f>2048*64*D$15/1000000*$B16</f>
        <v>59.63776</v>
      </c>
    </row>
    <row r="17" spans="1:4">
      <c r="A17" t="s">
        <v>42</v>
      </c>
      <c r="B17" s="9">
        <v>0.67</v>
      </c>
      <c r="C17" s="10">
        <f t="shared" ref="C17:D24" si="0">2048*64*C$15/1000000*$B17</f>
        <v>43.909120000000001</v>
      </c>
      <c r="D17" s="10">
        <f t="shared" si="0"/>
        <v>61.472768000000002</v>
      </c>
    </row>
    <row r="18" spans="1:4">
      <c r="A18" t="s">
        <v>43</v>
      </c>
      <c r="B18" s="9">
        <v>0.73</v>
      </c>
      <c r="C18" s="10">
        <f t="shared" si="0"/>
        <v>47.841279999999998</v>
      </c>
      <c r="D18" s="10">
        <f t="shared" si="0"/>
        <v>66.977791999999994</v>
      </c>
    </row>
    <row r="19" spans="1:4">
      <c r="A19" t="s">
        <v>44</v>
      </c>
      <c r="B19" s="9">
        <v>0.78</v>
      </c>
      <c r="C19" s="10">
        <f t="shared" si="0"/>
        <v>51.118080000000006</v>
      </c>
      <c r="D19" s="10">
        <f t="shared" si="0"/>
        <v>71.565312000000006</v>
      </c>
    </row>
    <row r="20" spans="1:4">
      <c r="A20" t="s">
        <v>45</v>
      </c>
      <c r="B20" s="9">
        <v>0.84</v>
      </c>
      <c r="C20" s="10">
        <f t="shared" si="0"/>
        <v>55.050240000000002</v>
      </c>
      <c r="D20" s="10">
        <f t="shared" si="0"/>
        <v>77.070335999999998</v>
      </c>
    </row>
    <row r="21" spans="1:4">
      <c r="A21" t="s">
        <v>46</v>
      </c>
      <c r="B21" s="9">
        <v>0.94</v>
      </c>
      <c r="C21" s="10">
        <f t="shared" si="0"/>
        <v>61.603839999999998</v>
      </c>
      <c r="D21" s="10">
        <f t="shared" si="0"/>
        <v>86.245375999999993</v>
      </c>
    </row>
    <row r="22" spans="1:4">
      <c r="A22" t="s">
        <v>47</v>
      </c>
      <c r="B22" s="9">
        <v>0.82</v>
      </c>
      <c r="C22" s="10">
        <f t="shared" si="0"/>
        <v>53.739519999999999</v>
      </c>
      <c r="D22" s="10">
        <f t="shared" si="0"/>
        <v>75.235327999999996</v>
      </c>
    </row>
    <row r="23" spans="1:4">
      <c r="A23" t="s">
        <v>48</v>
      </c>
      <c r="B23" s="9">
        <v>0.89</v>
      </c>
      <c r="C23" s="10">
        <f t="shared" si="0"/>
        <v>58.327040000000004</v>
      </c>
      <c r="D23" s="10">
        <f t="shared" si="0"/>
        <v>81.657855999999995</v>
      </c>
    </row>
    <row r="24" spans="1:4">
      <c r="A24" t="s">
        <v>49</v>
      </c>
      <c r="B24" s="9">
        <v>0.91</v>
      </c>
      <c r="C24" s="10">
        <f t="shared" si="0"/>
        <v>59.63776</v>
      </c>
      <c r="D24" s="10">
        <f t="shared" si="0"/>
        <v>83.492863999999997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</vt:lpstr>
      <vt:lpstr>Manager</vt:lpstr>
      <vt:lpstr>DRAM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2017-10-29T15:17:33Z</dcterms:created>
  <dcterms:modified xsi:type="dcterms:W3CDTF">2018-02-07T00:12:06Z</dcterms:modified>
</cp:coreProperties>
</file>