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bra\gt\hw\01\excel-challenge\"/>
    </mc:Choice>
  </mc:AlternateContent>
  <xr:revisionPtr revIDLastSave="0" documentId="13_ncr:1_{E085950D-73F4-459E-BB5E-E7B89FEE437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Category Statistics" sheetId="2" r:id="rId2"/>
    <sheet name="Subcategory Statistics" sheetId="3" r:id="rId3"/>
    <sheet name="Outcomes Based on Launch Date" sheetId="5" r:id="rId4"/>
    <sheet name="Outcomes Based on Goal" sheetId="7" r:id="rId5"/>
    <sheet name="Stats" sheetId="8" r:id="rId6"/>
  </sheets>
  <definedNames>
    <definedName name="_xlnm._FilterDatabase" localSheetId="0" hidden="1">Crowdfunding!$A$1:$T$1</definedName>
    <definedName name="_xlchart.v1.0" hidden="1">Stats!$A$2:$A$566</definedName>
    <definedName name="_xlchart.v1.1" hidden="1">Stats!$B$1</definedName>
    <definedName name="_xlchart.v1.2" hidden="1">Stats!$B$2:$B$566</definedName>
    <definedName name="_xlchart.v1.3" hidden="1">Stats!$D$1</definedName>
    <definedName name="_xlchart.v1.4" hidden="1">Stats!$D$2:$D$566</definedName>
    <definedName name="_xlchart.v1.5" hidden="1">Stats!$E$1</definedName>
    <definedName name="_xlchart.v1.6" hidden="1">Stats!$E$2:$E$566</definedName>
    <definedName name="_xlcn.WorksheetConnection_CrowdfundingA1T10011" hidden="1">Crowdfunding!$A$1:$T$1001</definedName>
  </definedNames>
  <calcPr calcId="18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K2" i="8"/>
  <c r="J3" i="8"/>
  <c r="J2" i="8"/>
  <c r="I3" i="8"/>
  <c r="I2" i="8"/>
  <c r="H3" i="8"/>
  <c r="H2" i="8"/>
  <c r="D13" i="7"/>
  <c r="D12" i="7"/>
  <c r="D11" i="7"/>
  <c r="D10" i="7"/>
  <c r="D9" i="7"/>
  <c r="D8" i="7"/>
  <c r="D7" i="7"/>
  <c r="D6" i="7"/>
  <c r="D5" i="7"/>
  <c r="D4" i="7"/>
  <c r="D3" i="7"/>
  <c r="B13" i="7"/>
  <c r="B12" i="7"/>
  <c r="B11" i="7"/>
  <c r="B10" i="7"/>
  <c r="B9" i="7"/>
  <c r="B8" i="7"/>
  <c r="B7" i="7"/>
  <c r="B6" i="7"/>
  <c r="B5" i="7"/>
  <c r="B4" i="7"/>
  <c r="B3" i="7"/>
  <c r="C13" i="7"/>
  <c r="C12" i="7"/>
  <c r="C11" i="7"/>
  <c r="C10" i="7"/>
  <c r="C9" i="7"/>
  <c r="C8" i="7"/>
  <c r="C7" i="7"/>
  <c r="C6" i="7"/>
  <c r="C5" i="7"/>
  <c r="C4" i="7"/>
  <c r="C3" i="7"/>
  <c r="D2" i="7"/>
  <c r="B2" i="7"/>
  <c r="C2" i="7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4" i="1"/>
  <c r="F2" i="1"/>
  <c r="F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9" i="7" l="1"/>
  <c r="F9" i="7" s="1"/>
  <c r="E6" i="7"/>
  <c r="H6" i="7" s="1"/>
  <c r="E7" i="7"/>
  <c r="G7" i="7" s="1"/>
  <c r="E8" i="7"/>
  <c r="H8" i="7" s="1"/>
  <c r="G9" i="7"/>
  <c r="E5" i="7"/>
  <c r="F5" i="7" s="1"/>
  <c r="E12" i="7"/>
  <c r="H12" i="7" s="1"/>
  <c r="E4" i="7"/>
  <c r="H4" i="7" s="1"/>
  <c r="E11" i="7"/>
  <c r="G11" i="7" s="1"/>
  <c r="E3" i="7"/>
  <c r="H3" i="7" s="1"/>
  <c r="E10" i="7"/>
  <c r="G10" i="7" s="1"/>
  <c r="E13" i="7"/>
  <c r="G13" i="7" s="1"/>
  <c r="F6" i="7"/>
  <c r="H13" i="7"/>
  <c r="E2" i="7"/>
  <c r="F2" i="7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9" i="7" l="1"/>
  <c r="F3" i="7"/>
  <c r="H7" i="7"/>
  <c r="F8" i="7"/>
  <c r="F7" i="7"/>
  <c r="F13" i="7"/>
  <c r="G6" i="7"/>
  <c r="H10" i="7"/>
  <c r="F10" i="7"/>
  <c r="G8" i="7"/>
  <c r="G5" i="7"/>
  <c r="H5" i="7"/>
  <c r="F4" i="7"/>
  <c r="G3" i="7"/>
  <c r="G12" i="7"/>
  <c r="H2" i="7"/>
  <c r="G4" i="7"/>
  <c r="F11" i="7"/>
  <c r="H11" i="7"/>
  <c r="G2" i="7"/>
  <c r="F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F6113-F125-459D-B3F6-81B8FF257D0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9D7EC6F-AB29-4A94-A6EE-E7904018D13C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<sst xmlns="http://schemas.openxmlformats.org/spreadsheetml/2006/main" count="7067" uniqueCount="2120">
  <si>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</si>
  <si>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</si>
  <si>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</si>
  <si>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</si>
  <si>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</si>
  <si>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</si>
  <si>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</si>
  <si>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</si>
  <si>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</si>
  <si>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</si>
  <si>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</si>
  <si>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</si>
  <si>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</si>
  <si>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</si>
  <si>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</si>
  <si>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</si>
  <si>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</si>
  <si>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</si>
  <si>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</si>
  <si>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</si>
  <si>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</si>
  <si>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</si>
  <si>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</si>
  <si>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</si>
  <si>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</si>
  <si>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</si>
  <si>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</si>
  <si>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</si>
  <si>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</si>
  <si>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</si>
  <si>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</si>
  <si>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</si>
  <si>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</si>
  <si>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</si>
  <si>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</si>
  <si>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</si>
  <si>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</si>
  <si>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</si>
  <si>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</si>
  <si>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</si>
  <si>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</si>
  <si>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</si>
  <si>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</si>
  <si>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</si>
  <si>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</si>
  <si>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</si>
  <si>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</si>
  <si>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</si>
  <si>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</si>
  <si>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</si>
  <si>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</si>
  <si>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</si>
  <si>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</si>
  <si>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</si>
  <si>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</si>
  <si>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</si>
  <si>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</si>
  <si>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</si>
  <si>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</si>
  <si>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</si>
  <si>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</si>
  <si>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</si>
  <si>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</si>
  <si>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</si>
  <si>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</si>
  <si>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</si>
  <si>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</si>
  <si>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</si>
  <si>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</si>
  <si>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</si>
  <si>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</si>
  <si>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</si>
  <si>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</si>
  <si>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</si>
  <si>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</si>
  <si>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</si>
  <si>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</si>
  <si>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</si>
  <si>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</si>
  <si>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</si>
  <si>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</si>
  <si>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</si>
  <si>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</si>
  <si>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</si>
  <si>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</si>
  <si>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</si>
  <si>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</si>
  <si>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</si>
  <si>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</si>
  <si>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</si>
  <si>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</si>
  <si>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</si>
  <si>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</si>
  <si>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</si>
  <si>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</si>
  <si>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</si>
  <si>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</si>
  <si>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</si>
  <si>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</si>
  <si>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</si>
  <si>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</si>
  <si>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</si>
  <si>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</si>
  <si>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</si>
  <si>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</si>
  <si>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</si>
  <si>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</si>
  <si>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</si>
  <si>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</si>
  <si>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</si>
  <si>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</si>
  <si>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</si>
  <si>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</si>
  <si>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</si>
  <si>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</si>
  <si>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</si>
  <si>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</si>
  <si>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</si>
  <si>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</si>
  <si>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</si>
  <si>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</si>
  <si>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</si>
  <si>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</si>
  <si>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</si>
  <si>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</si>
  <si>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</si>
  <si>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</si>
  <si>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</si>
  <si>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</si>
  <si>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</si>
  <si>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</si>
  <si>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</si>
  <si>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</si>
  <si>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</si>
  <si>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</si>
  <si>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</si>
  <si>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</si>
  <si>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</si>
  <si>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</si>
  <si>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</si>
  <si>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</si>
  <si>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</si>
  <si>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</si>
  <si>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</si>
  <si>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</si>
  <si>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</si>
  <si>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</si>
  <si>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</si>
  <si>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</si>
  <si>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</si>
  <si>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</si>
  <si>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</si>
  <si>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</si>
  <si>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</si>
  <si>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</si>
  <si>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</si>
  <si>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</si>
  <si>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</si>
  <si>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</si>
  <si>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</si>
  <si>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</si>
  <si>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</si>
  <si>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</si>
  <si>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</si>
  <si>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</si>
  <si>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</si>
  <si>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</si>
  <si>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</si>
  <si>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</si>
  <si>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</si>
  <si>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</si>
  <si>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</si>
  <si>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</si>
  <si>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</si>
  <si>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</si>
  <si>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</si>
  <si>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</si>
  <si>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</si>
  <si>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</si>
  <si>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</si>
  <si>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</si>
  <si>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</si>
  <si>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</si>
  <si>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</si>
  <si>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</si>
  <si>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</si>
  <si>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</si>
  <si>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</si>
  <si>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</si>
  <si>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</si>
  <si>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</si>
  <si>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</si>
  <si>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</si>
  <si>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</si>
  <si>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</si>
  <si>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</si>
  <si>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</si>
  <si>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</si>
  <si>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</si>
  <si>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</si>
  <si>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</si>
  <si>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</si>
  <si>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</si>
  <si>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</si>
  <si>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</si>
  <si>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</si>
  <si>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</si>
  <si>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</si>
  <si>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</si>
  <si>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</si>
  <si>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</si>
  <si>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</si>
  <si>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</si>
  <si>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</si>
  <si>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</si>
  <si>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</si>
  <si>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</si>
  <si>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</si>
  <si>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</si>
  <si>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</si>
  <si>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</si>
  <si>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</si>
  <si>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</si>
  <si>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</si>
  <si>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</si>
  <si>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</si>
  <si>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</si>
  <si>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</si>
  <si>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</si>
  <si>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</si>
  <si>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</si>
  <si>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</si>
  <si>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</si>
  <si>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</si>
  <si>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</si>
  <si>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</si>
  <si>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</si>
  <si>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</si>
  <si>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</si>
  <si>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</si>
  <si>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</si>
  <si>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</si>
  <si>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</si>
  <si>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</si>
  <si>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</si>
  <si>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</si>
  <si>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</si>
  <si>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</si>
  <si>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</si>
  <si>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</si>
  <si>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</si>
  <si>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</si>
  <si>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</si>
  <si>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</si>
  <si>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</si>
  <si>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</si>
  <si>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</si>
  <si>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</si>
  <si>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</si>
  <si>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</si>
  <si>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</si>
  <si>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</si>
  <si>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</si>
  <si>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</si>
  <si>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</si>
  <si>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</si>
  <si>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</si>
  <si>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</si>
  <si>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</si>
  <si>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</si>
  <si>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</si>
  <si>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</si>
  <si>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</si>
  <si>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</si>
  <si>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</si>
  <si>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</si>
  <si>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</si>
  <si>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</si>
  <si>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</si>
  <si>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</si>
  <si>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</si>
  <si>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</si>
  <si>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</si>
  <si>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</si>
  <si>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</si>
  <si>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</si>
  <si>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</si>
  <si>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</si>
  <si>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</si>
  <si>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</si>
  <si>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</si>
  <si>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</si>
  <si>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</si>
  <si>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</si>
  <si>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</si>
  <si>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</si>
  <si>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</si>
  <si>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</si>
  <si>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</si>
  <si>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</si>
  <si>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</si>
  <si>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</si>
  <si>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</si>
  <si>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</si>
  <si>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</si>
  <si>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</si>
  <si>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</si>
  <si>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</si>
  <si>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</si>
  <si>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</si>
  <si>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</si>
  <si>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</si>
  <si>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</si>
  <si>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</si>
  <si>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</si>
  <si>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</si>
  <si>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</si>
  <si>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</si>
  <si>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</si>
  <si>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</si>
  <si>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</si>
  <si>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</si>
  <si>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</si>
  <si>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</si>
  <si>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</si>
  <si>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</si>
  <si>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</si>
  <si>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</si>
  <si>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</si>
  <si>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</si>
  <si>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</si>
  <si>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</si>
  <si>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</si>
  <si>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</si>
  <si>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</si>
  <si>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</si>
  <si>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</si>
  <si>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</si>
  <si>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</si>
  <si>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</si>
  <si>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</si>
  <si>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</si>
  <si>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</si>
  <si>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</si>
  <si>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</si>
  <si>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</si>
  <si>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</si>
  <si>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</si>
  <si>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</si>
  <si>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</si>
  <si>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</si>
  <si>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</si>
  <si>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</si>
  <si>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</si>
  <si>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</si>
  <si>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</si>
  <si>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</si>
  <si>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</si>
  <si>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</si>
  <si>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</si>
  <si>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</si>
  <si>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</si>
  <si>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</si>
  <si>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</si>
  <si>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</si>
  <si>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</si>
  <si>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</si>
  <si>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</si>
  <si>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</si>
  <si>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</si>
  <si>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</si>
  <si>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</si>
  <si>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</si>
  <si>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</si>
  <si>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</si>
  <si>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</si>
  <si>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</si>
  <si>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</si>
  <si>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</si>
  <si>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</si>
  <si>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</si>
  <si>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</si>
  <si>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</si>
  <si>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</si>
  <si>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</si>
  <si>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</si>
  <si>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</si>
  <si>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</si>
  <si>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</si>
  <si>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</si>
  <si>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</si>
  <si>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</si>
  <si>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</si>
  <si>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</si>
  <si>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</si>
  <si>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</si>
  <si>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</si>
  <si>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</si>
  <si>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</si>
  <si>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</si>
  <si>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</si>
  <si>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</si>
  <si>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</si>
  <si>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</si>
  <si>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</si>
  <si>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</si>
  <si>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</si>
  <si>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</si>
  <si>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</si>
  <si>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</si>
  <si>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</si>
  <si>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</si>
  <si>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</si>
  <si>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</si>
  <si>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</si>
  <si>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</si>
  <si>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</si>
  <si>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</si>
  <si>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</si>
  <si>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</si>
  <si>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</si>
  <si>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</si>
  <si>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</si>
  <si>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</si>
  <si>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</si>
  <si>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</si>
  <si>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</si>
  <si>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</si>
  <si>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</si>
  <si>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</si>
  <si>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</si>
  <si>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</si>
  <si>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</si>
  <si>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</si>
  <si>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</si>
  <si>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</si>
  <si>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</si>
  <si>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</si>
  <si>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</si>
  <si>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</si>
  <si>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</si>
  <si>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</si>
  <si>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</si>
  <si>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</si>
  <si>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</si>
  <si>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</si>
  <si>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</si>
  <si>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</si>
  <si>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</si>
  <si>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</si>
  <si>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</si>
  <si>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</si>
  <si>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</si>
  <si>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</si>
  <si>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</si>
  <si>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</si>
  <si>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</si>
  <si>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</si>
  <si>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</si>
  <si>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</si>
  <si>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</si>
  <si>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</si>
  <si>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</si>
  <si>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</si>
  <si>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</si>
  <si>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</si>
  <si>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</si>
  <si>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</si>
  <si>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</si>
  <si>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</si>
  <si>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</si>
  <si>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</si>
  <si>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</si>
  <si>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</si>
  <si>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</si>
  <si>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</si>
  <si>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</si>
  <si>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</si>
  <si>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</si>
  <si>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</si>
  <si>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</si>
  <si>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</si>
  <si>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</si>
  <si>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</si>
  <si>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</si>
  <si>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</si>
  <si>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</si>
  <si>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</si>
  <si>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</si>
  <si>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</si>
  <si>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</si>
  <si>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</si>
  <si>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</si>
  <si>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</si>
  <si>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</si>
  <si>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</si>
  <si>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</si>
  <si>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</si>
  <si>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</si>
  <si>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</si>
  <si>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</si>
  <si>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</si>
  <si>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</si>
  <si>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</si>
  <si>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</si>
  <si>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</si>
  <si>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</si>
  <si>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</si>
  <si>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</si>
  <si>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</si>
  <si>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</si>
  <si>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</si>
  <si>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</si>
  <si>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</si>
  <si>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</si>
  <si>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</si>
  <si>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</si>
  <si>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</si>
  <si>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</si>
  <si>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</si>
  <si>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</si>
  <si>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</si>
  <si>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</si>
  <si>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</si>
  <si>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</si>
  <si>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</si>
  <si>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</si>
  <si>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</si>
  <si>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</si>
  <si>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</si>
  <si>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</si>
  <si>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</si>
  <si>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</si>
  <si>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</si>
  <si>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</si>
  <si>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</si>
  <si>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</si>
  <si>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</si>
  <si>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</si>
  <si>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</si>
  <si>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</si>
  <si>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</si>
  <si>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</si>
  <si>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</si>
  <si>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</si>
  <si>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</si>
  <si>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</si>
  <si>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</si>
  <si>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</si>
  <si>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</si>
  <si>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</si>
  <si>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</si>
  <si>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</si>
  <si>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</si>
  <si>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</si>
  <si>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</si>
  <si>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</si>
  <si>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</si>
  <si>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</si>
  <si>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</si>
  <si>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</si>
  <si>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</si>
  <si>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</si>
  <si>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</si>
  <si>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</si>
  <si>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</si>
  <si>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</si>
  <si>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</si>
  <si>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</si>
  <si>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</si>
  <si>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</si>
  <si>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</si>
  <si>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</si>
  <si>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</si>
  <si>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</si>
  <si>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</si>
  <si>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</si>
  <si>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</si>
  <si>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</si>
  <si>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</si>
  <si>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</si>
  <si>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</si>
  <si>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</si>
  <si>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</si>
  <si>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</si>
  <si>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</si>
  <si>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</si>
  <si>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</si>
  <si>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</si>
  <si>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</si>
  <si>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</si>
  <si>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</si>
  <si>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</si>
  <si>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</si>
  <si>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</si>
  <si>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</si>
  <si>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</si>
  <si>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</si>
  <si>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</si>
  <si>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</si>
  <si>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</si>
  <si>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</si>
  <si>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</si>
  <si>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</si>
  <si>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</si>
  <si>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</si>
  <si>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</si>
  <si>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</si>
  <si>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</si>
  <si>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</si>
  <si>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</si>
  <si>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</si>
  <si>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</si>
  <si>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</si>
  <si>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</si>
  <si>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</si>
  <si>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</si>
  <si>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</si>
  <si>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</si>
  <si>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</si>
  <si>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</si>
  <si>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</si>
  <si>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</si>
  <si>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</si>
  <si>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</si>
  <si>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</si>
  <si>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</si>
  <si>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</si>
  <si>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</si>
  <si>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</si>
  <si>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</si>
  <si>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</si>
  <si>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</si>
  <si>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</si>
  <si>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</si>
  <si>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</si>
  <si>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</si>
  <si>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</si>
  <si>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</si>
  <si>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</si>
  <si>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</si>
  <si>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</si>
  <si>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</si>
  <si>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</si>
  <si>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</si>
  <si>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</si>
  <si>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</si>
  <si>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</si>
  <si>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</si>
  <si>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</si>
  <si>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</si>
  <si>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</si>
  <si>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</si>
  <si>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</si>
  <si>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</si>
  <si>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</si>
  <si>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</si>
  <si>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</si>
  <si>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</si>
  <si>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</si>
  <si>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</si>
  <si>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</si>
  <si>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</si>
  <si>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</si>
  <si>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</si>
  <si>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</si>
  <si>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</si>
  <si>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</si>
  <si>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</si>
  <si>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</si>
  <si>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</si>
  <si>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</si>
  <si>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</si>
  <si>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</si>
  <si>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</si>
  <si>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</si>
  <si>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</si>
  <si>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</si>
  <si>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</si>
  <si>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</si>
  <si>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</si>
  <si>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</si>
  <si>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</si>
  <si>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</si>
  <si>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</si>
  <si>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</si>
  <si>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</si>
  <si>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</si>
  <si>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</si>
  <si>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</si>
  <si>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</si>
  <si>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</si>
  <si>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</si>
  <si>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</si>
  <si>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</si>
  <si>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</si>
  <si>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</si>
  <si>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</si>
  <si>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</si>
  <si>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</si>
  <si>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</si>
  <si>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</si>
  <si>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</si>
  <si>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</si>
  <si>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</si>
  <si>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</si>
  <si>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</si>
  <si>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</si>
  <si>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</si>
  <si>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</si>
  <si>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</si>
  <si>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</si>
  <si>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</si>
  <si>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</si>
  <si>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</si>
  <si>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</si>
  <si>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</si>
  <si>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</si>
  <si>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</si>
  <si>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</si>
  <si>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</si>
  <si>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</si>
  <si>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</si>
  <si>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</si>
  <si>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</si>
  <si>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</si>
  <si>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</si>
  <si>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</si>
  <si>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</si>
  <si>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</si>
  <si>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</si>
  <si>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</si>
  <si>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</si>
  <si>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</si>
  <si>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</si>
  <si>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</si>
  <si>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</si>
  <si>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</si>
  <si>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</si>
  <si>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</si>
  <si>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</si>
  <si>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</si>
  <si>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</si>
  <si>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</si>
  <si>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</si>
  <si>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</si>
  <si>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</si>
  <si>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</si>
  <si>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</si>
  <si>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</si>
  <si>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</si>
  <si>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</si>
  <si>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</si>
  <si>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</si>
  <si>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</si>
  <si>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</si>
  <si>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</si>
  <si>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</si>
  <si>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</si>
  <si>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</si>
  <si>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</si>
  <si>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</si>
  <si>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</si>
  <si>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</si>
  <si>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</si>
  <si>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</si>
  <si>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</si>
  <si>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</si>
  <si>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</si>
  <si>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</si>
  <si>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</si>
  <si>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</si>
  <si>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</si>
  <si>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</si>
  <si>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</si>
  <si>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</si>
  <si>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</si>
  <si>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</si>
  <si>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</si>
  <si>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</si>
  <si>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</si>
  <si>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</si>
  <si>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</si>
  <si>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</si>
  <si>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</si>
  <si>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</si>
  <si>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</si>
  <si>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</si>
  <si>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</si>
  <si>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</si>
  <si>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</si>
  <si>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</si>
  <si>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</si>
  <si>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</si>
  <si>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</si>
  <si>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</si>
  <si>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</si>
  <si>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</si>
  <si>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</si>
  <si>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</si>
  <si>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</si>
  <si>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</si>
  <si>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</si>
  <si>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</si>
  <si>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</si>
  <si>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</si>
  <si>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</si>
  <si>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</si>
  <si>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</si>
  <si>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</si>
  <si>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</si>
  <si>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</si>
  <si>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</si>
  <si>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</si>
  <si>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</si>
  <si>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</si>
  <si>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</si>
  <si>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</si>
  <si>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</si>
  <si>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</si>
  <si>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</si>
  <si>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</si>
  <si>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</si>
  <si>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</si>
  <si>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</si>
  <si>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</si>
  <si>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</si>
  <si>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</si>
  <si>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</si>
  <si>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</si>
  <si>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</si>
  <si>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</si>
  <si>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</si>
  <si>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</si>
  <si>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</si>
  <si>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</si>
  <si>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</si>
  <si>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</si>
  <si>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</si>
  <si>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</si>
  <si>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</si>
  <si>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</si>
  <si>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</si>
  <si>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</si>
  <si>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</si>
  <si>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</si>
  <si>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</si>
  <si>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</si>
  <si>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</si>
  <si>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</si>
  <si>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</si>
  <si>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</si>
  <si>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</si>
  <si>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</si>
  <si>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</si>
  <si>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</si>
  <si>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</si>
  <si>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</si>
  <si>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</si>
  <si>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</si>
  <si>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</si>
  <si>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</si>
  <si>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</si>
  <si>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</si>
  <si>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</si>
  <si>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</si>
  <si>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</si>
  <si>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</si>
  <si>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</si>
  <si>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</si>
  <si>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</si>
  <si>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</si>
  <si>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</si>
  <si>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</si>
  <si>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</si>
  <si>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</si>
  <si>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</si>
  <si>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</si>
  <si>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</si>
  <si>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</si>
  <si>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</si>
  <si>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</si>
  <si>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</si>
  <si>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</si>
  <si>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</si>
  <si>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</si>
  <si>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</si>
  <si>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</si>
  <si>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</si>
  <si>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</si>
  <si>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</si>
  <si>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</si>
  <si>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</si>
  <si>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</si>
  <si>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</si>
  <si>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</si>
  <si>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</si>
  <si>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</si>
  <si>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</si>
  <si>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</si>
  <si>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</si>
  <si>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</si>
  <si>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</si>
  <si>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</si>
  <si>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</si>
  <si>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</si>
  <si>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</si>
  <si>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</si>
  <si>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</si>
  <si>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</si>
  <si>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</si>
  <si>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</si>
  <si>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</si>
  <si>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</si>
  <si>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</si>
  <si>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</si>
  <si>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</si>
  <si>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</si>
  <si>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</si>
  <si>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</si>
  <si>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</si>
  <si>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</si>
  <si>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</si>
  <si>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</si>
  <si>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</si>
  <si>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</si>
  <si>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</si>
  <si>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</si>
  <si>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</si>
  <si>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</si>
  <si>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</si>
  <si>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</si>
  <si>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</si>
  <si>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</si>
  <si>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</si>
  <si>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</si>
  <si>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</si>
  <si>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</si>
  <si>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</si>
  <si>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</si>
  <si>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</si>
  <si>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</si>
  <si>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</si>
  <si>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</si>
  <si>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</si>
  <si>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</si>
  <si>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</si>
  <si>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</si>
  <si>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</si>
  <si>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</si>
  <si>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</si>
  <si>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</si>
  <si>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</si>
  <si>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</si>
  <si>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</si>
  <si>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</si>
  <si>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</si>
  <si>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</si>
  <si>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</si>
  <si>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</si>
  <si>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</si>
  <si>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</si>
  <si>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</si>
  <si>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</si>
  <si>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</si>
  <si>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</si>
  <si>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</si>
  <si>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</si>
  <si>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</si>
  <si>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</si>
  <si>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</si>
  <si>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</si>
  <si>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</si>
  <si>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</si>
  <si>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</si>
  <si>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</si>
  <si>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</si>
  <si>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</si>
  <si>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</si>
  <si>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</si>
  <si>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</si>
  <si>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</si>
  <si>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</si>
  <si>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</si>
  <si>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</si>
  <si>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</si>
  <si>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</si>
  <si>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</si>
  <si>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</si>
  <si>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</si>
  <si>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</si>
  <si>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</si>
  <si>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</si>
  <si>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</si>
  <si>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</si>
  <si>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</si>
  <si>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</si>
  <si>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</si>
  <si>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</si>
  <si>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</si>
  <si>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</si>
  <si>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</si>
  <si>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</si>
  <si>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</si>
  <si>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</si>
  <si>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</si>
  <si>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</si>
  <si>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</si>
  <si>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</si>
  <si>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</si>
  <si>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</si>
  <si>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</si>
  <si>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</si>
  <si>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</si>
  <si>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</si>
  <si>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</si>
  <si>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</si>
  <si>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</si>
  <si>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</si>
  <si>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</si>
  <si>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</si>
  <si>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</si>
  <si>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</si>
  <si>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</si>
  <si>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</si>
  <si>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</si>
  <si>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</si>
  <si>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</si>
  <si>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</si>
  <si>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</si>
  <si>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</si>
  <si>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</si>
  <si>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</si>
  <si>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</si>
  <si>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</si>
  <si>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</si>
  <si>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</si>
  <si>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</si>
  <si>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</si>
  <si>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</si>
  <si>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</si>
  <si>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</si>
  <si>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</si>
  <si>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</si>
  <si>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</si>
  <si>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</si>
  <si>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</si>
  <si>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</si>
  <si>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</si>
  <si>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</si>
  <si>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</si>
  <si>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</si>
  <si>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</si>
  <si>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</si>
  <si>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</si>
  <si>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</si>
  <si>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</si>
  <si>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</si>
  <si>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</si>
  <si>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</si>
  <si>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</si>
  <si>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</si>
  <si>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</si>
  <si>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</si>
  <si>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</si>
  <si>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</si>
  <si>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</si>
  <si>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</si>
  <si>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</si>
  <si>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</si>
  <si>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</si>
  <si>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</si>
  <si>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</si>
  <si>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</si>
  <si>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</si>
  <si>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</si>
  <si>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</si>
  <si>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</si>
  <si>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</si>
  <si>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</si>
  <si>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</si>
  <si>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</si>
  <si>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</si>
  <si>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</si>
  <si>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</si>
  <si>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</si>
  <si>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</si>
  <si>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</si>
  <si>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</si>
  <si>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</si>
  <si>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</si>
  <si>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</si>
  <si>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</si>
  <si>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</si>
  <si>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</si>
  <si>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</si>
  <si>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</si>
  <si>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</si>
  <si>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</si>
  <si>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</si>
  <si>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</si>
  <si>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</si>
  <si>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</si>
  <si>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</si>
  <si>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</si>
  <si>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</si>
  <si>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</si>
  <si>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</si>
  <si>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</si>
  <si>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</si>
  <si>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</si>
  <si>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</si>
  <si>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</si>
  <si>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</si>
  <si>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</si>
  <si>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</si>
  <si>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</si>
  <si>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</si>
  <si>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</si>
  <si>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</si>
  <si>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</si>
  <si>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</si>
  <si>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</si>
  <si>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</si>
  <si>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</si>
  <si>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</si>
  <si>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</si>
  <si>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</si>
  <si>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</si>
  <si>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</si>
  <si>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</si>
  <si>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</si>
  <si>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</si>
  <si>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</si>
  <si>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</si>
  <si>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</si>
  <si>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</si>
  <si>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</si>
  <si>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</si>
  <si>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</si>
  <si>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</si>
  <si>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</si>
  <si>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</si>
  <si>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</si>
  <si>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</si>
  <si>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</si>
  <si>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</si>
  <si>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</si>
  <si>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</si>
  <si>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</si>
  <si>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</si>
  <si>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</si>
  <si>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</si>
  <si>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</si>
  <si>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</si>
  <si>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</si>
  <si>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</si>
  <si>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</si>
  <si>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</si>
  <si>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</si>
  <si>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</si>
  <si>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</si>
  <si>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</si>
  <si>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</si>
  <si>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</si>
  <si>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</si>
  <si>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</si>
  <si>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</si>
  <si>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</si>
  <si>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</si>
  <si>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</si>
  <si>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</si>
  <si>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</si>
  <si>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</si>
  <si>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</si>
  <si>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</si>
  <si>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</si>
  <si>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</si>
  <si>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</si>
  <si>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</si>
  <si>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</si>
  <si>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</si>
  <si>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</si>
  <si>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</si>
  <si>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</si>
  <si>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</si>
  <si>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</si>
  <si>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</si>
  <si>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</si>
  <si>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</si>
  <si>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</si>
  <si>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</si>
  <si>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</si>
  <si>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</si>
  <si>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</si>
  <si>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</si>
  <si>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</si>
  <si>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</si>
  <si>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</si>
  <si>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</si>
  <si>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</si>
  <si>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</si>
  <si>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</si>
  <si>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</si>
  <si>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</si>
  <si>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</si>
  <si>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</si>
  <si>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</si>
  <si>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</si>
  <si>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</si>
  <si>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</si>
  <si>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</si>
  <si>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</si>
  <si>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</si>
  <si>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</si>
  <si>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</si>
  <si>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</si>
  <si>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</si>
  <si>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</si>
  <si>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</si>
  <si>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</si>
  <si>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</si>
  <si>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</si>
  <si>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</si>
  <si>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</si>
  <si>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</si>
  <si>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</si>
  <si>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</si>
  <si>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</si>
  <si>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</si>
  <si>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</si>
  <si>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</si>
  <si>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</si>
  <si>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</si>
  <si>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</si>
  <si>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</si>
  <si>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</si>
  <si>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</si>
  <si>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</si>
  <si>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</si>
  <si>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</si>
  <si>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</si>
  <si>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</si>
  <si>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</si>
  <si>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</si>
  <si>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</si>
  <si>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</si>
  <si>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</si>
  <si>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</si>
  <si>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</si>
  <si>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</si>
  <si>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</si>
  <si>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</si>
  <si>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</si>
  <si>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</si>
  <si>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</si>
  <si>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</si>
  <si>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</si>
  <si>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</si>
  <si>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</si>
  <si>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</si>
  <si>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</si>
  <si>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</si>
  <si>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</si>
  <si>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</si>
  <si>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</si>
  <si>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</si>
  <si>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</si>
  <si>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</si>
  <si>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</si>
  <si>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</si>
  <si>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</si>
  <si>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</si>
  <si>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</si>
  <si>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</si>
  <si>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</si>
  <si>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</si>
  <si>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</si>
  <si>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</si>
  <si>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</si>
  <si>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</si>
  <si>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</si>
  <si>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</si>
  <si>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</si>
  <si>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</si>
  <si>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</si>
  <si>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</si>
  <si>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</si>
  <si>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</si>
  <si>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</si>
  <si>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</si>
  <si>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</si>
  <si>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</si>
  <si>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</si>
  <si>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</si>
  <si>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</si>
  <si>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</si>
  <si>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</si>
  <si>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</si>
  <si>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</si>
  <si>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</si>
  <si>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</si>
  <si>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</si>
  <si>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</si>
  <si>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</si>
  <si>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</si>
  <si>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</si>
  <si>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</si>
  <si>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</si>
  <si>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</si>
  <si>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</si>
  <si>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</si>
  <si>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</si>
  <si>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</si>
  <si>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</si>
  <si>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</si>
  <si>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</si>
  <si>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</si>
  <si>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</si>
  <si>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</si>
  <si>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</si>
  <si>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</si>
  <si>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</si>
  <si>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</si>
  <si>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</si>
  <si>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</si>
  <si>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</si>
  <si>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</si>
  <si>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</si>
  <si>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</si>
  <si>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</si>
  <si>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</si>
  <si>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</si>
  <si>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</si>
  <si>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</si>
  <si>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</si>
  <si>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</si>
  <si>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</si>
  <si>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</si>
  <si>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</si>
  <si>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</si>
  <si>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</si>
  <si>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</si>
  <si>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</si>
  <si>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</si>
  <si>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</si>
  <si>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</si>
  <si>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</si>
  <si>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</si>
  <si>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</si>
  <si>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</si>
  <si>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</si>
  <si>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</si>
  <si>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</si>
  <si>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</si>
  <si>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</si>
  <si>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</si>
  <si>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</si>
  <si>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</si>
  <si>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</si>
  <si>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</si>
  <si>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</si>
  <si>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</si>
  <si>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</si>
  <si>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</si>
  <si>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</si>
  <si>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</si>
  <si>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</si>
  <si>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</si>
  <si>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</si>
  <si>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</si>
  <si>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</si>
  <si>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</si>
  <si>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</si>
  <si>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</si>
  <si>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</si>
  <si>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</si>
  <si>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</si>
  <si>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</si>
  <si>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</si>
  <si>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</si>
  <si>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</si>
  <si>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</si>
  <si>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</si>
  <si>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</si>
  <si>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</si>
  <si>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</si>
  <si>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</si>
  <si>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</si>
  <si>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</si>
  <si>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</si>
  <si>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</si>
  <si>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</si>
  <si>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</si>
  <si>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</si>
  <si>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</si>
  <si>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</si>
  <si>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</si>
  <si>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</si>
  <si>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</si>
  <si>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</si>
  <si>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</si>
  <si>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</si>
  <si>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</si>
  <si>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</si>
  <si>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</si>
  <si>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</si>
  <si>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</si>
  <si>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</si>
  <si>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</si>
  <si>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</si>
  <si>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</si>
  <si>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</si>
  <si>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</si>
  <si>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</si>
  <si>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</si>
  <si>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</si>
  <si>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</si>
  <si>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</si>
  <si>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</si>
  <si>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</si>
  <si>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</si>
  <si>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</si>
  <si>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</si>
  <si>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</si>
  <si>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</si>
  <si>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</si>
  <si>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</si>
  <si>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</si>
  <si>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</si>
  <si>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</si>
  <si>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</si>
  <si>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</si>
  <si>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</si>
  <si>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</si>
  <si>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</si>
  <si>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</si>
  <si>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</si>
  <si>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</si>
  <si>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</si>
  <si>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</si>
  <si>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</si>
  <si>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</si>
  <si>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</si>
  <si>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</si>
  <si>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</si>
  <si>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</si>
  <si>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</si>
  <si>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</si>
  <si>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</si>
  <si>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</si>
  <si>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</si>
  <si>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</si>
  <si>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</si>
  <si>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</si>
  <si>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</si>
  <si>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</si>
  <si>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</si>
  <si>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</si>
  <si>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</si>
  <si>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</si>
  <si>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</si>
  <si>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</si>
  <si>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</si>
  <si>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</si>
  <si>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</si>
  <si>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</si>
  <si>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</si>
  <si>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</si>
  <si>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</si>
  <si>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</si>
  <si>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</si>
  <si>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</si>
  <si>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</si>
  <si>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</si>
  <si>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</si>
  <si>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</si>
  <si>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</si>
  <si>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</si>
  <si>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</si>
  <si>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</si>
  <si>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</si>
  <si>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</si>
  <si>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</si>
  <si>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</si>
  <si>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</si>
  <si>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</si>
  <si>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</si>
  <si>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</si>
  <si>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</si>
  <si>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</si>
  <si>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</si>
  <si>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</si>
  <si>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</si>
  <si>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</si>
  <si>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</si>
  <si>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</si>
  <si>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</si>
  <si>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</si>
  <si>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</si>
  <si>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</si>
  <si>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</si>
  <si>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</si>
  <si>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</si>
  <si>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</si>
  <si>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</si>
  <si>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</si>
  <si>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</si>
  <si>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</si>
  <si>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</si>
  <si>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</si>
  <si>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</si>
  <si>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</si>
  <si>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</si>
  <si>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</si>
  <si>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</si>
  <si>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</si>
  <si>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</si>
  <si>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</si>
  <si>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</si>
  <si>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</si>
  <si>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</si>
  <si>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</si>
  <si>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</si>
  <si>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</si>
  <si>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</si>
  <si>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</si>
  <si>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</si>
  <si>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</si>
  <si>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</si>
  <si>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</si>
  <si>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</si>
  <si>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</si>
  <si>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</si>
  <si>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</si>
  <si>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</si>
  <si>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</si>
  <si>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</si>
  <si>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</si>
  <si>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</si>
  <si>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</si>
  <si>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</si>
  <si>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</si>
  <si>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</si>
  <si>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</si>
  <si>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</si>
  <si>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</si>
  <si>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</si>
  <si>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</si>
  <si>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</si>
  <si>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</si>
  <si>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</si>
  <si>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</si>
  <si>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</si>
  <si>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</si>
  <si>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</si>
  <si>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</si>
  <si>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</si>
  <si>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</si>
  <si>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</si>
  <si>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</si>
  <si>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</si>
  <si>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</si>
  <si>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</si>
  <si>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</si>
  <si>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</si>
  <si>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</si>
  <si>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</si>
  <si>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</si>
  <si>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</si>
  <si>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</si>
  <si>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</si>
  <si>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</si>
  <si>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</si>
  <si>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</si>
  <si>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</si>
  <si>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</si>
  <si>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</si>
  <si>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</si>
  <si>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</si>
  <si>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</si>
  <si>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</si>
  <si>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</si>
  <si>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</si>
  <si>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</si>
  <si>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</si>
  <si>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</si>
  <si>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</si>
  <si>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</si>
  <si>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</si>
  <si>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</si>
  <si>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</si>
  <si>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</si>
  <si>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</si>
  <si>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</si>
  <si>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</si>
  <si>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</si>
  <si>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</si>
  <si>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</si>
  <si>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</si>
  <si>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</si>
  <si>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</si>
  <si>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</si>
  <si>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</si>
  <si>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</si>
  <si>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</si>
  <si>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</si>
  <si>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</si>
  <si>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</si>
  <si>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</si>
  <si>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</si>
  <si>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</si>
  <si>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</si>
  <si>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</si>
  <si>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</si>
  <si>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</si>
  <si>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</si>
  <si>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</si>
  <si>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</si>
  <si>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</si>
  <si>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</si>
  <si>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</si>
  <si>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</si>
  <si>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</si>
  <si>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</si>
  <si>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</si>
  <si>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</si>
  <si>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</si>
  <si>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</si>
  <si>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</si>
  <si>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</si>
  <si>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</si>
  <si>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</si>
  <si>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</si>
  <si>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</si>
  <si>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</si>
  <si>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</si>
  <si>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</si>
  <si>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</si>
  <si>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</si>
  <si>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</si>
  <si>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</si>
  <si>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</si>
  <si>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</si>
  <si>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</si>
  <si>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</si>
  <si>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</si>
  <si>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</si>
  <si>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</si>
  <si>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</si>
  <si>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</si>
  <si>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</si>
  <si>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</si>
  <si>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</si>
  <si>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</si>
  <si>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</si>
  <si>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</si>
  <si>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</si>
  <si>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</si>
  <si>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</si>
  <si>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</si>
  <si>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</si>
  <si>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</si>
  <si>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</si>
  <si>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</si>
  <si>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</si>
  <si>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</si>
  <si>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</si>
  <si>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</si>
  <si>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</si>
  <si>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</si>
  <si>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</si>
  <si>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</si>
  <si>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</si>
  <si>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</si>
  <si>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</si>
  <si>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</si>
  <si>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</si>
  <si>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</si>
  <si>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</si>
  <si>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</si>
  <si>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</si>
  <si>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</si>
  <si>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</si>
  <si>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</si>
  <si>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</si>
  <si>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</si>
  <si>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</si>
  <si>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</si>
  <si>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</si>
  <si>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</si>
  <si>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</si>
  <si>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</si>
  <si>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</si>
  <si>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</si>
  <si>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</si>
  <si>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</si>
  <si>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</si>
  <si>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</si>
  <si>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</si>
  <si>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</si>
  <si>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</si>
  <si>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</si>
  <si>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</si>
  <si>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</si>
  <si>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</si>
  <si>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</si>
  <si>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</si>
  <si>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</si>
  <si>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</si>
  <si>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</si>
  <si>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</si>
  <si>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</si>
  <si>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</si>
  <si>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</si>
  <si>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</si>
  <si>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</si>
  <si>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</si>
  <si>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</si>
  <si>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</si>
  <si>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</si>
  <si>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</si>
  <si>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</si>
  <si>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</si>
  <si>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</si>
  <si>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</si>
  <si>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</si>
  <si>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</si>
  <si>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</si>
  <si>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</si>
  <si>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</si>
  <si>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</si>
  <si>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</si>
  <si>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</si>
  <si>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</si>
  <si>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</si>
  <si>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</si>
  <si>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</si>
  <si>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</si>
  <si>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</si>
  <si>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</si>
  <si>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</si>
  <si>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</si>
  <si>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</si>
  <si>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</si>
  <si>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</si>
  <si>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</si>
  <si>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</si>
  <si>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</si>
  <si>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</si>
  <si>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</si>
  <si>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</si>
  <si>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</si>
  <si>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</si>
  <si>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</si>
  <si>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</si>
  <si>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</si>
  <si>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</si>
  <si>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</si>
  <si>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</si>
  <si>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</si>
  <si>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</si>
  <si>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</si>
  <si>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</si>
  <si>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</si>
  <si>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</si>
  <si>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</si>
  <si>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</si>
  <si>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</si>
  <si>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</si>
  <si>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</si>
  <si>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</si>
  <si>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</si>
  <si>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</si>
  <si>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</si>
  <si>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</si>
  <si>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</si>
  <si>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</si>
  <si>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</si>
  <si>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</si>
  <si>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</si>
  <si>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</si>
  <si>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</si>
  <si>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</si>
  <si>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</si>
  <si>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</si>
  <si>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</si>
  <si>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</si>
  <si>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</si>
  <si>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</si>
  <si>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</si>
  <si>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</si>
  <si>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</si>
  <si>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</si>
  <si>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</si>
  <si>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</si>
  <si>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</si>
  <si>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</si>
  <si>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</si>
  <si>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</si>
  <si>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</si>
  <si>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</si>
  <si>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</si>
  <si>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</si>
  <si>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</si>
  <si>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</si>
  <si>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</si>
  <si>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</si>
  <si>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</si>
  <si>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</si>
  <si>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</si>
  <si>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</si>
  <si>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</si>
  <si>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</si>
  <si>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</si>
  <si>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</si>
  <si>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</si>
  <si>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</si>
  <si>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</si>
  <si>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</si>
  <si>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</si>
  <si>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</si>
  <si>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</si>
  <si>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</si>
  <si>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</si>
  <si>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</si>
  <si>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</si>
  <si>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</si>
  <si>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</si>
  <si>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</si>
  <si>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</si>
  <si>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</si>
  <si>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</si>
  <si>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</si>
  <si>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</si>
  <si>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</si>
  <si>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</si>
  <si>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</si>
  <si>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</si>
  <si>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</si>
  <si>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</si>
  <si>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</si>
  <si>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</si>
  <si>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</si>
  <si>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</si>
  <si>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</si>
  <si>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</si>
  <si>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</si>
  <si>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</si>
  <si>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</si>
  <si>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</si>
  <si>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</si>
  <si>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</si>
  <si>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</si>
  <si>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</si>
  <si>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</si>
  <si>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</si>
  <si>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</si>
  <si>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</si>
  <si>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</si>
  <si>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</si>
  <si>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</si>
  <si>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</si>
  <si>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</si>
  <si>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</si>
  <si>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</si>
  <si>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</si>
  <si>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</si>
  <si>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</si>
  <si>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</si>
  <si>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</si>
  <si>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</si>
  <si>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</si>
  <si>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</si>
  <si>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</si>
  <si>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</si>
  <si>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</si>
  <si>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</si>
  <si>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</si>
  <si>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</si>
  <si>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</si>
  <si>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</si>
  <si>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</si>
  <si>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</si>
  <si>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</si>
  <si>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</si>
  <si>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</si>
  <si>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</si>
  <si>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</si>
  <si>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</si>
  <si>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</si>
  <si>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</si>
  <si>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</si>
  <si>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</si>
  <si>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</si>
  <si>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</si>
  <si>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</si>
  <si>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</si>
  <si>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</si>
  <si>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</si>
  <si>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</si>
  <si>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</si>
  <si>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</si>
  <si>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</si>
  <si>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</si>
  <si>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</si>
  <si>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</si>
  <si>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</si>
  <si>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</si>
  <si>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</si>
  <si>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</si>
  <si>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</si>
  <si>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</si>
  <si>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</si>
  <si>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</si>
  <si>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</si>
  <si>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</si>
  <si>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</si>
  <si>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</si>
  <si>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</si>
  <si>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</si>
  <si>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</si>
  <si>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</si>
  <si>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</si>
  <si>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</si>
  <si>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</si>
  <si>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</si>
  <si>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</si>
  <si>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</si>
  <si>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</si>
  <si>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</si>
  <si>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</si>
  <si>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</si>
  <si>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</si>
  <si>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</si>
  <si>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</si>
  <si>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</si>
  <si>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</si>
  <si>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</si>
  <si>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</si>
  <si>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</si>
  <si>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</si>
  <si>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</si>
  <si>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</si>
  <si>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</si>
  <si>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</si>
  <si>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</si>
  <si>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</si>
  <si>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</si>
  <si>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</si>
  <si>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</si>
  <si>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</si>
  <si>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</si>
  <si>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</si>
  <si>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</si>
  <si>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</si>
  <si>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</si>
  <si>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</si>
  <si>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</si>
  <si>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</si>
  <si>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</si>
  <si>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</si>
  <si>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</si>
  <si>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</si>
  <si>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</si>
  <si>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</si>
  <si>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</si>
  <si>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</si>
  <si>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</si>
  <si>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</si>
  <si>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</si>
  <si>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</si>
  <si>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</si>
  <si>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</si>
  <si>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</si>
  <si>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</si>
  <si>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</si>
  <si>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</si>
  <si>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</si>
  <si>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</si>
  <si>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</si>
  <si>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</si>
  <si>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</si>
  <si>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</si>
  <si>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</si>
  <si>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</si>
  <si>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</si>
  <si>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</si>
  <si>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</si>
  <si>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</si>
  <si>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</si>
  <si>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</si>
  <si>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</si>
  <si>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</si>
  <si>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</si>
  <si>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</si>
  <si>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</si>
  <si>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</si>
  <si>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</si>
  <si>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</si>
  <si>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</si>
  <si>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</si>
  <si>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</si>
  <si>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</si>
  <si>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</si>
  <si>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</si>
  <si>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</si>
  <si>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</si>
  <si>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</si>
  <si>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</si>
  <si>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</si>
  <si>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</si>
  <si>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</si>
  <si>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</si>
  <si>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</si>
  <si>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</si>
  <si>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</si>
  <si>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</si>
  <si>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</si>
  <si>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</si>
  <si>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</si>
  <si>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</si>
  <si>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</si>
  <si>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</si>
  <si>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</si>
  <si>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</si>
  <si>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</si>
  <si>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</si>
  <si>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</si>
  <si>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</si>
  <si>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</si>
  <si>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</si>
  <si>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Percent Funded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</si>
  <si>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</si>
  <si>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</si>
  <si>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</si>
  <si>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</si>
  <si>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</si>
  <si>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</si>
  <si>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</si>
  <si>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</si>
  <si>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</si>
  <si>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</si>
  <si>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</si>
  <si>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</si>
  <si>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Date Created Conversion</t>
  </si>
  <si>
    <t>Date Ended Conversion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</si>
  <si>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</si>
  <si>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</si>
  <si>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</si>
  <si>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</si>
  <si>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</si>
  <si>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</si>
  <si>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</si>
  <si>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</si>
  <si>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</si>
  <si>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</si>
  <si>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</si>
  <si>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</si>
  <si>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</si>
  <si>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</si>
  <si>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</si>
  <si>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</si>
  <si>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</si>
  <si>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</si>
  <si>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</si>
  <si>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</si>
  <si>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</si>
  <si>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</si>
  <si>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</si>
  <si>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</si>
  <si>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Row Labels</t>
  </si>
  <si>
    <t>All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</si>
  <si>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</si>
  <si>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</si>
  <si>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</si>
  <si>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</si>
  <si>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</si>
  <si>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</si>
  <si>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</si>
  <si>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</si>
  <si>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</si>
  <si>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</si>
  <si>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</si>
  <si>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</si>
  <si>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</si>
  <si>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</si>
  <si>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</si>
  <si>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</si>
  <si>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</si>
  <si>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</si>
  <si>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</si>
  <si>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</si>
  <si>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</si>
  <si>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</si>
  <si>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</si>
  <si>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</si>
  <si>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</si>
  <si>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</si>
  <si>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</si>
  <si>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</si>
  <si>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</si>
  <si>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</si>
  <si>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</si>
  <si>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</si>
  <si>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</si>
  <si>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50000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</si>
  <si>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</si>
  <si>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</si>
  <si>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</si>
  <si>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</si>
  <si>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</si>
  <si>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</si>
  <si>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</si>
  <si>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</si>
  <si>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</si>
  <si>
    <t>There are values in the number of successful campaign backers that skew the mean to the right.</t>
  </si>
  <si>
    <t xml:space="preserve">So, it appears that the median provides better calculations to analyze this data. </t>
  </si>
  <si>
    <t>between the min and max of the successful campaigns.</t>
  </si>
  <si>
    <t>There is more variabilty with successful campaigns in this data probably due to the large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</si>
</sst>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43" fontId="16" fillId="0" borderId="0" xfId="43" applyFont="1" applyAlignment="1">
      <alignment horizontal="center"/>
    </xf>
    <xf numFmtId="43" fontId="0" fillId="0" borderId="0" xfId="43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9" fontId="0" fillId="0" borderId="0" xfId="42" applyFon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0.21555118110236221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5-4C31-B2A4-DA047D35097E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5-4C31-B2A4-DA047D35097E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5-4C31-B2A4-DA047D35097E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5-4C31-B2A4-DA047D35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129304"/>
        <c:axId val="418136520"/>
      </c:barChart>
      <c:catAx>
        <c:axId val="41812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520"/>
        <c:crosses val="autoZero"/>
        <c:auto val="1"/>
        <c:lblAlgn val="ctr"/>
        <c:lblOffset val="100"/>
        <c:noMultiLvlLbl val="0"/>
      </c:catAx>
      <c:valAx>
        <c:axId val="4181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0.21555118110236221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F-4E0D-8544-449470416E4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F-4E0D-8544-449470416E4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F-4E0D-8544-449470416E4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F-4E0D-8544-44947041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129304"/>
        <c:axId val="418136520"/>
      </c:barChart>
      <c:catAx>
        <c:axId val="41812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520"/>
        <c:crosses val="autoZero"/>
        <c:auto val="1"/>
        <c:lblAlgn val="ctr"/>
        <c:lblOffset val="100"/>
        <c:noMultiLvlLbl val="0"/>
      </c:catAx>
      <c:valAx>
        <c:axId val="4181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B82-8B10-986944DC08B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B82-8B10-986944DC08B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A-4B82-8B10-986944DC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76048"/>
        <c:axId val="424179656"/>
      </c:lineChart>
      <c:catAx>
        <c:axId val="4241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9656"/>
        <c:crosses val="autoZero"/>
        <c:auto val="1"/>
        <c:lblAlgn val="ctr"/>
        <c:lblOffset val="100"/>
        <c:noMultiLvlLbl val="0"/>
      </c:catAx>
      <c:valAx>
        <c:axId val="424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5-40E2-AA17-FDC37E37A9EE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5-40E2-AA17-FDC37E37A9EE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5-40E2-AA17-FDC37E37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56896"/>
        <c:axId val="514454272"/>
      </c:lineChart>
      <c:catAx>
        <c:axId val="514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4272"/>
        <c:crosses val="autoZero"/>
        <c:auto val="1"/>
        <c:lblAlgn val="ctr"/>
        <c:lblOffset val="100"/>
        <c:noMultiLvlLbl val="0"/>
      </c:catAx>
      <c:valAx>
        <c:axId val="514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Number of backers is sucessful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is sucessful and unsuccessful campaigns</a:t>
          </a:r>
        </a:p>
      </cx:txPr>
    </cx:title>
    <cx:plotArea>
      <cx:plotAreaRegion>
        <cx:series layoutId="boxWhisker" uniqueId="{FC1C3604-1426-4CAB-812B-494984ADBFDA}" formatIdx="0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F9DAEB-FD02-45BD-B7F3-25FBA9C3FD2F}" formatIdx="2">
          <cx:tx>
            <cx:txData>
              <cx:f>_xlchart.v1.3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78C6073-3398-4C13-9F7F-8E8313F102AF}" formatIdx="3">
          <cx:tx>
            <cx:txData>
              <cx:f>_xlchart.v1.5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826770</xdr:colOff>
      <xdr:row>1</xdr:row>
      <xdr:rowOff>182880</xdr:rowOff>
    </xdr:from>
    <xdr:to>
      <xdr:col>15</xdr:col>
      <xdr:colOff>281940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6594B-E93C-425D-B46D-176030C06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0</xdr:row>
      <xdr:rowOff>160020</xdr:rowOff>
    </xdr:from>
    <xdr:to>
      <xdr:col>18</xdr:col>
      <xdr:colOff>30480</xdr:colOff>
      <xdr:row>25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42E41-04E8-404E-9F22-597A6915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3</xdr:row>
      <xdr:rowOff>22860</xdr:rowOff>
    </xdr:from>
    <xdr:to>
      <xdr:col>11</xdr:col>
      <xdr:colOff>1021080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45C26-6588-4422-A5A1-B78742CB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13</xdr:row>
      <xdr:rowOff>106680</xdr:rowOff>
    </xdr:from>
    <xdr:to>
      <xdr:col>7</xdr:col>
      <xdr:colOff>1127760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CFDC8-A045-43AF-87A6-B9E90FFAA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8</xdr:row>
      <xdr:rowOff>190500</xdr:rowOff>
    </xdr:from>
    <xdr:to>
      <xdr:col>13</xdr:col>
      <xdr:colOff>647700</xdr:colOff>
      <xdr:row>26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B8315E-CFA5-4F0D-B8DB-D1B06CE0B0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3490" y="1775460"/>
              <a:ext cx="6328410" cy="3512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Bradley" refreshedDate="44632.91038321759" createdVersion="7" refreshedVersion="7" minRefreshableVersion="3" recordCount="1000" xr:uid="{F11C9882-7D82-40A9-8C53-FAABD3836A5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e Bradley" refreshedDate="44633.555848148149" backgroundQuery="1" createdVersion="7" refreshedVersion="7" minRefreshableVersion="3" recordCount="0" supportSubquery="1" supportAdvancedDrill="1" xr:uid="{1F46D47E-4505-437A-BE7A-AA3BFF3CC8F4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E824B-783A-4B4B-9668-7DA034639EF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2">
  <location ref="A3:F14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1B34D-8503-4302-9755-3E20FC64AE3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3">
  <location ref="A4:F30" firstHeaderRow="1" firstDataRow="2" firstDataCol="1" rowPageCount="2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C90F9-7FFA-4098-BBC8-2778D337EFF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2" hier="20" name="[Range].[Date Created Conversion (Year)].[All]" cap="All"/>
  </pageFields>
  <dataFields count="1">
    <dataField name="Count of outcom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296875" style="7" customWidth="1"/>
    <col min="8" max="8" width="13" bestFit="1" customWidth="1"/>
    <col min="9" max="9" width="17.8984375" style="9" bestFit="1" customWidth="1"/>
    <col min="12" max="13" width="11.19921875" bestFit="1" customWidth="1"/>
    <col min="14" max="14" width="22.19921875" style="12" bestFit="1" customWidth="1"/>
    <col min="15" max="15" width="20.796875" style="12" bestFit="1" customWidth="1"/>
    <col min="18" max="18" width="28" bestFit="1" customWidth="1"/>
    <col min="19" max="19" width="14.8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2032</v>
      </c>
      <c r="G1" s="1" t="s">
        <v>4</v>
      </c>
      <c r="H1" s="1" t="s">
        <v>5</v>
      </c>
      <c r="I1" s="8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2045</v>
      </c>
      <c r="O1" s="1" t="s">
        <v>2046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(+E2/D2)*100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+RIGHT(R2,+LEN(R2)-SEARCH("/",R2))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(+E3/D3)*100</f>
        <v>1040</v>
      </c>
      <c r="G3" t="s">
        <v>20</v>
      </c>
      <c r="H3">
        <v>158</v>
      </c>
      <c r="I3" s="9">
        <f t="shared" ref="I3:I66" si="0">+E3/H3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+RIGHT(R3,+LEN(R3)-SEARCH("/",R3))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(+E4/D4)*100</f>
        <v>131.4787822878229</v>
      </c>
      <c r="G4" t="s">
        <v>20</v>
      </c>
      <c r="H4">
        <v>1425</v>
      </c>
      <c r="I4" s="9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ref="F5:F68" si="5">(+E5/D5)*100</f>
        <v>58.976190476190467</v>
      </c>
      <c r="G5" t="s">
        <v>14</v>
      </c>
      <c r="H5">
        <v>24</v>
      </c>
      <c r="I5" s="9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5"/>
        <v>69.276315789473685</v>
      </c>
      <c r="G6" t="s">
        <v>14</v>
      </c>
      <c r="H6">
        <v>53</v>
      </c>
      <c r="I6" s="9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5"/>
        <v>173.61842105263159</v>
      </c>
      <c r="G7" t="s">
        <v>20</v>
      </c>
      <c r="H7">
        <v>174</v>
      </c>
      <c r="I7" s="9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5"/>
        <v>20.961538461538463</v>
      </c>
      <c r="G8" t="s">
        <v>14</v>
      </c>
      <c r="H8">
        <v>18</v>
      </c>
      <c r="I8" s="9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9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9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9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9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9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9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9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9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9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9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9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9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9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9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9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9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9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9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9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9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9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9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9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9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9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9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9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9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9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9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9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9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9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9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9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9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9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9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9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9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9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9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9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9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9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9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9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9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9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9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9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9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9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9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9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9">
        <f t="shared" ref="I67:I130" si="6">+E67/H67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7">(((L67/60)/60)/24)+DATE(1970,1,1)</f>
        <v>40570.25</v>
      </c>
      <c r="O67" s="12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+RIGHT(R67,+LEN(R67)-SEARCH("/",R67))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9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ref="F69:F132" si="11">(+E69/D69)*100</f>
        <v>162.38567493112947</v>
      </c>
      <c r="G69" t="s">
        <v>20</v>
      </c>
      <c r="H69">
        <v>4065</v>
      </c>
      <c r="I69" s="9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1"/>
        <v>254.52631578947367</v>
      </c>
      <c r="G70" t="s">
        <v>20</v>
      </c>
      <c r="H70">
        <v>246</v>
      </c>
      <c r="I70" s="9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1"/>
        <v>24.063291139240505</v>
      </c>
      <c r="G71" t="s">
        <v>74</v>
      </c>
      <c r="H71">
        <v>17</v>
      </c>
      <c r="I71" s="9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1"/>
        <v>123.74140625000001</v>
      </c>
      <c r="G72" t="s">
        <v>20</v>
      </c>
      <c r="H72">
        <v>2475</v>
      </c>
      <c r="I72" s="9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9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9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9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9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9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9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9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9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9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9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9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9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9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9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9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9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9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9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9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9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9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9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9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9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9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9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9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9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9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9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9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9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9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9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9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9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9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9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9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9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9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9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9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9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9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9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9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9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9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9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9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9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9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9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9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9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9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9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9">
        <f t="shared" ref="I131:I194" si="12">+E131/H131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+RIGHT(R131,+LEN(R131)-SEARCH("/",R131))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1"/>
        <v>155.46875</v>
      </c>
      <c r="G132" t="s">
        <v>20</v>
      </c>
      <c r="H132">
        <v>533</v>
      </c>
      <c r="I132" s="9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ref="F133:F196" si="17">(+E133/D133)*100</f>
        <v>100.85974499089254</v>
      </c>
      <c r="G133" t="s">
        <v>20</v>
      </c>
      <c r="H133">
        <v>2443</v>
      </c>
      <c r="I133" s="9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7"/>
        <v>116.18181818181819</v>
      </c>
      <c r="G134" t="s">
        <v>20</v>
      </c>
      <c r="H134">
        <v>89</v>
      </c>
      <c r="I134" s="9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7"/>
        <v>310.77777777777777</v>
      </c>
      <c r="G135" t="s">
        <v>20</v>
      </c>
      <c r="H135">
        <v>159</v>
      </c>
      <c r="I135" s="9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7"/>
        <v>89.73668341708543</v>
      </c>
      <c r="G136" t="s">
        <v>14</v>
      </c>
      <c r="H136">
        <v>940</v>
      </c>
      <c r="I136" s="9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9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9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9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9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9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9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9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9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9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9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9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9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9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9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9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9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9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9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9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9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9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9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9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9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9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9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9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9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9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9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9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9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9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9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9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9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9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9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9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9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9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9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9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9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9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9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9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9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9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9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9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9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9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9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9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9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9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9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9">
        <f t="shared" ref="I195:I258" si="18">+E195/H195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+RIGHT(R195,+LEN(R195)-SEARCH("/",R195))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7"/>
        <v>122.7605633802817</v>
      </c>
      <c r="G196" t="s">
        <v>20</v>
      </c>
      <c r="H196">
        <v>126</v>
      </c>
      <c r="I196" s="9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ref="F197:F260" si="23">(+E197/D197)*100</f>
        <v>361.75316455696202</v>
      </c>
      <c r="G197" t="s">
        <v>20</v>
      </c>
      <c r="H197">
        <v>524</v>
      </c>
      <c r="I197" s="9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23"/>
        <v>63.146341463414636</v>
      </c>
      <c r="G198" t="s">
        <v>14</v>
      </c>
      <c r="H198">
        <v>100</v>
      </c>
      <c r="I198" s="9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23"/>
        <v>298.20475319926874</v>
      </c>
      <c r="G199" t="s">
        <v>20</v>
      </c>
      <c r="H199">
        <v>1989</v>
      </c>
      <c r="I199" s="9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23"/>
        <v>9.5585443037974684</v>
      </c>
      <c r="G200" t="s">
        <v>14</v>
      </c>
      <c r="H200">
        <v>168</v>
      </c>
      <c r="I200" s="9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9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9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9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9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9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9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9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9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9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9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9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9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9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9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9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9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9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9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9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9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9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9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9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9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9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9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9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9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9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9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9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9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9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9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9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9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9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9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9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9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9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9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9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9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9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9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9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9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9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9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9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9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9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9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9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9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9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9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9">
        <f t="shared" ref="I259:I322" si="24">+E259/H259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+RIGHT(R259,+LEN(R259)-SEARCH("/",R259))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3"/>
        <v>268.48</v>
      </c>
      <c r="G260" t="s">
        <v>20</v>
      </c>
      <c r="H260">
        <v>186</v>
      </c>
      <c r="I260" s="9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ref="F261:F324" si="29">(+E261/D261)*100</f>
        <v>597.5</v>
      </c>
      <c r="G261" t="s">
        <v>20</v>
      </c>
      <c r="H261">
        <v>138</v>
      </c>
      <c r="I261" s="9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9"/>
        <v>157.69841269841268</v>
      </c>
      <c r="G262" t="s">
        <v>20</v>
      </c>
      <c r="H262">
        <v>261</v>
      </c>
      <c r="I262" s="9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9"/>
        <v>31.201660735468568</v>
      </c>
      <c r="G263" t="s">
        <v>14</v>
      </c>
      <c r="H263">
        <v>454</v>
      </c>
      <c r="I263" s="9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9"/>
        <v>313.41176470588238</v>
      </c>
      <c r="G264" t="s">
        <v>20</v>
      </c>
      <c r="H264">
        <v>107</v>
      </c>
      <c r="I264" s="9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9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9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9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9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9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9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9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9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9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9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9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9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9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9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9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9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9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9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9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9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9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9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9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9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9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9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9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9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9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9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9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9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9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9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9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9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9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9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9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9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9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9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9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9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9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9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9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9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9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9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9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9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9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9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9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9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9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9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9">
        <f t="shared" ref="I323:I386" si="30">+E323/H323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+RIGHT(R323,+LEN(R323)-SEARCH("/",R323))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9"/>
        <v>166.56234096692114</v>
      </c>
      <c r="G324" t="s">
        <v>20</v>
      </c>
      <c r="H324">
        <v>5168</v>
      </c>
      <c r="I324" s="9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ref="F325:F388" si="35">(+E325/D325)*100</f>
        <v>24.134831460674157</v>
      </c>
      <c r="G325" t="s">
        <v>14</v>
      </c>
      <c r="H325">
        <v>26</v>
      </c>
      <c r="I325" s="9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5"/>
        <v>164.05633802816902</v>
      </c>
      <c r="G326" t="s">
        <v>20</v>
      </c>
      <c r="H326">
        <v>307</v>
      </c>
      <c r="I326" s="9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5"/>
        <v>90.723076923076931</v>
      </c>
      <c r="G327" t="s">
        <v>14</v>
      </c>
      <c r="H327">
        <v>73</v>
      </c>
      <c r="I327" s="9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5"/>
        <v>46.194444444444443</v>
      </c>
      <c r="G328" t="s">
        <v>14</v>
      </c>
      <c r="H328">
        <v>128</v>
      </c>
      <c r="I328" s="9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9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9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9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9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9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9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9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9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9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9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9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9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9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9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9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9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9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9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9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9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9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9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9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9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9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9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9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9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9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9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9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9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9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9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9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9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9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9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9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9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9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9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9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9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9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9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9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9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9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9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9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9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9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9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9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9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9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9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9">
        <f t="shared" ref="I387:I450" si="36">+E387/H387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+RIGHT(R387,+LEN(R387)-SEARCH("/",R387))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5"/>
        <v>76.42361623616236</v>
      </c>
      <c r="G388" t="s">
        <v>14</v>
      </c>
      <c r="H388">
        <v>1068</v>
      </c>
      <c r="I388" s="9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ref="F389:F452" si="41">(+E389/D389)*100</f>
        <v>39.261467889908261</v>
      </c>
      <c r="G389" t="s">
        <v>14</v>
      </c>
      <c r="H389">
        <v>424</v>
      </c>
      <c r="I389" s="9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41"/>
        <v>11.270034843205574</v>
      </c>
      <c r="G390" t="s">
        <v>74</v>
      </c>
      <c r="H390">
        <v>145</v>
      </c>
      <c r="I390" s="9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41"/>
        <v>122.11084337349398</v>
      </c>
      <c r="G391" t="s">
        <v>20</v>
      </c>
      <c r="H391">
        <v>1152</v>
      </c>
      <c r="I391" s="9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41"/>
        <v>186.54166666666669</v>
      </c>
      <c r="G392" t="s">
        <v>20</v>
      </c>
      <c r="H392">
        <v>50</v>
      </c>
      <c r="I392" s="9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9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9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9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9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9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9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9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9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9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9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9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9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9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9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9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9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9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9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9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9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9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9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9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9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9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9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9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9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9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9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9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9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9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9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9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9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9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9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9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9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9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9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9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9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9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9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9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9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9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9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9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9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9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9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9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9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9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9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9">
        <f t="shared" ref="I451:I514" si="42">+E451/H451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+RIGHT(R451,+LEN(R451)-SEARCH("/",R451))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1"/>
        <v>4</v>
      </c>
      <c r="G452" t="s">
        <v>14</v>
      </c>
      <c r="H452">
        <v>1</v>
      </c>
      <c r="I452" s="9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ref="F453:F516" si="47">(+E453/D453)*100</f>
        <v>122.84501347708894</v>
      </c>
      <c r="G453" t="s">
        <v>20</v>
      </c>
      <c r="H453">
        <v>6286</v>
      </c>
      <c r="I453" s="9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7"/>
        <v>63.4375</v>
      </c>
      <c r="G454" t="s">
        <v>14</v>
      </c>
      <c r="H454">
        <v>31</v>
      </c>
      <c r="I454" s="9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7"/>
        <v>56.331688596491226</v>
      </c>
      <c r="G455" t="s">
        <v>14</v>
      </c>
      <c r="H455">
        <v>1181</v>
      </c>
      <c r="I455" s="9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7"/>
        <v>44.074999999999996</v>
      </c>
      <c r="G456" t="s">
        <v>14</v>
      </c>
      <c r="H456">
        <v>39</v>
      </c>
      <c r="I456" s="9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9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9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9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9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9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9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9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9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9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9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9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9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9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9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9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9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9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9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9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9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9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9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9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9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9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9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9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9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9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9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9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9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9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9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9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9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9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9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9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9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9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9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9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9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9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9" t="e">
        <f t="shared" si="42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9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9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9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9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9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9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9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9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9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9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9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9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9">
        <f t="shared" ref="I515:I578" si="48">+E515/H515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+RIGHT(R515,+LEN(R515)-SEARCH("/",R515))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7"/>
        <v>22.439077144917089</v>
      </c>
      <c r="G516" t="s">
        <v>74</v>
      </c>
      <c r="H516">
        <v>528</v>
      </c>
      <c r="I516" s="9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ref="F517:F580" si="53">(+E517/D517)*100</f>
        <v>55.779069767441861</v>
      </c>
      <c r="G517" t="s">
        <v>14</v>
      </c>
      <c r="H517">
        <v>133</v>
      </c>
      <c r="I517" s="9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53"/>
        <v>42.523125996810208</v>
      </c>
      <c r="G518" t="s">
        <v>14</v>
      </c>
      <c r="H518">
        <v>846</v>
      </c>
      <c r="I518" s="9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53"/>
        <v>112.00000000000001</v>
      </c>
      <c r="G519" t="s">
        <v>20</v>
      </c>
      <c r="H519">
        <v>78</v>
      </c>
      <c r="I519" s="9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53"/>
        <v>7.0681818181818183</v>
      </c>
      <c r="G520" t="s">
        <v>14</v>
      </c>
      <c r="H520">
        <v>10</v>
      </c>
      <c r="I520" s="9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9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9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9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9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9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9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9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9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9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9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9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9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9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9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9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9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9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9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9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9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9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9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9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9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9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9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9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9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9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9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9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9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9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9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9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9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9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9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9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9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9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9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9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9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9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9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9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9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9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9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9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9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9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9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9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9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9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9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9">
        <f t="shared" ref="I579:I642" si="54">+E579/H579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+RIGHT(R579,+LEN(R579)-SEARCH("/",R579))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3"/>
        <v>16.754404145077721</v>
      </c>
      <c r="G580" t="s">
        <v>14</v>
      </c>
      <c r="H580">
        <v>245</v>
      </c>
      <c r="I580" s="9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ref="F581:F644" si="59">(+E581/D581)*100</f>
        <v>101.11290322580646</v>
      </c>
      <c r="G581" t="s">
        <v>20</v>
      </c>
      <c r="H581">
        <v>87</v>
      </c>
      <c r="I581" s="9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9"/>
        <v>341.5022831050228</v>
      </c>
      <c r="G582" t="s">
        <v>20</v>
      </c>
      <c r="H582">
        <v>3116</v>
      </c>
      <c r="I582" s="9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9"/>
        <v>64.016666666666666</v>
      </c>
      <c r="G583" t="s">
        <v>14</v>
      </c>
      <c r="H583">
        <v>71</v>
      </c>
      <c r="I583" s="9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9"/>
        <v>52.080459770114942</v>
      </c>
      <c r="G584" t="s">
        <v>14</v>
      </c>
      <c r="H584">
        <v>42</v>
      </c>
      <c r="I584" s="9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9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9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9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9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9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9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9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9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9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9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9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9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9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9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9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9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9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9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9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9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9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9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9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9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9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9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9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9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9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9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9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9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9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9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9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9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9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9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9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9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9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9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9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9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9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9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9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9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9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9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9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9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9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9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9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9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9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9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9">
        <f t="shared" ref="I643:I706" si="60">+E643/H643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+RIGHT(R643,+LEN(R643)-SEARCH("/",R643))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59"/>
        <v>145.45652173913044</v>
      </c>
      <c r="G644" t="s">
        <v>20</v>
      </c>
      <c r="H644">
        <v>129</v>
      </c>
      <c r="I644" s="9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ref="F645:F708" si="65">(+E645/D645)*100</f>
        <v>221.38255033557047</v>
      </c>
      <c r="G645" t="s">
        <v>20</v>
      </c>
      <c r="H645">
        <v>375</v>
      </c>
      <c r="I645" s="9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5"/>
        <v>48.396694214876035</v>
      </c>
      <c r="G646" t="s">
        <v>14</v>
      </c>
      <c r="H646">
        <v>2928</v>
      </c>
      <c r="I646" s="9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5"/>
        <v>92.911504424778755</v>
      </c>
      <c r="G647" t="s">
        <v>14</v>
      </c>
      <c r="H647">
        <v>4697</v>
      </c>
      <c r="I647" s="9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5"/>
        <v>88.599797365754824</v>
      </c>
      <c r="G648" t="s">
        <v>14</v>
      </c>
      <c r="H648">
        <v>2915</v>
      </c>
      <c r="I648" s="9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9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9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9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9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9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9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9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9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9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9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9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9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9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9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9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9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9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9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9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9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9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9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9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9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9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9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9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9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9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9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9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9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9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9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9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9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9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9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9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9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9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9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9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9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9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9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9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9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9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9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9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9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9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9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9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9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9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9">
        <f t="shared" ref="I707:I770" si="66">+E707/H707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+RIGHT(R707,+LEN(R707)-SEARCH("/",R707))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5"/>
        <v>127.84686346863469</v>
      </c>
      <c r="G708" t="s">
        <v>20</v>
      </c>
      <c r="H708">
        <v>1345</v>
      </c>
      <c r="I708" s="9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ref="F709:F772" si="71">(+E709/D709)*100</f>
        <v>158.61643835616439</v>
      </c>
      <c r="G709" t="s">
        <v>20</v>
      </c>
      <c r="H709">
        <v>168</v>
      </c>
      <c r="I709" s="9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71"/>
        <v>707.05882352941171</v>
      </c>
      <c r="G710" t="s">
        <v>20</v>
      </c>
      <c r="H710">
        <v>137</v>
      </c>
      <c r="I710" s="9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71"/>
        <v>142.38775510204081</v>
      </c>
      <c r="G711" t="s">
        <v>20</v>
      </c>
      <c r="H711">
        <v>186</v>
      </c>
      <c r="I711" s="9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71"/>
        <v>147.86046511627907</v>
      </c>
      <c r="G712" t="s">
        <v>20</v>
      </c>
      <c r="H712">
        <v>125</v>
      </c>
      <c r="I712" s="9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9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9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9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9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9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9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9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9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9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9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9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9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9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9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9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9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9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9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9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9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9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9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9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9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9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9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9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9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9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9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9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9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9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9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9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9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9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9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9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9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9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9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9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9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9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9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9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9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9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9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9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9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9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9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9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9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9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9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9">
        <f t="shared" ref="I771:I834" si="72">+E771/H771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+RIGHT(R771,+LEN(R771)-SEARCH("/",R771))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1"/>
        <v>270.74418604651163</v>
      </c>
      <c r="G772" t="s">
        <v>20</v>
      </c>
      <c r="H772">
        <v>216</v>
      </c>
      <c r="I772" s="9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ref="F773:F836" si="77">(+E773/D773)*100</f>
        <v>49.446428571428569</v>
      </c>
      <c r="G773" t="s">
        <v>74</v>
      </c>
      <c r="H773">
        <v>26</v>
      </c>
      <c r="I773" s="9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7"/>
        <v>113.3596256684492</v>
      </c>
      <c r="G774" t="s">
        <v>20</v>
      </c>
      <c r="H774">
        <v>5139</v>
      </c>
      <c r="I774" s="9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7"/>
        <v>190.55555555555554</v>
      </c>
      <c r="G775" t="s">
        <v>20</v>
      </c>
      <c r="H775">
        <v>2353</v>
      </c>
      <c r="I775" s="9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7"/>
        <v>135.5</v>
      </c>
      <c r="G776" t="s">
        <v>20</v>
      </c>
      <c r="H776">
        <v>78</v>
      </c>
      <c r="I776" s="9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9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9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9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9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9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9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9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9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9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9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9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9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9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9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9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9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9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9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9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9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9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9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9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9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9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9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9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9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9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9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9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9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9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9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9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9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9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9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9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9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9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9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9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9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9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9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9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9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9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9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9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9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9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9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9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9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9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9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9">
        <f t="shared" ref="I835:I898" si="78">+E835/H835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+RIGHT(R835,+LEN(R835)-SEARCH("/",R835))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7"/>
        <v>153.8082191780822</v>
      </c>
      <c r="G836" t="s">
        <v>20</v>
      </c>
      <c r="H836">
        <v>119</v>
      </c>
      <c r="I836" s="9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ref="F837:F900" si="83">(+E837/D837)*100</f>
        <v>89.738979118329468</v>
      </c>
      <c r="G837" t="s">
        <v>14</v>
      </c>
      <c r="H837">
        <v>1758</v>
      </c>
      <c r="I837" s="9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83"/>
        <v>75.135802469135797</v>
      </c>
      <c r="G838" t="s">
        <v>14</v>
      </c>
      <c r="H838">
        <v>94</v>
      </c>
      <c r="I838" s="9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83"/>
        <v>852.88135593220341</v>
      </c>
      <c r="G839" t="s">
        <v>20</v>
      </c>
      <c r="H839">
        <v>1797</v>
      </c>
      <c r="I839" s="9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83"/>
        <v>138.90625</v>
      </c>
      <c r="G840" t="s">
        <v>20</v>
      </c>
      <c r="H840">
        <v>261</v>
      </c>
      <c r="I840" s="9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9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9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9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9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9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9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9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9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9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9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9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9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9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9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9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9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9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9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9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9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9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9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9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9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9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9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9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9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9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9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9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9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9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9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9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9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9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9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9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9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9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9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9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9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9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9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9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9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9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9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9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9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9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9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9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9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9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9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9">
        <f t="shared" ref="I899:I962" si="84">+E899/H899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+RIGHT(R899,+LEN(R899)-SEARCH("/",R899))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3"/>
        <v>52.479620323841424</v>
      </c>
      <c r="G900" t="s">
        <v>14</v>
      </c>
      <c r="H900">
        <v>1221</v>
      </c>
      <c r="I900" s="9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ref="F901:F964" si="89">(+E901/D901)*100</f>
        <v>407.09677419354841</v>
      </c>
      <c r="G901" t="s">
        <v>20</v>
      </c>
      <c r="H901">
        <v>123</v>
      </c>
      <c r="I901" s="9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9"/>
        <v>2</v>
      </c>
      <c r="G902" t="s">
        <v>14</v>
      </c>
      <c r="H902">
        <v>1</v>
      </c>
      <c r="I902" s="9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9"/>
        <v>156.17857142857144</v>
      </c>
      <c r="G903" t="s">
        <v>20</v>
      </c>
      <c r="H903">
        <v>159</v>
      </c>
      <c r="I903" s="9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9"/>
        <v>252.42857142857144</v>
      </c>
      <c r="G904" t="s">
        <v>20</v>
      </c>
      <c r="H904">
        <v>110</v>
      </c>
      <c r="I904" s="9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9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9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9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9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9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9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9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9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9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9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9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9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9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9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9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9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9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9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9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9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9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9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9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9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9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9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9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9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9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9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9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9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9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9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9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9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9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9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9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9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9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9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9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9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9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9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9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9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9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9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9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9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9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9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9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9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9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9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9">
        <f t="shared" ref="I963:I1001" si="90">+E963/H963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+RIGHT(R963,+LEN(R963)-SEARCH("/",R963))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89"/>
        <v>296.02777777777777</v>
      </c>
      <c r="G964" t="s">
        <v>20</v>
      </c>
      <c r="H964">
        <v>266</v>
      </c>
      <c r="I964" s="9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ref="F965:F1001" si="95">(+E965/D965)*100</f>
        <v>84.694915254237287</v>
      </c>
      <c r="G965" t="s">
        <v>14</v>
      </c>
      <c r="H965">
        <v>114</v>
      </c>
      <c r="I965" s="9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5"/>
        <v>355.7837837837838</v>
      </c>
      <c r="G966" t="s">
        <v>20</v>
      </c>
      <c r="H966">
        <v>155</v>
      </c>
      <c r="I966" s="9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5"/>
        <v>386.40909090909093</v>
      </c>
      <c r="G967" t="s">
        <v>20</v>
      </c>
      <c r="H967">
        <v>207</v>
      </c>
      <c r="I967" s="9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5"/>
        <v>792.23529411764707</v>
      </c>
      <c r="G968" t="s">
        <v>20</v>
      </c>
      <c r="H968">
        <v>245</v>
      </c>
      <c r="I968" s="9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9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9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9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9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9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9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9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9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9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9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9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9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9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9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9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9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9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9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9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9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9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9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9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9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9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9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9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9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9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9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9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9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9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ellIs" dxfId="33" priority="12" operator="equal">
      <formula>"canceled"</formula>
    </cfRule>
    <cfRule type="cellIs" dxfId="32" priority="13" operator="equal">
      <formula>"live"</formula>
    </cfRule>
    <cfRule type="cellIs" dxfId="31" priority="14" operator="equal">
      <formula>"successful"</formula>
    </cfRule>
    <cfRule type="cellIs" dxfId="30" priority="15" operator="equal">
      <formula>"failed"</formula>
    </cfRule>
    <cfRule type="expression" dxfId="29" priority="19">
      <formula>+G2=failed</formula>
    </cfRule>
  </conditionalFormatting>
  <conditionalFormatting sqref="G2">
    <cfRule type="cellIs" dxfId="28" priority="16" operator="equal">
      <formula>"successful"</formula>
    </cfRule>
    <cfRule type="cellIs" dxfId="27" priority="18" operator="equal">
      <formula>"failed"</formula>
    </cfRule>
  </conditionalFormatting>
  <conditionalFormatting sqref="G3">
    <cfRule type="cellIs" dxfId="26" priority="17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905D-0FCD-49C6-9CCC-719288363413}">
  <dimension ref="A1:F14"/>
  <sheetViews>
    <sheetView workbookViewId="0">
      <selection activeCell="A2" sqref="A2"/>
    </sheetView>
  </sheetViews>
  <sheetFormatPr defaultRowHeight="15.6" x14ac:dyDescent="0.3"/>
  <cols>
    <col min="1" max="1" width="16.09765625" customWidth="1"/>
    <col min="2" max="5" width="10.296875" bestFit="1" customWidth="1"/>
    <col min="6" max="7" width="10.8984375" bestFit="1" customWidth="1"/>
  </cols>
  <sheetData>
    <row r="1" spans="1:6" x14ac:dyDescent="0.3">
      <c r="A1" s="10" t="s">
        <v>6</v>
      </c>
      <c r="B1" t="s">
        <v>2044</v>
      </c>
    </row>
    <row r="3" spans="1:6" x14ac:dyDescent="0.3">
      <c r="A3" s="10" t="s">
        <v>2043</v>
      </c>
      <c r="B3" s="10" t="s">
        <v>4</v>
      </c>
    </row>
    <row r="4" spans="1:6" x14ac:dyDescent="0.3">
      <c r="A4" s="10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3">
      <c r="A5" t="s">
        <v>2033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t="s">
        <v>2034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t="s">
        <v>2035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t="s">
        <v>2036</v>
      </c>
      <c r="B8" s="11"/>
      <c r="C8" s="11"/>
      <c r="D8" s="11"/>
      <c r="E8" s="11">
        <v>4</v>
      </c>
      <c r="F8" s="11">
        <v>4</v>
      </c>
    </row>
    <row r="9" spans="1:6" x14ac:dyDescent="0.3">
      <c r="A9" t="s">
        <v>2037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t="s">
        <v>2038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t="s">
        <v>2039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t="s">
        <v>2040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t="s">
        <v>2041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t="s">
        <v>2042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2B3E-EC8A-4CB0-9E6B-36DE6D596FDB}">
  <dimension ref="A1:F30"/>
  <sheetViews>
    <sheetView workbookViewId="0">
      <selection activeCell="A3" sqref="A3"/>
    </sheetView>
  </sheetViews>
  <sheetFormatPr defaultRowHeight="15.6" x14ac:dyDescent="0.3"/>
  <cols>
    <col min="1" max="1" width="17.3984375" bestFit="1" customWidth="1"/>
    <col min="2" max="5" width="10.296875" bestFit="1" customWidth="1"/>
    <col min="6" max="6" width="10.8984375" bestFit="1" customWidth="1"/>
    <col min="7" max="7" width="4.8984375" customWidth="1"/>
  </cols>
  <sheetData>
    <row r="1" spans="1:6" x14ac:dyDescent="0.3">
      <c r="A1" s="10" t="s">
        <v>6</v>
      </c>
      <c r="B1" t="s">
        <v>2044</v>
      </c>
    </row>
    <row r="2" spans="1:6" x14ac:dyDescent="0.3">
      <c r="A2" s="10" t="s">
        <v>2030</v>
      </c>
      <c r="B2" t="s">
        <v>2044</v>
      </c>
    </row>
    <row r="4" spans="1:6" x14ac:dyDescent="0.3">
      <c r="A4" s="10" t="s">
        <v>2043</v>
      </c>
      <c r="B4" s="10" t="s">
        <v>4</v>
      </c>
    </row>
    <row r="5" spans="1:6" x14ac:dyDescent="0.3">
      <c r="A5" s="10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3">
      <c r="A6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t="s">
        <v>2056</v>
      </c>
      <c r="B7" s="11"/>
      <c r="C7" s="11"/>
      <c r="D7" s="11"/>
      <c r="E7" s="11">
        <v>4</v>
      </c>
      <c r="F7" s="11">
        <v>4</v>
      </c>
    </row>
    <row r="8" spans="1:6" x14ac:dyDescent="0.3">
      <c r="A8" t="s">
        <v>2048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t="s">
        <v>2049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t="s">
        <v>2057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t="s">
        <v>2064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t="s">
        <v>2058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t="s">
        <v>2059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t="s">
        <v>2060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t="s">
        <v>2054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t="s">
        <v>2065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t="s">
        <v>2063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t="s">
        <v>2070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t="s">
        <v>2066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t="s">
        <v>2061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t="s">
        <v>2050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t="s">
        <v>2052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t="s">
        <v>2067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t="s">
        <v>2055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3">
      <c r="A30" t="s">
        <v>2042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92C-991C-4B46-8754-33AAE21E9497}">
  <dimension ref="A1:E18"/>
  <sheetViews>
    <sheetView workbookViewId="0">
      <pivotSelection pane="bottomRight" click="1" r:id="rId1">
        <pivotArea field="0" type="button" dataOnly="0" labelOnly="1" outline="0" axis="axisPage" fieldPosition="0"/>
      </pivotSelection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9" width="13.8984375" bestFit="1" customWidth="1"/>
    <col min="10" max="11" width="12.796875" bestFit="1" customWidth="1"/>
    <col min="12" max="18" width="13.8984375" bestFit="1" customWidth="1"/>
    <col min="19" max="20" width="12.796875" bestFit="1" customWidth="1"/>
    <col min="21" max="30" width="13.8984375" bestFit="1" customWidth="1"/>
    <col min="31" max="33" width="12.796875" bestFit="1" customWidth="1"/>
    <col min="34" max="42" width="13.8984375" bestFit="1" customWidth="1"/>
    <col min="43" max="45" width="12.796875" bestFit="1" customWidth="1"/>
    <col min="46" max="50" width="13.8984375" bestFit="1" customWidth="1"/>
    <col min="51" max="54" width="12.796875" bestFit="1" customWidth="1"/>
    <col min="55" max="63" width="13.8984375" bestFit="1" customWidth="1"/>
    <col min="64" max="65" width="12.796875" bestFit="1" customWidth="1"/>
    <col min="66" max="74" width="13.8984375" bestFit="1" customWidth="1"/>
    <col min="75" max="82" width="14.8984375" bestFit="1" customWidth="1"/>
    <col min="83" max="84" width="13.8984375" bestFit="1" customWidth="1"/>
    <col min="85" max="88" width="14.8984375" bestFit="1" customWidth="1"/>
    <col min="89" max="90" width="13.8984375" bestFit="1" customWidth="1"/>
    <col min="91" max="95" width="14.8984375" bestFit="1" customWidth="1"/>
    <col min="96" max="100" width="12.796875" bestFit="1" customWidth="1"/>
    <col min="101" max="108" width="13.8984375" bestFit="1" customWidth="1"/>
    <col min="109" max="109" width="12.796875" bestFit="1" customWidth="1"/>
    <col min="110" max="115" width="13.8984375" bestFit="1" customWidth="1"/>
    <col min="116" max="118" width="12.796875" bestFit="1" customWidth="1"/>
    <col min="119" max="121" width="13.8984375" bestFit="1" customWidth="1"/>
    <col min="122" max="125" width="12.796875" bestFit="1" customWidth="1"/>
    <col min="126" max="128" width="13.8984375" bestFit="1" customWidth="1"/>
    <col min="129" max="133" width="12.796875" bestFit="1" customWidth="1"/>
    <col min="134" max="145" width="13.8984375" bestFit="1" customWidth="1"/>
    <col min="146" max="148" width="12.796875" bestFit="1" customWidth="1"/>
    <col min="149" max="152" width="13.8984375" bestFit="1" customWidth="1"/>
    <col min="153" max="154" width="12.796875" bestFit="1" customWidth="1"/>
    <col min="155" max="160" width="13.8984375" bestFit="1" customWidth="1"/>
    <col min="161" max="161" width="12.796875" bestFit="1" customWidth="1"/>
    <col min="162" max="168" width="13.8984375" bestFit="1" customWidth="1"/>
    <col min="169" max="173" width="14.8984375" bestFit="1" customWidth="1"/>
    <col min="174" max="174" width="13.8984375" bestFit="1" customWidth="1"/>
    <col min="175" max="181" width="14.8984375" bestFit="1" customWidth="1"/>
    <col min="182" max="184" width="13.8984375" bestFit="1" customWidth="1"/>
    <col min="185" max="190" width="14.8984375" bestFit="1" customWidth="1"/>
    <col min="191" max="192" width="12.796875" bestFit="1" customWidth="1"/>
    <col min="193" max="196" width="13.8984375" bestFit="1" customWidth="1"/>
    <col min="197" max="198" width="12.796875" bestFit="1" customWidth="1"/>
    <col min="199" max="204" width="13.8984375" bestFit="1" customWidth="1"/>
    <col min="205" max="206" width="12.796875" bestFit="1" customWidth="1"/>
    <col min="207" max="213" width="13.8984375" bestFit="1" customWidth="1"/>
    <col min="214" max="215" width="12.796875" bestFit="1" customWidth="1"/>
    <col min="216" max="220" width="13.8984375" bestFit="1" customWidth="1"/>
    <col min="221" max="225" width="12.796875" bestFit="1" customWidth="1"/>
    <col min="226" max="227" width="13.8984375" bestFit="1" customWidth="1"/>
    <col min="228" max="228" width="12.796875" bestFit="1" customWidth="1"/>
    <col min="229" max="232" width="13.8984375" bestFit="1" customWidth="1"/>
    <col min="233" max="233" width="12.796875" bestFit="1" customWidth="1"/>
    <col min="234" max="237" width="13.8984375" bestFit="1" customWidth="1"/>
    <col min="238" max="238" width="12.796875" bestFit="1" customWidth="1"/>
    <col min="239" max="242" width="13.8984375" bestFit="1" customWidth="1"/>
    <col min="243" max="244" width="12.796875" bestFit="1" customWidth="1"/>
    <col min="245" max="249" width="13.8984375" bestFit="1" customWidth="1"/>
    <col min="250" max="257" width="14.8984375" bestFit="1" customWidth="1"/>
    <col min="258" max="260" width="13.8984375" bestFit="1" customWidth="1"/>
    <col min="261" max="262" width="14.8984375" bestFit="1" customWidth="1"/>
    <col min="263" max="264" width="12.796875" bestFit="1" customWidth="1"/>
    <col min="265" max="265" width="13.8984375" bestFit="1" customWidth="1"/>
    <col min="266" max="268" width="12.796875" bestFit="1" customWidth="1"/>
    <col min="269" max="272" width="13.8984375" bestFit="1" customWidth="1"/>
    <col min="273" max="277" width="12.796875" bestFit="1" customWidth="1"/>
    <col min="278" max="281" width="13.8984375" bestFit="1" customWidth="1"/>
    <col min="282" max="284" width="12.796875" bestFit="1" customWidth="1"/>
    <col min="285" max="285" width="13.8984375" bestFit="1" customWidth="1"/>
    <col min="286" max="287" width="12.796875" bestFit="1" customWidth="1"/>
    <col min="288" max="293" width="13.8984375" bestFit="1" customWidth="1"/>
    <col min="294" max="294" width="12.796875" bestFit="1" customWidth="1"/>
    <col min="295" max="299" width="13.8984375" bestFit="1" customWidth="1"/>
    <col min="300" max="300" width="12.796875" bestFit="1" customWidth="1"/>
    <col min="301" max="308" width="13.8984375" bestFit="1" customWidth="1"/>
    <col min="309" max="311" width="12.796875" bestFit="1" customWidth="1"/>
    <col min="312" max="315" width="13.8984375" bestFit="1" customWidth="1"/>
    <col min="316" max="316" width="12.796875" bestFit="1" customWidth="1"/>
    <col min="317" max="323" width="13.8984375" bestFit="1" customWidth="1"/>
    <col min="324" max="335" width="14.8984375" bestFit="1" customWidth="1"/>
    <col min="336" max="336" width="13.8984375" bestFit="1" customWidth="1"/>
    <col min="337" max="341" width="14.8984375" bestFit="1" customWidth="1"/>
    <col min="342" max="343" width="12.796875" bestFit="1" customWidth="1"/>
    <col min="344" max="361" width="13.8984375" bestFit="1" customWidth="1"/>
    <col min="362" max="363" width="12.796875" bestFit="1" customWidth="1"/>
    <col min="364" max="367" width="13.8984375" bestFit="1" customWidth="1"/>
    <col min="368" max="370" width="12.796875" bestFit="1" customWidth="1"/>
    <col min="371" max="376" width="13.8984375" bestFit="1" customWidth="1"/>
    <col min="377" max="380" width="12.796875" bestFit="1" customWidth="1"/>
    <col min="381" max="385" width="13.8984375" bestFit="1" customWidth="1"/>
    <col min="386" max="388" width="12.796875" bestFit="1" customWidth="1"/>
    <col min="389" max="395" width="13.8984375" bestFit="1" customWidth="1"/>
    <col min="396" max="397" width="12.796875" bestFit="1" customWidth="1"/>
    <col min="398" max="399" width="13.8984375" bestFit="1" customWidth="1"/>
    <col min="400" max="400" width="12.796875" bestFit="1" customWidth="1"/>
    <col min="401" max="411" width="13.8984375" bestFit="1" customWidth="1"/>
    <col min="412" max="415" width="14.8984375" bestFit="1" customWidth="1"/>
    <col min="416" max="418" width="13.8984375" bestFit="1" customWidth="1"/>
    <col min="419" max="422" width="14.8984375" bestFit="1" customWidth="1"/>
    <col min="423" max="423" width="13.8984375" bestFit="1" customWidth="1"/>
    <col min="424" max="431" width="14.8984375" bestFit="1" customWidth="1"/>
    <col min="432" max="434" width="12.796875" bestFit="1" customWidth="1"/>
    <col min="435" max="440" width="13.8984375" bestFit="1" customWidth="1"/>
    <col min="441" max="442" width="12.796875" bestFit="1" customWidth="1"/>
    <col min="443" max="449" width="13.8984375" bestFit="1" customWidth="1"/>
    <col min="450" max="450" width="12.796875" bestFit="1" customWidth="1"/>
    <col min="451" max="451" width="13.8984375" bestFit="1" customWidth="1"/>
    <col min="452" max="452" width="12.796875" bestFit="1" customWidth="1"/>
    <col min="453" max="458" width="13.8984375" bestFit="1" customWidth="1"/>
    <col min="459" max="459" width="12.796875" bestFit="1" customWidth="1"/>
    <col min="460" max="464" width="13.8984375" bestFit="1" customWidth="1"/>
    <col min="465" max="467" width="12.796875" bestFit="1" customWidth="1"/>
    <col min="468" max="474" width="13.8984375" bestFit="1" customWidth="1"/>
    <col min="475" max="478" width="12.796875" bestFit="1" customWidth="1"/>
    <col min="479" max="483" width="13.8984375" bestFit="1" customWidth="1"/>
    <col min="484" max="484" width="12.796875" bestFit="1" customWidth="1"/>
    <col min="485" max="492" width="13.8984375" bestFit="1" customWidth="1"/>
    <col min="493" max="493" width="12.796875" bestFit="1" customWidth="1"/>
    <col min="494" max="503" width="13.8984375" bestFit="1" customWidth="1"/>
    <col min="504" max="507" width="14.8984375" bestFit="1" customWidth="1"/>
    <col min="508" max="508" width="13.8984375" bestFit="1" customWidth="1"/>
    <col min="509" max="514" width="14.8984375" bestFit="1" customWidth="1"/>
    <col min="515" max="516" width="13.8984375" bestFit="1" customWidth="1"/>
    <col min="517" max="520" width="14.8984375" bestFit="1" customWidth="1"/>
    <col min="521" max="525" width="12.796875" bestFit="1" customWidth="1"/>
    <col min="526" max="529" width="13.8984375" bestFit="1" customWidth="1"/>
    <col min="530" max="532" width="12.796875" bestFit="1" customWidth="1"/>
    <col min="533" max="537" width="13.8984375" bestFit="1" customWidth="1"/>
    <col min="538" max="543" width="12.796875" bestFit="1" customWidth="1"/>
    <col min="544" max="549" width="13.8984375" bestFit="1" customWidth="1"/>
    <col min="550" max="551" width="12.796875" bestFit="1" customWidth="1"/>
    <col min="552" max="553" width="13.8984375" bestFit="1" customWidth="1"/>
    <col min="554" max="554" width="12.796875" bestFit="1" customWidth="1"/>
    <col min="555" max="565" width="13.8984375" bestFit="1" customWidth="1"/>
    <col min="566" max="568" width="12.796875" bestFit="1" customWidth="1"/>
    <col min="569" max="573" width="13.8984375" bestFit="1" customWidth="1"/>
    <col min="574" max="578" width="12.796875" bestFit="1" customWidth="1"/>
    <col min="579" max="583" width="13.8984375" bestFit="1" customWidth="1"/>
    <col min="584" max="584" width="12.796875" bestFit="1" customWidth="1"/>
    <col min="585" max="586" width="13.8984375" bestFit="1" customWidth="1"/>
    <col min="587" max="587" width="14.8984375" bestFit="1" customWidth="1"/>
    <col min="588" max="590" width="13.8984375" bestFit="1" customWidth="1"/>
    <col min="591" max="596" width="14.8984375" bestFit="1" customWidth="1"/>
    <col min="597" max="598" width="13.8984375" bestFit="1" customWidth="1"/>
    <col min="599" max="605" width="14.8984375" bestFit="1" customWidth="1"/>
    <col min="606" max="609" width="13.8984375" bestFit="1" customWidth="1"/>
    <col min="610" max="610" width="12.796875" bestFit="1" customWidth="1"/>
    <col min="611" max="618" width="13.8984375" bestFit="1" customWidth="1"/>
    <col min="619" max="621" width="12.796875" bestFit="1" customWidth="1"/>
    <col min="622" max="632" width="13.8984375" bestFit="1" customWidth="1"/>
    <col min="633" max="634" width="12.796875" bestFit="1" customWidth="1"/>
    <col min="635" max="641" width="13.8984375" bestFit="1" customWidth="1"/>
    <col min="642" max="642" width="12.796875" bestFit="1" customWidth="1"/>
    <col min="643" max="649" width="13.8984375" bestFit="1" customWidth="1"/>
    <col min="650" max="650" width="12.796875" bestFit="1" customWidth="1"/>
    <col min="651" max="658" width="13.8984375" bestFit="1" customWidth="1"/>
    <col min="659" max="661" width="12.796875" bestFit="1" customWidth="1"/>
    <col min="662" max="667" width="13.8984375" bestFit="1" customWidth="1"/>
    <col min="668" max="669" width="12.796875" bestFit="1" customWidth="1"/>
    <col min="670" max="677" width="13.8984375" bestFit="1" customWidth="1"/>
    <col min="678" max="681" width="14.8984375" bestFit="1" customWidth="1"/>
    <col min="682" max="684" width="13.8984375" bestFit="1" customWidth="1"/>
    <col min="685" max="691" width="14.8984375" bestFit="1" customWidth="1"/>
    <col min="692" max="692" width="13.8984375" bestFit="1" customWidth="1"/>
    <col min="693" max="698" width="14.8984375" bestFit="1" customWidth="1"/>
    <col min="699" max="701" width="12.796875" bestFit="1" customWidth="1"/>
    <col min="702" max="706" width="13.8984375" bestFit="1" customWidth="1"/>
    <col min="707" max="709" width="12.796875" bestFit="1" customWidth="1"/>
    <col min="710" max="714" width="13.8984375" bestFit="1" customWidth="1"/>
    <col min="715" max="717" width="12.796875" bestFit="1" customWidth="1"/>
    <col min="718" max="721" width="13.8984375" bestFit="1" customWidth="1"/>
    <col min="722" max="725" width="12.796875" bestFit="1" customWidth="1"/>
    <col min="726" max="730" width="13.8984375" bestFit="1" customWidth="1"/>
    <col min="731" max="733" width="12.796875" bestFit="1" customWidth="1"/>
    <col min="734" max="738" width="13.8984375" bestFit="1" customWidth="1"/>
    <col min="739" max="740" width="12.796875" bestFit="1" customWidth="1"/>
    <col min="741" max="745" width="13.8984375" bestFit="1" customWidth="1"/>
    <col min="746" max="746" width="12.796875" bestFit="1" customWidth="1"/>
    <col min="747" max="760" width="13.8984375" bestFit="1" customWidth="1"/>
    <col min="761" max="763" width="12.796875" bestFit="1" customWidth="1"/>
    <col min="764" max="771" width="13.8984375" bestFit="1" customWidth="1"/>
    <col min="772" max="774" width="14.8984375" bestFit="1" customWidth="1"/>
    <col min="775" max="776" width="13.8984375" bestFit="1" customWidth="1"/>
    <col min="777" max="780" width="14.8984375" bestFit="1" customWidth="1"/>
    <col min="781" max="782" width="13.8984375" bestFit="1" customWidth="1"/>
    <col min="783" max="786" width="14.8984375" bestFit="1" customWidth="1"/>
    <col min="787" max="787" width="12.796875" bestFit="1" customWidth="1"/>
    <col min="788" max="798" width="13.8984375" bestFit="1" customWidth="1"/>
    <col min="799" max="800" width="12.796875" bestFit="1" customWidth="1"/>
    <col min="801" max="804" width="13.8984375" bestFit="1" customWidth="1"/>
    <col min="805" max="806" width="12.796875" bestFit="1" customWidth="1"/>
    <col min="807" max="812" width="13.8984375" bestFit="1" customWidth="1"/>
    <col min="813" max="815" width="12.796875" bestFit="1" customWidth="1"/>
    <col min="816" max="823" width="13.8984375" bestFit="1" customWidth="1"/>
    <col min="824" max="826" width="12.796875" bestFit="1" customWidth="1"/>
    <col min="827" max="829" width="13.8984375" bestFit="1" customWidth="1"/>
    <col min="830" max="830" width="12.796875" bestFit="1" customWidth="1"/>
    <col min="831" max="836" width="13.8984375" bestFit="1" customWidth="1"/>
    <col min="837" max="840" width="12.796875" bestFit="1" customWidth="1"/>
    <col min="841" max="844" width="13.8984375" bestFit="1" customWidth="1"/>
    <col min="845" max="846" width="12.796875" bestFit="1" customWidth="1"/>
    <col min="847" max="848" width="13.8984375" bestFit="1" customWidth="1"/>
    <col min="849" max="850" width="12.796875" bestFit="1" customWidth="1"/>
    <col min="851" max="854" width="13.8984375" bestFit="1" customWidth="1"/>
    <col min="855" max="868" width="14.8984375" bestFit="1" customWidth="1"/>
    <col min="869" max="870" width="13.8984375" bestFit="1" customWidth="1"/>
    <col min="871" max="878" width="14.8984375" bestFit="1" customWidth="1"/>
    <col min="879" max="880" width="13.8984375" bestFit="1" customWidth="1"/>
    <col min="881" max="881" width="10.8984375" bestFit="1" customWidth="1"/>
  </cols>
  <sheetData>
    <row r="1" spans="1:5" x14ac:dyDescent="0.3">
      <c r="A1" s="10" t="s">
        <v>2030</v>
      </c>
      <c r="B1" t="s" vm="1">
        <v>2072</v>
      </c>
    </row>
    <row r="2" spans="1:5" x14ac:dyDescent="0.3">
      <c r="A2" s="10" t="s">
        <v>2086</v>
      </c>
      <c r="B2" t="s" vm="2">
        <v>2072</v>
      </c>
    </row>
    <row r="4" spans="1:5" x14ac:dyDescent="0.3">
      <c r="A4" s="10" t="s">
        <v>2043</v>
      </c>
      <c r="B4" s="10" t="s">
        <v>2073</v>
      </c>
    </row>
    <row r="5" spans="1:5" x14ac:dyDescent="0.3">
      <c r="A5" s="10" t="s">
        <v>2071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3">
      <c r="A6" s="14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4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4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4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4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4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4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4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4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4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4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4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4" t="s">
        <v>2042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A0D6-3CDB-4BEC-9FC0-AFB3649D228A}">
  <dimension ref="A1:H13"/>
  <sheetViews>
    <sheetView workbookViewId="0"/>
  </sheetViews>
  <sheetFormatPr defaultRowHeight="15.6" x14ac:dyDescent="0.3"/>
  <cols>
    <col min="1" max="1" width="17.0976562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3">
      <c r="A2" s="16" t="s">
        <v>2105</v>
      </c>
      <c r="B2">
        <f>+COUNTIFS(Crowdfunding!G:G,"successful",Crowdfunding!D:D,"&lt;1000")</f>
        <v>30</v>
      </c>
      <c r="C2">
        <f>+COUNTIFS(Crowdfunding!G:G,"failed",Crowdfunding!D:D,"&lt;1000")</f>
        <v>20</v>
      </c>
      <c r="D2">
        <f>+COUNTIFS(Crowdfunding!G:G,"canceled",Crowdfunding!D:D,"&lt;1000")</f>
        <v>1</v>
      </c>
      <c r="E2">
        <f>SUM(B2:D2)</f>
        <v>51</v>
      </c>
      <c r="F2" s="15">
        <f>+B2/E2</f>
        <v>0.58823529411764708</v>
      </c>
      <c r="G2" s="15">
        <f>+C2/E2</f>
        <v>0.39215686274509803</v>
      </c>
      <c r="H2" s="15">
        <f>+D2/E2</f>
        <v>1.9607843137254902E-2</v>
      </c>
    </row>
    <row r="3" spans="1:8" x14ac:dyDescent="0.3">
      <c r="A3" s="16" t="s">
        <v>2095</v>
      </c>
      <c r="B3">
        <f>+COUNTIFS(Crowdfunding!G:G,"successful",Crowdfunding!D:D,"&gt;=1000",Crowdfunding!D:D,"&lt;=4999")</f>
        <v>191</v>
      </c>
      <c r="C3">
        <f>+COUNTIFS(Crowdfunding!G:G,"failed",Crowdfunding!D:D,"&gt;=1000",Crowdfunding!D:D,"&lt;=4999")</f>
        <v>38</v>
      </c>
      <c r="D3">
        <f>+COUNTIFS(Crowdfunding!G:G,"canceled",Crowdfunding!D:D,"&gt;=1000",Crowdfunding!D:D,"&lt;=4999")</f>
        <v>2</v>
      </c>
      <c r="E3">
        <f t="shared" ref="E3:E13" si="0">SUM(B3:D3)</f>
        <v>231</v>
      </c>
      <c r="F3" s="15">
        <f t="shared" ref="F3:F13" si="1">+B3/E3</f>
        <v>0.82683982683982682</v>
      </c>
      <c r="G3" s="15">
        <f t="shared" ref="G3:G13" si="2">+C3/E3</f>
        <v>0.16450216450216451</v>
      </c>
      <c r="H3" s="15">
        <f t="shared" ref="H3:H13" si="3">+D3/E3</f>
        <v>8.658008658008658E-3</v>
      </c>
    </row>
    <row r="4" spans="1:8" x14ac:dyDescent="0.3">
      <c r="A4" s="16" t="s">
        <v>2096</v>
      </c>
      <c r="B4">
        <f>+COUNTIFS(Crowdfunding!G:G,"successful",Crowdfunding!D:D,"&gt;=5000",Crowdfunding!D:D,"&lt;=9999")</f>
        <v>164</v>
      </c>
      <c r="C4">
        <f>+COUNTIFS(Crowdfunding!G:G,"failed",Crowdfunding!D:D,"&gt;=5000",Crowdfunding!D:D,"&lt;=9999")</f>
        <v>126</v>
      </c>
      <c r="D4">
        <f>+COUNTIFS(Crowdfunding!G:G,"canceled",Crowdfunding!D:D,"&gt;=5000",Crowdfunding!D:D,"&lt;=9999")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">
      <c r="A5" s="16" t="s">
        <v>2097</v>
      </c>
      <c r="B5">
        <f>+COUNTIFS(Crowdfunding!G:G,"successful",Crowdfunding!D:D,"&gt;=10000",Crowdfunding!D:D,"&lt;=14999")</f>
        <v>4</v>
      </c>
      <c r="C5">
        <f>+COUNTIFS(Crowdfunding!G:G,"failed",Crowdfunding!D:D,"&gt;=10000",Crowdfunding!D:D,"&lt;=14999")</f>
        <v>5</v>
      </c>
      <c r="D5">
        <f>+COUNTIFS(Crowdfunding!G:G,"canceled",Crowdfunding!D:D,"&gt;=10000",Crowdfunding!D:D,"&lt;=14999")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">
      <c r="A6" s="16" t="s">
        <v>2098</v>
      </c>
      <c r="B6">
        <f>+COUNTIFS(Crowdfunding!G:G,"successful",Crowdfunding!D:D,"&gt;=15000",Crowdfunding!D:D,"&lt;=19999")</f>
        <v>10</v>
      </c>
      <c r="C6">
        <f>+COUNTIFS(Crowdfunding!G:G,"failed",Crowdfunding!D:D,"&gt;=15000",Crowdfunding!D:D,"&lt;=19999")</f>
        <v>0</v>
      </c>
      <c r="D6">
        <f>+COUNTIFS(Crowdfunding!G:G,"canceled",Crowdfunding!D:D,"&gt;=15000",Crowdfunding!D:D,"&lt;=19999")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s="16" t="s">
        <v>2099</v>
      </c>
      <c r="B7">
        <f>+COUNTIFS(Crowdfunding!G:G,"successful",Crowdfunding!D:D,"&gt;=20000",Crowdfunding!D:D,"&lt;=24999")</f>
        <v>7</v>
      </c>
      <c r="C7">
        <f>+COUNTIFS(Crowdfunding!G:G,"failed",Crowdfunding!D:D,"&gt;=20000",Crowdfunding!D:D,"&lt;=24999")</f>
        <v>0</v>
      </c>
      <c r="D7">
        <f>+COUNTIFS(Crowdfunding!G:G,"canceled",Crowdfunding!D:D,"&gt;=20000",Crowdfunding!D:D,"&lt;=24999")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s="16" t="s">
        <v>2100</v>
      </c>
      <c r="B8">
        <f>+COUNTIFS(Crowdfunding!G:G,"successful",Crowdfunding!D:D,"&gt;=25000",Crowdfunding!D:D,"&lt;=29999")</f>
        <v>11</v>
      </c>
      <c r="C8">
        <f>+COUNTIFS(Crowdfunding!G:G,"failed",Crowdfunding!D:D,"&gt;=25000",Crowdfunding!D:D,"&lt;=29999")</f>
        <v>3</v>
      </c>
      <c r="D8">
        <f>+COUNTIFS(Crowdfunding!G:G,"canceled",Crowdfunding!D:D,"&gt;=25000",Crowdfunding!D:D,"&lt;=29999")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">
      <c r="A9" s="16" t="s">
        <v>2101</v>
      </c>
      <c r="B9">
        <f>+COUNTIFS(Crowdfunding!G:G,"successful",Crowdfunding!D:D,"&gt;=30000",Crowdfunding!D:D,"&lt;=34999")</f>
        <v>7</v>
      </c>
      <c r="C9">
        <f>+COUNTIFS(Crowdfunding!G:G,"failed",Crowdfunding!D:D,"&gt;=30000",Crowdfunding!D:D,"&lt;=34999")</f>
        <v>0</v>
      </c>
      <c r="D9">
        <f>+COUNTIFS(Crowdfunding!G:G,"canceled",Crowdfunding!D:D,"&gt;=30000",Crowdfunding!D:D,"&lt;=34999")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s="16" t="s">
        <v>2102</v>
      </c>
      <c r="B10">
        <f>+COUNTIFS(Crowdfunding!G:G,"successful",Crowdfunding!D:D,"&gt;=35000",Crowdfunding!D:D,"&lt;=39999")</f>
        <v>8</v>
      </c>
      <c r="C10">
        <f>+COUNTIFS(Crowdfunding!G:G,"failed",Crowdfunding!D:D,"&gt;=35000",Crowdfunding!D:D,"&lt;=39999")</f>
        <v>3</v>
      </c>
      <c r="D10">
        <f>+COUNTIFS(Crowdfunding!G:G,"canceled",Crowdfunding!D:D,"&gt;=35000",Crowdfunding!D:D,"&lt;=39999")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">
      <c r="A11" s="16" t="s">
        <v>2103</v>
      </c>
      <c r="B11">
        <f>+COUNTIFS(Crowdfunding!G:G,"successful",Crowdfunding!D:D,"&gt;=40000",Crowdfunding!D:D,"&lt;=44999")</f>
        <v>11</v>
      </c>
      <c r="C11">
        <f>+COUNTIFS(Crowdfunding!G:G,"failed",Crowdfunding!D:D,"&gt;=40000",Crowdfunding!D:D,"&lt;=44999")</f>
        <v>3</v>
      </c>
      <c r="D11">
        <f>+COUNTIFS(Crowdfunding!G:G,"canceled",Crowdfunding!D:D,"&gt;=40000",Crowdfunding!D:D,"&lt;=44999")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">
      <c r="A12" s="16" t="s">
        <v>2104</v>
      </c>
      <c r="B12">
        <f>+COUNTIFS(Crowdfunding!G:G,"successful",Crowdfunding!D:D,"&gt;=45000",Crowdfunding!D:D,"&lt;=49999")</f>
        <v>8</v>
      </c>
      <c r="C12">
        <f>+COUNTIFS(Crowdfunding!G:G,"failed",Crowdfunding!D:D,"&gt;=45000",Crowdfunding!D:D,"&lt;=49999")</f>
        <v>3</v>
      </c>
      <c r="D12">
        <f>+COUNTIFS(Crowdfunding!G:G,"canceled",Crowdfunding!D:D,"&gt;=45000",Crowdfunding!D:D,"&lt;=49999")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">
      <c r="A13" s="16" t="s">
        <v>2106</v>
      </c>
      <c r="B13">
        <f>+COUNTIFS(Crowdfunding!G:G,"successful",Crowdfunding!D:D,"&gt;=50000")</f>
        <v>114</v>
      </c>
      <c r="C13">
        <f>+COUNTIFS(Crowdfunding!G:G,"failed",Crowdfunding!D:D,"&gt;=50000")</f>
        <v>163</v>
      </c>
      <c r="D13">
        <f>+COUNTIFS(Crowdfunding!G:G,"canceled",Crowdfunding!D:D,"&gt;=50000")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C27B-B3C5-411E-BBE3-0900FEC9D82E}">
  <dimension ref="A1:M566"/>
  <sheetViews>
    <sheetView topLeftCell="A13" workbookViewId="0">
      <selection activeCell="G32" sqref="G32"/>
    </sheetView>
  </sheetViews>
  <sheetFormatPr defaultRowHeight="15.6" x14ac:dyDescent="0.3"/>
  <cols>
    <col min="2" max="2" width="13.3984375" bestFit="1" customWidth="1"/>
    <col min="3" max="3" width="13.3984375" customWidth="1"/>
    <col min="5" max="5" width="13.09765625" bestFit="1" customWidth="1"/>
    <col min="12" max="12" width="13.5" bestFit="1" customWidth="1"/>
    <col min="13" max="13" width="17.19921875" bestFit="1" customWidth="1"/>
  </cols>
  <sheetData>
    <row r="1" spans="1:13" x14ac:dyDescent="0.3">
      <c r="A1" t="s">
        <v>4</v>
      </c>
      <c r="B1" t="s">
        <v>5</v>
      </c>
      <c r="D1" t="s">
        <v>4</v>
      </c>
      <c r="E1" t="s">
        <v>5</v>
      </c>
      <c r="G1" t="s">
        <v>2107</v>
      </c>
      <c r="H1" t="s">
        <v>2108</v>
      </c>
      <c r="I1" t="s">
        <v>2109</v>
      </c>
      <c r="J1" t="s">
        <v>2110</v>
      </c>
      <c r="K1" t="s">
        <v>2111</v>
      </c>
      <c r="L1" t="s">
        <v>2112</v>
      </c>
      <c r="M1" t="s">
        <v>2113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t="s">
        <v>2114</v>
      </c>
      <c r="H2">
        <f>+MEDIAN(B2:B566)</f>
        <v>201</v>
      </c>
      <c r="I2">
        <f>+AVERAGE(B2:B566)</f>
        <v>851.14690265486729</v>
      </c>
      <c r="J2">
        <f>+MIN(B2:B566)</f>
        <v>16</v>
      </c>
      <c r="K2">
        <f>+MAX(B2:B566)</f>
        <v>7295</v>
      </c>
      <c r="L2" s="18">
        <f>+_xlfn.VAR.P(B2:B566)</f>
        <v>1603373.7324019109</v>
      </c>
      <c r="M2">
        <f>+_xlfn.STDEV.P(B2:B566)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t="s">
        <v>2115</v>
      </c>
      <c r="H3">
        <f>+MEDIAN(E2:E365)</f>
        <v>114.5</v>
      </c>
      <c r="I3">
        <f>+AVERAGE(E2:E365)</f>
        <v>585.61538461538464</v>
      </c>
      <c r="J3">
        <f>+MIN(E2:E365)</f>
        <v>0</v>
      </c>
      <c r="K3">
        <f>+MAX(E2:E365)</f>
        <v>6080</v>
      </c>
      <c r="L3" s="17">
        <f>+_xlfn.VAR.P(E2:E365)</f>
        <v>921574.68174133555</v>
      </c>
      <c r="M3">
        <f>+_xlfn.STDEV.P(E2:E365)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  <c r="G6" t="s">
        <v>2116</v>
      </c>
    </row>
    <row r="7" spans="1:13" x14ac:dyDescent="0.3">
      <c r="A7" t="s">
        <v>20</v>
      </c>
      <c r="B7">
        <v>98</v>
      </c>
      <c r="D7" t="s">
        <v>14</v>
      </c>
      <c r="E7">
        <v>27</v>
      </c>
      <c r="G7" t="s">
        <v>2117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7" x14ac:dyDescent="0.3">
      <c r="A17" t="s">
        <v>20</v>
      </c>
      <c r="B17">
        <v>129</v>
      </c>
      <c r="D17" t="s">
        <v>14</v>
      </c>
      <c r="E17">
        <v>1</v>
      </c>
    </row>
    <row r="18" spans="1:7" x14ac:dyDescent="0.3">
      <c r="A18" t="s">
        <v>20</v>
      </c>
      <c r="B18">
        <v>226</v>
      </c>
      <c r="D18" t="s">
        <v>14</v>
      </c>
      <c r="E18">
        <v>1467</v>
      </c>
    </row>
    <row r="19" spans="1:7" x14ac:dyDescent="0.3">
      <c r="A19" t="s">
        <v>20</v>
      </c>
      <c r="B19">
        <v>5419</v>
      </c>
      <c r="D19" t="s">
        <v>14</v>
      </c>
      <c r="E19">
        <v>75</v>
      </c>
    </row>
    <row r="20" spans="1:7" x14ac:dyDescent="0.3">
      <c r="A20" t="s">
        <v>20</v>
      </c>
      <c r="B20">
        <v>165</v>
      </c>
      <c r="D20" t="s">
        <v>14</v>
      </c>
      <c r="E20">
        <v>120</v>
      </c>
    </row>
    <row r="21" spans="1:7" x14ac:dyDescent="0.3">
      <c r="A21" t="s">
        <v>20</v>
      </c>
      <c r="B21">
        <v>1965</v>
      </c>
      <c r="D21" t="s">
        <v>14</v>
      </c>
      <c r="E21">
        <v>2253</v>
      </c>
    </row>
    <row r="22" spans="1:7" x14ac:dyDescent="0.3">
      <c r="A22" t="s">
        <v>20</v>
      </c>
      <c r="B22">
        <v>16</v>
      </c>
      <c r="D22" t="s">
        <v>14</v>
      </c>
      <c r="E22">
        <v>5</v>
      </c>
    </row>
    <row r="23" spans="1:7" x14ac:dyDescent="0.3">
      <c r="A23" t="s">
        <v>20</v>
      </c>
      <c r="B23">
        <v>107</v>
      </c>
      <c r="D23" t="s">
        <v>14</v>
      </c>
      <c r="E23">
        <v>38</v>
      </c>
    </row>
    <row r="24" spans="1:7" x14ac:dyDescent="0.3">
      <c r="A24" t="s">
        <v>20</v>
      </c>
      <c r="B24">
        <v>134</v>
      </c>
      <c r="D24" t="s">
        <v>14</v>
      </c>
      <c r="E24">
        <v>12</v>
      </c>
    </row>
    <row r="25" spans="1:7" x14ac:dyDescent="0.3">
      <c r="A25" t="s">
        <v>20</v>
      </c>
      <c r="B25">
        <v>198</v>
      </c>
      <c r="D25" t="s">
        <v>14</v>
      </c>
      <c r="E25">
        <v>1684</v>
      </c>
    </row>
    <row r="26" spans="1:7" x14ac:dyDescent="0.3">
      <c r="A26" t="s">
        <v>20</v>
      </c>
      <c r="B26">
        <v>111</v>
      </c>
      <c r="D26" t="s">
        <v>14</v>
      </c>
      <c r="E26">
        <v>56</v>
      </c>
    </row>
    <row r="27" spans="1:7" x14ac:dyDescent="0.3">
      <c r="A27" t="s">
        <v>20</v>
      </c>
      <c r="B27">
        <v>222</v>
      </c>
      <c r="D27" t="s">
        <v>14</v>
      </c>
      <c r="E27">
        <v>838</v>
      </c>
    </row>
    <row r="28" spans="1:7" x14ac:dyDescent="0.3">
      <c r="A28" t="s">
        <v>20</v>
      </c>
      <c r="B28">
        <v>6212</v>
      </c>
      <c r="D28" t="s">
        <v>14</v>
      </c>
      <c r="E28">
        <v>1000</v>
      </c>
    </row>
    <row r="29" spans="1:7" x14ac:dyDescent="0.3">
      <c r="A29" t="s">
        <v>20</v>
      </c>
      <c r="B29">
        <v>98</v>
      </c>
      <c r="D29" t="s">
        <v>14</v>
      </c>
      <c r="E29">
        <v>1482</v>
      </c>
      <c r="G29" t="s">
        <v>2119</v>
      </c>
    </row>
    <row r="30" spans="1:7" x14ac:dyDescent="0.3">
      <c r="A30" t="s">
        <v>20</v>
      </c>
      <c r="B30">
        <v>92</v>
      </c>
      <c r="D30" t="s">
        <v>14</v>
      </c>
      <c r="E30">
        <v>106</v>
      </c>
      <c r="G30" t="s">
        <v>2118</v>
      </c>
    </row>
    <row r="31" spans="1:7" x14ac:dyDescent="0.3">
      <c r="A31" t="s">
        <v>20</v>
      </c>
      <c r="B31">
        <v>149</v>
      </c>
      <c r="D31" t="s">
        <v>14</v>
      </c>
      <c r="E31">
        <v>679</v>
      </c>
    </row>
    <row r="32" spans="1:7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25" priority="21" operator="equal">
      <formula>"canceled"</formula>
    </cfRule>
    <cfRule type="cellIs" dxfId="24" priority="22" operator="equal">
      <formula>"live"</formula>
    </cfRule>
    <cfRule type="cellIs" dxfId="23" priority="23" operator="equal">
      <formula>"successful"</formula>
    </cfRule>
    <cfRule type="cellIs" dxfId="22" priority="24" operator="equal">
      <formula>"failed"</formula>
    </cfRule>
    <cfRule type="expression" dxfId="21" priority="26">
      <formula>+A3=failed</formula>
    </cfRule>
  </conditionalFormatting>
  <conditionalFormatting sqref="A2">
    <cfRule type="cellIs" dxfId="20" priority="25" operator="equal">
      <formula>"successful"</formula>
    </cfRule>
  </conditionalFormatting>
  <conditionalFormatting sqref="D2:D365">
    <cfRule type="cellIs" dxfId="19" priority="14" operator="equal">
      <formula>"canceled"</formula>
    </cfRule>
    <cfRule type="cellIs" dxfId="18" priority="15" operator="equal">
      <formula>"live"</formula>
    </cfRule>
    <cfRule type="cellIs" dxfId="17" priority="16" operator="equal">
      <formula>"successful"</formula>
    </cfRule>
    <cfRule type="cellIs" dxfId="16" priority="17" operator="equal">
      <formula>"failed"</formula>
    </cfRule>
    <cfRule type="expression" dxfId="15" priority="20">
      <formula>+D3=failed</formula>
    </cfRule>
  </conditionalFormatting>
  <conditionalFormatting sqref="D2">
    <cfRule type="cellIs" dxfId="14" priority="18" operator="equal">
      <formula>"successful"</formula>
    </cfRule>
    <cfRule type="cellIs" dxfId="13" priority="19" operator="equal">
      <formula>"failed"</formula>
    </cfRule>
  </conditionalFormatting>
  <conditionalFormatting sqref="G2">
    <cfRule type="cellIs" dxfId="12" priority="8" operator="equal">
      <formula>"canceled"</formula>
    </cfRule>
    <cfRule type="cellIs" dxfId="11" priority="9" operator="equal">
      <formula>"live"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expression" dxfId="8" priority="13">
      <formula>+G3=failed</formula>
    </cfRule>
  </conditionalFormatting>
  <conditionalFormatting sqref="G2">
    <cfRule type="cellIs" dxfId="7" priority="12" operator="equal">
      <formula>"successful"</formula>
    </cfRule>
  </conditionalFormatting>
  <conditionalFormatting sqref="G3">
    <cfRule type="cellIs" dxfId="6" priority="1" operator="equal">
      <formula>"canceled"</formula>
    </cfRule>
    <cfRule type="cellIs" dxfId="5" priority="2" operator="equal">
      <formula>"live"</formula>
    </cfRule>
    <cfRule type="cellIs" dxfId="4" priority="3" operator="equal">
      <formula>"successful"</formula>
    </cfRule>
    <cfRule type="cellIs" dxfId="3" priority="4" operator="equal">
      <formula>"failed"</formula>
    </cfRule>
    <cfRule type="expression" dxfId="2" priority="7">
      <formula>+G4=failed</formula>
    </cfRule>
  </conditionalFormatting>
  <conditionalFormatting sqref="G3">
    <cfRule type="cellIs" dxfId="1" priority="5" operator="equal">
      <formula>"successful"</formula>
    </cfRule>
    <cfRule type="cellIs" dxfId="0" priority="6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Lee Bradley</cp:lastModifiedBy>
  <dcterms:created xsi:type="dcterms:W3CDTF">2021-09-29T18:52:28Z</dcterms:created>
  <dcterms:modified xsi:type="dcterms:W3CDTF">2022-03-17T02:43:43Z</dcterms:modified>
</cp:coreProperties>
</file>