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l/Documents/models/"/>
    </mc:Choice>
  </mc:AlternateContent>
  <xr:revisionPtr revIDLastSave="0" documentId="13_ncr:1_{0DF667D9-4E7B-A744-833A-0F3B669E4360}" xr6:coauthVersionLast="47" xr6:coauthVersionMax="47" xr10:uidLastSave="{00000000-0000-0000-0000-000000000000}"/>
  <bookViews>
    <workbookView xWindow="0" yWindow="620" windowWidth="50600" windowHeight="26360" xr2:uid="{D7E1BACE-2359-D64B-91EE-3C4F53AFF46B}"/>
  </bookViews>
  <sheets>
    <sheet name="Main" sheetId="3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C18" i="3"/>
  <c r="F3" i="3"/>
  <c r="C4" i="3"/>
  <c r="C6" i="3" s="1"/>
  <c r="C9" i="3" s="1"/>
  <c r="C13" i="3"/>
  <c r="F11" i="3"/>
  <c r="C16" i="3"/>
  <c r="F4" i="3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6" i="3" l="1"/>
  <c r="F8" i="3" s="1"/>
  <c r="K5" i="1"/>
  <c r="O5" i="1"/>
  <c r="F5" i="1"/>
  <c r="L5" i="1"/>
  <c r="M5" i="1"/>
  <c r="N5" i="1"/>
  <c r="D5" i="1"/>
  <c r="E5" i="1"/>
  <c r="G5" i="1"/>
  <c r="H5" i="1"/>
  <c r="D6" i="1" l="1"/>
  <c r="F6" i="1"/>
  <c r="F8" i="1" s="1"/>
  <c r="F9" i="1" s="1"/>
  <c r="M6" i="1"/>
  <c r="M8" i="1" s="1"/>
  <c r="M9" i="1" s="1"/>
  <c r="E6" i="1"/>
  <c r="E8" i="1" s="1"/>
  <c r="E12" i="1" s="1"/>
  <c r="G6" i="1"/>
  <c r="G8" i="1" s="1"/>
  <c r="G9" i="1" s="1"/>
  <c r="K6" i="1"/>
  <c r="K8" i="1" s="1"/>
  <c r="K12" i="1" s="1"/>
  <c r="L6" i="1"/>
  <c r="L8" i="1" s="1"/>
  <c r="L10" i="1" s="1"/>
  <c r="I6" i="1"/>
  <c r="N6" i="1"/>
  <c r="N8" i="1" s="1"/>
  <c r="N10" i="1" s="1"/>
  <c r="H6" i="1"/>
  <c r="H8" i="1" s="1"/>
  <c r="O6" i="1"/>
  <c r="J6" i="1"/>
  <c r="D8" i="1"/>
  <c r="D12" i="1" s="1"/>
  <c r="O8" i="1"/>
  <c r="J5" i="1"/>
  <c r="I5" i="1"/>
  <c r="O12" i="1" l="1"/>
  <c r="I8" i="1"/>
  <c r="I9" i="1" s="1"/>
  <c r="J8" i="1"/>
  <c r="D9" i="1"/>
  <c r="D10" i="1"/>
  <c r="N9" i="1"/>
  <c r="N11" i="1" s="1"/>
  <c r="N12" i="1"/>
  <c r="K10" i="1"/>
  <c r="K9" i="1"/>
  <c r="O9" i="1"/>
  <c r="O10" i="1"/>
  <c r="G12" i="1"/>
  <c r="E10" i="1"/>
  <c r="G10" i="1"/>
  <c r="G11" i="1" s="1"/>
  <c r="L12" i="1"/>
  <c r="M10" i="1"/>
  <c r="M11" i="1" s="1"/>
  <c r="E9" i="1"/>
  <c r="M12" i="1"/>
  <c r="F10" i="1"/>
  <c r="F11" i="1" s="1"/>
  <c r="L9" i="1"/>
  <c r="L11" i="1" s="1"/>
  <c r="F12" i="1"/>
  <c r="H10" i="1"/>
  <c r="H12" i="1"/>
  <c r="H9" i="1"/>
  <c r="D11" i="1" l="1"/>
  <c r="D16" i="1" s="1"/>
  <c r="D18" i="1" s="1"/>
  <c r="L16" i="1"/>
  <c r="G16" i="1"/>
  <c r="G18" i="1" s="1"/>
  <c r="F16" i="1"/>
  <c r="F18" i="1" s="1"/>
  <c r="N16" i="1"/>
  <c r="N17" i="1" s="1"/>
  <c r="N18" i="1" s="1"/>
  <c r="M16" i="1"/>
  <c r="K11" i="1"/>
  <c r="K16" i="1" s="1"/>
  <c r="K17" i="1" s="1"/>
  <c r="K18" i="1" s="1"/>
  <c r="E11" i="1"/>
  <c r="E16" i="1" s="1"/>
  <c r="E18" i="1" s="1"/>
  <c r="O11" i="1"/>
  <c r="O16" i="1" s="1"/>
  <c r="H11" i="1"/>
  <c r="H16" i="1" s="1"/>
  <c r="J10" i="1"/>
  <c r="I10" i="1"/>
  <c r="I11" i="1" s="1"/>
  <c r="J12" i="1"/>
  <c r="J9" i="1"/>
  <c r="I12" i="1"/>
  <c r="I16" i="1" l="1"/>
  <c r="O17" i="1"/>
  <c r="O18" i="1" s="1"/>
  <c r="P18" i="1" s="1"/>
  <c r="Q18" i="1" s="1"/>
  <c r="R18" i="1" s="1"/>
  <c r="S18" i="1" s="1"/>
  <c r="T18" i="1" s="1"/>
  <c r="U18" i="1" s="1"/>
  <c r="V18" i="1" s="1"/>
  <c r="M17" i="1"/>
  <c r="M18" i="1" s="1"/>
  <c r="L17" i="1"/>
  <c r="L18" i="1" s="1"/>
  <c r="J11" i="1"/>
  <c r="J16" i="1" s="1"/>
  <c r="H17" i="1"/>
  <c r="H18" i="1" s="1"/>
  <c r="J17" i="1" l="1"/>
  <c r="J18" i="1" s="1"/>
  <c r="I17" i="1"/>
  <c r="I18" i="1" s="1"/>
  <c r="D24" i="1" l="1"/>
</calcChain>
</file>

<file path=xl/sharedStrings.xml><?xml version="1.0" encoding="utf-8"?>
<sst xmlns="http://schemas.openxmlformats.org/spreadsheetml/2006/main" count="53" uniqueCount="49">
  <si>
    <t>COGS</t>
  </si>
  <si>
    <t>Revenue</t>
  </si>
  <si>
    <t>US births / year</t>
  </si>
  <si>
    <t>US incidence</t>
  </si>
  <si>
    <t>Incidence (IIIB)</t>
  </si>
  <si>
    <t>Mean Survival Years</t>
  </si>
  <si>
    <t>US Eligible pool</t>
  </si>
  <si>
    <t>SG&amp;A</t>
  </si>
  <si>
    <t>Net Income</t>
  </si>
  <si>
    <t>Taxes</t>
  </si>
  <si>
    <t>Gross Profit</t>
  </si>
  <si>
    <t>Royalties</t>
  </si>
  <si>
    <t>Operating Income</t>
  </si>
  <si>
    <t>R&amp;D</t>
  </si>
  <si>
    <t>NPV</t>
  </si>
  <si>
    <t>Discount Rate</t>
  </si>
  <si>
    <t>Net Cash</t>
  </si>
  <si>
    <t>Shares</t>
  </si>
  <si>
    <t>Fair Value</t>
  </si>
  <si>
    <t>Discounts/Rebates</t>
  </si>
  <si>
    <t>ex-US births / year</t>
  </si>
  <si>
    <t>EU births</t>
  </si>
  <si>
    <t>UK</t>
  </si>
  <si>
    <t>Japan</t>
  </si>
  <si>
    <t>Canada</t>
  </si>
  <si>
    <t>Australia</t>
  </si>
  <si>
    <t>Pool multiplier*</t>
  </si>
  <si>
    <t>https://www.verpora.com/knowledge-and-resources/orphan-drug-pricing-us-eu-analysis</t>
  </si>
  <si>
    <t>Net</t>
  </si>
  <si>
    <t>https://investors.sprucebio.com/static-files/4f57c264-d557-4267-917d-415806c89e8b</t>
  </si>
  <si>
    <t>US list price ($/pt/yr)**</t>
  </si>
  <si>
    <t>Biomarin Royalty***</t>
  </si>
  <si>
    <t>ex-US prevalence</t>
  </si>
  <si>
    <t>US prevalence</t>
  </si>
  <si>
    <t>* Lever to model the possibility that the patient pool is larger than expected</t>
  </si>
  <si>
    <t>** Guessing price is near the inflation-adjusted price of Brineura in 2017: https://www.biopharmadive.com/news/biomarins-batten-disease-drug-gets-a-yes-at-a-cost-of-702k/441528/</t>
  </si>
  <si>
    <t>est. incidence rate of 1:200,000 - https://pmc.ncbi.nlm.nih.gov/articles/PMC10503619/#:~:text=estimated%20incidence%20rate</t>
  </si>
  <si>
    <t>exUS uptake</t>
  </si>
  <si>
    <t>US uptake</t>
  </si>
  <si>
    <t>Patients-US</t>
  </si>
  <si>
    <t>Patients-exUS</t>
  </si>
  <si>
    <t>Milestone Payments</t>
  </si>
  <si>
    <t>***Took average royalty…milestones modeled as $25m at regulatory approval and $100m sales-based tranches between 2030–2036 (actual timing tbd, just a guess)</t>
  </si>
  <si>
    <t>exUS list price ($/pt/yr)</t>
  </si>
  <si>
    <t>exUS eligible pool</t>
  </si>
  <si>
    <t>Eligible %</t>
  </si>
  <si>
    <t>% eligible for treatment</t>
  </si>
  <si>
    <t>Model doesn't account Tildacerfont/ Cortibon trial</t>
  </si>
  <si>
    <t>At the end of the IP exclusivity period, model for erosion (-35%, -20%, -20%, -10%+)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</si>
</sst>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00000"/>
    <numFmt numFmtId="166" formatCode="&quot;$&quot;#,##0.0_);[Red]\(&quot;$&quot;#,##0.0\)"/>
    <numFmt numFmtId="167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1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0">
    <xf numFmtId="1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8" fontId="0" fillId="0" borderId="0" xfId="0" applyNumberFormat="1"/>
    <xf numFmtId="1" fontId="0" fillId="0" borderId="1" xfId="0" applyBorder="1"/>
    <xf numFmtId="9" fontId="0" fillId="0" borderId="1" xfId="0" applyNumberFormat="1" applyBorder="1"/>
    <xf numFmtId="1" fontId="0" fillId="2" borderId="1" xfId="0" applyFill="1" applyBorder="1"/>
    <xf numFmtId="44" fontId="0" fillId="0" borderId="1" xfId="0" applyNumberFormat="1" applyBorder="1"/>
    <xf numFmtId="1" fontId="0" fillId="0" borderId="3" xfId="0" applyBorder="1"/>
    <xf numFmtId="165" fontId="0" fillId="0" borderId="1" xfId="0" applyNumberFormat="1" applyBorder="1"/>
    <xf numFmtId="1" fontId="3" fillId="0" borderId="0" xfId="0" applyFont="1"/>
    <xf numFmtId="44" fontId="3" fillId="0" borderId="0" xfId="0" applyNumberFormat="1" applyFont="1"/>
    <xf numFmtId="1" fontId="0" fillId="2" borderId="2" xfId="0" applyFill="1" applyBorder="1"/>
    <xf numFmtId="2" fontId="0" fillId="0" borderId="1" xfId="0" applyNumberFormat="1" applyBorder="1"/>
    <xf numFmtId="1" fontId="2" fillId="0" borderId="0" xfId="2" applyNumberFormat="1"/>
    <xf numFmtId="9" fontId="0" fillId="0" borderId="3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44" fontId="3" fillId="0" borderId="1" xfId="0" applyNumberFormat="1" applyFont="1" applyBorder="1"/>
    <xf numFmtId="1" fontId="3" fillId="0" borderId="1" xfId="0" applyFont="1" applyBorder="1"/>
    <xf numFmtId="4" fontId="0" fillId="0" borderId="1" xfId="0" applyNumberFormat="1" applyBorder="1"/>
    <xf numFmtId="44" fontId="5" fillId="0" borderId="0" xfId="0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8" fontId="0" fillId="0" borderId="1" xfId="3" applyNumberFormat="1" applyFont="1" applyBorder="1"/>
    <xf numFmtId="8" fontId="0" fillId="0" borderId="0" xfId="0" applyNumberFormat="1" applyBorder="1"/>
    <xf numFmtId="2" fontId="0" fillId="0" borderId="0" xfId="0" applyNumberFormat="1" applyBorder="1"/>
    <xf numFmtId="1" fontId="0" fillId="0" borderId="0" xfId="0" applyBorder="1"/>
    <xf numFmtId="9" fontId="0" fillId="0" borderId="0" xfId="0" applyNumberFormat="1" applyBorder="1"/>
  </cellXfs>
  <cellStyles count="4">
    <cellStyle name="Comma" xfId="3" builtinId="3"/>
    <cellStyle name="Currency" xfId="1" builtinId="4"/>
    <cellStyle name="Hyperlink" xfId="2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25</xdr:row>
      <xdr:rowOff>0</xdr:rowOff>
    </xdr:from>
    <xdr:to>
      <xdr:col>15</xdr:col>
      <xdr:colOff>634044</xdr:colOff>
      <xdr:row>41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77681-38CE-D927-5576-9B41057E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5080000"/>
          <a:ext cx="12546644" cy="3352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10</xdr:col>
      <xdr:colOff>533400</xdr:colOff>
      <xdr:row>57</xdr:row>
      <xdr:rowOff>101045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3F3F8-6F05-8742-3766-2282B8E7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9753600"/>
          <a:ext cx="7772400" cy="1929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pora.com/knowledge-and-resources/orphan-drug-pricing-us-eu-analysis" TargetMode="External"/><Relationship Id="rId1" Type="http://schemas.openxmlformats.org/officeDocument/2006/relationships/hyperlink" Target="https://investors.sprucebio.com/static-files/4f57c264-d557-4267-917d-415806c89e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FC5-45B7-804F-BAC7-6E46AF3AFBD9}">
  <dimension ref="B3:I47"/>
  <sheetViews>
    <sheetView tabSelected="1" workbookViewId="0">
      <selection activeCell="C19" sqref="C19"/>
    </sheetView>
  </sheetViews>
  <sheetFormatPr baseColWidth="10" defaultRowHeight="16" x14ac:dyDescent="0.2"/>
  <cols>
    <col min="1" max="1" width="10.7109375" customWidth="1"/>
    <col min="2" max="2" width="30.42578125" customWidth="1"/>
    <col min="3" max="3" width="13.5703125" customWidth="1"/>
    <col min="4" max="4" width="21.7109375" customWidth="1"/>
    <col min="5" max="5" width="18.5703125" customWidth="1"/>
    <col min="6" max="6" width="13.42578125" bestFit="1" customWidth="1"/>
    <col min="8" max="8" width="17.28515625" customWidth="1"/>
  </cols>
  <sheetData>
    <row r="3" spans="2:9" x14ac:dyDescent="0.2">
      <c r="B3" s="5" t="s">
        <v>2</v>
      </c>
      <c r="C3" s="5">
        <v>3600000</v>
      </c>
      <c r="E3" s="5" t="s">
        <v>20</v>
      </c>
      <c r="F3" s="5">
        <f>SUM(I3:I7)</f>
        <v>5660000</v>
      </c>
      <c r="H3" s="5" t="s">
        <v>21</v>
      </c>
      <c r="I3" s="5">
        <v>3670000</v>
      </c>
    </row>
    <row r="4" spans="2:9" x14ac:dyDescent="0.2">
      <c r="B4" s="5" t="s">
        <v>3</v>
      </c>
      <c r="C4" s="10">
        <f>1/200000</f>
        <v>5.0000000000000004E-6</v>
      </c>
      <c r="E4" s="5" t="s">
        <v>4</v>
      </c>
      <c r="F4" s="10">
        <f>1/200000</f>
        <v>5.0000000000000004E-6</v>
      </c>
      <c r="H4" s="5" t="s">
        <v>22</v>
      </c>
      <c r="I4" s="5">
        <v>590000</v>
      </c>
    </row>
    <row r="5" spans="2:9" x14ac:dyDescent="0.2">
      <c r="B5" s="5" t="s">
        <v>5</v>
      </c>
      <c r="C5" s="5">
        <v>18</v>
      </c>
      <c r="E5" s="5" t="s">
        <v>5</v>
      </c>
      <c r="F5" s="5">
        <v>18</v>
      </c>
      <c r="H5" s="5" t="s">
        <v>23</v>
      </c>
      <c r="I5" s="5">
        <v>760000</v>
      </c>
    </row>
    <row r="6" spans="2:9" x14ac:dyDescent="0.2">
      <c r="B6" s="9" t="s">
        <v>33</v>
      </c>
      <c r="C6" s="9">
        <f>C3*C4*C5</f>
        <v>324</v>
      </c>
      <c r="E6" s="9" t="s">
        <v>32</v>
      </c>
      <c r="F6" s="9">
        <f>F3*F4*F5</f>
        <v>509.40000000000003</v>
      </c>
      <c r="H6" s="5" t="s">
        <v>24</v>
      </c>
      <c r="I6" s="5">
        <v>350000</v>
      </c>
    </row>
    <row r="7" spans="2:9" x14ac:dyDescent="0.2">
      <c r="B7" s="9" t="s">
        <v>46</v>
      </c>
      <c r="C7" s="16">
        <v>0.7</v>
      </c>
      <c r="E7" s="9" t="s">
        <v>45</v>
      </c>
      <c r="F7" s="16">
        <v>0.65</v>
      </c>
      <c r="H7" s="5" t="s">
        <v>25</v>
      </c>
      <c r="I7" s="5">
        <v>290000</v>
      </c>
    </row>
    <row r="8" spans="2:9" x14ac:dyDescent="0.2">
      <c r="B8" s="5" t="s">
        <v>26</v>
      </c>
      <c r="C8" s="14">
        <v>1</v>
      </c>
      <c r="E8" s="7" t="s">
        <v>44</v>
      </c>
      <c r="F8" s="7">
        <f>F6*C8*F7</f>
        <v>331.11</v>
      </c>
    </row>
    <row r="9" spans="2:9" x14ac:dyDescent="0.2">
      <c r="B9" s="13" t="s">
        <v>6</v>
      </c>
      <c r="C9" s="13">
        <f>C6*C7*C8</f>
        <v>226.79999999999998</v>
      </c>
    </row>
    <row r="11" spans="2:9" x14ac:dyDescent="0.2">
      <c r="B11" s="5" t="s">
        <v>30</v>
      </c>
      <c r="C11" s="23">
        <v>900000</v>
      </c>
      <c r="E11" s="5" t="s">
        <v>43</v>
      </c>
      <c r="F11" s="23">
        <f>C11/1.6</f>
        <v>562500</v>
      </c>
      <c r="H11" s="15" t="s">
        <v>27</v>
      </c>
    </row>
    <row r="12" spans="2:9" x14ac:dyDescent="0.2">
      <c r="B12" s="5" t="s">
        <v>19</v>
      </c>
      <c r="C12" s="6">
        <v>0.15</v>
      </c>
      <c r="F12" s="3"/>
    </row>
    <row r="13" spans="2:9" x14ac:dyDescent="0.2">
      <c r="B13" s="5" t="s">
        <v>28</v>
      </c>
      <c r="C13" s="24">
        <f>C11*(1-C12)</f>
        <v>765000</v>
      </c>
      <c r="F13" s="2"/>
      <c r="G13" s="15"/>
    </row>
    <row r="15" spans="2:9" x14ac:dyDescent="0.2">
      <c r="B15" s="5" t="s">
        <v>0</v>
      </c>
      <c r="C15" s="6">
        <v>0.17</v>
      </c>
      <c r="E15" t="s">
        <v>36</v>
      </c>
    </row>
    <row r="16" spans="2:9" x14ac:dyDescent="0.2">
      <c r="B16" s="5" t="s">
        <v>31</v>
      </c>
      <c r="C16" s="6">
        <f>((9+13)/2)/100</f>
        <v>0.11</v>
      </c>
    </row>
    <row r="18" spans="2:5" x14ac:dyDescent="0.2">
      <c r="B18" s="5" t="s">
        <v>17</v>
      </c>
      <c r="C18" s="25">
        <f>1298325</f>
        <v>1298325</v>
      </c>
    </row>
    <row r="20" spans="2:5" x14ac:dyDescent="0.2">
      <c r="E20" t="s">
        <v>34</v>
      </c>
    </row>
    <row r="22" spans="2:5" x14ac:dyDescent="0.2">
      <c r="E22" t="s">
        <v>35</v>
      </c>
    </row>
    <row r="24" spans="2:5" x14ac:dyDescent="0.2">
      <c r="E24" t="s">
        <v>42</v>
      </c>
    </row>
    <row r="44" spans="5:5" x14ac:dyDescent="0.2">
      <c r="E44" s="15" t="s">
        <v>29</v>
      </c>
    </row>
    <row r="47" spans="5:5" x14ac:dyDescent="0.2">
      <c r="E47" t="s">
        <v>47</v>
      </c>
    </row>
  </sheetData>
  <hyperlinks>
    <hyperlink ref="E44" r:id="rId1" xr:uid="{18F88C3E-7E7A-BC4C-BBA3-46FB9CD3630B}"/>
    <hyperlink ref="H11" r:id="rId2" xr:uid="{15ADD8F0-7A14-134E-9A51-0C8E005402CD}"/>
  </hyperlinks>
  <pageMargins left="0.7" right="0.7" top="0.75" bottom="0.75" header="0.3" footer="0.3"/>
  <pageSetup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2E3D-7CD6-684C-96B5-393F273B0779}">
  <dimension ref="B2:AS27"/>
  <sheetViews>
    <sheetView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8" sqref="C28"/>
    </sheetView>
  </sheetViews>
  <sheetFormatPr baseColWidth="10" defaultRowHeight="16" x14ac:dyDescent="0.2"/>
  <cols>
    <col min="2" max="2" width="19.7109375" customWidth="1"/>
    <col min="3" max="3" width="18.28515625" customWidth="1"/>
    <col min="4" max="4" width="15.42578125" customWidth="1"/>
    <col min="5" max="6" width="15" customWidth="1"/>
    <col min="7" max="15" width="15.85546875" customWidth="1"/>
  </cols>
  <sheetData>
    <row r="2" spans="2:45" x14ac:dyDescent="0.2">
      <c r="C2">
        <v>2025</v>
      </c>
      <c r="D2">
        <f>C2+1</f>
        <v>2026</v>
      </c>
      <c r="E2">
        <f>D2+1</f>
        <v>2027</v>
      </c>
      <c r="F2">
        <f t="shared" ref="F2:P2" si="0">E2+1</f>
        <v>2028</v>
      </c>
      <c r="G2">
        <f t="shared" si="0"/>
        <v>2029</v>
      </c>
      <c r="H2">
        <f t="shared" si="0"/>
        <v>2030</v>
      </c>
      <c r="I2">
        <f t="shared" si="0"/>
        <v>2031</v>
      </c>
      <c r="J2">
        <f t="shared" si="0"/>
        <v>2032</v>
      </c>
      <c r="K2">
        <f t="shared" si="0"/>
        <v>2033</v>
      </c>
      <c r="L2">
        <f t="shared" si="0"/>
        <v>2034</v>
      </c>
      <c r="M2">
        <f t="shared" si="0"/>
        <v>2035</v>
      </c>
      <c r="N2">
        <f t="shared" si="0"/>
        <v>2036</v>
      </c>
      <c r="O2">
        <f t="shared" si="0"/>
        <v>2037</v>
      </c>
      <c r="P2">
        <f t="shared" si="0"/>
        <v>2038</v>
      </c>
      <c r="Q2">
        <f t="shared" ref="Q2" si="1">P2+1</f>
        <v>2039</v>
      </c>
      <c r="R2">
        <f t="shared" ref="R2" si="2">Q2+1</f>
        <v>2040</v>
      </c>
      <c r="S2">
        <f t="shared" ref="S2" si="3">R2+1</f>
        <v>2041</v>
      </c>
      <c r="T2">
        <f t="shared" ref="T2" si="4">S2+1</f>
        <v>2042</v>
      </c>
      <c r="U2">
        <f t="shared" ref="U2" si="5">T2+1</f>
        <v>2043</v>
      </c>
      <c r="V2">
        <f t="shared" ref="V2" si="6">U2+1</f>
        <v>2044</v>
      </c>
    </row>
    <row r="3" spans="2:45" x14ac:dyDescent="0.2">
      <c r="B3" t="s">
        <v>38</v>
      </c>
      <c r="D3" s="3">
        <v>0.01</v>
      </c>
      <c r="E3" s="3">
        <v>0.3</v>
      </c>
      <c r="F3" s="3">
        <v>0.4</v>
      </c>
      <c r="G3" s="3">
        <v>0.5</v>
      </c>
      <c r="H3" s="3">
        <v>0.6</v>
      </c>
      <c r="I3" s="3">
        <v>0.65</v>
      </c>
      <c r="J3" s="3">
        <v>0.7</v>
      </c>
      <c r="K3" s="3">
        <v>0.75</v>
      </c>
      <c r="L3" s="3">
        <v>0.75</v>
      </c>
      <c r="M3" s="3">
        <v>0.8</v>
      </c>
      <c r="N3" s="3">
        <v>0.8</v>
      </c>
      <c r="O3" s="3">
        <v>0.8</v>
      </c>
    </row>
    <row r="4" spans="2:45" x14ac:dyDescent="0.2">
      <c r="B4" t="s">
        <v>37</v>
      </c>
      <c r="D4" s="3">
        <v>0</v>
      </c>
      <c r="E4" s="3">
        <v>0.1</v>
      </c>
      <c r="F4" s="3">
        <v>0.25</v>
      </c>
      <c r="G4" s="3">
        <v>0.35</v>
      </c>
      <c r="H4" s="3">
        <v>0.45</v>
      </c>
      <c r="I4" s="3">
        <v>0.55000000000000004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</row>
    <row r="5" spans="2:45" x14ac:dyDescent="0.2">
      <c r="B5" t="s">
        <v>39</v>
      </c>
      <c r="D5" s="11">
        <f>ROUNDUP(D3*Main!$C$9,0)</f>
        <v>3</v>
      </c>
      <c r="E5" s="11">
        <f>ROUNDUP(E3*Main!$C$9,0)</f>
        <v>69</v>
      </c>
      <c r="F5" s="11">
        <f>ROUNDUP(F3*Main!$C$9,0)</f>
        <v>91</v>
      </c>
      <c r="G5" s="11">
        <f>ROUNDUP(G3*Main!$C$9,0)</f>
        <v>114</v>
      </c>
      <c r="H5" s="11">
        <f>ROUNDUP(H3*Main!$C$9,0)</f>
        <v>137</v>
      </c>
      <c r="I5" s="11">
        <f>ROUNDUP(I3*Main!$C$9,0)</f>
        <v>148</v>
      </c>
      <c r="J5" s="11">
        <f>ROUNDUP(J3*Main!$C$9,0)</f>
        <v>159</v>
      </c>
      <c r="K5" s="11">
        <f>ROUNDUP(K3*Main!$C$9,0)</f>
        <v>171</v>
      </c>
      <c r="L5" s="11">
        <f>ROUNDUP(L3*Main!$C$9,0)</f>
        <v>171</v>
      </c>
      <c r="M5" s="11">
        <f>ROUNDUP(M3*Main!$C$9,0)</f>
        <v>182</v>
      </c>
      <c r="N5" s="11">
        <f>ROUNDUP(N3*Main!$C$9,0)</f>
        <v>182</v>
      </c>
      <c r="O5" s="11">
        <f>ROUNDUP(O3*Main!$C$9,0)</f>
        <v>182</v>
      </c>
    </row>
    <row r="6" spans="2:45" x14ac:dyDescent="0.2">
      <c r="B6" t="s">
        <v>40</v>
      </c>
      <c r="D6" s="11">
        <f>ROUNDUP(D4*Main!$F$8,0)</f>
        <v>0</v>
      </c>
      <c r="E6" s="11">
        <f>ROUNDUP(E4*Main!$F$8,0)</f>
        <v>34</v>
      </c>
      <c r="F6" s="11">
        <f>ROUNDUP(F4*Main!$F$8,0)</f>
        <v>83</v>
      </c>
      <c r="G6" s="11">
        <f>ROUNDUP(G4*Main!$F$8,0)</f>
        <v>116</v>
      </c>
      <c r="H6" s="11">
        <f>ROUNDUP(H4*Main!$F$8,0)</f>
        <v>149</v>
      </c>
      <c r="I6" s="11">
        <f>ROUNDUP(I4*Main!$F$8,0)</f>
        <v>183</v>
      </c>
      <c r="J6" s="11">
        <f>ROUNDUP(J4*Main!$F$8,0)</f>
        <v>216</v>
      </c>
      <c r="K6" s="11">
        <f>ROUNDUP(K4*Main!$F$8,0)</f>
        <v>216</v>
      </c>
      <c r="L6" s="11">
        <f>ROUNDUP(L4*Main!$F$8,0)</f>
        <v>216</v>
      </c>
      <c r="M6" s="11">
        <f>ROUNDUP(M4*Main!$F$8,0)</f>
        <v>216</v>
      </c>
      <c r="N6" s="11">
        <f>ROUNDUP(N4*Main!$F$8,0)</f>
        <v>216</v>
      </c>
      <c r="O6" s="11">
        <f>ROUNDUP(O4*Main!$F$8,0)</f>
        <v>216</v>
      </c>
    </row>
    <row r="8" spans="2:45" x14ac:dyDescent="0.2">
      <c r="B8" t="s">
        <v>1</v>
      </c>
      <c r="D8" s="1">
        <f>((D5*Main!$C$11)+(D6*Main!$F$11))/1000000</f>
        <v>2.7</v>
      </c>
      <c r="E8" s="1">
        <f>((E5*Main!$C$11)+(E6*Main!$F$11))/1000000</f>
        <v>81.224999999999994</v>
      </c>
      <c r="F8" s="1">
        <f>((F5*Main!$C$11)+(F6*Main!$F$11))/1000000</f>
        <v>128.58750000000001</v>
      </c>
      <c r="G8" s="1">
        <f>((G5*Main!$C$11)+(G6*Main!$F$11))/1000000</f>
        <v>167.85</v>
      </c>
      <c r="H8" s="1">
        <f>((H5*Main!$C$11)+(H6*Main!$F$11))/1000000</f>
        <v>207.11250000000001</v>
      </c>
      <c r="I8" s="1">
        <f>((I5*Main!$C$11)+(I6*Main!$F$11))/1000000</f>
        <v>236.13749999999999</v>
      </c>
      <c r="J8" s="1">
        <f>((J5*Main!$C$11)+(J6*Main!$F$11))/1000000</f>
        <v>264.60000000000002</v>
      </c>
      <c r="K8" s="1">
        <f>((K5*Main!$C$11)+(K6*Main!$F$11))/1000000</f>
        <v>275.39999999999998</v>
      </c>
      <c r="L8" s="1">
        <f>((L5*Main!$C$11)+(L6*Main!$F$11))/1000000</f>
        <v>275.39999999999998</v>
      </c>
      <c r="M8" s="1">
        <f>((M5*Main!$C$11)+(M6*Main!$F$11))/1000000</f>
        <v>285.3</v>
      </c>
      <c r="N8" s="1">
        <f>((N5*Main!$C$11)+(N6*Main!$F$11))/1000000</f>
        <v>285.3</v>
      </c>
      <c r="O8" s="1">
        <f>((O5*Main!$C$11)+(O6*Main!$F$11))/1000000</f>
        <v>285.3</v>
      </c>
      <c r="P8" s="1"/>
      <c r="Q8" s="1"/>
      <c r="R8" s="1"/>
      <c r="S8" s="1"/>
      <c r="T8" s="1"/>
      <c r="U8" s="1"/>
      <c r="V8" s="1"/>
    </row>
    <row r="9" spans="2:45" x14ac:dyDescent="0.2">
      <c r="B9" t="s">
        <v>0</v>
      </c>
      <c r="D9" s="2">
        <f>D8*Main!$C$15</f>
        <v>0.45900000000000007</v>
      </c>
      <c r="E9" s="2">
        <f>E8*Main!$C$15</f>
        <v>13.808249999999999</v>
      </c>
      <c r="F9" s="2">
        <f>F8*Main!$C$15</f>
        <v>21.859875000000002</v>
      </c>
      <c r="G9" s="2">
        <f>G8*Main!$C$15</f>
        <v>28.534500000000001</v>
      </c>
      <c r="H9" s="2">
        <f>H8*Main!$C$15</f>
        <v>35.209125000000007</v>
      </c>
      <c r="I9" s="2">
        <f>I8*Main!$C$15</f>
        <v>40.143374999999999</v>
      </c>
      <c r="J9" s="2">
        <f>J8*Main!$C$15</f>
        <v>44.982000000000006</v>
      </c>
      <c r="K9" s="2">
        <f>K8*Main!$C$15</f>
        <v>46.817999999999998</v>
      </c>
      <c r="L9" s="2">
        <f>L8*Main!$C$15</f>
        <v>46.817999999999998</v>
      </c>
      <c r="M9" s="2">
        <f>M8*Main!$C$15</f>
        <v>48.501000000000005</v>
      </c>
      <c r="N9" s="2">
        <f>N8*Main!$C$15</f>
        <v>48.501000000000005</v>
      </c>
      <c r="O9" s="2">
        <f>O8*Main!$C$15</f>
        <v>48.501000000000005</v>
      </c>
      <c r="P9" s="2"/>
      <c r="Q9" s="2"/>
      <c r="R9" s="2"/>
      <c r="S9" s="2"/>
      <c r="T9" s="2"/>
      <c r="U9" s="2"/>
      <c r="V9" s="2"/>
    </row>
    <row r="10" spans="2:45" x14ac:dyDescent="0.2">
      <c r="B10" t="s">
        <v>11</v>
      </c>
      <c r="D10" s="2">
        <f>D8*Main!$C$16</f>
        <v>0.29700000000000004</v>
      </c>
      <c r="E10" s="2">
        <f>E8*Main!$C$16</f>
        <v>8.9347499999999993</v>
      </c>
      <c r="F10" s="2">
        <f>F8*Main!$C$16</f>
        <v>14.144625000000001</v>
      </c>
      <c r="G10" s="2">
        <f>G8*Main!$C$16</f>
        <v>18.4635</v>
      </c>
      <c r="H10" s="2">
        <f>H8*Main!$C$16</f>
        <v>22.782375000000002</v>
      </c>
      <c r="I10" s="2">
        <f>I8*Main!$C$16</f>
        <v>25.975124999999998</v>
      </c>
      <c r="J10" s="2">
        <f>J8*Main!$C$16</f>
        <v>29.106000000000002</v>
      </c>
      <c r="K10" s="2">
        <f>K8*Main!$C$16</f>
        <v>30.293999999999997</v>
      </c>
      <c r="L10" s="2">
        <f>L8*Main!$C$16</f>
        <v>30.293999999999997</v>
      </c>
      <c r="M10" s="2">
        <f>M8*Main!$C$16</f>
        <v>31.383000000000003</v>
      </c>
      <c r="N10" s="2">
        <f>N8*Main!$C$16</f>
        <v>31.383000000000003</v>
      </c>
      <c r="O10" s="2">
        <f>O8*Main!$C$16</f>
        <v>31.383000000000003</v>
      </c>
      <c r="P10" s="2"/>
      <c r="Q10" s="2"/>
      <c r="R10" s="2"/>
      <c r="S10" s="2"/>
      <c r="T10" s="2"/>
      <c r="U10" s="2"/>
      <c r="V10" s="2"/>
    </row>
    <row r="11" spans="2:45" x14ac:dyDescent="0.2">
      <c r="B11" s="11" t="s">
        <v>10</v>
      </c>
      <c r="C11" s="11"/>
      <c r="D11" s="12">
        <f>D8-D9-D10</f>
        <v>1.944</v>
      </c>
      <c r="E11" s="12">
        <f t="shared" ref="E11:O11" si="7">E8-E9-E10</f>
        <v>58.481999999999992</v>
      </c>
      <c r="F11" s="12">
        <f t="shared" si="7"/>
        <v>92.582999999999998</v>
      </c>
      <c r="G11" s="12">
        <f t="shared" si="7"/>
        <v>120.85199999999999</v>
      </c>
      <c r="H11" s="12">
        <f t="shared" si="7"/>
        <v>149.12100000000001</v>
      </c>
      <c r="I11" s="12">
        <f t="shared" si="7"/>
        <v>170.01900000000001</v>
      </c>
      <c r="J11" s="12">
        <f t="shared" si="7"/>
        <v>190.51200000000003</v>
      </c>
      <c r="K11" s="12">
        <f t="shared" si="7"/>
        <v>198.28800000000001</v>
      </c>
      <c r="L11" s="12">
        <f t="shared" si="7"/>
        <v>198.28800000000001</v>
      </c>
      <c r="M11" s="12">
        <f t="shared" si="7"/>
        <v>205.416</v>
      </c>
      <c r="N11" s="12">
        <f t="shared" si="7"/>
        <v>205.416</v>
      </c>
      <c r="O11" s="12">
        <f t="shared" si="7"/>
        <v>205.416</v>
      </c>
      <c r="P11" s="12"/>
      <c r="Q11" s="12"/>
      <c r="R11" s="12"/>
      <c r="S11" s="12"/>
      <c r="T11" s="12"/>
      <c r="U11" s="12"/>
      <c r="V11" s="12"/>
    </row>
    <row r="12" spans="2:45" x14ac:dyDescent="0.2">
      <c r="B12" t="s">
        <v>19</v>
      </c>
      <c r="D12" s="2">
        <f>D8*Main!$C$12</f>
        <v>0.40500000000000003</v>
      </c>
      <c r="E12" s="2">
        <f>E8*Main!$C$12</f>
        <v>12.183749999999998</v>
      </c>
      <c r="F12" s="2">
        <f>F8*Main!$C$12</f>
        <v>19.288125000000001</v>
      </c>
      <c r="G12" s="2">
        <f>G8*Main!$C$12</f>
        <v>25.177499999999998</v>
      </c>
      <c r="H12" s="2">
        <f>H8*Main!$C$12</f>
        <v>31.066875</v>
      </c>
      <c r="I12" s="2">
        <f>I8*Main!$C$12</f>
        <v>35.420624999999994</v>
      </c>
      <c r="J12" s="2">
        <f>J8*Main!$C$12</f>
        <v>39.690000000000005</v>
      </c>
      <c r="K12" s="2">
        <f>K8*Main!$C$12</f>
        <v>41.309999999999995</v>
      </c>
      <c r="L12" s="2">
        <f>L8*Main!$C$12</f>
        <v>41.309999999999995</v>
      </c>
      <c r="M12" s="2">
        <f>M8*Main!$C$12</f>
        <v>42.795000000000002</v>
      </c>
      <c r="N12" s="2">
        <f>N8*Main!$C$12</f>
        <v>42.795000000000002</v>
      </c>
      <c r="O12" s="2">
        <f>O8*Main!$C$12</f>
        <v>42.795000000000002</v>
      </c>
      <c r="P12" s="2"/>
      <c r="Q12" s="2"/>
      <c r="R12" s="2"/>
      <c r="S12" s="2"/>
      <c r="T12" s="2"/>
      <c r="U12" s="2"/>
      <c r="V12" s="2"/>
    </row>
    <row r="13" spans="2:45" x14ac:dyDescent="0.2">
      <c r="B13" t="s">
        <v>7</v>
      </c>
      <c r="D13" s="1">
        <v>35</v>
      </c>
      <c r="E13" s="1">
        <v>35</v>
      </c>
      <c r="F13" s="1">
        <v>35</v>
      </c>
      <c r="G13" s="1">
        <v>35</v>
      </c>
      <c r="H13" s="1">
        <v>35</v>
      </c>
      <c r="I13" s="1">
        <v>35</v>
      </c>
      <c r="J13" s="1">
        <v>35</v>
      </c>
      <c r="K13" s="1">
        <v>35</v>
      </c>
      <c r="L13" s="1">
        <v>35</v>
      </c>
      <c r="M13" s="1">
        <v>35</v>
      </c>
      <c r="N13" s="1">
        <v>35</v>
      </c>
      <c r="O13" s="1">
        <v>35</v>
      </c>
      <c r="P13" s="1"/>
      <c r="Q13" s="1"/>
      <c r="R13" s="1"/>
      <c r="S13" s="1"/>
      <c r="T13" s="1"/>
      <c r="U13" s="1"/>
      <c r="V13" s="1"/>
    </row>
    <row r="14" spans="2:45" x14ac:dyDescent="0.2">
      <c r="B14" t="s">
        <v>13</v>
      </c>
      <c r="D14" s="1">
        <v>20</v>
      </c>
      <c r="E14" s="1">
        <v>20</v>
      </c>
      <c r="F14" s="1">
        <v>20</v>
      </c>
      <c r="G14" s="1">
        <v>20</v>
      </c>
      <c r="H14" s="1">
        <v>20</v>
      </c>
      <c r="I14" s="1">
        <v>20</v>
      </c>
      <c r="J14" s="1">
        <v>20</v>
      </c>
      <c r="K14" s="1">
        <v>20</v>
      </c>
      <c r="L14" s="1">
        <v>20</v>
      </c>
      <c r="M14" s="1">
        <v>20</v>
      </c>
      <c r="N14" s="1">
        <v>20</v>
      </c>
      <c r="O14" s="1">
        <v>20</v>
      </c>
      <c r="P14" s="1"/>
      <c r="Q14" s="1"/>
      <c r="R14" s="1"/>
      <c r="S14" s="1"/>
      <c r="T14" s="1"/>
      <c r="U14" s="1"/>
      <c r="V14" s="1"/>
    </row>
    <row r="15" spans="2:45" x14ac:dyDescent="0.2">
      <c r="B15" t="s">
        <v>41</v>
      </c>
      <c r="D15" s="1">
        <v>15</v>
      </c>
      <c r="E15" s="1">
        <v>10.5</v>
      </c>
      <c r="F15" s="22">
        <v>0</v>
      </c>
      <c r="G15" s="22">
        <v>0</v>
      </c>
      <c r="H15" s="22">
        <v>20</v>
      </c>
      <c r="I15" s="1">
        <v>0</v>
      </c>
      <c r="J15" s="22">
        <v>20</v>
      </c>
      <c r="K15" s="1">
        <v>0</v>
      </c>
      <c r="L15" s="22">
        <v>20</v>
      </c>
      <c r="M15" s="22">
        <v>20</v>
      </c>
      <c r="N15" s="22">
        <v>20</v>
      </c>
      <c r="O15" s="1">
        <v>0</v>
      </c>
    </row>
    <row r="16" spans="2:45" x14ac:dyDescent="0.2">
      <c r="B16" t="s">
        <v>12</v>
      </c>
      <c r="D16" s="1">
        <f>D11-D12-D13-D14-D15</f>
        <v>-68.460999999999999</v>
      </c>
      <c r="E16" s="1">
        <f t="shared" ref="E16:O16" si="8">E11-E12-E13-E14-E15</f>
        <v>-19.201750000000004</v>
      </c>
      <c r="F16" s="1">
        <f t="shared" si="8"/>
        <v>18.29487499999999</v>
      </c>
      <c r="G16" s="1">
        <f t="shared" si="8"/>
        <v>40.674499999999995</v>
      </c>
      <c r="H16" s="1">
        <f t="shared" si="8"/>
        <v>43.054125000000013</v>
      </c>
      <c r="I16" s="1">
        <f t="shared" si="8"/>
        <v>79.598375000000004</v>
      </c>
      <c r="J16" s="1">
        <f t="shared" si="8"/>
        <v>75.822000000000031</v>
      </c>
      <c r="K16" s="1">
        <f t="shared" si="8"/>
        <v>101.97800000000001</v>
      </c>
      <c r="L16" s="1">
        <f t="shared" si="8"/>
        <v>81.978000000000009</v>
      </c>
      <c r="M16" s="1">
        <f t="shared" si="8"/>
        <v>87.620999999999981</v>
      </c>
      <c r="N16" s="1">
        <f t="shared" si="8"/>
        <v>87.620999999999981</v>
      </c>
      <c r="O16" s="1">
        <f t="shared" si="8"/>
        <v>107.62099999999998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5" x14ac:dyDescent="0.2">
      <c r="B17" t="s">
        <v>9</v>
      </c>
      <c r="D17" s="2">
        <v>0</v>
      </c>
      <c r="E17" s="2">
        <v>0</v>
      </c>
      <c r="F17" s="2">
        <v>0</v>
      </c>
      <c r="G17" s="2">
        <v>0</v>
      </c>
      <c r="H17" s="2">
        <f t="shared" ref="H17:O17" si="9">H16*0.21</f>
        <v>9.0413662500000029</v>
      </c>
      <c r="I17" s="2">
        <f t="shared" si="9"/>
        <v>16.715658749999999</v>
      </c>
      <c r="J17" s="2">
        <f t="shared" si="9"/>
        <v>15.922620000000006</v>
      </c>
      <c r="K17" s="2">
        <f t="shared" si="9"/>
        <v>21.415380000000003</v>
      </c>
      <c r="L17" s="2">
        <f t="shared" si="9"/>
        <v>17.21538</v>
      </c>
      <c r="M17" s="2">
        <f t="shared" si="9"/>
        <v>18.400409999999994</v>
      </c>
      <c r="N17" s="2">
        <f t="shared" si="9"/>
        <v>18.400409999999994</v>
      </c>
      <c r="O17" s="2">
        <f t="shared" si="9"/>
        <v>22.600409999999997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2:45" x14ac:dyDescent="0.2">
      <c r="B18" s="11" t="s">
        <v>8</v>
      </c>
      <c r="C18" s="11"/>
      <c r="D18" s="12">
        <f t="shared" ref="D18:O18" si="10">D16-D17</f>
        <v>-68.460999999999999</v>
      </c>
      <c r="E18" s="12">
        <f t="shared" si="10"/>
        <v>-19.201750000000004</v>
      </c>
      <c r="F18" s="12">
        <f t="shared" si="10"/>
        <v>18.29487499999999</v>
      </c>
      <c r="G18" s="12">
        <f t="shared" si="10"/>
        <v>40.674499999999995</v>
      </c>
      <c r="H18" s="12">
        <f t="shared" si="10"/>
        <v>34.01275875000001</v>
      </c>
      <c r="I18" s="12">
        <f t="shared" si="10"/>
        <v>62.882716250000001</v>
      </c>
      <c r="J18" s="12">
        <f t="shared" si="10"/>
        <v>59.899380000000022</v>
      </c>
      <c r="K18" s="12">
        <f t="shared" si="10"/>
        <v>80.56262000000001</v>
      </c>
      <c r="L18" s="12">
        <f t="shared" si="10"/>
        <v>64.762620000000013</v>
      </c>
      <c r="M18" s="12">
        <f t="shared" si="10"/>
        <v>69.220589999999987</v>
      </c>
      <c r="N18" s="12">
        <f t="shared" si="10"/>
        <v>69.220589999999987</v>
      </c>
      <c r="O18" s="12">
        <f t="shared" si="10"/>
        <v>85.020589999999984</v>
      </c>
      <c r="P18" s="1">
        <f>O18*0.65</f>
        <v>55.263383499999989</v>
      </c>
      <c r="Q18" s="1">
        <f>P18*0.8</f>
        <v>44.210706799999997</v>
      </c>
      <c r="R18" s="1">
        <f>Q18*0.8</f>
        <v>35.368565439999998</v>
      </c>
      <c r="S18" s="1">
        <f>R18*0.9</f>
        <v>31.831708895999999</v>
      </c>
      <c r="T18" s="1">
        <f>S18*0.9</f>
        <v>28.648538006399999</v>
      </c>
      <c r="U18" s="1">
        <f>T18*0.9</f>
        <v>25.78368420576</v>
      </c>
      <c r="V18" s="1">
        <f>U18*0.9</f>
        <v>23.205315785184002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20" spans="2:45" x14ac:dyDescent="0.2">
      <c r="C20" s="5" t="s">
        <v>15</v>
      </c>
      <c r="D20" s="17">
        <v>9.5000000000000001E-2</v>
      </c>
      <c r="P20" t="s">
        <v>48</v>
      </c>
    </row>
    <row r="21" spans="2:45" x14ac:dyDescent="0.2">
      <c r="C21" s="5" t="s">
        <v>16</v>
      </c>
      <c r="D21" s="18">
        <v>66.3</v>
      </c>
    </row>
    <row r="22" spans="2:45" x14ac:dyDescent="0.2">
      <c r="C22" s="5" t="s">
        <v>17</v>
      </c>
      <c r="D22" s="21">
        <f>Main!$C$18/1000000</f>
        <v>1.298325</v>
      </c>
    </row>
    <row r="23" spans="2:45" x14ac:dyDescent="0.2">
      <c r="C23" s="5" t="s">
        <v>14</v>
      </c>
      <c r="D23" s="8">
        <f xml:space="preserve"> NPV($D$20,D18:V18)+$D$21</f>
        <v>330.66099766539497</v>
      </c>
    </row>
    <row r="24" spans="2:45" x14ac:dyDescent="0.2">
      <c r="C24" s="20" t="s">
        <v>18</v>
      </c>
      <c r="D24" s="19">
        <f>D23/D22</f>
        <v>254.68276253279802</v>
      </c>
    </row>
    <row r="25" spans="2:45" x14ac:dyDescent="0.2">
      <c r="C25" s="4"/>
    </row>
    <row r="26" spans="2:45" x14ac:dyDescent="0.2">
      <c r="C26" s="26"/>
      <c r="D26" s="27"/>
    </row>
    <row r="27" spans="2:45" x14ac:dyDescent="0.2">
      <c r="C27" s="28"/>
      <c r="D27" s="2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Corben Leo</dc:creator>
  <cp:lastModifiedBy>Corben Leo</cp:lastModifiedBy>
  <dcterms:created xsi:type="dcterms:W3CDTF">2025-10-08T14:40:29Z</dcterms:created>
  <dcterms:modified xsi:type="dcterms:W3CDTF">2025-10-09T15:09:45Z</dcterms:modified>
</cp:coreProperties>
</file>