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/>
  <mc:AlternateContent xmlns:mc="http://schemas.openxmlformats.org/markup-compatibility/2006">
    <mc:Choice Requires="x15">
      <x15ac:absPath xmlns:x15ac="http://schemas.microsoft.com/office/spreadsheetml/2010/11/ac" url="C:\Users\Jan-Steffen Fischer\Desktop\test_cea\glen_cea\input_data\"/>
    </mc:Choice>
  </mc:AlternateContent>
  <xr:revisionPtr revIDLastSave="0" documentId="13_ncr:1_{9547F6B7-8B59-44CB-A1C0-D41823E19EA0}" xr6:coauthVersionLast="36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V_Database" sheetId="1" r:id="rId1"/>
    <sheet name="Engine" sheetId="2" r:id="rId2"/>
    <sheet name="README - How to enter data" sheetId="3" r:id="rId3"/>
  </sheets>
  <definedNames>
    <definedName name="_xlnm._FilterDatabase" localSheetId="0">LV_Database!$A$1:$BM$4</definedName>
  </definedNames>
  <calcPr calcId="191029"/>
</workbook>
</file>

<file path=xl/calcChain.xml><?xml version="1.0" encoding="utf-8"?>
<calcChain xmlns="http://schemas.openxmlformats.org/spreadsheetml/2006/main">
  <c r="G6" i="1" l="1"/>
  <c r="D11" i="3" l="1"/>
  <c r="D10" i="3"/>
  <c r="R5" i="1" l="1"/>
  <c r="R6" i="1" l="1"/>
  <c r="AN6" i="1"/>
  <c r="AL6" i="1"/>
  <c r="AM6" i="1" s="1"/>
  <c r="Q4" i="1"/>
  <c r="Q5" i="1"/>
  <c r="AN5" i="1" l="1"/>
  <c r="AL5" i="1"/>
  <c r="AM5" i="1" s="1"/>
  <c r="G5" i="1"/>
  <c r="M4" i="1"/>
  <c r="AC3" i="1"/>
  <c r="AA3" i="1"/>
  <c r="AB3" i="1" s="1"/>
  <c r="P3" i="1"/>
  <c r="O3" i="1"/>
  <c r="G3" i="1"/>
  <c r="M5" i="1" l="1"/>
  <c r="M6" i="1" s="1"/>
  <c r="Q6" i="1"/>
  <c r="P6" i="1" l="1"/>
  <c r="O6" i="1"/>
  <c r="O5" i="1"/>
  <c r="P5" i="1"/>
  <c r="P4" i="1"/>
  <c r="AN4" i="1"/>
  <c r="AL4" i="1"/>
  <c r="AM4" i="1" s="1"/>
  <c r="I2" i="1"/>
  <c r="AN2" i="1"/>
  <c r="Z2" i="1"/>
  <c r="Q2" i="1"/>
  <c r="M2" i="1"/>
  <c r="AK2" i="1"/>
  <c r="J2" i="1"/>
  <c r="R2" i="1"/>
  <c r="O4" i="1" l="1"/>
  <c r="G4" i="1" l="1"/>
</calcChain>
</file>

<file path=xl/sharedStrings.xml><?xml version="1.0" encoding="utf-8"?>
<sst xmlns="http://schemas.openxmlformats.org/spreadsheetml/2006/main" count="222" uniqueCount="149">
  <si>
    <t>sheet: LV_Database</t>
  </si>
  <si>
    <t>LV_type</t>
  </si>
  <si>
    <t>Ariane-5ECA</t>
  </si>
  <si>
    <t>Ariane-40 H10</t>
  </si>
  <si>
    <t>This launch vehicle name is referenced at the "simulation_data.xlsx" file for each scenario.</t>
  </si>
  <si>
    <t>stage1_engine</t>
  </si>
  <si>
    <t>P241_SRB</t>
  </si>
  <si>
    <t>The engine name needs to be specified in the following sheet "Engine". It is required for NASA CEA calculations. If it is left empty, the stage will be ignored.</t>
  </si>
  <si>
    <t>stage1_fuel</t>
  </si>
  <si>
    <t>HTPB/Al/AP</t>
  </si>
  <si>
    <t>UH25/N2O4</t>
  </si>
  <si>
    <t xml:space="preserve">If there are more fuel constituents than two the order needs to be the same in the massfractions. Otherwise the oxidizer needs to be named first and fuel second. Delimiter is "/". </t>
  </si>
  <si>
    <t>Fuel name must be valid for Emissions and NASA CEA, as seen below</t>
  </si>
  <si>
    <t>stage1_fuel_temp</t>
  </si>
  <si>
    <t>293/293/293</t>
  </si>
  <si>
    <t>Define the fuel temperatures, separated by "/"</t>
  </si>
  <si>
    <t>stage1_total_propellant</t>
  </si>
  <si>
    <t>Total propellant mass is used together with the burntime to calculate the constant massflow.</t>
  </si>
  <si>
    <t>stage1_propellant_massfractions</t>
  </si>
  <si>
    <t>0.14/0.18/0.68</t>
  </si>
  <si>
    <t>The massfractions or the mass of oxidizer and fuel needs to be specified, depending on the number of fuel constituents in "stage1_fuel".</t>
  </si>
  <si>
    <t>stage1_mass_fuel</t>
  </si>
  <si>
    <t>stage1_mass_ox</t>
  </si>
  <si>
    <t>stage1_dry_mass</t>
  </si>
  <si>
    <t>Dry mass that gets seperated after burnout</t>
  </si>
  <si>
    <t>stage1_burntime</t>
  </si>
  <si>
    <t>The burntime is used together with the total propellant mass to calculate the constant massflow.</t>
  </si>
  <si>
    <t>sheet: Engine</t>
  </si>
  <si>
    <t>Keep the same format.</t>
  </si>
  <si>
    <t>Engine</t>
  </si>
  <si>
    <t>Ae/At</t>
  </si>
  <si>
    <t>p_chamber</t>
  </si>
  <si>
    <t xml:space="preserve">You can include as many engines as you like. </t>
  </si>
  <si>
    <t>Vulcain_2</t>
  </si>
  <si>
    <t>l</t>
  </si>
  <si>
    <t>d</t>
  </si>
  <si>
    <t>l_n</t>
  </si>
  <si>
    <t>d_n</t>
  </si>
  <si>
    <t>d_f</t>
  </si>
  <si>
    <t>A_R</t>
  </si>
  <si>
    <t>Example Fuel Names</t>
  </si>
  <si>
    <t>The fuel names must be the same as in the thermo.lib of NASA CEA</t>
  </si>
  <si>
    <t>RP-1</t>
  </si>
  <si>
    <t>Full list of them at page 75 in this NASA CEA Documentary:</t>
  </si>
  <si>
    <t>O2(L)</t>
  </si>
  <si>
    <t>https://ntrs.nasa.gov/citations/19960044559</t>
  </si>
  <si>
    <t>H2(L)</t>
  </si>
  <si>
    <t>CH4</t>
  </si>
  <si>
    <t>HTPB</t>
  </si>
  <si>
    <t>Al</t>
  </si>
  <si>
    <t>AP</t>
  </si>
  <si>
    <t>engine</t>
  </si>
  <si>
    <t>note</t>
  </si>
  <si>
    <t>Ariane 5 Main Stage</t>
  </si>
  <si>
    <t>Ariane 5 Solid Rocket Booster</t>
  </si>
  <si>
    <t>HM7B</t>
  </si>
  <si>
    <t>Ariane 5 Upper Stage</t>
  </si>
  <si>
    <t>RS-25</t>
  </si>
  <si>
    <t>Space Shuttle Main Engine</t>
  </si>
  <si>
    <t>OMS</t>
  </si>
  <si>
    <t>Space Shuttle Orbital Maneuvering System</t>
  </si>
  <si>
    <t>SRM</t>
  </si>
  <si>
    <t>Space Shuttle Solid Rocket Motor</t>
  </si>
  <si>
    <t>Merlin_1D_vac</t>
  </si>
  <si>
    <t>Falcon 9 Upper Stage</t>
  </si>
  <si>
    <t>Merlin_1D</t>
  </si>
  <si>
    <t>Falcon 9 Core Stage</t>
  </si>
  <si>
    <t>Gen_US</t>
  </si>
  <si>
    <t>Generic Core Stage</t>
  </si>
  <si>
    <t>Gen_OS</t>
  </si>
  <si>
    <t>Generic Upper Stage</t>
  </si>
  <si>
    <t>Gen_US_S</t>
  </si>
  <si>
    <t>Generic Solid Core/Booster Stage</t>
  </si>
  <si>
    <t>booster_engine</t>
  </si>
  <si>
    <t>booster_force_sl</t>
  </si>
  <si>
    <t>booster_force_vac</t>
  </si>
  <si>
    <t>booster_fuel</t>
  </si>
  <si>
    <t>booster_fuel_temp</t>
  </si>
  <si>
    <t>booster_total_propellant</t>
  </si>
  <si>
    <t>booster_propellant_massfractions</t>
  </si>
  <si>
    <t>booster_mass_fuel</t>
  </si>
  <si>
    <t>booster_mass_ox</t>
  </si>
  <si>
    <t>booster_dry_mass</t>
  </si>
  <si>
    <t>booster_burntime</t>
  </si>
  <si>
    <t>start_with_booster</t>
  </si>
  <si>
    <t>stage1_force_sl</t>
  </si>
  <si>
    <t>stage1_force_vac</t>
  </si>
  <si>
    <t>stage2_engine</t>
  </si>
  <si>
    <t>stage2_force_sl</t>
  </si>
  <si>
    <t>stage2_force_vac</t>
  </si>
  <si>
    <t>stage2_fuel</t>
  </si>
  <si>
    <t>stage2_fuel_temp</t>
  </si>
  <si>
    <t>stage2_propellant_massfractions</t>
  </si>
  <si>
    <t>stage2_total_propellant</t>
  </si>
  <si>
    <t>stage2_mass_fuel</t>
  </si>
  <si>
    <t>stage2_mass_ox</t>
  </si>
  <si>
    <t>stage2_dry_mass</t>
  </si>
  <si>
    <t>stage2_burntime</t>
  </si>
  <si>
    <t>stage3_engine</t>
  </si>
  <si>
    <t>stage3_force_sl</t>
  </si>
  <si>
    <t>stage3_force_vac</t>
  </si>
  <si>
    <t>stage3_fuel</t>
  </si>
  <si>
    <t>stage3_fuel_temp</t>
  </si>
  <si>
    <t>stage3_propellant_massfractions</t>
  </si>
  <si>
    <t>stage3_total_propellant</t>
  </si>
  <si>
    <t>stage3_mass_fuel</t>
  </si>
  <si>
    <t>stage3_mass_ox</t>
  </si>
  <si>
    <t>stage3_dry_mass</t>
  </si>
  <si>
    <t>stage3_burntime</t>
  </si>
  <si>
    <t>stage4_engine</t>
  </si>
  <si>
    <t>stage4_force_sl</t>
  </si>
  <si>
    <t>stage4_force_vac</t>
  </si>
  <si>
    <t>stage4_fuel</t>
  </si>
  <si>
    <t>stage4_fuel_temp</t>
  </si>
  <si>
    <t>stage4_propellant_massfractions</t>
  </si>
  <si>
    <t>stage4_total_propellant</t>
  </si>
  <si>
    <t>stage4_mass_fuel</t>
  </si>
  <si>
    <t>stage4_mass_ox</t>
  </si>
  <si>
    <t>stage4_dry_mass</t>
  </si>
  <si>
    <t>stage4_burntime</t>
  </si>
  <si>
    <t>Source</t>
  </si>
  <si>
    <t>launch_mass</t>
  </si>
  <si>
    <t>HTPB/AL(cr)/NH4CLO4(I)</t>
  </si>
  <si>
    <t>298.15/298.15/298.15</t>
  </si>
  <si>
    <t>RP-1/O2(L)</t>
  </si>
  <si>
    <t>298.15/90</t>
  </si>
  <si>
    <t>0.297619048/0.702380952</t>
  </si>
  <si>
    <t>Ariane_5ECA+</t>
  </si>
  <si>
    <t>H2(L)/O2(L)</t>
  </si>
  <si>
    <t>20.27/90.17</t>
  </si>
  <si>
    <t>0.142857143/0.857142857</t>
  </si>
  <si>
    <t>P120_SRB</t>
  </si>
  <si>
    <t>Vulcain_21</t>
  </si>
  <si>
    <t>Vinci</t>
  </si>
  <si>
    <t>Falcon-9_v1.2_(Block5)_Exp</t>
  </si>
  <si>
    <t>Falcon-9_v1.2_(Block5)_Reuse_GTO</t>
  </si>
  <si>
    <t>Falcon-9_v1.2_(Block5)_Reuse_Starlink_CC</t>
  </si>
  <si>
    <t>Falcon-9_v1.2_(Block5)_Reuse_Starlink_VASB</t>
  </si>
  <si>
    <t>Description:</t>
  </si>
  <si>
    <t>Include a boolean if you want the "stage_1" (columns T-AD)  to start together with the engine defined as "booster" (columns H-R)</t>
  </si>
  <si>
    <t>Engine force at sea level</t>
  </si>
  <si>
    <t>Engine force at vacuum</t>
  </si>
  <si>
    <t>Variables to calculate the Aerodynamic Drag Coefficient</t>
  </si>
  <si>
    <t>Length of rocket</t>
  </si>
  <si>
    <t>Main diameter of rocket</t>
  </si>
  <si>
    <t>Length of nose</t>
  </si>
  <si>
    <t>Diameter of nose</t>
  </si>
  <si>
    <t>Diameter of fairing</t>
  </si>
  <si>
    <t>Reference cross sectional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</si>
</sst>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BE5D6"/>
      </patternFill>
    </fill>
    <fill>
      <patternFill patternType="solid">
        <fgColor rgb="FFDEEBF7"/>
      </patternFill>
    </fill>
    <fill>
      <patternFill patternType="solid">
        <fgColor rgb="FFE2F0D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C6C6C6"/>
      </left>
      <right/>
      <top style="thin">
        <color rgb="FFC6C6C6"/>
      </top>
      <bottom style="thin">
        <color rgb="FFC6C6C6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3" fontId="1" fillId="0" borderId="4" xfId="0" applyNumberFormat="1" applyFont="1" applyBorder="1" applyAlignment="1">
      <alignment horizontal="left"/>
    </xf>
    <xf numFmtId="3" fontId="1" fillId="0" borderId="5" xfId="0" applyNumberFormat="1" applyFont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3" fontId="1" fillId="0" borderId="7" xfId="0" applyNumberFormat="1" applyFont="1" applyBorder="1" applyAlignment="1">
      <alignment horizontal="left"/>
    </xf>
    <xf numFmtId="3" fontId="1" fillId="0" borderId="8" xfId="0" applyNumberFormat="1" applyFont="1" applyBorder="1" applyAlignment="1">
      <alignment horizontal="left"/>
    </xf>
    <xf numFmtId="3" fontId="1" fillId="0" borderId="7" xfId="0" applyNumberFormat="1" applyFont="1" applyBorder="1" applyAlignment="1">
      <alignment horizontal="right"/>
    </xf>
    <xf numFmtId="3" fontId="1" fillId="0" borderId="8" xfId="0" applyNumberFormat="1" applyFont="1" applyBorder="1" applyAlignment="1">
      <alignment horizontal="right"/>
    </xf>
    <xf numFmtId="0" fontId="2" fillId="2" borderId="9" xfId="0" applyFont="1" applyFill="1" applyBorder="1" applyAlignment="1">
      <alignment horizontal="left"/>
    </xf>
    <xf numFmtId="4" fontId="1" fillId="0" borderId="10" xfId="0" applyNumberFormat="1" applyFont="1" applyBorder="1" applyAlignment="1">
      <alignment horizontal="right"/>
    </xf>
    <xf numFmtId="3" fontId="1" fillId="0" borderId="11" xfId="0" applyNumberFormat="1" applyFont="1" applyBorder="1" applyAlignment="1">
      <alignment horizontal="right"/>
    </xf>
    <xf numFmtId="0" fontId="2" fillId="0" borderId="12" xfId="0" applyFont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3" fontId="2" fillId="2" borderId="14" xfId="0" applyNumberFormat="1" applyFont="1" applyFill="1" applyBorder="1" applyAlignment="1">
      <alignment horizontal="left"/>
    </xf>
    <xf numFmtId="3" fontId="2" fillId="2" borderId="15" xfId="0" applyNumberFormat="1" applyFont="1" applyFill="1" applyBorder="1" applyAlignment="1">
      <alignment horizontal="left"/>
    </xf>
    <xf numFmtId="0" fontId="1" fillId="0" borderId="4" xfId="0" applyFont="1" applyBorder="1" applyAlignment="1">
      <alignment horizontal="left"/>
    </xf>
    <xf numFmtId="4" fontId="1" fillId="0" borderId="16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0" fontId="1" fillId="0" borderId="10" xfId="0" applyFont="1" applyBorder="1" applyAlignment="1">
      <alignment horizontal="left"/>
    </xf>
    <xf numFmtId="3" fontId="1" fillId="0" borderId="17" xfId="0" applyNumberFormat="1" applyFont="1" applyBorder="1" applyAlignment="1">
      <alignment horizontal="right"/>
    </xf>
    <xf numFmtId="3" fontId="0" fillId="0" borderId="0" xfId="0" applyNumberFormat="1"/>
    <xf numFmtId="0" fontId="2" fillId="2" borderId="15" xfId="0" applyFont="1" applyFill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2" fillId="2" borderId="13" xfId="0" applyNumberFormat="1" applyFont="1" applyFill="1" applyBorder="1" applyAlignment="1">
      <alignment horizontal="left"/>
    </xf>
    <xf numFmtId="4" fontId="2" fillId="2" borderId="18" xfId="0" applyNumberFormat="1" applyFont="1" applyFill="1" applyBorder="1" applyAlignment="1">
      <alignment horizontal="left"/>
    </xf>
    <xf numFmtId="4" fontId="2" fillId="2" borderId="19" xfId="0" applyNumberFormat="1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right"/>
    </xf>
    <xf numFmtId="3" fontId="2" fillId="2" borderId="13" xfId="0" applyNumberFormat="1" applyFont="1" applyFill="1" applyBorder="1" applyAlignment="1">
      <alignment horizontal="center"/>
    </xf>
    <xf numFmtId="3" fontId="2" fillId="2" borderId="14" xfId="0" applyNumberFormat="1" applyFont="1" applyFill="1" applyBorder="1" applyAlignment="1">
      <alignment horizontal="right"/>
    </xf>
    <xf numFmtId="4" fontId="0" fillId="0" borderId="0" xfId="0" applyNumberFormat="1" applyAlignment="1">
      <alignment horizontal="left"/>
    </xf>
    <xf numFmtId="4" fontId="0" fillId="0" borderId="0" xfId="0" applyNumberFormat="1"/>
    <xf numFmtId="3" fontId="3" fillId="0" borderId="1" xfId="0" applyNumberFormat="1" applyFont="1" applyBorder="1" applyAlignment="1">
      <alignment horizontal="right"/>
    </xf>
    <xf numFmtId="0" fontId="1" fillId="0" borderId="20" xfId="0" applyFont="1" applyBorder="1" applyAlignment="1">
      <alignment horizontal="left"/>
    </xf>
    <xf numFmtId="3" fontId="5" fillId="0" borderId="21" xfId="0" applyNumberFormat="1" applyFont="1" applyBorder="1" applyAlignment="1">
      <alignment horizontal="left"/>
    </xf>
    <xf numFmtId="4" fontId="5" fillId="0" borderId="21" xfId="0" applyNumberFormat="1" applyFont="1" applyBorder="1" applyAlignment="1">
      <alignment horizontal="left"/>
    </xf>
    <xf numFmtId="3" fontId="4" fillId="3" borderId="22" xfId="0" applyNumberFormat="1" applyFont="1" applyFill="1" applyBorder="1" applyAlignment="1">
      <alignment horizontal="left"/>
    </xf>
    <xf numFmtId="0" fontId="1" fillId="4" borderId="22" xfId="0" applyFont="1" applyFill="1" applyBorder="1" applyAlignment="1">
      <alignment horizontal="left"/>
    </xf>
    <xf numFmtId="3" fontId="1" fillId="0" borderId="21" xfId="0" applyNumberFormat="1" applyFont="1" applyBorder="1" applyAlignment="1">
      <alignment horizontal="right"/>
    </xf>
    <xf numFmtId="0" fontId="1" fillId="0" borderId="21" xfId="0" applyFont="1" applyBorder="1" applyAlignment="1">
      <alignment horizontal="left"/>
    </xf>
    <xf numFmtId="3" fontId="1" fillId="5" borderId="23" xfId="0" applyNumberFormat="1" applyFont="1" applyFill="1" applyBorder="1" applyAlignment="1">
      <alignment horizontal="center"/>
    </xf>
    <xf numFmtId="0" fontId="1" fillId="3" borderId="23" xfId="0" applyFont="1" applyFill="1" applyBorder="1" applyAlignment="1">
      <alignment horizontal="left"/>
    </xf>
    <xf numFmtId="3" fontId="1" fillId="3" borderId="22" xfId="0" applyNumberFormat="1" applyFont="1" applyFill="1" applyBorder="1" applyAlignment="1">
      <alignment horizontal="left"/>
    </xf>
    <xf numFmtId="3" fontId="1" fillId="0" borderId="21" xfId="0" applyNumberFormat="1" applyFont="1" applyBorder="1" applyAlignment="1">
      <alignment horizontal="left"/>
    </xf>
    <xf numFmtId="3" fontId="0" fillId="0" borderId="0" xfId="0" applyNumberFormat="1" applyAlignment="1">
      <alignment horizontal="left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  <xf numFmtId="0" fontId="2" fillId="6" borderId="6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left"/>
    </xf>
    <xf numFmtId="3" fontId="1" fillId="0" borderId="24" xfId="0" applyNumberFormat="1" applyFont="1" applyBorder="1" applyAlignment="1">
      <alignment horizontal="left"/>
    </xf>
    <xf numFmtId="0" fontId="2" fillId="2" borderId="25" xfId="0" applyFont="1" applyFill="1" applyBorder="1" applyAlignment="1">
      <alignment horizontal="left"/>
    </xf>
    <xf numFmtId="0" fontId="2" fillId="2" borderId="26" xfId="0" applyFont="1" applyFill="1" applyBorder="1" applyAlignment="1">
      <alignment horizontal="left"/>
    </xf>
    <xf numFmtId="0" fontId="2" fillId="2" borderId="27" xfId="0" applyFont="1" applyFill="1" applyBorder="1" applyAlignment="1">
      <alignment horizontal="left"/>
    </xf>
    <xf numFmtId="0" fontId="6" fillId="0" borderId="0" xfId="0" applyFont="1"/>
    <xf numFmtId="0" fontId="7" fillId="0" borderId="0" xfId="1"/>
    <xf numFmtId="3" fontId="3" fillId="0" borderId="1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>
      <alignment horizontal="right"/>
    </xf>
    <xf numFmtId="3" fontId="2" fillId="2" borderId="28" xfId="0" applyNumberFormat="1" applyFont="1" applyFill="1" applyBorder="1" applyAlignment="1">
      <alignment horizontal="left"/>
    </xf>
    <xf numFmtId="3" fontId="0" fillId="0" borderId="1" xfId="0" applyNumberFormat="1" applyBorder="1" applyAlignment="1">
      <alignment horizontal="left"/>
    </xf>
    <xf numFmtId="4" fontId="0" fillId="0" borderId="1" xfId="0" applyNumberFormat="1" applyFill="1" applyBorder="1" applyAlignment="1">
      <alignment horizontal="left"/>
    </xf>
    <xf numFmtId="4" fontId="0" fillId="0" borderId="1" xfId="0" applyNumberFormat="1" applyFill="1" applyBorder="1"/>
    <xf numFmtId="3" fontId="1" fillId="0" borderId="1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3" fontId="0" fillId="0" borderId="1" xfId="0" applyNumberFormat="1" applyFill="1" applyBorder="1" applyAlignment="1">
      <alignment horizontal="right"/>
    </xf>
    <xf numFmtId="0" fontId="0" fillId="0" borderId="1" xfId="0" applyFill="1" applyBorder="1"/>
    <xf numFmtId="4" fontId="1" fillId="0" borderId="1" xfId="0" applyNumberFormat="1" applyFont="1" applyFill="1" applyBorder="1" applyAlignment="1">
      <alignment horizontal="right"/>
    </xf>
  </cellXfs>
  <cellStyles count="2">
    <cellStyle name="Link" xfId="1" builtinId="8"/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ntrs.nasa.gov/citations/199600445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U1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7" sqref="A7"/>
    </sheetView>
  </sheetViews>
  <sheetFormatPr baseColWidth="10" defaultColWidth="8.88671875" defaultRowHeight="14.4" x14ac:dyDescent="0.3"/>
  <cols>
    <col min="1" max="1" width="45.21875" style="1" customWidth="1"/>
    <col min="2" max="2" width="4.5546875" style="51" bestFit="1" customWidth="1"/>
    <col min="3" max="3" width="6" style="37" bestFit="1" customWidth="1"/>
    <col min="4" max="4" width="5.109375" style="37" bestFit="1" customWidth="1"/>
    <col min="5" max="6" width="6" style="37" bestFit="1" customWidth="1"/>
    <col min="7" max="7" width="8.6640625" style="37" bestFit="1" customWidth="1"/>
    <col min="8" max="8" width="19.88671875" bestFit="1" customWidth="1"/>
    <col min="9" max="9" width="19.88671875" style="51" bestFit="1" customWidth="1"/>
    <col min="10" max="10" width="24.33203125" style="51" bestFit="1" customWidth="1"/>
    <col min="11" max="11" width="25.6640625" style="1" bestFit="1" customWidth="1"/>
    <col min="12" max="12" width="23.109375" style="1" bestFit="1" customWidth="1"/>
    <col min="13" max="13" width="10.6640625" style="29" bestFit="1" customWidth="1"/>
    <col min="14" max="14" width="17.33203125" style="1" bestFit="1" customWidth="1"/>
    <col min="15" max="15" width="22.109375" style="29" bestFit="1" customWidth="1"/>
    <col min="16" max="16" width="20.33203125" style="29" bestFit="1" customWidth="1"/>
    <col min="17" max="17" width="21.33203125" style="29" bestFit="1" customWidth="1"/>
    <col min="18" max="18" width="20.33203125" style="29" bestFit="1" customWidth="1"/>
    <col min="19" max="19" width="22.88671875" style="52" bestFit="1" customWidth="1"/>
    <col min="20" max="20" width="18.6640625" bestFit="1" customWidth="1"/>
    <col min="21" max="22" width="18.6640625" style="51" bestFit="1" customWidth="1"/>
    <col min="23" max="24" width="19.33203125" style="1" bestFit="1" customWidth="1"/>
    <col min="25" max="25" width="15.6640625" style="1" bestFit="1" customWidth="1"/>
    <col min="26" max="26" width="18.33203125" style="29" bestFit="1" customWidth="1"/>
    <col min="27" max="27" width="22.109375" style="29" bestFit="1" customWidth="1"/>
    <col min="28" max="28" width="20.33203125" style="29" bestFit="1" customWidth="1"/>
    <col min="29" max="29" width="21.33203125" style="29" bestFit="1" customWidth="1"/>
    <col min="30" max="30" width="20.33203125" style="29" bestFit="1" customWidth="1"/>
    <col min="31" max="31" width="18.88671875" style="1" bestFit="1" customWidth="1"/>
    <col min="32" max="33" width="18.88671875" style="51" bestFit="1" customWidth="1"/>
    <col min="34" max="35" width="19.109375" style="1" bestFit="1" customWidth="1"/>
    <col min="36" max="36" width="15.33203125" bestFit="1" customWidth="1"/>
    <col min="37" max="37" width="15.109375" style="25" bestFit="1" customWidth="1"/>
    <col min="38" max="38" width="17.109375" style="25" bestFit="1" customWidth="1"/>
    <col min="39" max="39" width="16.33203125" style="25" bestFit="1" customWidth="1"/>
    <col min="40" max="40" width="19.109375" style="25" bestFit="1" customWidth="1"/>
    <col min="41" max="41" width="11.44140625" style="25" bestFit="1" customWidth="1"/>
    <col min="42" max="42" width="15" style="1" bestFit="1" customWidth="1"/>
    <col min="43" max="44" width="15" style="51" bestFit="1" customWidth="1"/>
    <col min="45" max="46" width="16.88671875" style="1" bestFit="1" customWidth="1"/>
    <col min="47" max="47" width="15.44140625" style="1" bestFit="1" customWidth="1"/>
    <col min="48" max="48" width="11.44140625" style="29" bestFit="1" customWidth="1"/>
    <col min="49" max="50" width="11.44140625" style="1" bestFit="1" customWidth="1"/>
    <col min="51" max="52" width="11.44140625" style="51" bestFit="1" customWidth="1"/>
    <col min="53" max="53" width="19.109375" style="1" bestFit="1" customWidth="1"/>
    <col min="54" max="55" width="19.109375" style="51" bestFit="1" customWidth="1"/>
    <col min="56" max="57" width="15.109375" style="1" bestFit="1" customWidth="1"/>
    <col min="58" max="58" width="14.6640625" style="53" bestFit="1" customWidth="1"/>
    <col min="59" max="59" width="13.5546875" style="29" bestFit="1" customWidth="1"/>
    <col min="60" max="61" width="13.5546875" style="53" bestFit="1" customWidth="1"/>
    <col min="62" max="63" width="13.5546875" style="29" bestFit="1" customWidth="1"/>
    <col min="64" max="64" width="13.5546875" style="1" bestFit="1" customWidth="1"/>
    <col min="65" max="65" width="13.5546875" style="51" bestFit="1" customWidth="1"/>
    <col min="66" max="66" width="13.5546875" style="37" bestFit="1" customWidth="1"/>
    <col min="67" max="67" width="13.5546875" style="38" bestFit="1" customWidth="1"/>
    <col min="68" max="70" width="13.5546875" style="29" bestFit="1" customWidth="1"/>
    <col min="71" max="71" width="13.5546875" bestFit="1" customWidth="1"/>
    <col min="72" max="72" width="13.5546875" style="29" bestFit="1" customWidth="1"/>
  </cols>
  <sheetData>
    <row r="1" spans="1:73" ht="20.25" customHeight="1" thickBot="1" x14ac:dyDescent="0.35">
      <c r="A1" s="17" t="s">
        <v>1</v>
      </c>
      <c r="B1" s="30" t="s">
        <v>34</v>
      </c>
      <c r="C1" s="31" t="s">
        <v>35</v>
      </c>
      <c r="D1" s="31" t="s">
        <v>36</v>
      </c>
      <c r="E1" s="31" t="s">
        <v>37</v>
      </c>
      <c r="F1" s="31" t="s">
        <v>38</v>
      </c>
      <c r="G1" s="32" t="s">
        <v>39</v>
      </c>
      <c r="H1" s="33" t="s">
        <v>73</v>
      </c>
      <c r="I1" s="18" t="s">
        <v>74</v>
      </c>
      <c r="J1" s="18" t="s">
        <v>75</v>
      </c>
      <c r="K1" s="33" t="s">
        <v>76</v>
      </c>
      <c r="L1" s="33" t="s">
        <v>77</v>
      </c>
      <c r="M1" s="18" t="s">
        <v>78</v>
      </c>
      <c r="N1" s="34" t="s">
        <v>79</v>
      </c>
      <c r="O1" s="18" t="s">
        <v>80</v>
      </c>
      <c r="P1" s="18" t="s">
        <v>81</v>
      </c>
      <c r="Q1" s="18" t="s">
        <v>82</v>
      </c>
      <c r="R1" s="18" t="s">
        <v>83</v>
      </c>
      <c r="S1" s="35" t="s">
        <v>84</v>
      </c>
      <c r="T1" s="33" t="s">
        <v>5</v>
      </c>
      <c r="U1" s="18" t="s">
        <v>85</v>
      </c>
      <c r="V1" s="18" t="s">
        <v>86</v>
      </c>
      <c r="W1" s="33" t="s">
        <v>8</v>
      </c>
      <c r="X1" s="33" t="s">
        <v>13</v>
      </c>
      <c r="Y1" s="33" t="s">
        <v>18</v>
      </c>
      <c r="Z1" s="36" t="s">
        <v>16</v>
      </c>
      <c r="AA1" s="18" t="s">
        <v>21</v>
      </c>
      <c r="AB1" s="18" t="s">
        <v>22</v>
      </c>
      <c r="AC1" s="18" t="s">
        <v>23</v>
      </c>
      <c r="AD1" s="18" t="s">
        <v>25</v>
      </c>
      <c r="AE1" s="17" t="s">
        <v>87</v>
      </c>
      <c r="AF1" s="18" t="s">
        <v>88</v>
      </c>
      <c r="AG1" s="18" t="s">
        <v>89</v>
      </c>
      <c r="AH1" s="33" t="s">
        <v>90</v>
      </c>
      <c r="AI1" s="33" t="s">
        <v>91</v>
      </c>
      <c r="AJ1" s="34" t="s">
        <v>92</v>
      </c>
      <c r="AK1" s="18" t="s">
        <v>93</v>
      </c>
      <c r="AL1" s="18" t="s">
        <v>94</v>
      </c>
      <c r="AM1" s="18" t="s">
        <v>95</v>
      </c>
      <c r="AN1" s="18" t="s">
        <v>96</v>
      </c>
      <c r="AO1" s="18" t="s">
        <v>97</v>
      </c>
      <c r="AP1" s="17" t="s">
        <v>98</v>
      </c>
      <c r="AQ1" s="18" t="s">
        <v>99</v>
      </c>
      <c r="AR1" s="18" t="s">
        <v>100</v>
      </c>
      <c r="AS1" s="33" t="s">
        <v>101</v>
      </c>
      <c r="AT1" s="33" t="s">
        <v>102</v>
      </c>
      <c r="AU1" s="33" t="s">
        <v>103</v>
      </c>
      <c r="AV1" s="18" t="s">
        <v>104</v>
      </c>
      <c r="AW1" s="33" t="s">
        <v>105</v>
      </c>
      <c r="AX1" s="33" t="s">
        <v>106</v>
      </c>
      <c r="AY1" s="18" t="s">
        <v>107</v>
      </c>
      <c r="AZ1" s="18" t="s">
        <v>108</v>
      </c>
      <c r="BA1" s="17" t="s">
        <v>109</v>
      </c>
      <c r="BB1" s="18" t="s">
        <v>110</v>
      </c>
      <c r="BC1" s="18" t="s">
        <v>111</v>
      </c>
      <c r="BD1" s="33" t="s">
        <v>112</v>
      </c>
      <c r="BE1" s="33" t="s">
        <v>113</v>
      </c>
      <c r="BF1" s="33" t="s">
        <v>114</v>
      </c>
      <c r="BG1" s="18" t="s">
        <v>115</v>
      </c>
      <c r="BH1" s="33" t="s">
        <v>116</v>
      </c>
      <c r="BI1" s="33" t="s">
        <v>117</v>
      </c>
      <c r="BJ1" s="18" t="s">
        <v>118</v>
      </c>
      <c r="BK1" s="18" t="s">
        <v>119</v>
      </c>
      <c r="BL1" s="26" t="s">
        <v>120</v>
      </c>
      <c r="BM1" s="66" t="s">
        <v>121</v>
      </c>
      <c r="BN1" s="68"/>
      <c r="BO1" s="69"/>
      <c r="BP1" s="64"/>
      <c r="BQ1" s="64"/>
      <c r="BR1" s="70"/>
      <c r="BS1" s="71"/>
      <c r="BT1" s="72"/>
      <c r="BU1" s="73"/>
    </row>
    <row r="2" spans="1:73" ht="20.25" customHeight="1" thickBot="1" x14ac:dyDescent="0.35">
      <c r="A2" s="40" t="s">
        <v>127</v>
      </c>
      <c r="B2" s="41">
        <v>59</v>
      </c>
      <c r="C2" s="42">
        <v>5.4</v>
      </c>
      <c r="D2" s="42">
        <v>7</v>
      </c>
      <c r="E2" s="42">
        <v>1</v>
      </c>
      <c r="F2" s="42">
        <v>5.4</v>
      </c>
      <c r="G2" s="42">
        <v>37.51</v>
      </c>
      <c r="H2" s="48" t="s">
        <v>6</v>
      </c>
      <c r="I2" s="43">
        <f>2*5060000</f>
        <v>10120000</v>
      </c>
      <c r="J2" s="43">
        <f>2*7080000</f>
        <v>14160000</v>
      </c>
      <c r="K2" s="44" t="s">
        <v>122</v>
      </c>
      <c r="L2" s="44" t="s">
        <v>123</v>
      </c>
      <c r="M2" s="45">
        <f>2*(273000-33000)</f>
        <v>480000</v>
      </c>
      <c r="N2" s="46" t="s">
        <v>19</v>
      </c>
      <c r="O2" s="45"/>
      <c r="P2" s="45"/>
      <c r="Q2" s="45">
        <f>2*33000</f>
        <v>66000</v>
      </c>
      <c r="R2" s="45">
        <f>2*60+21</f>
        <v>141</v>
      </c>
      <c r="S2" s="47" t="b">
        <v>1</v>
      </c>
      <c r="T2" s="48" t="s">
        <v>33</v>
      </c>
      <c r="U2" s="49">
        <v>960000</v>
      </c>
      <c r="V2" s="49">
        <v>1410000</v>
      </c>
      <c r="W2" s="44" t="s">
        <v>128</v>
      </c>
      <c r="X2" s="44" t="s">
        <v>129</v>
      </c>
      <c r="Y2" s="46" t="s">
        <v>130</v>
      </c>
      <c r="Z2" s="45">
        <f>184700-14700</f>
        <v>170000</v>
      </c>
      <c r="AA2" s="45"/>
      <c r="AB2" s="45"/>
      <c r="AC2" s="45">
        <v>14700</v>
      </c>
      <c r="AD2" s="45">
        <v>544</v>
      </c>
      <c r="AE2" s="48" t="s">
        <v>55</v>
      </c>
      <c r="AF2" s="49">
        <v>64700</v>
      </c>
      <c r="AG2" s="49">
        <v>64700</v>
      </c>
      <c r="AH2" s="44" t="s">
        <v>128</v>
      </c>
      <c r="AI2" s="44" t="s">
        <v>129</v>
      </c>
      <c r="AJ2" t="s">
        <v>130</v>
      </c>
      <c r="AK2" s="2">
        <f>19440-4540</f>
        <v>14900</v>
      </c>
      <c r="AN2" s="2">
        <f>4540</f>
        <v>4540</v>
      </c>
      <c r="AO2" s="2">
        <v>970</v>
      </c>
      <c r="AP2" s="48"/>
      <c r="AQ2" s="49"/>
      <c r="AR2" s="49"/>
      <c r="AS2" s="44"/>
      <c r="AT2" s="44"/>
      <c r="AU2" s="46"/>
      <c r="AV2" s="45"/>
      <c r="AW2" s="50"/>
      <c r="AX2" s="50"/>
      <c r="AY2" s="50"/>
      <c r="AZ2" s="50"/>
      <c r="BA2" s="48"/>
      <c r="BB2" s="49"/>
      <c r="BC2" s="49"/>
      <c r="BD2" s="44"/>
      <c r="BE2" s="44"/>
      <c r="BF2" s="45"/>
      <c r="BG2" s="45"/>
      <c r="BH2" s="45"/>
      <c r="BI2" s="45"/>
      <c r="BJ2" s="45"/>
      <c r="BK2" s="45"/>
      <c r="BL2" s="46"/>
      <c r="BM2" s="50">
        <v>777000</v>
      </c>
      <c r="BN2" s="74"/>
      <c r="BO2" s="65"/>
      <c r="BP2" s="65"/>
      <c r="BQ2" s="64"/>
      <c r="BR2" s="65"/>
      <c r="BS2" s="73"/>
      <c r="BT2" s="64"/>
      <c r="BU2" s="73"/>
    </row>
    <row r="3" spans="1:73" ht="18.75" customHeight="1" thickBot="1" x14ac:dyDescent="0.35">
      <c r="A3" s="40" t="s">
        <v>134</v>
      </c>
      <c r="B3" s="41">
        <v>70</v>
      </c>
      <c r="C3" s="42">
        <v>3.7</v>
      </c>
      <c r="D3" s="42">
        <v>2.9</v>
      </c>
      <c r="E3" s="42">
        <v>1.8</v>
      </c>
      <c r="F3" s="42">
        <v>5.2</v>
      </c>
      <c r="G3" s="42">
        <f t="shared" ref="G3" si="0">PI()/4*F3^2</f>
        <v>21.237166338267002</v>
      </c>
      <c r="H3" s="48" t="s">
        <v>65</v>
      </c>
      <c r="I3" s="43">
        <v>7607000</v>
      </c>
      <c r="J3" s="43">
        <v>8227000</v>
      </c>
      <c r="K3" s="44" t="s">
        <v>124</v>
      </c>
      <c r="L3" s="44" t="s">
        <v>125</v>
      </c>
      <c r="M3" s="45">
        <v>410900</v>
      </c>
      <c r="N3" s="46" t="s">
        <v>126</v>
      </c>
      <c r="O3" s="45">
        <f t="shared" ref="O3" si="1">M3*1/(2.36+1)</f>
        <v>122291.66666666667</v>
      </c>
      <c r="P3" s="45">
        <f t="shared" ref="P3" si="2">M3*2.36/(2.36+1)</f>
        <v>288608.33333333337</v>
      </c>
      <c r="Q3" s="45">
        <v>22200</v>
      </c>
      <c r="R3" s="45">
        <v>162</v>
      </c>
      <c r="S3" s="47" t="b">
        <v>0</v>
      </c>
      <c r="T3" s="48" t="s">
        <v>63</v>
      </c>
      <c r="U3" s="49">
        <v>981000</v>
      </c>
      <c r="V3" s="49">
        <v>981000</v>
      </c>
      <c r="W3" s="44" t="s">
        <v>124</v>
      </c>
      <c r="X3" s="44" t="s">
        <v>125</v>
      </c>
      <c r="Y3" s="46" t="s">
        <v>126</v>
      </c>
      <c r="Z3" s="45">
        <v>107500</v>
      </c>
      <c r="AA3" s="45">
        <f>Z3*1/(2.36+1)</f>
        <v>31994.047619047622</v>
      </c>
      <c r="AB3" s="45">
        <f>AA3*2.36/(2.36+1)</f>
        <v>22472.00963718821</v>
      </c>
      <c r="AC3" s="45">
        <f>4000+1700+22800</f>
        <v>28500</v>
      </c>
      <c r="AD3" s="45">
        <v>397</v>
      </c>
      <c r="AE3" s="48"/>
      <c r="AF3" s="49"/>
      <c r="AG3" s="49"/>
      <c r="AH3" s="44"/>
      <c r="AI3" s="44"/>
      <c r="AP3" s="48"/>
      <c r="AQ3" s="49"/>
      <c r="AR3" s="49"/>
      <c r="AS3" s="44"/>
      <c r="AT3" s="44"/>
      <c r="AU3" s="46"/>
      <c r="AV3" s="45"/>
      <c r="AW3" s="50"/>
      <c r="AX3" s="50"/>
      <c r="AY3" s="50"/>
      <c r="AZ3" s="50"/>
      <c r="BA3" s="48"/>
      <c r="BB3" s="49"/>
      <c r="BC3" s="49"/>
      <c r="BD3" s="44"/>
      <c r="BE3" s="44"/>
      <c r="BF3" s="45"/>
      <c r="BG3" s="45"/>
      <c r="BH3" s="45"/>
      <c r="BI3" s="45"/>
      <c r="BJ3" s="45"/>
      <c r="BK3" s="45"/>
      <c r="BL3" s="46"/>
      <c r="BM3" s="50">
        <v>549000</v>
      </c>
      <c r="BN3" s="74"/>
      <c r="BO3" s="69"/>
      <c r="BP3" s="72"/>
      <c r="BQ3" s="64"/>
      <c r="BR3" s="65"/>
      <c r="BS3" s="73"/>
      <c r="BT3" s="64"/>
      <c r="BU3" s="73"/>
    </row>
    <row r="4" spans="1:73" ht="15" thickBot="1" x14ac:dyDescent="0.35">
      <c r="A4" s="40" t="s">
        <v>135</v>
      </c>
      <c r="B4" s="41">
        <v>70</v>
      </c>
      <c r="C4" s="42">
        <v>3.7</v>
      </c>
      <c r="D4" s="42">
        <v>2.9</v>
      </c>
      <c r="E4" s="42">
        <v>1.8</v>
      </c>
      <c r="F4" s="42">
        <v>5.2</v>
      </c>
      <c r="G4" s="42">
        <f t="shared" ref="G4" si="3">PI()/4*F4^2</f>
        <v>21.237166338267002</v>
      </c>
      <c r="H4" s="48" t="s">
        <v>65</v>
      </c>
      <c r="I4" s="43">
        <v>7607000</v>
      </c>
      <c r="J4" s="43">
        <v>8227000</v>
      </c>
      <c r="K4" s="44" t="s">
        <v>124</v>
      </c>
      <c r="L4" s="44" t="s">
        <v>125</v>
      </c>
      <c r="M4" s="45">
        <f>(R4-20+20*0.7)/162*M3</f>
        <v>372853.70370370371</v>
      </c>
      <c r="N4" s="46" t="s">
        <v>126</v>
      </c>
      <c r="O4" s="45">
        <f>M4*1/(2.36+1)</f>
        <v>110968.36419753087</v>
      </c>
      <c r="P4" s="45">
        <f>M4*2.36/(2.36+1)</f>
        <v>261885.33950617284</v>
      </c>
      <c r="Q4" s="45">
        <f>Q3+M3*(1-R4/162)</f>
        <v>45027.777777777788</v>
      </c>
      <c r="R4" s="45">
        <v>153</v>
      </c>
      <c r="S4" s="47" t="b">
        <v>0</v>
      </c>
      <c r="T4" s="48" t="s">
        <v>63</v>
      </c>
      <c r="U4" s="49">
        <v>0</v>
      </c>
      <c r="V4" s="49">
        <v>0</v>
      </c>
      <c r="W4" s="44" t="s">
        <v>124</v>
      </c>
      <c r="X4" s="44" t="s">
        <v>125</v>
      </c>
      <c r="Y4" s="46" t="s">
        <v>126</v>
      </c>
      <c r="Z4" s="45">
        <v>1.0000000000000001E-5</v>
      </c>
      <c r="AA4" s="45"/>
      <c r="AB4" s="45"/>
      <c r="AC4" s="45">
        <v>1.0000000000000001E-5</v>
      </c>
      <c r="AD4" s="45">
        <v>10</v>
      </c>
      <c r="AE4" s="48" t="s">
        <v>63</v>
      </c>
      <c r="AF4" s="49">
        <v>981000</v>
      </c>
      <c r="AG4" s="49">
        <v>981000</v>
      </c>
      <c r="AH4" s="44" t="s">
        <v>124</v>
      </c>
      <c r="AI4" s="44" t="s">
        <v>125</v>
      </c>
      <c r="AJ4" s="46" t="s">
        <v>126</v>
      </c>
      <c r="AK4" s="45">
        <v>107500</v>
      </c>
      <c r="AL4" s="45">
        <f>AK4*1/(2.36+1)</f>
        <v>31994.047619047622</v>
      </c>
      <c r="AM4" s="45">
        <f>AL4*2.36/(2.36+1)</f>
        <v>22472.00963718821</v>
      </c>
      <c r="AN4" s="45">
        <f>4000+1700+22800</f>
        <v>28500</v>
      </c>
      <c r="AO4" s="45">
        <v>397</v>
      </c>
      <c r="AP4" s="48"/>
      <c r="AQ4" s="49"/>
      <c r="AR4" s="49"/>
      <c r="AS4" s="44"/>
      <c r="AT4" s="44"/>
      <c r="AU4" s="46"/>
      <c r="AV4" s="45"/>
      <c r="AW4" s="50"/>
      <c r="AX4" s="50"/>
      <c r="AY4" s="50"/>
      <c r="AZ4" s="50"/>
      <c r="BA4" s="48"/>
      <c r="BB4" s="49"/>
      <c r="BC4" s="49"/>
      <c r="BD4" s="44"/>
      <c r="BE4" s="44"/>
      <c r="BF4" s="45"/>
      <c r="BG4" s="45"/>
      <c r="BH4" s="45"/>
      <c r="BI4" s="45"/>
      <c r="BJ4" s="45"/>
      <c r="BK4" s="45"/>
      <c r="BL4" s="46"/>
      <c r="BM4" s="50">
        <v>549000</v>
      </c>
      <c r="BN4" s="74"/>
      <c r="BO4" s="65"/>
      <c r="BP4" s="65"/>
      <c r="BQ4" s="64"/>
      <c r="BR4" s="65"/>
      <c r="BS4" s="73"/>
      <c r="BT4" s="64"/>
      <c r="BU4" s="73"/>
    </row>
    <row r="5" spans="1:73" ht="15" thickBot="1" x14ac:dyDescent="0.35">
      <c r="A5" s="40" t="s">
        <v>136</v>
      </c>
      <c r="B5" s="41">
        <v>70</v>
      </c>
      <c r="C5" s="42">
        <v>3.7</v>
      </c>
      <c r="D5" s="42">
        <v>2.9</v>
      </c>
      <c r="E5" s="42">
        <v>1.8</v>
      </c>
      <c r="F5" s="42">
        <v>5.2</v>
      </c>
      <c r="G5" s="42">
        <f t="shared" ref="G5:G6" si="4">PI()/4*F5^2</f>
        <v>21.237166338267002</v>
      </c>
      <c r="H5" s="48" t="s">
        <v>65</v>
      </c>
      <c r="I5" s="43">
        <v>7607000</v>
      </c>
      <c r="J5" s="43">
        <v>8227000</v>
      </c>
      <c r="K5" s="44" t="s">
        <v>124</v>
      </c>
      <c r="L5" s="44" t="s">
        <v>125</v>
      </c>
      <c r="M5" s="45">
        <f>(R5-20+20*0.7)/162*M4</f>
        <v>333727.08047553728</v>
      </c>
      <c r="N5" s="46" t="s">
        <v>126</v>
      </c>
      <c r="O5" s="45">
        <f>M5*1/(2.36+1)</f>
        <v>99323.535855814669</v>
      </c>
      <c r="P5" s="45">
        <f>M5*2.36/(2.36+1)</f>
        <v>234403.54461972258</v>
      </c>
      <c r="Q5" s="45">
        <f>Q3+M3*(1-R5/162)</f>
        <v>50100.617283950603</v>
      </c>
      <c r="R5" s="45">
        <f>2*60+31</f>
        <v>151</v>
      </c>
      <c r="S5" s="47" t="b">
        <v>0</v>
      </c>
      <c r="T5" s="48" t="s">
        <v>63</v>
      </c>
      <c r="U5" s="49">
        <v>0</v>
      </c>
      <c r="V5" s="49">
        <v>0</v>
      </c>
      <c r="W5" s="44" t="s">
        <v>124</v>
      </c>
      <c r="X5" s="44" t="s">
        <v>125</v>
      </c>
      <c r="Y5" s="46" t="s">
        <v>126</v>
      </c>
      <c r="Z5" s="45">
        <v>1.0000000000000001E-5</v>
      </c>
      <c r="AA5" s="45"/>
      <c r="AB5" s="45"/>
      <c r="AC5" s="45">
        <v>1.0000000000000001E-5</v>
      </c>
      <c r="AD5" s="45">
        <v>9</v>
      </c>
      <c r="AE5" s="48" t="s">
        <v>63</v>
      </c>
      <c r="AF5" s="49">
        <v>981000</v>
      </c>
      <c r="AG5" s="49">
        <v>981000</v>
      </c>
      <c r="AH5" s="44" t="s">
        <v>124</v>
      </c>
      <c r="AI5" s="44" t="s">
        <v>125</v>
      </c>
      <c r="AJ5" s="46" t="s">
        <v>126</v>
      </c>
      <c r="AK5" s="45">
        <v>107500</v>
      </c>
      <c r="AL5" s="45">
        <f>AK5*1/(2.36+1)</f>
        <v>31994.047619047622</v>
      </c>
      <c r="AM5" s="45">
        <f>AL5*2.36/(2.36+1)</f>
        <v>22472.00963718821</v>
      </c>
      <c r="AN5" s="45">
        <f>4000+1700+22800</f>
        <v>28500</v>
      </c>
      <c r="AO5" s="45">
        <v>397</v>
      </c>
      <c r="AP5" s="48"/>
      <c r="AQ5" s="49"/>
      <c r="AR5" s="49"/>
      <c r="AS5" s="44"/>
      <c r="AT5" s="44"/>
      <c r="AU5" s="46"/>
      <c r="AV5" s="45"/>
      <c r="AW5" s="50"/>
      <c r="AX5" s="50"/>
      <c r="AY5" s="50"/>
      <c r="AZ5" s="50"/>
      <c r="BA5" s="48"/>
      <c r="BB5" s="49"/>
      <c r="BC5" s="49"/>
      <c r="BD5" s="44"/>
      <c r="BE5" s="44"/>
      <c r="BF5" s="45"/>
      <c r="BG5" s="45"/>
      <c r="BH5" s="45"/>
      <c r="BI5" s="45"/>
      <c r="BJ5" s="45"/>
      <c r="BK5" s="45"/>
      <c r="BL5" s="46"/>
      <c r="BM5" s="50">
        <v>549000</v>
      </c>
      <c r="BN5" s="74"/>
      <c r="BO5" s="65"/>
      <c r="BP5" s="65"/>
      <c r="BQ5" s="64"/>
      <c r="BR5" s="65"/>
      <c r="BS5" s="73"/>
      <c r="BT5" s="64"/>
      <c r="BU5" s="73"/>
    </row>
    <row r="6" spans="1:73" ht="15" thickBot="1" x14ac:dyDescent="0.35">
      <c r="A6" s="40" t="s">
        <v>137</v>
      </c>
      <c r="B6" s="41">
        <v>70</v>
      </c>
      <c r="C6" s="42">
        <v>3.7</v>
      </c>
      <c r="D6" s="42">
        <v>2.9</v>
      </c>
      <c r="E6" s="42">
        <v>1.8</v>
      </c>
      <c r="F6" s="42">
        <v>5.2</v>
      </c>
      <c r="G6" s="42">
        <f t="shared" si="4"/>
        <v>21.237166338267002</v>
      </c>
      <c r="H6" s="48" t="s">
        <v>65</v>
      </c>
      <c r="I6" s="43">
        <v>7607000</v>
      </c>
      <c r="J6" s="43">
        <v>8227000</v>
      </c>
      <c r="K6" s="44" t="s">
        <v>124</v>
      </c>
      <c r="L6" s="44" t="s">
        <v>125</v>
      </c>
      <c r="M6" s="45">
        <f>(R6-20+20*0.7)/162*M5</f>
        <v>296646.29375603312</v>
      </c>
      <c r="N6" s="46" t="s">
        <v>126</v>
      </c>
      <c r="O6" s="45">
        <f>M6*1/(2.36+1)</f>
        <v>88287.587427390812</v>
      </c>
      <c r="P6" s="45">
        <f>M6*2.36/(2.36+1)</f>
        <v>208358.70632864232</v>
      </c>
      <c r="Q6" s="45">
        <f>Q4+M4*(1-R6/162)</f>
        <v>72646.570644718799</v>
      </c>
      <c r="R6" s="45">
        <f>2*60+30</f>
        <v>150</v>
      </c>
      <c r="S6" s="47" t="b">
        <v>0</v>
      </c>
      <c r="T6" s="48" t="s">
        <v>63</v>
      </c>
      <c r="U6" s="49">
        <v>0</v>
      </c>
      <c r="V6" s="49">
        <v>0</v>
      </c>
      <c r="W6" s="44" t="s">
        <v>124</v>
      </c>
      <c r="X6" s="44" t="s">
        <v>125</v>
      </c>
      <c r="Y6" s="46" t="s">
        <v>126</v>
      </c>
      <c r="Z6" s="45">
        <v>1.0000000000000001E-5</v>
      </c>
      <c r="AA6" s="45"/>
      <c r="AB6" s="45"/>
      <c r="AC6" s="45">
        <v>1.0000000000000001E-5</v>
      </c>
      <c r="AD6" s="45">
        <v>9</v>
      </c>
      <c r="AE6" s="48" t="s">
        <v>63</v>
      </c>
      <c r="AF6" s="49">
        <v>981000</v>
      </c>
      <c r="AG6" s="49">
        <v>981000</v>
      </c>
      <c r="AH6" s="44" t="s">
        <v>124</v>
      </c>
      <c r="AI6" s="44" t="s">
        <v>125</v>
      </c>
      <c r="AJ6" s="46" t="s">
        <v>126</v>
      </c>
      <c r="AK6" s="45">
        <v>107500</v>
      </c>
      <c r="AL6" s="45">
        <f>AK6*1/(2.36+1)</f>
        <v>31994.047619047622</v>
      </c>
      <c r="AM6" s="45">
        <f>AL6*2.36/(2.36+1)</f>
        <v>22472.00963718821</v>
      </c>
      <c r="AN6" s="45">
        <f>4000+1700+22800</f>
        <v>28500</v>
      </c>
      <c r="AO6" s="45">
        <v>397</v>
      </c>
      <c r="AP6" s="48"/>
      <c r="AQ6" s="49"/>
      <c r="AR6" s="49"/>
      <c r="AS6" s="44"/>
      <c r="AT6" s="44"/>
      <c r="AU6" s="46"/>
      <c r="AV6" s="45"/>
      <c r="AW6" s="50"/>
      <c r="AX6" s="50"/>
      <c r="AY6" s="50"/>
      <c r="AZ6" s="50"/>
      <c r="BA6" s="48"/>
      <c r="BB6" s="49"/>
      <c r="BC6" s="49"/>
      <c r="BD6" s="44"/>
      <c r="BE6" s="44"/>
      <c r="BF6" s="45"/>
      <c r="BG6" s="45"/>
      <c r="BH6" s="45"/>
      <c r="BI6" s="45"/>
      <c r="BJ6" s="45"/>
      <c r="BK6" s="45"/>
      <c r="BL6" s="46"/>
      <c r="BM6" s="50">
        <v>549000</v>
      </c>
      <c r="BN6" s="74"/>
      <c r="BO6" s="65"/>
      <c r="BP6" s="65"/>
      <c r="BQ6" s="64"/>
      <c r="BR6" s="65"/>
      <c r="BS6" s="73"/>
      <c r="BT6" s="64"/>
      <c r="BU6" s="73"/>
    </row>
    <row r="7" spans="1:73" x14ac:dyDescent="0.3">
      <c r="BM7" s="67"/>
      <c r="BN7" s="68"/>
      <c r="BO7" s="69"/>
      <c r="BP7" s="72"/>
      <c r="BQ7" s="72"/>
      <c r="BR7" s="72"/>
      <c r="BS7" s="73"/>
      <c r="BT7" s="72"/>
      <c r="BU7" s="73"/>
    </row>
    <row r="8" spans="1:73" x14ac:dyDescent="0.3">
      <c r="AI8" s="54"/>
      <c r="BM8" s="67"/>
      <c r="BN8" s="68"/>
      <c r="BO8" s="69"/>
      <c r="BP8" s="72"/>
      <c r="BQ8" s="72"/>
      <c r="BR8" s="72"/>
      <c r="BS8" s="73"/>
      <c r="BT8" s="72"/>
      <c r="BU8" s="73"/>
    </row>
    <row r="9" spans="1:73" x14ac:dyDescent="0.3">
      <c r="BM9" s="67"/>
      <c r="BN9" s="68"/>
      <c r="BO9" s="69"/>
      <c r="BP9" s="72"/>
      <c r="BQ9" s="72"/>
      <c r="BR9" s="72"/>
      <c r="BS9" s="73"/>
      <c r="BT9" s="72"/>
      <c r="BU9" s="73"/>
    </row>
    <row r="10" spans="1:73" x14ac:dyDescent="0.3">
      <c r="BM10" s="67"/>
      <c r="BN10" s="68"/>
      <c r="BO10" s="69"/>
      <c r="BP10" s="72"/>
      <c r="BQ10" s="72"/>
      <c r="BR10" s="72"/>
      <c r="BS10" s="73"/>
      <c r="BT10" s="72"/>
      <c r="BU10" s="73"/>
    </row>
    <row r="11" spans="1:73" x14ac:dyDescent="0.3">
      <c r="BM11" s="67"/>
      <c r="BN11" s="68"/>
      <c r="BO11" s="69"/>
      <c r="BP11" s="72"/>
      <c r="BQ11" s="72"/>
      <c r="BR11" s="72"/>
      <c r="BS11" s="73"/>
      <c r="BT11" s="72"/>
      <c r="BU11" s="73"/>
    </row>
    <row r="12" spans="1:73" x14ac:dyDescent="0.3">
      <c r="BM12" s="67"/>
      <c r="BN12" s="68"/>
      <c r="BO12" s="69"/>
      <c r="BP12" s="72"/>
      <c r="BQ12" s="72"/>
      <c r="BR12" s="72"/>
      <c r="BS12" s="73"/>
      <c r="BT12" s="72"/>
      <c r="BU12" s="7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15"/>
  <sheetViews>
    <sheetView workbookViewId="0">
      <selection activeCell="A11" sqref="A11"/>
    </sheetView>
  </sheetViews>
  <sheetFormatPr baseColWidth="10" defaultColWidth="8.88671875" defaultRowHeight="14.4" x14ac:dyDescent="0.3"/>
  <cols>
    <col min="1" max="1" width="9.109375" bestFit="1" customWidth="1"/>
    <col min="2" max="2" width="6" style="29" bestFit="1" customWidth="1"/>
    <col min="3" max="3" width="10.5546875" style="29" bestFit="1" customWidth="1"/>
    <col min="4" max="4" width="25.44140625" bestFit="1" customWidth="1"/>
  </cols>
  <sheetData>
    <row r="1" spans="1:4" ht="18.75" customHeight="1" x14ac:dyDescent="0.3">
      <c r="A1" s="17" t="s">
        <v>51</v>
      </c>
      <c r="B1" s="18" t="s">
        <v>30</v>
      </c>
      <c r="C1" s="18" t="s">
        <v>31</v>
      </c>
      <c r="D1" s="26" t="s">
        <v>52</v>
      </c>
    </row>
    <row r="2" spans="1:4" ht="18.75" customHeight="1" x14ac:dyDescent="0.3">
      <c r="A2" t="s">
        <v>33</v>
      </c>
      <c r="B2" s="27">
        <v>58.2</v>
      </c>
      <c r="C2" s="2">
        <v>115</v>
      </c>
      <c r="D2" t="s">
        <v>53</v>
      </c>
    </row>
    <row r="3" spans="1:4" ht="18.75" customHeight="1" x14ac:dyDescent="0.3">
      <c r="A3" t="s">
        <v>6</v>
      </c>
      <c r="B3" s="28">
        <v>11</v>
      </c>
      <c r="C3" s="28">
        <v>70</v>
      </c>
      <c r="D3" t="s">
        <v>54</v>
      </c>
    </row>
    <row r="4" spans="1:4" ht="18.75" customHeight="1" x14ac:dyDescent="0.3">
      <c r="A4" t="s">
        <v>55</v>
      </c>
      <c r="B4" s="28">
        <v>40</v>
      </c>
      <c r="C4" s="2">
        <v>35</v>
      </c>
      <c r="D4" t="s">
        <v>56</v>
      </c>
    </row>
    <row r="5" spans="1:4" ht="18.75" customHeight="1" x14ac:dyDescent="0.3">
      <c r="A5" t="s">
        <v>57</v>
      </c>
      <c r="B5" s="2">
        <v>69</v>
      </c>
      <c r="C5" s="2">
        <v>206</v>
      </c>
      <c r="D5" t="s">
        <v>58</v>
      </c>
    </row>
    <row r="6" spans="1:4" ht="18.75" customHeight="1" x14ac:dyDescent="0.3">
      <c r="A6" t="s">
        <v>59</v>
      </c>
      <c r="B6" s="2">
        <v>55</v>
      </c>
      <c r="C6" s="2">
        <v>9</v>
      </c>
      <c r="D6" t="s">
        <v>60</v>
      </c>
    </row>
    <row r="7" spans="1:4" ht="18.75" customHeight="1" x14ac:dyDescent="0.3">
      <c r="A7" t="s">
        <v>61</v>
      </c>
      <c r="B7" s="2">
        <v>8</v>
      </c>
      <c r="C7" s="2">
        <v>46</v>
      </c>
      <c r="D7" t="s">
        <v>62</v>
      </c>
    </row>
    <row r="8" spans="1:4" ht="18.75" customHeight="1" x14ac:dyDescent="0.3">
      <c r="A8" t="s">
        <v>63</v>
      </c>
      <c r="B8" s="2">
        <v>165</v>
      </c>
      <c r="C8" s="2">
        <v>97</v>
      </c>
      <c r="D8" t="s">
        <v>64</v>
      </c>
    </row>
    <row r="9" spans="1:4" ht="18.75" customHeight="1" x14ac:dyDescent="0.3">
      <c r="A9" t="s">
        <v>65</v>
      </c>
      <c r="B9" s="2">
        <v>16</v>
      </c>
      <c r="C9" s="2">
        <v>97</v>
      </c>
      <c r="D9" t="s">
        <v>66</v>
      </c>
    </row>
    <row r="10" spans="1:4" ht="18.75" customHeight="1" x14ac:dyDescent="0.3">
      <c r="A10" t="s">
        <v>67</v>
      </c>
      <c r="B10" s="2">
        <v>70</v>
      </c>
      <c r="C10" s="2">
        <v>100</v>
      </c>
      <c r="D10" t="s">
        <v>68</v>
      </c>
    </row>
    <row r="11" spans="1:4" ht="18.75" customHeight="1" x14ac:dyDescent="0.3">
      <c r="A11" t="s">
        <v>69</v>
      </c>
      <c r="B11" s="2">
        <v>140</v>
      </c>
      <c r="C11" s="2">
        <v>100</v>
      </c>
      <c r="D11" t="s">
        <v>70</v>
      </c>
    </row>
    <row r="12" spans="1:4" ht="18.75" customHeight="1" x14ac:dyDescent="0.3">
      <c r="A12" t="s">
        <v>71</v>
      </c>
      <c r="B12" s="2">
        <v>10</v>
      </c>
      <c r="C12" s="2">
        <v>70</v>
      </c>
      <c r="D12" t="s">
        <v>72</v>
      </c>
    </row>
    <row r="13" spans="1:4" x14ac:dyDescent="0.3">
      <c r="A13" t="s">
        <v>131</v>
      </c>
      <c r="B13" s="29">
        <v>14.71</v>
      </c>
      <c r="C13" s="29">
        <v>105</v>
      </c>
    </row>
    <row r="14" spans="1:4" x14ac:dyDescent="0.3">
      <c r="A14" t="s">
        <v>132</v>
      </c>
      <c r="B14" s="29">
        <v>58.2</v>
      </c>
      <c r="C14">
        <v>118.8</v>
      </c>
    </row>
    <row r="15" spans="1:4" x14ac:dyDescent="0.3">
      <c r="A15" t="s">
        <v>133</v>
      </c>
      <c r="B15" s="29">
        <v>240</v>
      </c>
      <c r="C15" s="29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F40"/>
  <sheetViews>
    <sheetView workbookViewId="0">
      <selection activeCell="G6" sqref="G6"/>
    </sheetView>
  </sheetViews>
  <sheetFormatPr baseColWidth="10" defaultColWidth="8.88671875" defaultRowHeight="14.4" x14ac:dyDescent="0.3"/>
  <cols>
    <col min="1" max="1" width="13.5546875" bestFit="1" customWidth="1"/>
    <col min="2" max="2" width="30.44140625" style="1" bestFit="1" customWidth="1"/>
    <col min="3" max="3" width="14" style="25" bestFit="1" customWidth="1"/>
    <col min="4" max="4" width="14.88671875" style="25" bestFit="1" customWidth="1"/>
    <col min="5" max="5" width="11.6640625" bestFit="1" customWidth="1"/>
    <col min="6" max="6" width="29.109375" bestFit="1" customWidth="1"/>
  </cols>
  <sheetData>
    <row r="1" spans="2:6" ht="18.75" customHeight="1" x14ac:dyDescent="0.3">
      <c r="C1" s="39"/>
      <c r="D1" s="39"/>
    </row>
    <row r="2" spans="2:6" ht="18.75" customHeight="1" x14ac:dyDescent="0.3">
      <c r="B2" s="3" t="s">
        <v>0</v>
      </c>
      <c r="C2" s="39"/>
      <c r="D2" s="39"/>
      <c r="F2" s="4" t="s">
        <v>138</v>
      </c>
    </row>
    <row r="3" spans="2:6" ht="18.75" customHeight="1" x14ac:dyDescent="0.3">
      <c r="B3" s="5" t="s">
        <v>1</v>
      </c>
      <c r="C3" s="6" t="s">
        <v>2</v>
      </c>
      <c r="D3" s="7" t="s">
        <v>3</v>
      </c>
      <c r="F3" t="s">
        <v>4</v>
      </c>
    </row>
    <row r="4" spans="2:6" ht="18.75" customHeight="1" x14ac:dyDescent="0.3">
      <c r="B4" s="55" t="s">
        <v>84</v>
      </c>
      <c r="C4" s="9" t="b">
        <v>1</v>
      </c>
      <c r="D4" s="10" t="b">
        <v>1</v>
      </c>
      <c r="F4" t="s">
        <v>139</v>
      </c>
    </row>
    <row r="5" spans="2:6" ht="18.75" customHeight="1" x14ac:dyDescent="0.3">
      <c r="B5" s="56" t="s">
        <v>5</v>
      </c>
      <c r="C5" s="9" t="s">
        <v>6</v>
      </c>
      <c r="D5" s="10" t="s">
        <v>6</v>
      </c>
      <c r="F5" t="s">
        <v>7</v>
      </c>
    </row>
    <row r="6" spans="2:6" ht="18.75" customHeight="1" x14ac:dyDescent="0.3">
      <c r="B6" s="56" t="s">
        <v>85</v>
      </c>
      <c r="C6" s="9">
        <v>1390000</v>
      </c>
      <c r="D6" s="10">
        <v>1390000</v>
      </c>
      <c r="F6" t="s">
        <v>140</v>
      </c>
    </row>
    <row r="7" spans="2:6" ht="18.75" customHeight="1" x14ac:dyDescent="0.3">
      <c r="B7" s="56" t="s">
        <v>86</v>
      </c>
      <c r="C7" s="9">
        <v>1390000</v>
      </c>
      <c r="D7" s="10">
        <v>1390000</v>
      </c>
      <c r="F7" t="s">
        <v>141</v>
      </c>
    </row>
    <row r="8" spans="2:6" ht="18.75" customHeight="1" x14ac:dyDescent="0.3">
      <c r="B8" s="57" t="s">
        <v>8</v>
      </c>
      <c r="C8" s="9" t="s">
        <v>9</v>
      </c>
      <c r="D8" s="10" t="s">
        <v>10</v>
      </c>
      <c r="F8" t="s">
        <v>11</v>
      </c>
    </row>
    <row r="9" spans="2:6" ht="18.75" customHeight="1" x14ac:dyDescent="0.3">
      <c r="B9" s="57"/>
      <c r="C9" s="9"/>
      <c r="D9" s="58"/>
      <c r="F9" t="s">
        <v>12</v>
      </c>
    </row>
    <row r="10" spans="2:6" ht="18.75" customHeight="1" x14ac:dyDescent="0.3">
      <c r="B10" s="57" t="s">
        <v>13</v>
      </c>
      <c r="C10" s="9" t="s">
        <v>14</v>
      </c>
      <c r="D10" s="58" t="str">
        <f>"293/293"</f>
        <v>293/293</v>
      </c>
      <c r="F10" t="s">
        <v>15</v>
      </c>
    </row>
    <row r="11" spans="2:6" ht="18.75" customHeight="1" x14ac:dyDescent="0.3">
      <c r="B11" s="8" t="s">
        <v>16</v>
      </c>
      <c r="C11" s="11">
        <v>480450</v>
      </c>
      <c r="D11" s="12">
        <f>D13+D14</f>
        <v>167600</v>
      </c>
      <c r="F11" t="s">
        <v>17</v>
      </c>
    </row>
    <row r="12" spans="2:6" ht="18.75" customHeight="1" x14ac:dyDescent="0.3">
      <c r="B12" s="8" t="s">
        <v>18</v>
      </c>
      <c r="C12" s="11" t="s">
        <v>19</v>
      </c>
      <c r="D12" s="10"/>
      <c r="F12" t="s">
        <v>20</v>
      </c>
    </row>
    <row r="13" spans="2:6" ht="18.75" customHeight="1" x14ac:dyDescent="0.3">
      <c r="B13" s="8" t="s">
        <v>21</v>
      </c>
      <c r="C13" s="9"/>
      <c r="D13" s="12">
        <v>62100</v>
      </c>
    </row>
    <row r="14" spans="2:6" ht="18.75" customHeight="1" x14ac:dyDescent="0.3">
      <c r="B14" s="8" t="s">
        <v>22</v>
      </c>
      <c r="C14" s="9"/>
      <c r="D14" s="12">
        <v>105500</v>
      </c>
    </row>
    <row r="15" spans="2:6" ht="18.75" customHeight="1" x14ac:dyDescent="0.3">
      <c r="B15" s="8" t="s">
        <v>23</v>
      </c>
      <c r="C15" s="11">
        <v>76400</v>
      </c>
      <c r="D15" s="12">
        <v>17700</v>
      </c>
      <c r="F15" t="s">
        <v>24</v>
      </c>
    </row>
    <row r="16" spans="2:6" ht="18.75" customHeight="1" x14ac:dyDescent="0.3">
      <c r="B16" s="13" t="s">
        <v>25</v>
      </c>
      <c r="C16" s="14">
        <v>131.30000000000001</v>
      </c>
      <c r="D16" s="15">
        <v>205</v>
      </c>
      <c r="F16" t="s">
        <v>26</v>
      </c>
    </row>
    <row r="17" spans="2:6" ht="18.75" customHeight="1" x14ac:dyDescent="0.3">
      <c r="C17" s="39"/>
      <c r="D17" s="39"/>
    </row>
    <row r="18" spans="2:6" ht="18.75" customHeight="1" x14ac:dyDescent="0.3">
      <c r="C18" s="39"/>
      <c r="D18" s="39"/>
    </row>
    <row r="19" spans="2:6" ht="18.75" customHeight="1" x14ac:dyDescent="0.3">
      <c r="B19" s="16" t="s">
        <v>27</v>
      </c>
      <c r="C19" s="39"/>
      <c r="D19" s="39"/>
      <c r="F19" t="s">
        <v>28</v>
      </c>
    </row>
    <row r="20" spans="2:6" ht="18.75" customHeight="1" x14ac:dyDescent="0.3">
      <c r="B20" s="17" t="s">
        <v>29</v>
      </c>
      <c r="C20" s="18" t="s">
        <v>30</v>
      </c>
      <c r="D20" s="19" t="s">
        <v>31</v>
      </c>
      <c r="F20" t="s">
        <v>32</v>
      </c>
    </row>
    <row r="21" spans="2:6" ht="18.75" customHeight="1" x14ac:dyDescent="0.3">
      <c r="B21" s="20" t="s">
        <v>33</v>
      </c>
      <c r="C21" s="21">
        <v>58.2</v>
      </c>
      <c r="D21" s="22">
        <v>115</v>
      </c>
    </row>
    <row r="22" spans="2:6" ht="18.75" customHeight="1" x14ac:dyDescent="0.3">
      <c r="B22" s="23" t="s">
        <v>6</v>
      </c>
      <c r="C22" s="24">
        <v>10</v>
      </c>
      <c r="D22" s="15">
        <v>70</v>
      </c>
    </row>
    <row r="23" spans="2:6" ht="18.75" customHeight="1" x14ac:dyDescent="0.3">
      <c r="C23" s="29"/>
      <c r="D23" s="29"/>
    </row>
    <row r="24" spans="2:6" ht="18.75" customHeight="1" x14ac:dyDescent="0.3">
      <c r="C24" s="29"/>
      <c r="D24" s="29"/>
      <c r="F24" t="s">
        <v>142</v>
      </c>
    </row>
    <row r="25" spans="2:6" ht="18.75" customHeight="1" x14ac:dyDescent="0.3">
      <c r="B25" s="59" t="s">
        <v>34</v>
      </c>
      <c r="C25" s="29"/>
      <c r="D25" s="29"/>
      <c r="F25" t="s">
        <v>143</v>
      </c>
    </row>
    <row r="26" spans="2:6" ht="18.75" customHeight="1" x14ac:dyDescent="0.3">
      <c r="B26" s="60" t="s">
        <v>35</v>
      </c>
      <c r="C26" s="29"/>
      <c r="D26" s="29"/>
      <c r="F26" t="s">
        <v>144</v>
      </c>
    </row>
    <row r="27" spans="2:6" ht="18.75" customHeight="1" x14ac:dyDescent="0.3">
      <c r="B27" s="60" t="s">
        <v>36</v>
      </c>
      <c r="C27" s="29"/>
      <c r="D27" s="29"/>
      <c r="F27" t="s">
        <v>145</v>
      </c>
    </row>
    <row r="28" spans="2:6" ht="18.75" customHeight="1" x14ac:dyDescent="0.3">
      <c r="B28" s="60" t="s">
        <v>37</v>
      </c>
      <c r="C28" s="29"/>
      <c r="D28" s="29"/>
      <c r="F28" t="s">
        <v>146</v>
      </c>
    </row>
    <row r="29" spans="2:6" ht="18.75" customHeight="1" x14ac:dyDescent="0.3">
      <c r="B29" s="60" t="s">
        <v>38</v>
      </c>
      <c r="C29" s="29"/>
      <c r="D29" s="29"/>
      <c r="F29" t="s">
        <v>147</v>
      </c>
    </row>
    <row r="30" spans="2:6" ht="18.75" customHeight="1" x14ac:dyDescent="0.3">
      <c r="B30" s="61" t="s">
        <v>39</v>
      </c>
      <c r="C30" s="29"/>
      <c r="D30" s="29"/>
      <c r="F30" t="s">
        <v>148</v>
      </c>
    </row>
    <row r="31" spans="2:6" ht="18.75" customHeight="1" x14ac:dyDescent="0.3">
      <c r="C31" s="29"/>
      <c r="D31" s="29"/>
    </row>
    <row r="32" spans="2:6" ht="18.75" customHeight="1" x14ac:dyDescent="0.3">
      <c r="C32" s="29"/>
      <c r="D32" s="29"/>
    </row>
    <row r="33" spans="2:4" ht="18.75" customHeight="1" x14ac:dyDescent="0.3">
      <c r="B33" s="16" t="s">
        <v>40</v>
      </c>
      <c r="C33" s="62" t="s">
        <v>41</v>
      </c>
      <c r="D33" s="29"/>
    </row>
    <row r="34" spans="2:4" ht="18.75" customHeight="1" x14ac:dyDescent="0.3">
      <c r="B34" s="8" t="s">
        <v>42</v>
      </c>
      <c r="C34" t="s">
        <v>43</v>
      </c>
      <c r="D34" s="29"/>
    </row>
    <row r="35" spans="2:4" ht="18.75" customHeight="1" x14ac:dyDescent="0.3">
      <c r="B35" s="8" t="s">
        <v>44</v>
      </c>
      <c r="C35" s="63" t="s">
        <v>45</v>
      </c>
      <c r="D35" s="29"/>
    </row>
    <row r="36" spans="2:4" ht="18.75" customHeight="1" x14ac:dyDescent="0.3">
      <c r="B36" s="8" t="s">
        <v>46</v>
      </c>
      <c r="C36" s="29"/>
      <c r="D36" s="29"/>
    </row>
    <row r="37" spans="2:4" ht="18.75" customHeight="1" x14ac:dyDescent="0.3">
      <c r="B37" s="8" t="s">
        <v>47</v>
      </c>
      <c r="C37" s="29"/>
      <c r="D37" s="29"/>
    </row>
    <row r="38" spans="2:4" x14ac:dyDescent="0.3">
      <c r="B38" s="8" t="s">
        <v>48</v>
      </c>
      <c r="C38" s="29"/>
      <c r="D38" s="29"/>
    </row>
    <row r="39" spans="2:4" x14ac:dyDescent="0.3">
      <c r="B39" s="8" t="s">
        <v>49</v>
      </c>
      <c r="C39" s="29"/>
      <c r="D39" s="29"/>
    </row>
    <row r="40" spans="2:4" x14ac:dyDescent="0.3">
      <c r="B40" s="8" t="s">
        <v>50</v>
      </c>
      <c r="C40" s="29"/>
      <c r="D40" s="29"/>
    </row>
  </sheetData>
  <hyperlinks>
    <hyperlink ref="C35" r:id="rId1" xr:uid="{E3F865F5-C79F-4C7D-8E52-7DFFBC29FCF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LV_Database</vt:lpstr>
      <vt:lpstr>Engine</vt:lpstr>
      <vt:lpstr>README - How to enter data</vt:lpstr>
      <vt:lpstr>LV_Database!_FilterDatenbank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Jan-Steffen Fischer</cp:lastModifiedBy>
  <dcterms:created xsi:type="dcterms:W3CDTF">2024-10-04T11:01:29Z</dcterms:created>
  <dcterms:modified xsi:type="dcterms:W3CDTF">2025-01-09T15:16:02Z</dcterms:modified>
</cp:coreProperties>
</file>