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0F\Shared with me\UM - MicroServices\UMN  - 360-NeedsCalculator\"/>
    </mc:Choice>
  </mc:AlternateContent>
  <xr:revisionPtr revIDLastSave="0" documentId="13_ncr:1_{08EDDA76-9A00-459C-B53E-73AA1657189A}" xr6:coauthVersionLast="47" xr6:coauthVersionMax="47" xr10:uidLastSave="{00000000-0000-0000-0000-000000000000}"/>
  <bookViews>
    <workbookView xWindow="28680" yWindow="-120" windowWidth="29040" windowHeight="15720" tabRatio="829" firstSheet="9" activeTab="15" xr2:uid="{F60777F6-1C56-4B45-8313-1B039BDB332C}"/>
  </bookViews>
  <sheets>
    <sheet name="Death Protection" sheetId="1" r:id="rId1"/>
    <sheet name="Dependent Death Protection" sheetId="22" r:id="rId2"/>
    <sheet name="Critical Illness" sheetId="11" r:id="rId3"/>
    <sheet name="Retirement Accumulation" sheetId="8" r:id="rId4"/>
    <sheet name="Total Permanent Disability" sheetId="10" r:id="rId5"/>
    <sheet name="Savings" sheetId="9" r:id="rId6"/>
    <sheet name="Children Savings" sheetId="21" r:id="rId7"/>
    <sheet name="Children Education" sheetId="5" r:id="rId8"/>
    <sheet name="Long Term Care" sheetId="12" r:id="rId9"/>
    <sheet name="Loss of Income" sheetId="13" r:id="rId10"/>
    <sheet name="Gender Related Illness" sheetId="14" r:id="rId11"/>
    <sheet name="Personal Accident" sheetId="15" r:id="rId12"/>
    <sheet name="Fracture Need" sheetId="20" r:id="rId13"/>
    <sheet name="Risk Profile" sheetId="18" r:id="rId14"/>
    <sheet name="Customer Knowledge" sheetId="19" r:id="rId15"/>
    <sheet name="Income &amp; Expense" sheetId="17" r:id="rId16"/>
  </sheets>
  <definedNames>
    <definedName name="input_ChildrenEducationSavings_AmountNeeded">'Children Education'!$E$14</definedName>
    <definedName name="input_ChildrenEducationSavings_CountryOfStudy">'Children Education'!$E$10</definedName>
    <definedName name="input_ChildrenEducationSavings_ExistingAssets">'Children Education'!$E$16</definedName>
    <definedName name="input_ChildrenEducationSavings_ExistingInsurance">'Children Education'!$E$15</definedName>
    <definedName name="input_ChildrenEducationSavings_InflationRate">'Children Education'!$E$12</definedName>
    <definedName name="input_ChildrenEducationSavings_YearsToGoal">'Children Education'!$E$13</definedName>
    <definedName name="input_ChildrenSavings_AmountNeeded">'Children Savings'!$E$11</definedName>
    <definedName name="input_ChildrenSavings_ExistingAssets">'Children Savings'!$E$13</definedName>
    <definedName name="input_ChildrenSavings_ExistingInsurance">'Children Savings'!$E$12</definedName>
    <definedName name="input_ChildrenSavings_YearsToGoal">'Children Savings'!$E$10</definedName>
    <definedName name="input_CriticalIllnessProtection_DesiredAnnualIncomeRequirements">'Critical Illness'!$E$10</definedName>
    <definedName name="input_CriticalIllnessProtection_DurationOfGoal">'Critical Illness'!$E$11</definedName>
    <definedName name="input_CriticalIllnessProtection_EstimatedTreatmentCosts">'Critical Illness'!$E$14</definedName>
    <definedName name="input_CriticalIllnessProtection_ExistingAssets">'Critical Illness'!$E$16</definedName>
    <definedName name="input_CriticalIllnessProtection_ExistingInsurance">'Critical Illness'!$E$15</definedName>
    <definedName name="input_CriticalIllnessProtection_InflationAdjustedRateOfReturn">'Critical Illness'!$E$12</definedName>
    <definedName name="input_CustomerKnowledgeAssessment_HasDiplomaOrHigher">'Customer Knowledge'!$D$8</definedName>
    <definedName name="input_CustomerKnowledgeAssessment_HasInvestmentExperience">'Customer Knowledge'!$D$10</definedName>
    <definedName name="input_CustomerKnowledgeAssessment_HasPerformedTransactions">'Customer Knowledge'!$D$9</definedName>
    <definedName name="input_DeathProtection_DesiredAnnualIncomeReplacement">'Death Protection'!$E$9</definedName>
    <definedName name="input_DeathProtection_DurationOfGoal">'Death Protection'!$E$10</definedName>
    <definedName name="input_DeathProtection_EmergencyFund">'Death Protection'!$E$13</definedName>
    <definedName name="input_DeathProtection_ExistingAssets">'Death Protection'!$E$18</definedName>
    <definedName name="input_DeathProtection_ExistingInsurance">'Death Protection'!$E$17</definedName>
    <definedName name="input_DeathProtection_FinalExpenses">'Death Protection'!$E$12</definedName>
    <definedName name="input_DeathProtection_InflationAdjustedRateOfReturn">'Death Protection'!$E$11</definedName>
    <definedName name="input_DeathProtection_MortgagePayment">'Death Protection'!$E$14</definedName>
    <definedName name="input_DeathProtection_Others">'Death Protection'!$E$16</definedName>
    <definedName name="input_DeathProtection_PersonalDebts">'Death Protection'!$E$15</definedName>
    <definedName name="input_DependentDeathProtection_ExistingAssets">'Dependent Death Protection'!$E$14</definedName>
    <definedName name="input_DependentDeathProtection_ExistingInsurance">'Dependent Death Protection'!$E$13</definedName>
    <definedName name="input_DependentDeathProtection_FinalExpenses">'Dependent Death Protection'!$E$10</definedName>
    <definedName name="input_DependentDeathProtection_Loans">'Dependent Death Protection'!$E$11</definedName>
    <definedName name="input_DependentDeathProtection_Others">'Dependent Death Protection'!$E$12</definedName>
    <definedName name="input_FractureNeedProtection_AmountNeeded">'Fracture Need'!$E$10</definedName>
    <definedName name="input_FractureNeedProtection_ExistingAssets">'Fracture Need'!$E$12</definedName>
    <definedName name="input_FractureNeedProtection_ExistingInsurance">'Fracture Need'!$E$11</definedName>
    <definedName name="input_GenderRelatedIllnessProtection_AmountNeeded">'Gender Related Illness'!$E$10</definedName>
    <definedName name="input_GenderRelatedIllnessProtection_ExistingAssets">'Gender Related Illness'!$E$12</definedName>
    <definedName name="input_GenderRelatedIllnessProtection_ExistingInsurance">'Gender Related Illness'!$E$11</definedName>
    <definedName name="input_IncomeAndExpense_Age">'Income &amp; Expense'!$C$8</definedName>
    <definedName name="input_IncomeAndExpense_AnnualBonusAmount">'Income &amp; Expense'!$C$15</definedName>
    <definedName name="input_IncomeAndExpense_AnnualDividendsAmount">'Income &amp; Expense'!$C$18</definedName>
    <definedName name="input_IncomeAndExpense_AnnualFamilyExpense">'Income &amp; Expense'!$I$19</definedName>
    <definedName name="input_IncomeAndExpense_AnnualFixedExpense">'Income &amp; Expense'!$I$13</definedName>
    <definedName name="input_IncomeAndExpense_AnnualIncomeBeforeCPF">'Income &amp; Expense'!$C$9</definedName>
    <definedName name="input_IncomeAndExpense_AnnualLuxuryExpense">'Income &amp; Expense'!$I$16</definedName>
    <definedName name="input_IncomeAndExpense_AnnualOtherExpense">'Income &amp; Expense'!$I$22</definedName>
    <definedName name="input_IncomeAndExpense_AnnualOtherExpenseDescription">'Income &amp; Expense'!$I$23</definedName>
    <definedName name="input_IncomeAndExpense_AnnualOtherIncomeAmount">'Income &amp; Expense'!$C$25</definedName>
    <definedName name="input_IncomeAndExpense_AnnualPersonalExpense">'Income &amp; Expense'!$I$9</definedName>
    <definedName name="input_IncomeAndExpense_AnnualPropertyRentalIncomeAmount">'Income &amp; Expense'!$C$21</definedName>
    <definedName name="input_IncomeAndExpense_OtherIncomeDescription">'Income &amp; Expense'!$C$24</definedName>
    <definedName name="input_LongTermCareProtection_ExistingAssets">'Long Term Care'!$E$12</definedName>
    <definedName name="input_LongTermCareProtection_ExistingInsurance">'Long Term Care'!$E$11</definedName>
    <definedName name="input_LongTermCareProtection_ReplacementIncomeNeededPerMonth">'Long Term Care'!$E$10</definedName>
    <definedName name="input_LossOfIncomeProtection_AmountNeeded">'Loss of Income'!$E$10</definedName>
    <definedName name="input_LossOfIncomeProtection_ExistingAssets">'Loss of Income'!$E$12</definedName>
    <definedName name="input_LossOfIncomeProtection_ExistingInsurance">'Loss of Income'!$E$11</definedName>
    <definedName name="input_PersonalAccidentProtection_AmountNeeded">'Personal Accident'!$E$10</definedName>
    <definedName name="input_PersonalAccidentProtection_ExistingAssets">'Personal Accident'!$E$12</definedName>
    <definedName name="input_PersonalAccidentProtection_ExistingInsurance">'Personal Accident'!$E$11</definedName>
    <definedName name="input_RetirementAccumulation_AgeNextBirthday">'Retirement Accumulation'!$E$11</definedName>
    <definedName name="input_RetirementAccumulation_AnnualExpense">'Retirement Accumulation'!$E$21</definedName>
    <definedName name="input_RetirementAccumulation_AnnualIncome">'Retirement Accumulation'!$E$13</definedName>
    <definedName name="input_RetirementAccumulation_DurationOfGoal">'Retirement Accumulation'!$E$22</definedName>
    <definedName name="input_RetirementAccumulation_ExistingAssets">'Retirement Accumulation'!$E$19</definedName>
    <definedName name="input_RetirementAccumulation_ExistingInsurance">'Retirement Accumulation'!$E$18</definedName>
    <definedName name="input_RetirementAccumulation_InflationAdjustedRateOfReturn">'Retirement Accumulation'!$E$20</definedName>
    <definedName name="input_RetirementAccumulation_PreferredMethod">'Retirement Accumulation'!$E$10</definedName>
    <definedName name="input_RetirementAccumulation_RateOfIncomeIncrement">'Retirement Accumulation'!$E$14</definedName>
    <definedName name="input_RetirementAccumulation_RetirementAge">'Retirement Accumulation'!$E$12</definedName>
    <definedName name="input_RiskProfile_AcceptableLoss">'Risk Profile'!$D$7</definedName>
    <definedName name="input_RiskProfile_HoldInvestmentUntil">'Risk Profile'!$D$8</definedName>
    <definedName name="input_RiskProfile_RiskiestAssetSelection">'Risk Profile'!$D$10</definedName>
    <definedName name="input_RiskProfile_YearsOfInvestmentExperience">'Risk Profile'!$D$6</definedName>
    <definedName name="input_RiskProfile_YearsToManageWithoutIncome">'Risk Profile'!$D$9</definedName>
    <definedName name="input_RiskProfile_YearsToRetire">'Risk Profile'!$D$11</definedName>
    <definedName name="input_SavingsAccumulation_AmountNeeded">Savings!$E$11</definedName>
    <definedName name="input_SavingsAccumulation_ExistingAssets">Savings!$E$13</definedName>
    <definedName name="input_SavingsAccumulation_ExistingInsurance">Savings!$E$12</definedName>
    <definedName name="input_SavingsAccumulation_YearsToGoal">Savings!$E$10</definedName>
    <definedName name="input_TotalPermanentDisabilityProtection_DesiredAnnualIncomeReplacement">'Total Permanent Disability'!$E$10</definedName>
    <definedName name="input_TotalPermanentDisabilityProtection_DurationOfGoal">'Total Permanent Disability'!$E$11</definedName>
    <definedName name="input_TotalPermanentDisabilityProtection_ExistingAssets">'Total Permanent Disability'!$E$16</definedName>
    <definedName name="input_TotalPermanentDisabilityProtection_ExistingInsurance">'Total Permanent Disability'!$E$15</definedName>
    <definedName name="input_TotalPermanentDisabilityProtection_InflationAdjustedRateOfReturn">'Total Permanent Disability'!$E$12</definedName>
    <definedName name="input_TotalPermanentDisabilityProtection_MedicalExpenses">'Total Permanent Disability'!$E$14</definedName>
    <definedName name="output_ChildrenEducationSavings_CapitalSumRequired">'Children Education'!$E$17</definedName>
    <definedName name="output_ChildrenEducationSavings_ExistingResources">'Children Education'!$E$18</definedName>
    <definedName name="output_ChildrenEducationSavings_InflationRate">'Children Education'!$E$11</definedName>
    <definedName name="output_ChildrenEducationSavings_TotalShortFall">'Children Education'!$E$19</definedName>
    <definedName name="output_ChildrenEducationSavings_Validation">'Children Education'!$E$22</definedName>
    <definedName name="output_ChildrenEducationSavings_ValidationMessage">'Children Education'!$E$23</definedName>
    <definedName name="output_ChildrenSavings_CapitalSumRequired">'Children Savings'!$E$14</definedName>
    <definedName name="output_ChildrenSavings_ExistingResources">'Children Savings'!$E$15</definedName>
    <definedName name="output_ChildrenSavings_TotalShortFall">'Children Savings'!$E$16</definedName>
    <definedName name="output_ChildrenSavings_Validation">'Children Savings'!$E$19</definedName>
    <definedName name="output_ChildrenSavings_ValidationMessage">'Children Savings'!$E$20</definedName>
    <definedName name="output_CriticalIllnessProtection_CapitalSumRequired">'Critical Illness'!$E$13</definedName>
    <definedName name="output_CriticalIllnessProtection_ExistingResources">'Critical Illness'!$E$17</definedName>
    <definedName name="output_CriticalIllnessProtection_TotalCashNeeds">'Critical Illness'!$E$19</definedName>
    <definedName name="output_CriticalIllnessProtection_TotalShortFall">'Critical Illness'!$E$18</definedName>
    <definedName name="output_CriticalIllnessProtection_Validation">'Critical Illness'!$E$22</definedName>
    <definedName name="output_CriticalIllnessProtection_ValidationMessage">'Critical Illness'!$E$23</definedName>
    <definedName name="output_CustomerKnowledgeAssessment_CustomerKnowledgeAssessment">'Customer Knowledge'!$D$13</definedName>
    <definedName name="output_CustomerKnowledgeAssessment_Validation">'Customer Knowledge'!$D$16</definedName>
    <definedName name="output_CustomerKnowledgeAssessment_ValidationMessage">'Customer Knowledge'!$D$17</definedName>
    <definedName name="output_DeathProtection_CapitalSumRequired">'Death Protection'!$E$20</definedName>
    <definedName name="output_DeathProtection_ExistingResources">'Death Protection'!$E$22</definedName>
    <definedName name="output_DeathProtection_TotalCashNeeds">'Death Protection'!$E$21</definedName>
    <definedName name="output_DeathProtection_TotalShortFall">'Death Protection'!$E$23</definedName>
    <definedName name="output_DeathProtection_Validation">'Death Protection'!$E$26</definedName>
    <definedName name="output_DeathProtection_ValidationMessage">'Death Protection'!$E$27</definedName>
    <definedName name="output_DependentDeathProtection_CapitalSumRequired">'Dependent Death Protection'!$E$16</definedName>
    <definedName name="output_DependentDeathProtection_ExistingResources">'Dependent Death Protection'!$E$18</definedName>
    <definedName name="output_DependentDeathProtection_TotalCashNeeds">'Dependent Death Protection'!$E$17</definedName>
    <definedName name="output_DependentDeathProtection_TotalShortFall">'Dependent Death Protection'!$E$19</definedName>
    <definedName name="output_DependentDeathProtection_Validation">'Dependent Death Protection'!$E$22</definedName>
    <definedName name="output_DependentDeathProtection_ValidationMessage">'Dependent Death Protection'!$E$23</definedName>
    <definedName name="output_FractureNeedProtection_CapitalSumRequired">'Fracture Need'!$E$13</definedName>
    <definedName name="output_FractureNeedProtection_ExistingResources">'Fracture Need'!$E$14</definedName>
    <definedName name="output_FractureNeedProtection_TotalShortFall">'Fracture Need'!$E$15</definedName>
    <definedName name="output_FractureNeedProtection_Validation">'Fracture Need'!$E$18</definedName>
    <definedName name="output_FractureNeedProtection_ValidationMessage">'Fracture Need'!$E$19</definedName>
    <definedName name="output_GenderRelatedIllnessProtection_CapitalSumRequired">'Gender Related Illness'!$E$13</definedName>
    <definedName name="output_GenderRelatedIllnessProtection_ExistingResources">'Gender Related Illness'!$E$14</definedName>
    <definedName name="output_GenderRelatedIllnessProtection_TotalShortFall">'Gender Related Illness'!$E$15</definedName>
    <definedName name="output_GenderRelatedIllnessProtection_Validation">'Gender Related Illness'!$E$18</definedName>
    <definedName name="output_GenderRelatedIllnessProtection_ValidationMessage">'Gender Related Illness'!$E$19</definedName>
    <definedName name="output_IncomeAndExpense_AnnualEmployeeCPFContribution">'Income &amp; Expense'!$C$10</definedName>
    <definedName name="output_IncomeAndExpense_NetAnnualIncome">'Income &amp; Expense'!$C$11</definedName>
    <definedName name="output_IncomeAndExpense_TotalAnnualExpense">'Income &amp; Expense'!$I$10</definedName>
    <definedName name="output_IncomeAndExpense_TotalTakeHomeIncome">'Income &amp; Expense'!$C$12</definedName>
    <definedName name="output_IncomeAndExpense_Validation">'Income &amp; Expense'!$I$2</definedName>
    <definedName name="output_IncomeAndExpense_ValidationMessage">'Income &amp; Expense'!$I$3</definedName>
    <definedName name="output_LongTermCareProtection_CapitalSumRequired">'Long Term Care'!$E$13</definedName>
    <definedName name="output_LongTermCareProtection_ExistingResources">'Long Term Care'!$E$14</definedName>
    <definedName name="output_LongTermCareProtection_TotalShortFall">'Long Term Care'!$E$15</definedName>
    <definedName name="output_LongTermCareProtection_Validation">'Long Term Care'!$E$18</definedName>
    <definedName name="output_LongTermCareProtection_ValidationMessage">'Long Term Care'!$E$19</definedName>
    <definedName name="output_LossOfIncomeProtection_CapitalSumRequired">'Loss of Income'!$E$13</definedName>
    <definedName name="output_LossOfIncomeProtection_ExistingResources">'Loss of Income'!$E$14</definedName>
    <definedName name="output_LossOfIncomeProtection_TotalShortFall">'Loss of Income'!$E$15</definedName>
    <definedName name="output_LossOfIncomeProtection_Validation">'Loss of Income'!$E$18</definedName>
    <definedName name="output_LossOfIncomeProtection_ValidationMessage">'Loss of Income'!$E$19</definedName>
    <definedName name="output_PersonalAccidentProtection_CapitalSumRequired">'Personal Accident'!$E$13</definedName>
    <definedName name="output_PersonalAccidentProtection_ExistingResources">'Personal Accident'!$E$14</definedName>
    <definedName name="output_PersonalAccidentProtection_TotalShortFall">'Personal Accident'!$E$15</definedName>
    <definedName name="output_PersonalAccidentProtection_Validation">'Personal Accident'!$E$18</definedName>
    <definedName name="output_PersonalAccidentProtection_ValidationMessage">'Personal Accident'!$E$19</definedName>
    <definedName name="output_RetirementAccumulation_AnnualIncomeRequiredAtRetirement">'Retirement Accumulation'!$E$16</definedName>
    <definedName name="output_RetirementAccumulation_CapitalSumRequired">'Retirement Accumulation'!$E$24</definedName>
    <definedName name="output_RetirementAccumulation_ExistingResources">'Retirement Accumulation'!$E$25</definedName>
    <definedName name="output_RetirementAccumulation_ExpensesAtRetirement">'Retirement Accumulation'!$E$17</definedName>
    <definedName name="output_RetirementAccumulation_ProjectedAnnualIncomeRequiredAtRetirement">'Retirement Accumulation'!$E$15</definedName>
    <definedName name="output_RetirementAccumulation_TotalShortFall">'Retirement Accumulation'!$E$26</definedName>
    <definedName name="output_RetirementAccumulation_Validation">'Retirement Accumulation'!$E$29</definedName>
    <definedName name="output_RetirementAccumulation_ValidationMessage">'Retirement Accumulation'!$E$30</definedName>
    <definedName name="output_RetirementAccumulation_YearsToGoal">'Retirement Accumulation'!$E$23</definedName>
    <definedName name="output_RiskProfile_RiskProfile">'Risk Profile'!$D$14</definedName>
    <definedName name="output_RiskProfile_RiskProfileSummary">'Risk Profile'!$D$16</definedName>
    <definedName name="output_RiskProfile_TotalScore">'Risk Profile'!$D$15</definedName>
    <definedName name="output_RiskProfile_Validation">'Risk Profile'!$D$19</definedName>
    <definedName name="output_RiskProfile_ValidationMessage">'Risk Profile'!$D$20</definedName>
    <definedName name="output_SavingsAccumulation_CapitalSumRequired">Savings!$E$14</definedName>
    <definedName name="output_SavingsAccumulation_ExistingResources">Savings!$E$15</definedName>
    <definedName name="output_SavingsAccumulation_TotalShortFall">Savings!$E$16</definedName>
    <definedName name="output_SavingsAccumulation_Validation">Savings!$E$19</definedName>
    <definedName name="output_SavingsAccumulation_ValidationMessage">Savings!$E$20</definedName>
    <definedName name="output_TotalPermanentDisabilityProtection_CapitalSumRequired">'Total Permanent Disability'!$E$13</definedName>
    <definedName name="output_TotalPermanentDisabilityProtection_ExistingResources">'Total Permanent Disability'!$E$17</definedName>
    <definedName name="output_TotalPermanentDisabilityProtection_TotalCashNeeds">'Total Permanent Disability'!$E$19</definedName>
    <definedName name="output_TotalPermanentDisabilityProtection_TotalShortFall">'Total Permanent Disability'!$E$18</definedName>
    <definedName name="output_TotalPermanentDisabilityProtection_Validation">'Total Permanent Disability'!$E$22</definedName>
    <definedName name="output_TotalPermanentDisabilityProtection_ValidationMessage">'Total Permanent Disability'!$E$23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7" l="1"/>
  <c r="I2" i="17"/>
  <c r="P12" i="17"/>
  <c r="P13" i="17"/>
  <c r="P14" i="17"/>
  <c r="P11" i="17"/>
  <c r="O14" i="17"/>
  <c r="O13" i="17"/>
  <c r="O12" i="17"/>
  <c r="O11" i="17"/>
  <c r="N14" i="17"/>
  <c r="N13" i="17"/>
  <c r="N12" i="17"/>
  <c r="N11" i="17"/>
  <c r="O6" i="17"/>
  <c r="O7" i="17"/>
  <c r="O8" i="17"/>
  <c r="O5" i="17"/>
  <c r="J13" i="19"/>
  <c r="K13" i="19" s="1"/>
  <c r="J12" i="19"/>
  <c r="K12" i="19" s="1"/>
  <c r="J11" i="19"/>
  <c r="K11" i="19" s="1"/>
  <c r="I13" i="19"/>
  <c r="I12" i="19"/>
  <c r="I11" i="19"/>
  <c r="J8" i="19"/>
  <c r="J7" i="19"/>
  <c r="J6" i="19"/>
  <c r="D20" i="18"/>
  <c r="D19" i="18"/>
  <c r="O12" i="18"/>
  <c r="O13" i="18"/>
  <c r="O14" i="18"/>
  <c r="O15" i="18"/>
  <c r="O16" i="18"/>
  <c r="O11" i="18"/>
  <c r="N16" i="18"/>
  <c r="N15" i="18"/>
  <c r="N14" i="18"/>
  <c r="N13" i="18"/>
  <c r="N12" i="18"/>
  <c r="N11" i="18"/>
  <c r="M16" i="18"/>
  <c r="M15" i="18"/>
  <c r="M14" i="18"/>
  <c r="M13" i="18"/>
  <c r="M12" i="18"/>
  <c r="M11" i="18"/>
  <c r="N4" i="18"/>
  <c r="N5" i="18"/>
  <c r="N6" i="18"/>
  <c r="N7" i="18"/>
  <c r="N8" i="18"/>
  <c r="N3" i="18"/>
  <c r="D16" i="19" l="1"/>
  <c r="D17" i="19" s="1"/>
  <c r="I4" i="20" l="1"/>
  <c r="I10" i="20" s="1"/>
  <c r="J10" i="20" s="1"/>
  <c r="I4" i="15"/>
  <c r="I10" i="15" s="1"/>
  <c r="J10" i="15" s="1"/>
  <c r="I4" i="14"/>
  <c r="I10" i="14" s="1"/>
  <c r="J10" i="14" s="1"/>
  <c r="I4" i="13"/>
  <c r="I10" i="13" s="1"/>
  <c r="J10" i="13" s="1"/>
  <c r="E19" i="12"/>
  <c r="E18" i="12"/>
  <c r="K10" i="12"/>
  <c r="I4" i="12"/>
  <c r="E18" i="20" l="1"/>
  <c r="E19" i="20" s="1"/>
  <c r="K10" i="20"/>
  <c r="K10" i="15"/>
  <c r="E18" i="15"/>
  <c r="E19" i="15" s="1"/>
  <c r="K10" i="14"/>
  <c r="E18" i="14"/>
  <c r="E19" i="14" s="1"/>
  <c r="E18" i="13"/>
  <c r="E19" i="13" s="1"/>
  <c r="K10" i="13"/>
  <c r="I10" i="12"/>
  <c r="J10" i="12" s="1"/>
  <c r="E22" i="5"/>
  <c r="E23" i="5" s="1"/>
  <c r="J19" i="5"/>
  <c r="K17" i="5" l="1"/>
  <c r="K18" i="5"/>
  <c r="K16" i="5"/>
  <c r="I18" i="5"/>
  <c r="J18" i="5" s="1"/>
  <c r="I7" i="5"/>
  <c r="I19" i="5" s="1"/>
  <c r="K19" i="5" s="1"/>
  <c r="I6" i="5"/>
  <c r="I5" i="5"/>
  <c r="I17" i="5" s="1"/>
  <c r="J17" i="5" s="1"/>
  <c r="I4" i="5"/>
  <c r="I16" i="5" s="1"/>
  <c r="J16" i="5" s="1"/>
  <c r="I5" i="21"/>
  <c r="I13" i="21" s="1"/>
  <c r="J13" i="21" s="1"/>
  <c r="K13" i="21" s="1"/>
  <c r="I4" i="21"/>
  <c r="I12" i="21" s="1"/>
  <c r="J12" i="21" s="1"/>
  <c r="E19" i="9"/>
  <c r="I5" i="9"/>
  <c r="I13" i="9" s="1"/>
  <c r="J13" i="9" s="1"/>
  <c r="K13" i="9" s="1"/>
  <c r="I4" i="9"/>
  <c r="I12" i="9" s="1"/>
  <c r="J12" i="9" s="1"/>
  <c r="E22" i="10"/>
  <c r="E23" i="10" s="1"/>
  <c r="I7" i="10"/>
  <c r="I19" i="10" s="1"/>
  <c r="J19" i="10" s="1"/>
  <c r="K19" i="10" s="1"/>
  <c r="I6" i="10"/>
  <c r="I18" i="10" s="1"/>
  <c r="J18" i="10" s="1"/>
  <c r="K18" i="10" s="1"/>
  <c r="I5" i="10"/>
  <c r="I17" i="10" s="1"/>
  <c r="J17" i="10" s="1"/>
  <c r="K17" i="10" s="1"/>
  <c r="I4" i="10"/>
  <c r="I16" i="10" s="1"/>
  <c r="J16" i="10" s="1"/>
  <c r="K16" i="10" s="1"/>
  <c r="E29" i="8"/>
  <c r="E30" i="8" s="1"/>
  <c r="K20" i="8"/>
  <c r="I9" i="8"/>
  <c r="I8" i="8"/>
  <c r="I24" i="8" s="1"/>
  <c r="J24" i="8" s="1"/>
  <c r="I7" i="8"/>
  <c r="I23" i="8" s="1"/>
  <c r="J23" i="8" s="1"/>
  <c r="K23" i="8" s="1"/>
  <c r="I6" i="8"/>
  <c r="I22" i="8" s="1"/>
  <c r="J22" i="8" s="1"/>
  <c r="K22" i="8" s="1"/>
  <c r="I5" i="8"/>
  <c r="I21" i="8" s="1"/>
  <c r="J21" i="8" s="1"/>
  <c r="K21" i="8" s="1"/>
  <c r="I4" i="8"/>
  <c r="I20" i="8" s="1"/>
  <c r="J20" i="8" s="1"/>
  <c r="I25" i="8"/>
  <c r="J25" i="8" s="1"/>
  <c r="K25" i="8" s="1"/>
  <c r="K17" i="11"/>
  <c r="K18" i="11"/>
  <c r="K19" i="11"/>
  <c r="K16" i="11"/>
  <c r="E22" i="11"/>
  <c r="E23" i="11" s="1"/>
  <c r="I19" i="11"/>
  <c r="J19" i="11" s="1"/>
  <c r="I7" i="11"/>
  <c r="I6" i="11"/>
  <c r="I18" i="11" s="1"/>
  <c r="J18" i="11" s="1"/>
  <c r="I5" i="11"/>
  <c r="I17" i="11" s="1"/>
  <c r="J17" i="11" s="1"/>
  <c r="I4" i="11"/>
  <c r="I16" i="11" s="1"/>
  <c r="J16" i="11" s="1"/>
  <c r="E23" i="22"/>
  <c r="E22" i="22"/>
  <c r="I21" i="1"/>
  <c r="J21" i="1" s="1"/>
  <c r="I22" i="1"/>
  <c r="J22" i="1" s="1"/>
  <c r="I23" i="1"/>
  <c r="J23" i="1" s="1"/>
  <c r="I24" i="1"/>
  <c r="I25" i="1"/>
  <c r="I20" i="1"/>
  <c r="I16" i="22"/>
  <c r="I15" i="22"/>
  <c r="J15" i="22" s="1"/>
  <c r="K15" i="22" s="1"/>
  <c r="I14" i="22"/>
  <c r="J14" i="22" s="1"/>
  <c r="K14" i="22" s="1"/>
  <c r="I6" i="22"/>
  <c r="I5" i="22"/>
  <c r="I4" i="22"/>
  <c r="J24" i="1"/>
  <c r="J25" i="1"/>
  <c r="I8" i="1"/>
  <c r="E19" i="21" l="1"/>
  <c r="E20" i="21" s="1"/>
  <c r="K12" i="21"/>
  <c r="E20" i="9"/>
  <c r="K12" i="9"/>
  <c r="K24" i="8"/>
  <c r="K21" i="1"/>
  <c r="K22" i="1"/>
  <c r="K23" i="1"/>
  <c r="K24" i="1"/>
  <c r="K25" i="1"/>
  <c r="J20" i="1" l="1"/>
  <c r="E26" i="1" s="1"/>
  <c r="E27" i="1" s="1"/>
  <c r="K20" i="1" l="1"/>
  <c r="I9" i="1"/>
  <c r="I7" i="1"/>
  <c r="I6" i="1"/>
  <c r="I5" i="1"/>
  <c r="I4" i="1"/>
  <c r="I10" i="17"/>
  <c r="E14" i="12"/>
  <c r="D13" i="19"/>
  <c r="F10" i="17" l="1"/>
  <c r="E17" i="22" l="1"/>
  <c r="E18" i="22"/>
  <c r="E13" i="12"/>
  <c r="E20" i="1"/>
  <c r="E16" i="22" l="1"/>
  <c r="J16" i="22" s="1"/>
  <c r="K16" i="22" s="1"/>
  <c r="E19" i="22"/>
  <c r="E15" i="12"/>
  <c r="E14" i="20"/>
  <c r="E13" i="20"/>
  <c r="E21" i="1" l="1"/>
  <c r="D14" i="18" l="1"/>
  <c r="D16" i="18" s="1" a="1"/>
  <c r="D16" i="18" s="1"/>
  <c r="D15" i="18"/>
  <c r="F11" i="17" l="1"/>
  <c r="C10" i="17" s="1"/>
  <c r="C11" i="17" l="1"/>
  <c r="C12" i="17" s="1"/>
  <c r="E11" i="5"/>
  <c r="E13" i="15" l="1"/>
  <c r="E15" i="20" s="1"/>
  <c r="E14" i="15"/>
  <c r="E15" i="15" l="1"/>
  <c r="E13" i="14"/>
  <c r="E14" i="14"/>
  <c r="E15" i="14" s="1"/>
  <c r="E13" i="13" l="1"/>
  <c r="E14" i="13"/>
  <c r="E15" i="13" l="1"/>
  <c r="E13" i="11" l="1"/>
  <c r="E19" i="11" s="1"/>
  <c r="E17" i="11"/>
  <c r="E18" i="11" l="1"/>
  <c r="E13" i="10"/>
  <c r="E17" i="10"/>
  <c r="E18" i="10" l="1"/>
  <c r="E19" i="10"/>
  <c r="E14" i="9"/>
  <c r="E15" i="9"/>
  <c r="E16" i="9" l="1"/>
  <c r="E23" i="8" l="1"/>
  <c r="E25" i="8"/>
  <c r="E17" i="8" l="1"/>
  <c r="E15" i="8"/>
  <c r="E17" i="5"/>
  <c r="E18" i="5"/>
  <c r="E16" i="8" l="1"/>
  <c r="E24" i="8" s="1"/>
  <c r="E19" i="5"/>
  <c r="E26" i="8" l="1"/>
  <c r="E22" i="1"/>
  <c r="E23" i="1" s="1"/>
</calcChain>
</file>

<file path=xl/sharedStrings.xml><?xml version="1.0" encoding="utf-8"?>
<sst xmlns="http://schemas.openxmlformats.org/spreadsheetml/2006/main" count="657" uniqueCount="154">
  <si>
    <t>Inputs</t>
  </si>
  <si>
    <t>Outputs</t>
  </si>
  <si>
    <t>Formulae</t>
  </si>
  <si>
    <t>Final Expenses</t>
  </si>
  <si>
    <t>Input</t>
  </si>
  <si>
    <t>Emergency Fund</t>
  </si>
  <si>
    <t>Mortgage Payment</t>
  </si>
  <si>
    <t>Personal Debts</t>
  </si>
  <si>
    <t>Others</t>
  </si>
  <si>
    <t>Existing Resources</t>
  </si>
  <si>
    <t>Inflation Adjusted Return</t>
  </si>
  <si>
    <t>Desired Annual Income Replacement</t>
  </si>
  <si>
    <t>Lump Sum Dependents Expenses Needed</t>
  </si>
  <si>
    <t xml:space="preserve">Life Protection Gap </t>
  </si>
  <si>
    <t>Number Of Years Needed</t>
  </si>
  <si>
    <t>Total Cash Needs</t>
  </si>
  <si>
    <t>Existing Insurance</t>
  </si>
  <si>
    <t>Existing Assets</t>
  </si>
  <si>
    <r>
      <t>Amount Needed</t>
    </r>
    <r>
      <rPr>
        <sz val="8"/>
        <color theme="1"/>
        <rFont val="Calibri"/>
        <family val="2"/>
        <scheme val="minor"/>
      </rPr>
      <t> </t>
    </r>
  </si>
  <si>
    <t>Inflation Rate</t>
  </si>
  <si>
    <t>Education Gap (Total shortfall)</t>
  </si>
  <si>
    <t>Lump Sum Education Expenses needed</t>
  </si>
  <si>
    <t>When do you need this fund?</t>
  </si>
  <si>
    <t>Amount Needed</t>
  </si>
  <si>
    <t>Savings Gap (Total shortfall)</t>
  </si>
  <si>
    <t>Lump Sum Savings Needed</t>
  </si>
  <si>
    <t>Duration of Retirement</t>
  </si>
  <si>
    <t xml:space="preserve"> </t>
  </si>
  <si>
    <t>Annual Retirement Expenses (Today's value)</t>
  </si>
  <si>
    <t>Age at Next Birthday</t>
  </si>
  <si>
    <t xml:space="preserve">Retirement Gap (Total Shortfall) </t>
  </si>
  <si>
    <t>More Year to Retirement</t>
  </si>
  <si>
    <t>Inflation Adjusted Rate of Return</t>
  </si>
  <si>
    <t>Formula</t>
  </si>
  <si>
    <t>Output</t>
  </si>
  <si>
    <t>Estimated Medical Expenses</t>
  </si>
  <si>
    <t>Inflation Adjusted Return (Rate of Return)</t>
  </si>
  <si>
    <t>Number of years expenses are to be covered</t>
  </si>
  <si>
    <t>TPD Protection Gap (Total shortfall)</t>
  </si>
  <si>
    <t>Capital Sum Required</t>
  </si>
  <si>
    <t>Estimated Treatment Costs</t>
  </si>
  <si>
    <t>Critical Illness Protection Gap (Total shortfall)</t>
  </si>
  <si>
    <t>Lump Sum Post Critical Illness Expenses needed</t>
  </si>
  <si>
    <t>Replacement Income Needed Per Month</t>
  </si>
  <si>
    <t>Long-Term Care Protection Gap (Total shortfall)</t>
  </si>
  <si>
    <t>Lump Sum Long-Term Care Expenses needed</t>
  </si>
  <si>
    <t>Singapore</t>
  </si>
  <si>
    <t>Australia</t>
  </si>
  <si>
    <t>United States</t>
  </si>
  <si>
    <t>United Kingdom</t>
  </si>
  <si>
    <t>Country</t>
  </si>
  <si>
    <t>Country of study</t>
  </si>
  <si>
    <t>Auto populate inflation rate</t>
  </si>
  <si>
    <t>Income</t>
  </si>
  <si>
    <t>Annual Income, before CPF, from your job</t>
  </si>
  <si>
    <t>Minus Annual Employee's CPF Contribution</t>
  </si>
  <si>
    <t>Net Annual Income, after CPF, from your job</t>
  </si>
  <si>
    <t>Total Take Home Income</t>
  </si>
  <si>
    <t>Income Type</t>
  </si>
  <si>
    <t>Annual Bonuses</t>
  </si>
  <si>
    <t>Total wage cap</t>
  </si>
  <si>
    <t>Ordinary wage cap</t>
  </si>
  <si>
    <t>Ordinary wage</t>
  </si>
  <si>
    <t>Additional wage</t>
  </si>
  <si>
    <t>Investment experience</t>
  </si>
  <si>
    <t>Acceptable short term loss</t>
  </si>
  <si>
    <t>Comfortability of Investment holding</t>
  </si>
  <si>
    <t>Financing standard of living through assets</t>
  </si>
  <si>
    <t>Riskiest assets that you would invest in</t>
  </si>
  <si>
    <t>Years to Retirement</t>
  </si>
  <si>
    <t>Score</t>
  </si>
  <si>
    <t>Risk Profile</t>
  </si>
  <si>
    <t>Customer Knowledge Assessment</t>
  </si>
  <si>
    <t>Summary</t>
  </si>
  <si>
    <t>Lower Risk</t>
  </si>
  <si>
    <t>My goal is to protect the amount I invest. I can accept minimal ups and downs in the value of my investments. I avoid investments with significant fluctuations in value. I understand this means returns will be lower and after considering inflation, I may not achieve real capital growth.</t>
  </si>
  <si>
    <t>Low to Medium Risk</t>
  </si>
  <si>
    <t>My goal is to use my investments to keep pace with inflation. I can accept some ups and downs in the value of my investments. I understand this means sometimes the value may become less than the amount I invest, in order to achieve the potential of some real capital growth.</t>
  </si>
  <si>
    <t>Medium to High Risk</t>
  </si>
  <si>
    <t>My goal is to grow my investments over a medium-term time horizon. I can accept significant ups and downs in the value of my investments. I understand this means the value may possibly become less than the amount I invest, in order to achieve the potential of greater real capital growth.</t>
  </si>
  <si>
    <t>Total Score</t>
  </si>
  <si>
    <t>Higher Risk</t>
  </si>
  <si>
    <t>My goal is to achieve significant capital growth over a long-term horizon. I can accept sharp fluctuations in the value of my investments. I understand this means there is a high possibility that I may lose some or all of what I invest, in exchange for potentially high returns.</t>
  </si>
  <si>
    <t>Risk Profile Summary</t>
  </si>
  <si>
    <t>Diploma or higher qualification</t>
  </si>
  <si>
    <t>At least 6 transaction in past 3 yrs in specified investment products</t>
  </si>
  <si>
    <t>Experience in Investment products</t>
  </si>
  <si>
    <t>Current Annual Income</t>
  </si>
  <si>
    <t>Rate of Income Increment</t>
  </si>
  <si>
    <t>Age</t>
  </si>
  <si>
    <t>Dividends</t>
  </si>
  <si>
    <t>Property Rental Income</t>
  </si>
  <si>
    <t>Other Income Discription</t>
  </si>
  <si>
    <t>None</t>
  </si>
  <si>
    <t>Expense</t>
  </si>
  <si>
    <t>Expense Type</t>
  </si>
  <si>
    <t>Annual Expense</t>
  </si>
  <si>
    <t>Total Annual Expense</t>
  </si>
  <si>
    <t>Fixed Expense</t>
  </si>
  <si>
    <t>Personal Expense</t>
  </si>
  <si>
    <t>Other Expense</t>
  </si>
  <si>
    <t>Luxury Expense</t>
  </si>
  <si>
    <t>Family Expense</t>
  </si>
  <si>
    <t>Fracture Gap (Total shortfall)</t>
  </si>
  <si>
    <t>Annual Income at Retirement Age</t>
  </si>
  <si>
    <t>Loans</t>
  </si>
  <si>
    <t>Annual Income Amount</t>
  </si>
  <si>
    <t>Annual Expense Amount</t>
  </si>
  <si>
    <t>Method</t>
  </si>
  <si>
    <t>Lump Sum Retirement Needed</t>
  </si>
  <si>
    <t>Projected Annual Income Required at Retirement</t>
  </si>
  <si>
    <t>Annual Expense at Retirement Age</t>
  </si>
  <si>
    <t>Preferred Method</t>
  </si>
  <si>
    <t>INCOME</t>
  </si>
  <si>
    <t>EXPENSE</t>
  </si>
  <si>
    <t>Other Expense Description</t>
  </si>
  <si>
    <t>Parameter</t>
  </si>
  <si>
    <t>Mapping</t>
  </si>
  <si>
    <t>Minimum Value</t>
  </si>
  <si>
    <t>Maximum Value</t>
  </si>
  <si>
    <t>Error Code</t>
  </si>
  <si>
    <t>Error Message</t>
  </si>
  <si>
    <t>Please fill in the inputs under “Protecting Your Income in the Event of Death”.</t>
  </si>
  <si>
    <t>Is Valid</t>
  </si>
  <si>
    <t>Validity</t>
  </si>
  <si>
    <t>E001</t>
  </si>
  <si>
    <t>E002</t>
  </si>
  <si>
    <t>E003</t>
  </si>
  <si>
    <t>E004</t>
  </si>
  <si>
    <t>E005</t>
  </si>
  <si>
    <t>E006</t>
  </si>
  <si>
    <t>Please fill in the inputs under “Expenses in the Event of Death”.</t>
  </si>
  <si>
    <t>Please fill in the inputs under “Protecting Your Income in the Event of Critical Illness”.</t>
  </si>
  <si>
    <t>Please fill in the inputs under “Retirement”.</t>
  </si>
  <si>
    <t>Please fill in the inputs under “Protecting Your Income in the Event of Total and Permanent Disability”.</t>
  </si>
  <si>
    <t>Please fill in the inputs under “Savings”.</t>
  </si>
  <si>
    <t>Please complete the necessary needs analysis in Children’s Education.</t>
  </si>
  <si>
    <t>Please fill in the inputs under Protecting Your Income in the Event of Long-Term Care.</t>
  </si>
  <si>
    <t>Please fill in the inputs under Protecting Your Income in the Event of Loss of Income.</t>
  </si>
  <si>
    <t>Please fill in the inputs under Protecting Your Income in the Gender Related Illness.</t>
  </si>
  <si>
    <t>Please fill in the inputs under Protecting Your Income in the Personal Accident.</t>
  </si>
  <si>
    <t>RPQ001</t>
  </si>
  <si>
    <t>RPQ002</t>
  </si>
  <si>
    <t>RPQ003</t>
  </si>
  <si>
    <t>RPQ004</t>
  </si>
  <si>
    <t>RPQ005</t>
  </si>
  <si>
    <t>RPQ006</t>
  </si>
  <si>
    <t>CKA001</t>
  </si>
  <si>
    <t>CKA002</t>
  </si>
  <si>
    <t>CKA003</t>
  </si>
  <si>
    <t>IAE001</t>
  </si>
  <si>
    <t>IAE002</t>
  </si>
  <si>
    <t>IAE003</t>
  </si>
  <si>
    <t>IAE004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</si>
</sst>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Roboto"/>
    </font>
    <font>
      <sz val="10"/>
      <color theme="1"/>
      <name val="Roboto"/>
    </font>
    <font>
      <sz val="8"/>
      <color theme="1"/>
      <name val="Calibri"/>
      <family val="2"/>
      <scheme val="minor"/>
    </font>
    <font>
      <sz val="11"/>
      <color theme="1"/>
      <name val="Roboto"/>
    </font>
    <font>
      <sz val="13"/>
      <color rgb="FF2F5496"/>
      <name val="Calibri Light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164" fontId="7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7" fillId="0" borderId="0"/>
    <xf numFmtId="43" fontId="7" fillId="0" borderId="0" applyFont="0" applyFill="0" applyBorder="0" applyAlignment="0" applyProtection="0"/>
  </cellStyleXfs>
  <cellXfs count="6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0" fillId="0" borderId="3" xfId="0" applyBorder="1"/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justify" vertical="center"/>
    </xf>
    <xf numFmtId="0" fontId="0" fillId="0" borderId="4" xfId="0" applyBorder="1"/>
    <xf numFmtId="0" fontId="14" fillId="0" borderId="0" xfId="2"/>
    <xf numFmtId="0" fontId="15" fillId="0" borderId="1" xfId="0" applyFont="1" applyBorder="1"/>
    <xf numFmtId="0" fontId="0" fillId="2" borderId="1" xfId="1" applyNumberFormat="1" applyFont="1" applyFill="1" applyBorder="1"/>
    <xf numFmtId="0" fontId="0" fillId="3" borderId="1" xfId="1" applyNumberFormat="1" applyFont="1" applyFill="1" applyBorder="1"/>
    <xf numFmtId="0" fontId="0" fillId="3" borderId="3" xfId="0" applyFill="1" applyBorder="1"/>
    <xf numFmtId="0" fontId="17" fillId="6" borderId="0" xfId="3" applyFill="1"/>
    <xf numFmtId="0" fontId="17" fillId="0" borderId="0" xfId="3"/>
    <xf numFmtId="0" fontId="17" fillId="7" borderId="0" xfId="3" applyFill="1"/>
    <xf numFmtId="0" fontId="17" fillId="5" borderId="0" xfId="3" applyFill="1"/>
    <xf numFmtId="0" fontId="17" fillId="0" borderId="5" xfId="3" applyBorder="1"/>
    <xf numFmtId="0" fontId="17" fillId="0" borderId="6" xfId="3" applyBorder="1"/>
    <xf numFmtId="0" fontId="17" fillId="10" borderId="6" xfId="3" applyFill="1" applyBorder="1"/>
    <xf numFmtId="0" fontId="17" fillId="8" borderId="6" xfId="3" applyFill="1" applyBorder="1"/>
    <xf numFmtId="0" fontId="17" fillId="9" borderId="0" xfId="3" applyFill="1"/>
    <xf numFmtId="0" fontId="8" fillId="0" borderId="1" xfId="3" applyFont="1" applyBorder="1" applyAlignment="1">
      <alignment horizontal="center"/>
    </xf>
    <xf numFmtId="0" fontId="17" fillId="0" borderId="1" xfId="3" applyBorder="1"/>
    <xf numFmtId="0" fontId="17" fillId="0" borderId="1" xfId="3" applyBorder="1" applyAlignment="1">
      <alignment horizontal="center"/>
    </xf>
    <xf numFmtId="0" fontId="17" fillId="8" borderId="0" xfId="3" applyFill="1"/>
    <xf numFmtId="0" fontId="16" fillId="11" borderId="2" xfId="0" applyFont="1" applyFill="1" applyBorder="1"/>
    <xf numFmtId="0" fontId="6" fillId="0" borderId="7" xfId="3" applyFont="1" applyBorder="1" applyAlignment="1">
      <alignment horizontal="left"/>
    </xf>
    <xf numFmtId="0" fontId="6" fillId="8" borderId="8" xfId="3" applyFont="1" applyFill="1" applyBorder="1" applyAlignment="1">
      <alignment horizontal="left"/>
    </xf>
    <xf numFmtId="0" fontId="18" fillId="0" borderId="5" xfId="3" applyFont="1" applyBorder="1"/>
    <xf numFmtId="0" fontId="18" fillId="0" borderId="6" xfId="3" applyFont="1" applyBorder="1"/>
    <xf numFmtId="0" fontId="18" fillId="8" borderId="6" xfId="3" applyFont="1" applyFill="1" applyBorder="1"/>
    <xf numFmtId="0" fontId="18" fillId="0" borderId="9" xfId="3" applyFont="1" applyBorder="1"/>
    <xf numFmtId="0" fontId="18" fillId="8" borderId="10" xfId="3" applyFont="1" applyFill="1" applyBorder="1"/>
    <xf numFmtId="0" fontId="6" fillId="0" borderId="5" xfId="3" applyFont="1" applyBorder="1"/>
    <xf numFmtId="0" fontId="5" fillId="0" borderId="7" xfId="3" applyFont="1" applyBorder="1"/>
    <xf numFmtId="0" fontId="5" fillId="0" borderId="8" xfId="3" applyFont="1" applyBorder="1"/>
    <xf numFmtId="0" fontId="5" fillId="0" borderId="5" xfId="3" applyFont="1" applyBorder="1"/>
    <xf numFmtId="0" fontId="5" fillId="0" borderId="6" xfId="3" applyFont="1" applyBorder="1"/>
    <xf numFmtId="0" fontId="4" fillId="0" borderId="5" xfId="3" applyFont="1" applyBorder="1"/>
    <xf numFmtId="165" fontId="0" fillId="3" borderId="1" xfId="4" applyNumberFormat="1" applyFont="1" applyFill="1" applyBorder="1"/>
    <xf numFmtId="165" fontId="0" fillId="3" borderId="3" xfId="4" applyNumberFormat="1" applyFont="1" applyFill="1" applyBorder="1"/>
    <xf numFmtId="0" fontId="3" fillId="0" borderId="9" xfId="3" applyFont="1" applyBorder="1"/>
    <xf numFmtId="0" fontId="3" fillId="8" borderId="10" xfId="3" applyFont="1" applyFill="1" applyBorder="1"/>
    <xf numFmtId="0" fontId="2" fillId="0" borderId="0" xfId="3" applyFont="1"/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12" borderId="1" xfId="0" applyFill="1" applyBorder="1"/>
    <xf numFmtId="0" fontId="0" fillId="0" borderId="11" xfId="0" applyBorder="1"/>
    <xf numFmtId="0" fontId="0" fillId="0" borderId="13" xfId="0" applyBorder="1"/>
    <xf numFmtId="165" fontId="0" fillId="3" borderId="12" xfId="4" quotePrefix="1" applyNumberFormat="1" applyFont="1" applyFill="1" applyBorder="1"/>
    <xf numFmtId="0" fontId="0" fillId="3" borderId="14" xfId="0" applyFill="1" applyBorder="1"/>
    <xf numFmtId="0" fontId="17" fillId="0" borderId="0" xfId="3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7" fillId="0" borderId="1" xfId="3" applyBorder="1" applyAlignment="1">
      <alignment horizontal="left"/>
    </xf>
    <xf numFmtId="0" fontId="17" fillId="12" borderId="1" xfId="3" applyFill="1" applyBorder="1" applyAlignment="1">
      <alignment horizontal="left"/>
    </xf>
    <xf numFmtId="0" fontId="1" fillId="0" borderId="1" xfId="3" applyFont="1" applyBorder="1" applyAlignment="1">
      <alignment horizontal="left"/>
    </xf>
    <xf numFmtId="0" fontId="8" fillId="0" borderId="7" xfId="3" applyFont="1" applyBorder="1" applyAlignment="1">
      <alignment horizontal="center"/>
    </xf>
    <xf numFmtId="0" fontId="8" fillId="0" borderId="8" xfId="3" applyFont="1" applyBorder="1" applyAlignment="1">
      <alignment horizontal="center"/>
    </xf>
  </cellXfs>
  <cellStyles count="5">
    <cellStyle name="Comma" xfId="4" builtinId="3"/>
    <cellStyle name="Currency" xfId="1" builtinId="4"/>
    <cellStyle name="Hyperlink" xfId="2" builtinId="8"/>
    <cellStyle name="Normal" xfId="0" builtinId="0"/>
    <cellStyle name="Normal 2" xfId="3" xr:uid="{7D7385E6-AFEF-7644-8CBE-0613FEEC8A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EE8C-84FB-1B4A-AEC8-236B48E55AA5}">
  <dimension ref="D3:K27"/>
  <sheetViews>
    <sheetView topLeftCell="A2" zoomScale="70" zoomScaleNormal="70" workbookViewId="0">
      <selection activeCell="E17" sqref="E17"/>
    </sheetView>
  </sheetViews>
  <sheetFormatPr defaultColWidth="11.08203125" defaultRowHeight="15.5" x14ac:dyDescent="0.35"/>
  <cols>
    <col min="2" max="2" width="10.83203125" customWidth="1"/>
    <col min="4" max="4" width="35.5" bestFit="1" customWidth="1"/>
    <col min="5" max="5" width="21" bestFit="1" customWidth="1"/>
    <col min="7" max="7" width="13.08203125" bestFit="1" customWidth="1"/>
    <col min="8" max="8" width="31.5" bestFit="1" customWidth="1"/>
    <col min="9" max="9" width="11.5" bestFit="1" customWidth="1"/>
    <col min="10" max="10" width="13.5" bestFit="1" customWidth="1"/>
    <col min="11" max="11" width="13.75" bestFit="1" customWidth="1"/>
  </cols>
  <sheetData>
    <row r="3" spans="4:11" x14ac:dyDescent="0.35">
      <c r="H3" s="49" t="s">
        <v>116</v>
      </c>
      <c r="I3" s="49" t="s">
        <v>117</v>
      </c>
      <c r="J3" s="49" t="s">
        <v>118</v>
      </c>
      <c r="K3" s="49" t="s">
        <v>119</v>
      </c>
    </row>
    <row r="4" spans="4:11" x14ac:dyDescent="0.35">
      <c r="D4" s="1" t="s">
        <v>0</v>
      </c>
      <c r="E4" s="2"/>
      <c r="H4" s="1" t="s">
        <v>11</v>
      </c>
      <c r="I4" s="1">
        <f>input_DeathProtection_DesiredAnnualIncomeReplacement</f>
        <v>100000</v>
      </c>
      <c r="J4" s="1">
        <v>0</v>
      </c>
      <c r="K4" s="1">
        <v>9999999999</v>
      </c>
    </row>
    <row r="5" spans="4:11" x14ac:dyDescent="0.35">
      <c r="D5" s="1" t="s">
        <v>1</v>
      </c>
      <c r="E5" s="3"/>
      <c r="H5" s="1" t="s">
        <v>14</v>
      </c>
      <c r="I5" s="1">
        <f>input_DeathProtection_DurationOfGoal</f>
        <v>20</v>
      </c>
      <c r="J5" s="1">
        <v>0</v>
      </c>
      <c r="K5" s="1">
        <v>99</v>
      </c>
    </row>
    <row r="6" spans="4:11" x14ac:dyDescent="0.35">
      <c r="D6" s="1" t="s">
        <v>2</v>
      </c>
      <c r="E6" s="4"/>
      <c r="H6" s="1" t="s">
        <v>10</v>
      </c>
      <c r="I6" s="1">
        <f>input_DeathProtection_InflationAdjustedRateOfReturn</f>
        <v>0.01</v>
      </c>
      <c r="J6" s="1">
        <v>-0.2</v>
      </c>
      <c r="K6" s="1">
        <v>0.2</v>
      </c>
    </row>
    <row r="7" spans="4:11" x14ac:dyDescent="0.35">
      <c r="H7" s="1" t="s">
        <v>3</v>
      </c>
      <c r="I7" s="1">
        <f>input_DeathProtection_FinalExpenses</f>
        <v>10000</v>
      </c>
      <c r="J7" s="1">
        <v>0</v>
      </c>
      <c r="K7" s="1">
        <v>9999999999</v>
      </c>
    </row>
    <row r="8" spans="4:11" x14ac:dyDescent="0.35">
      <c r="H8" s="1" t="s">
        <v>5</v>
      </c>
      <c r="I8" s="1">
        <f>input_DeathProtection_EmergencyFund</f>
        <v>30000</v>
      </c>
      <c r="J8" s="1">
        <v>0</v>
      </c>
      <c r="K8" s="1">
        <v>9999999999</v>
      </c>
    </row>
    <row r="9" spans="4:11" x14ac:dyDescent="0.35">
      <c r="D9" s="1" t="s">
        <v>11</v>
      </c>
      <c r="E9" s="14">
        <v>100000</v>
      </c>
      <c r="H9" s="1" t="s">
        <v>8</v>
      </c>
      <c r="I9" s="1">
        <f>input_DeathProtection_Others</f>
        <v>10000</v>
      </c>
      <c r="J9" s="1">
        <v>0</v>
      </c>
      <c r="K9" s="1">
        <v>9999999999</v>
      </c>
    </row>
    <row r="10" spans="4:11" x14ac:dyDescent="0.35">
      <c r="D10" s="1" t="s">
        <v>14</v>
      </c>
      <c r="E10" s="2">
        <v>20</v>
      </c>
      <c r="I10" s="5"/>
      <c r="J10" s="5"/>
    </row>
    <row r="11" spans="4:11" x14ac:dyDescent="0.35">
      <c r="D11" s="1" t="s">
        <v>10</v>
      </c>
      <c r="E11" s="2">
        <v>0.01</v>
      </c>
      <c r="H11" s="49" t="s">
        <v>116</v>
      </c>
      <c r="I11" s="49" t="s">
        <v>120</v>
      </c>
      <c r="J11" s="49" t="s">
        <v>121</v>
      </c>
    </row>
    <row r="12" spans="4:11" x14ac:dyDescent="0.35">
      <c r="D12" s="1" t="s">
        <v>3</v>
      </c>
      <c r="E12" s="2">
        <v>10000</v>
      </c>
      <c r="H12" s="1" t="s">
        <v>11</v>
      </c>
      <c r="I12" s="50" t="s">
        <v>125</v>
      </c>
      <c r="J12" s="51" t="s">
        <v>122</v>
      </c>
    </row>
    <row r="13" spans="4:11" x14ac:dyDescent="0.35">
      <c r="D13" s="1" t="s">
        <v>5</v>
      </c>
      <c r="E13" s="14">
        <v>30000</v>
      </c>
      <c r="H13" s="1" t="s">
        <v>14</v>
      </c>
      <c r="I13" s="50" t="s">
        <v>126</v>
      </c>
      <c r="J13" s="51" t="s">
        <v>122</v>
      </c>
    </row>
    <row r="14" spans="4:11" x14ac:dyDescent="0.35">
      <c r="D14" s="1" t="s">
        <v>6</v>
      </c>
      <c r="E14" s="14">
        <v>300000</v>
      </c>
      <c r="H14" s="1" t="s">
        <v>10</v>
      </c>
      <c r="I14" s="50" t="s">
        <v>127</v>
      </c>
      <c r="J14" s="51" t="s">
        <v>122</v>
      </c>
    </row>
    <row r="15" spans="4:11" x14ac:dyDescent="0.35">
      <c r="D15" s="1" t="s">
        <v>7</v>
      </c>
      <c r="E15" s="14">
        <v>10000</v>
      </c>
      <c r="H15" s="1" t="s">
        <v>3</v>
      </c>
      <c r="I15" s="50" t="s">
        <v>128</v>
      </c>
      <c r="J15" s="51" t="s">
        <v>122</v>
      </c>
    </row>
    <row r="16" spans="4:11" x14ac:dyDescent="0.35">
      <c r="D16" s="1" t="s">
        <v>8</v>
      </c>
      <c r="E16" s="14">
        <v>10000</v>
      </c>
      <c r="H16" s="1" t="s">
        <v>5</v>
      </c>
      <c r="I16" s="50" t="s">
        <v>129</v>
      </c>
      <c r="J16" s="51" t="s">
        <v>122</v>
      </c>
    </row>
    <row r="17" spans="4:11" x14ac:dyDescent="0.35">
      <c r="D17" s="1" t="s">
        <v>16</v>
      </c>
      <c r="E17" s="14">
        <v>10000</v>
      </c>
      <c r="H17" s="1" t="s">
        <v>8</v>
      </c>
      <c r="I17" s="50" t="s">
        <v>130</v>
      </c>
      <c r="J17" s="51" t="s">
        <v>122</v>
      </c>
    </row>
    <row r="18" spans="4:11" x14ac:dyDescent="0.35">
      <c r="D18" s="1" t="s">
        <v>17</v>
      </c>
      <c r="E18" s="14">
        <v>350000</v>
      </c>
      <c r="I18" s="6"/>
      <c r="J18" s="6"/>
    </row>
    <row r="19" spans="4:11" x14ac:dyDescent="0.35">
      <c r="H19" s="49" t="s">
        <v>116</v>
      </c>
      <c r="I19" s="49" t="s">
        <v>4</v>
      </c>
      <c r="J19" s="49" t="s">
        <v>123</v>
      </c>
      <c r="K19" s="49" t="s">
        <v>120</v>
      </c>
    </row>
    <row r="20" spans="4:11" x14ac:dyDescent="0.35">
      <c r="D20" s="1" t="s">
        <v>12</v>
      </c>
      <c r="E20" s="15">
        <f>input_DeathProtection_DesiredAnnualIncomeReplacement/input_DeathProtection_InflationAdjustedRateOfReturn*(1-1/(1+input_DeathProtection_InflationAdjustedRateOfReturn)^input_DeathProtection_DurationOfGoal)*(1+input_DeathProtection_InflationAdjustedRateOfReturn)</f>
        <v>1822600.8495933164</v>
      </c>
      <c r="H20" s="1" t="s">
        <v>11</v>
      </c>
      <c r="I20" s="51">
        <f>I4</f>
        <v>100000</v>
      </c>
      <c r="J20" s="1" t="b">
        <f>IF(AND(I20&gt;J4,I20&lt;K4),TRUE,FALSE)</f>
        <v>1</v>
      </c>
      <c r="K20" s="52" t="str">
        <f>IF(J20=TRUE,"",VLOOKUP(H20,$H$12:$J$17,2,FALSE))</f>
        <v/>
      </c>
    </row>
    <row r="21" spans="4:11" x14ac:dyDescent="0.35">
      <c r="D21" s="1" t="s">
        <v>15</v>
      </c>
      <c r="E21" s="15">
        <f>SUM(E12:E16)</f>
        <v>360000</v>
      </c>
      <c r="G21" s="7"/>
      <c r="H21" s="1" t="s">
        <v>14</v>
      </c>
      <c r="I21" s="51">
        <f t="shared" ref="I21:I25" si="0">I5</f>
        <v>20</v>
      </c>
      <c r="J21" s="1" t="b">
        <f t="shared" ref="J21:J25" si="1">IF(AND(I21&gt;J5,I21&lt;K5),TRUE,FALSE)</f>
        <v>1</v>
      </c>
      <c r="K21" s="52" t="str">
        <f t="shared" ref="K21:K25" si="2">IF(J21=TRUE,"",VLOOKUP(H21,$H$12:$J$17,2,FALSE))</f>
        <v/>
      </c>
    </row>
    <row r="22" spans="4:11" x14ac:dyDescent="0.35">
      <c r="D22" s="1" t="s">
        <v>9</v>
      </c>
      <c r="E22" s="15">
        <f>input_DeathProtection_ExistingInsurance+input_DeathProtection_ExistingAssets</f>
        <v>360000</v>
      </c>
      <c r="G22" s="7"/>
      <c r="H22" s="1" t="s">
        <v>10</v>
      </c>
      <c r="I22" s="51">
        <f t="shared" si="0"/>
        <v>0.01</v>
      </c>
      <c r="J22" s="1" t="b">
        <f t="shared" si="1"/>
        <v>1</v>
      </c>
      <c r="K22" s="52" t="str">
        <f t="shared" si="2"/>
        <v/>
      </c>
    </row>
    <row r="23" spans="4:11" x14ac:dyDescent="0.35">
      <c r="D23" s="1" t="s">
        <v>13</v>
      </c>
      <c r="E23" s="15">
        <f>output_DeathProtection_CapitalSumRequired+output_DeathProtection_TotalCashNeeds-output_DeathProtection_ExistingResources</f>
        <v>1822600.8495933162</v>
      </c>
      <c r="H23" s="1" t="s">
        <v>3</v>
      </c>
      <c r="I23" s="51">
        <f t="shared" si="0"/>
        <v>10000</v>
      </c>
      <c r="J23" s="1" t="b">
        <f t="shared" si="1"/>
        <v>1</v>
      </c>
      <c r="K23" s="52" t="str">
        <f t="shared" si="2"/>
        <v/>
      </c>
    </row>
    <row r="24" spans="4:11" x14ac:dyDescent="0.35">
      <c r="H24" s="1" t="s">
        <v>5</v>
      </c>
      <c r="I24" s="51">
        <f t="shared" si="0"/>
        <v>30000</v>
      </c>
      <c r="J24" s="1" t="b">
        <f t="shared" si="1"/>
        <v>1</v>
      </c>
      <c r="K24" s="52" t="str">
        <f t="shared" si="2"/>
        <v/>
      </c>
    </row>
    <row r="25" spans="4:11" ht="16" thickBot="1" x14ac:dyDescent="0.4">
      <c r="H25" s="1" t="s">
        <v>8</v>
      </c>
      <c r="I25" s="51">
        <f t="shared" si="0"/>
        <v>10000</v>
      </c>
      <c r="J25" s="1" t="b">
        <f t="shared" si="1"/>
        <v>1</v>
      </c>
      <c r="K25" s="52" t="str">
        <f t="shared" si="2"/>
        <v/>
      </c>
    </row>
    <row r="26" spans="4:11" x14ac:dyDescent="0.35">
      <c r="D26" s="53" t="s">
        <v>124</v>
      </c>
      <c r="E26" s="55" t="str">
        <f>IF(COUNTIF(J20:J25,FALSE)=0,"",VLOOKUP(FALSE,$J$20:$K$25,2,FALSE))</f>
        <v/>
      </c>
    </row>
    <row r="27" spans="4:11" ht="16" thickBot="1" x14ac:dyDescent="0.4">
      <c r="D27" s="54" t="s">
        <v>121</v>
      </c>
      <c r="E27" s="56" t="str">
        <f>IF(E26&lt;&gt;"",VLOOKUP(E26,$I$12:$J$17,2,FALSE),"")</f>
        <v/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9F6F-1B86-4888-B80B-00558FA789E2}">
  <dimension ref="D3:K23"/>
  <sheetViews>
    <sheetView topLeftCell="D6" zoomScale="104" zoomScaleNormal="80" workbookViewId="0">
      <selection activeCell="E16" sqref="E16"/>
    </sheetView>
  </sheetViews>
  <sheetFormatPr defaultColWidth="11.08203125" defaultRowHeight="15.5" x14ac:dyDescent="0.35"/>
  <cols>
    <col min="2" max="2" width="10.83203125" customWidth="1"/>
    <col min="4" max="4" width="35.5" bestFit="1" customWidth="1"/>
    <col min="5" max="5" width="21" bestFit="1" customWidth="1"/>
    <col min="7" max="7" width="13.08203125" bestFit="1" customWidth="1"/>
    <col min="8" max="8" width="31.5" bestFit="1" customWidth="1"/>
    <col min="9" max="9" width="11.5" bestFit="1" customWidth="1"/>
    <col min="10" max="10" width="13.5" bestFit="1" customWidth="1"/>
    <col min="11" max="11" width="13.75" bestFit="1" customWidth="1"/>
  </cols>
  <sheetData>
    <row r="3" spans="4:11" x14ac:dyDescent="0.35">
      <c r="H3" s="49" t="s">
        <v>116</v>
      </c>
      <c r="I3" s="49" t="s">
        <v>117</v>
      </c>
      <c r="J3" s="49" t="s">
        <v>118</v>
      </c>
      <c r="K3" s="49" t="s">
        <v>119</v>
      </c>
    </row>
    <row r="4" spans="4:11" x14ac:dyDescent="0.35">
      <c r="H4" s="1" t="s">
        <v>3</v>
      </c>
      <c r="I4" s="1">
        <f>input_DependentDeathProtection_FinalExpenses</f>
        <v>450000</v>
      </c>
      <c r="J4" s="1">
        <v>0</v>
      </c>
      <c r="K4" s="1">
        <v>9999999999</v>
      </c>
    </row>
    <row r="5" spans="4:11" x14ac:dyDescent="0.35">
      <c r="D5" s="1" t="s">
        <v>0</v>
      </c>
      <c r="E5" s="2"/>
      <c r="H5" s="1" t="s">
        <v>105</v>
      </c>
      <c r="I5" s="1">
        <f>input_DependentDeathProtection_Loans</f>
        <v>20000</v>
      </c>
      <c r="J5" s="1">
        <v>0</v>
      </c>
      <c r="K5" s="1">
        <v>9999999999</v>
      </c>
    </row>
    <row r="6" spans="4:11" x14ac:dyDescent="0.35">
      <c r="D6" s="1" t="s">
        <v>1</v>
      </c>
      <c r="E6" s="3"/>
      <c r="H6" s="1" t="s">
        <v>8</v>
      </c>
      <c r="I6" s="1">
        <f>input_DependentDeathProtection_Others</f>
        <v>20000</v>
      </c>
      <c r="J6" s="1">
        <v>0</v>
      </c>
      <c r="K6" s="1">
        <v>9999999999</v>
      </c>
    </row>
    <row r="7" spans="4:11" x14ac:dyDescent="0.35">
      <c r="D7" s="1" t="s">
        <v>2</v>
      </c>
      <c r="E7" s="4"/>
      <c r="I7" s="5"/>
      <c r="J7" s="5"/>
    </row>
    <row r="8" spans="4:11" x14ac:dyDescent="0.35">
      <c r="H8" s="49" t="s">
        <v>116</v>
      </c>
      <c r="I8" s="49" t="s">
        <v>120</v>
      </c>
      <c r="J8" s="49" t="s">
        <v>121</v>
      </c>
    </row>
    <row r="9" spans="4:11" x14ac:dyDescent="0.35">
      <c r="H9" s="1" t="s">
        <v>3</v>
      </c>
      <c r="I9" s="50" t="s">
        <v>125</v>
      </c>
      <c r="J9" s="51" t="s">
        <v>131</v>
      </c>
    </row>
    <row r="10" spans="4:11" x14ac:dyDescent="0.35">
      <c r="D10" s="1" t="s">
        <v>3</v>
      </c>
      <c r="E10" s="14">
        <v>450000</v>
      </c>
      <c r="H10" s="1" t="s">
        <v>105</v>
      </c>
      <c r="I10" s="50" t="s">
        <v>126</v>
      </c>
      <c r="J10" s="51" t="s">
        <v>131</v>
      </c>
    </row>
    <row r="11" spans="4:11" x14ac:dyDescent="0.35">
      <c r="D11" s="1" t="s">
        <v>105</v>
      </c>
      <c r="E11" s="14">
        <v>20000</v>
      </c>
      <c r="H11" s="1" t="s">
        <v>8</v>
      </c>
      <c r="I11" s="50" t="s">
        <v>127</v>
      </c>
      <c r="J11" s="51" t="s">
        <v>131</v>
      </c>
    </row>
    <row r="12" spans="4:11" x14ac:dyDescent="0.35">
      <c r="D12" s="1" t="s">
        <v>8</v>
      </c>
      <c r="E12" s="14">
        <v>20000</v>
      </c>
      <c r="I12" s="6"/>
      <c r="J12" s="6"/>
    </row>
    <row r="13" spans="4:11" x14ac:dyDescent="0.35">
      <c r="D13" s="1" t="s">
        <v>16</v>
      </c>
      <c r="E13" s="14">
        <v>10000</v>
      </c>
      <c r="H13" s="49" t="s">
        <v>116</v>
      </c>
      <c r="I13" s="49" t="s">
        <v>4</v>
      </c>
      <c r="J13" s="49" t="s">
        <v>123</v>
      </c>
      <c r="K13" s="49" t="s">
        <v>120</v>
      </c>
    </row>
    <row r="14" spans="4:11" x14ac:dyDescent="0.35">
      <c r="D14" s="1" t="s">
        <v>17</v>
      </c>
      <c r="E14" s="14">
        <v>350000</v>
      </c>
      <c r="H14" s="1" t="s">
        <v>3</v>
      </c>
      <c r="I14" s="1">
        <f>I4</f>
        <v>450000</v>
      </c>
      <c r="J14" s="1" t="b">
        <f>IF(AND(I14&gt;J4,I14&lt;K4),TRUE,FALSE)</f>
        <v>1</v>
      </c>
      <c r="K14" s="52" t="str">
        <f>IF(J14=TRUE,"",VLOOKUP(H14,$H$9:$J$11,2,FALSE))</f>
        <v/>
      </c>
    </row>
    <row r="15" spans="4:11" x14ac:dyDescent="0.35">
      <c r="H15" s="1" t="s">
        <v>105</v>
      </c>
      <c r="I15" s="1">
        <f>I5</f>
        <v>20000</v>
      </c>
      <c r="J15" s="1" t="b">
        <f>IF(AND(I15&gt;J5,I15&lt;K5),TRUE,FALSE)</f>
        <v>1</v>
      </c>
      <c r="K15" s="52" t="str">
        <f>IF(J15=TRUE,"",VLOOKUP(H15,$H$9:$J$11,2,FALSE))</f>
        <v/>
      </c>
    </row>
    <row r="16" spans="4:11" x14ac:dyDescent="0.35">
      <c r="D16" s="1" t="s">
        <v>12</v>
      </c>
      <c r="E16" s="15">
        <f>E17-E18</f>
        <v>130000</v>
      </c>
      <c r="H16" s="1" t="s">
        <v>8</v>
      </c>
      <c r="I16" s="1">
        <f>I6</f>
        <v>20000</v>
      </c>
      <c r="J16" s="1" t="b">
        <f>IF(AND(I16&gt;J6,I16&lt;K6),TRUE,FALSE)</f>
        <v>1</v>
      </c>
      <c r="K16" s="52" t="str">
        <f>IF(J16=TRUE,"",VLOOKUP(H16,$H$9:$J$11,2,FALSE))</f>
        <v/>
      </c>
    </row>
    <row r="17" spans="4:7" x14ac:dyDescent="0.35">
      <c r="D17" s="1" t="s">
        <v>15</v>
      </c>
      <c r="E17" s="15">
        <f>SUM(E10:E12)</f>
        <v>490000</v>
      </c>
      <c r="G17" s="7"/>
    </row>
    <row r="18" spans="4:7" x14ac:dyDescent="0.35">
      <c r="D18" s="1" t="s">
        <v>9</v>
      </c>
      <c r="E18" s="15">
        <f>SUM(E13:E14)</f>
        <v>360000</v>
      </c>
      <c r="G18" s="7"/>
    </row>
    <row r="19" spans="4:7" x14ac:dyDescent="0.35">
      <c r="D19" s="1" t="s">
        <v>13</v>
      </c>
      <c r="E19" s="15">
        <f>E17-E18</f>
        <v>130000</v>
      </c>
    </row>
    <row r="21" spans="4:7" ht="16" thickBot="1" x14ac:dyDescent="0.4"/>
    <row r="22" spans="4:7" x14ac:dyDescent="0.35">
      <c r="D22" s="53" t="s">
        <v>124</v>
      </c>
      <c r="E22" s="55" t="str">
        <f>IF(COUNTIF(J14:J16,FALSE)=0,"",VLOOKUP(FALSE,$J$14:$K$16,2,FALSE))</f>
        <v/>
      </c>
    </row>
    <row r="23" spans="4:7" ht="16" thickBot="1" x14ac:dyDescent="0.4">
      <c r="D23" s="54" t="s">
        <v>121</v>
      </c>
      <c r="E23" s="56" t="str">
        <f>IF(E22&lt;&gt;"",VLOOKUP(E22,$I$9:$J$11,2,FALSE),"")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7E46-17FC-414A-8383-897DE51CF827}">
  <dimension ref="D3:K23"/>
  <sheetViews>
    <sheetView topLeftCell="D6" workbookViewId="0">
      <selection activeCell="E11" sqref="E11"/>
    </sheetView>
  </sheetViews>
  <sheetFormatPr defaultColWidth="11.08203125" defaultRowHeight="15.5" x14ac:dyDescent="0.35"/>
  <cols>
    <col min="3" max="3" width="13.58203125" customWidth="1"/>
    <col min="4" max="4" width="40.58203125" bestFit="1" customWidth="1"/>
    <col min="5" max="5" width="13.83203125" customWidth="1"/>
    <col min="6" max="6" width="12.5" bestFit="1" customWidth="1"/>
    <col min="7" max="7" width="13" customWidth="1"/>
    <col min="8" max="8" width="37.83203125" bestFit="1" customWidth="1"/>
    <col min="9" max="9" width="11.5" bestFit="1" customWidth="1"/>
    <col min="10" max="10" width="13.5" bestFit="1" customWidth="1"/>
    <col min="11" max="11" width="13.75" bestFit="1" customWidth="1"/>
  </cols>
  <sheetData>
    <row r="3" spans="4:11" x14ac:dyDescent="0.35">
      <c r="H3" s="49" t="s">
        <v>116</v>
      </c>
      <c r="I3" s="49" t="s">
        <v>117</v>
      </c>
      <c r="J3" s="49" t="s">
        <v>118</v>
      </c>
      <c r="K3" s="49" t="s">
        <v>119</v>
      </c>
    </row>
    <row r="4" spans="4:11" x14ac:dyDescent="0.35">
      <c r="H4" s="1" t="s">
        <v>11</v>
      </c>
      <c r="I4" s="1">
        <f>input_CriticalIllnessProtection_DesiredAnnualIncomeRequirements</f>
        <v>200000</v>
      </c>
      <c r="J4" s="1">
        <v>0</v>
      </c>
      <c r="K4" s="1">
        <v>9999999999</v>
      </c>
    </row>
    <row r="5" spans="4:11" x14ac:dyDescent="0.35">
      <c r="D5" s="1" t="s">
        <v>0</v>
      </c>
      <c r="E5" s="2"/>
      <c r="H5" s="1" t="s">
        <v>37</v>
      </c>
      <c r="I5" s="1">
        <f>input_CriticalIllnessProtection_DurationOfGoal</f>
        <v>20</v>
      </c>
      <c r="J5" s="1">
        <v>0</v>
      </c>
      <c r="K5" s="1">
        <v>99</v>
      </c>
    </row>
    <row r="6" spans="4:11" x14ac:dyDescent="0.35">
      <c r="D6" s="1" t="s">
        <v>1</v>
      </c>
      <c r="E6" s="3"/>
      <c r="H6" s="1" t="s">
        <v>36</v>
      </c>
      <c r="I6" s="1">
        <f>input_CriticalIllnessProtection_InflationAdjustedRateOfReturn</f>
        <v>0.01</v>
      </c>
      <c r="J6" s="1">
        <v>-0.2</v>
      </c>
      <c r="K6" s="1">
        <v>0.2</v>
      </c>
    </row>
    <row r="7" spans="4:11" x14ac:dyDescent="0.35">
      <c r="D7" s="1" t="s">
        <v>2</v>
      </c>
      <c r="E7" s="4"/>
      <c r="H7" s="1" t="s">
        <v>40</v>
      </c>
      <c r="I7" s="1">
        <f>input_CriticalIllnessProtection_EstimatedTreatmentCosts</f>
        <v>100000</v>
      </c>
      <c r="J7" s="1">
        <v>0</v>
      </c>
      <c r="K7" s="1">
        <v>9999999999</v>
      </c>
    </row>
    <row r="9" spans="4:11" x14ac:dyDescent="0.35">
      <c r="H9" s="49" t="s">
        <v>116</v>
      </c>
      <c r="I9" s="49" t="s">
        <v>120</v>
      </c>
      <c r="J9" s="49" t="s">
        <v>121</v>
      </c>
    </row>
    <row r="10" spans="4:11" x14ac:dyDescent="0.35">
      <c r="D10" s="1" t="s">
        <v>11</v>
      </c>
      <c r="E10" s="14">
        <v>200000</v>
      </c>
      <c r="H10" s="1" t="s">
        <v>11</v>
      </c>
      <c r="I10" s="50" t="s">
        <v>125</v>
      </c>
      <c r="J10" s="51" t="s">
        <v>132</v>
      </c>
    </row>
    <row r="11" spans="4:11" x14ac:dyDescent="0.35">
      <c r="D11" s="1" t="s">
        <v>37</v>
      </c>
      <c r="E11" s="2">
        <v>20</v>
      </c>
      <c r="H11" s="1" t="s">
        <v>37</v>
      </c>
      <c r="I11" s="50" t="s">
        <v>126</v>
      </c>
      <c r="J11" s="51" t="s">
        <v>132</v>
      </c>
    </row>
    <row r="12" spans="4:11" x14ac:dyDescent="0.35">
      <c r="D12" s="1" t="s">
        <v>36</v>
      </c>
      <c r="E12" s="2">
        <v>0.01</v>
      </c>
      <c r="H12" s="1" t="s">
        <v>36</v>
      </c>
      <c r="I12" s="50" t="s">
        <v>127</v>
      </c>
      <c r="J12" s="51" t="s">
        <v>132</v>
      </c>
    </row>
    <row r="13" spans="4:11" x14ac:dyDescent="0.35">
      <c r="D13" s="1" t="s">
        <v>42</v>
      </c>
      <c r="E13" s="15">
        <f>input_CriticalIllnessProtection_DesiredAnnualIncomeRequirements/input_CriticalIllnessProtection_InflationAdjustedRateOfReturn*(1-1/(1+input_CriticalIllnessProtection_InflationAdjustedRateOfReturn)^input_CriticalIllnessProtection_DurationOfGoal)*(1+input_CriticalIllnessProtection_InflationAdjustedRateOfReturn)</f>
        <v>3645201.6991866329</v>
      </c>
      <c r="H13" s="1" t="s">
        <v>40</v>
      </c>
      <c r="I13" s="50" t="s">
        <v>127</v>
      </c>
      <c r="J13" s="51" t="s">
        <v>132</v>
      </c>
    </row>
    <row r="14" spans="4:11" x14ac:dyDescent="0.35">
      <c r="D14" s="1" t="s">
        <v>40</v>
      </c>
      <c r="E14" s="2">
        <v>100000</v>
      </c>
    </row>
    <row r="15" spans="4:11" x14ac:dyDescent="0.35">
      <c r="D15" s="1" t="s">
        <v>16</v>
      </c>
      <c r="E15" s="2">
        <v>20000</v>
      </c>
      <c r="H15" s="49" t="s">
        <v>116</v>
      </c>
      <c r="I15" s="49" t="s">
        <v>4</v>
      </c>
      <c r="J15" s="49" t="s">
        <v>123</v>
      </c>
      <c r="K15" s="49" t="s">
        <v>120</v>
      </c>
    </row>
    <row r="16" spans="4:11" x14ac:dyDescent="0.35">
      <c r="D16" s="1" t="s">
        <v>17</v>
      </c>
      <c r="E16" s="14">
        <v>10000</v>
      </c>
      <c r="H16" s="1" t="s">
        <v>11</v>
      </c>
      <c r="I16" s="1">
        <f>I4</f>
        <v>200000</v>
      </c>
      <c r="J16" s="1" t="b">
        <f>IF(AND(I16&gt;J4,I16&lt;K4),TRUE,FALSE)</f>
        <v>1</v>
      </c>
      <c r="K16" s="52" t="str">
        <f>IF(J16=TRUE,"",VLOOKUP(H16,$H$10:$J$13,2,FALSE))</f>
        <v/>
      </c>
    </row>
    <row r="17" spans="4:11" x14ac:dyDescent="0.35">
      <c r="D17" s="11" t="s">
        <v>9</v>
      </c>
      <c r="E17" s="15">
        <f>input_CriticalIllnessProtection_ExistingInsurance+input_CriticalIllnessProtection_ExistingAssets</f>
        <v>30000</v>
      </c>
      <c r="H17" s="1" t="s">
        <v>37</v>
      </c>
      <c r="I17" s="1">
        <f>I5</f>
        <v>20</v>
      </c>
      <c r="J17" s="1" t="b">
        <f>IF(AND(I17&gt;J5,I17&lt;K5),TRUE,FALSE)</f>
        <v>1</v>
      </c>
      <c r="K17" s="52" t="str">
        <f t="shared" ref="K17:K19" si="0">IF(J17=TRUE,"",VLOOKUP(H17,$H$10:$J$13,2,FALSE))</f>
        <v/>
      </c>
    </row>
    <row r="18" spans="4:11" x14ac:dyDescent="0.35">
      <c r="D18" s="1" t="s">
        <v>41</v>
      </c>
      <c r="E18" s="15">
        <f>E13+E14-output_CriticalIllnessProtection_ExistingResources</f>
        <v>3715201.6991866329</v>
      </c>
      <c r="H18" s="1" t="s">
        <v>36</v>
      </c>
      <c r="I18" s="1">
        <f>I6</f>
        <v>0.01</v>
      </c>
      <c r="J18" s="1" t="b">
        <f>IF(AND(I18&gt;J6,I18&lt;K6),TRUE,FALSE)</f>
        <v>1</v>
      </c>
      <c r="K18" s="52" t="str">
        <f t="shared" si="0"/>
        <v/>
      </c>
    </row>
    <row r="19" spans="4:11" x14ac:dyDescent="0.35">
      <c r="D19" s="1" t="s">
        <v>15</v>
      </c>
      <c r="E19" s="3">
        <f>output_CriticalIllnessProtection_CapitalSumRequired+input_CriticalIllnessProtection_EstimatedTreatmentCosts</f>
        <v>3745201.6991866329</v>
      </c>
      <c r="H19" s="1" t="s">
        <v>40</v>
      </c>
      <c r="I19" s="1">
        <f>I7</f>
        <v>100000</v>
      </c>
      <c r="J19" s="1" t="b">
        <f>IF(AND(I19&gt;J7,I19&lt;K7),TRUE,FALSE)</f>
        <v>1</v>
      </c>
      <c r="K19" s="52" t="str">
        <f t="shared" si="0"/>
        <v/>
      </c>
    </row>
    <row r="21" spans="4:11" ht="16" thickBot="1" x14ac:dyDescent="0.4">
      <c r="I21" s="6"/>
      <c r="J21" s="6"/>
    </row>
    <row r="22" spans="4:11" x14ac:dyDescent="0.35">
      <c r="D22" s="53" t="s">
        <v>124</v>
      </c>
      <c r="E22" s="55" t="str">
        <f>IF(COUNTIF(J16:J19,FALSE)=0,"",VLOOKUP(FALSE,$J$16:$K$19,2,FALSE))</f>
        <v/>
      </c>
    </row>
    <row r="23" spans="4:11" ht="16" thickBot="1" x14ac:dyDescent="0.4">
      <c r="D23" s="54" t="s">
        <v>121</v>
      </c>
      <c r="E23" s="56" t="str">
        <f>IF(E22&lt;&gt;"",VLOOKUP(E22,$I$10:$J$13,2,FALSE),"")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238A-2636-1940-9439-97FCDBD52EED}">
  <dimension ref="A1:M30"/>
  <sheetViews>
    <sheetView topLeftCell="D9" zoomScale="85" zoomScaleNormal="85" workbookViewId="0">
      <selection activeCell="E30" sqref="E30"/>
    </sheetView>
  </sheetViews>
  <sheetFormatPr defaultColWidth="11.08203125" defaultRowHeight="15.5" x14ac:dyDescent="0.35"/>
  <cols>
    <col min="1" max="1" width="10.83203125" customWidth="1"/>
    <col min="2" max="2" width="13" customWidth="1"/>
    <col min="3" max="3" width="11.33203125" customWidth="1"/>
    <col min="4" max="4" width="42.83203125" bestFit="1" customWidth="1"/>
    <col min="5" max="5" width="14.08203125" bestFit="1" customWidth="1"/>
    <col min="6" max="6" width="10.83203125" customWidth="1"/>
    <col min="8" max="8" width="37.83203125" bestFit="1" customWidth="1"/>
    <col min="9" max="9" width="11.5" bestFit="1" customWidth="1"/>
    <col min="10" max="10" width="13.5" bestFit="1" customWidth="1"/>
    <col min="11" max="11" width="13.75" bestFit="1" customWidth="1"/>
  </cols>
  <sheetData>
    <row r="1" spans="1:13" ht="17" x14ac:dyDescent="0.35">
      <c r="A1" s="10"/>
      <c r="M1" t="s">
        <v>112</v>
      </c>
    </row>
    <row r="2" spans="1:13" x14ac:dyDescent="0.35">
      <c r="A2" s="9"/>
      <c r="M2" t="s">
        <v>113</v>
      </c>
    </row>
    <row r="3" spans="1:13" x14ac:dyDescent="0.35">
      <c r="H3" s="49" t="s">
        <v>116</v>
      </c>
      <c r="I3" s="49" t="s">
        <v>117</v>
      </c>
      <c r="J3" s="49" t="s">
        <v>118</v>
      </c>
      <c r="K3" s="49" t="s">
        <v>119</v>
      </c>
      <c r="M3" t="s">
        <v>114</v>
      </c>
    </row>
    <row r="4" spans="1:13" x14ac:dyDescent="0.35">
      <c r="H4" s="1" t="s">
        <v>22</v>
      </c>
      <c r="I4" s="1">
        <f>input_RetirementAccumulation_RetirementAge</f>
        <v>62</v>
      </c>
      <c r="J4" s="1">
        <v>0</v>
      </c>
      <c r="K4" s="1">
        <v>99</v>
      </c>
    </row>
    <row r="5" spans="1:13" x14ac:dyDescent="0.35">
      <c r="D5" s="1" t="s">
        <v>4</v>
      </c>
      <c r="E5" s="2"/>
      <c r="H5" s="1" t="s">
        <v>87</v>
      </c>
      <c r="I5" s="1">
        <f>input_RetirementAccumulation_AnnualIncome</f>
        <v>10000</v>
      </c>
      <c r="J5" s="1">
        <v>0</v>
      </c>
      <c r="K5" s="1">
        <v>9999999999</v>
      </c>
    </row>
    <row r="6" spans="1:13" x14ac:dyDescent="0.35">
      <c r="D6" s="1" t="s">
        <v>34</v>
      </c>
      <c r="E6" s="3"/>
      <c r="H6" s="1" t="s">
        <v>88</v>
      </c>
      <c r="I6" s="1">
        <f>input_RetirementAccumulation_RateOfIncomeIncrement</f>
        <v>0.03</v>
      </c>
      <c r="J6" s="1">
        <v>-0.2</v>
      </c>
      <c r="K6" s="1">
        <v>0.2</v>
      </c>
    </row>
    <row r="7" spans="1:13" x14ac:dyDescent="0.35">
      <c r="D7" s="1" t="s">
        <v>33</v>
      </c>
      <c r="E7" s="4"/>
      <c r="H7" s="1" t="s">
        <v>26</v>
      </c>
      <c r="I7" s="1">
        <f>input_RetirementAccumulation_DurationOfGoal</f>
        <v>20</v>
      </c>
      <c r="J7" s="1">
        <v>0</v>
      </c>
      <c r="K7" s="1">
        <v>99</v>
      </c>
    </row>
    <row r="8" spans="1:13" x14ac:dyDescent="0.35">
      <c r="H8" s="1" t="s">
        <v>32</v>
      </c>
      <c r="I8" s="1">
        <f>input_RetirementAccumulation_InflationAdjustedRateOfReturn</f>
        <v>0.02</v>
      </c>
      <c r="J8" s="1">
        <v>-0.2</v>
      </c>
      <c r="K8" s="1">
        <v>0.2</v>
      </c>
    </row>
    <row r="9" spans="1:13" x14ac:dyDescent="0.35">
      <c r="H9" s="1" t="s">
        <v>28</v>
      </c>
      <c r="I9" s="1">
        <f>input_RetirementAccumulation_AnnualExpense</f>
        <v>200000</v>
      </c>
      <c r="J9" s="1">
        <v>0</v>
      </c>
      <c r="K9" s="1">
        <v>9999999999</v>
      </c>
    </row>
    <row r="10" spans="1:13" x14ac:dyDescent="0.35">
      <c r="D10" s="1" t="s">
        <v>108</v>
      </c>
      <c r="E10" s="2" t="s">
        <v>113</v>
      </c>
    </row>
    <row r="11" spans="1:13" x14ac:dyDescent="0.35">
      <c r="D11" s="1" t="s">
        <v>29</v>
      </c>
      <c r="E11" s="2">
        <v>30</v>
      </c>
      <c r="H11" s="49" t="s">
        <v>116</v>
      </c>
      <c r="I11" s="49" t="s">
        <v>120</v>
      </c>
      <c r="J11" s="49" t="s">
        <v>121</v>
      </c>
    </row>
    <row r="12" spans="1:13" x14ac:dyDescent="0.35">
      <c r="D12" s="1" t="s">
        <v>22</v>
      </c>
      <c r="E12" s="2">
        <v>62</v>
      </c>
      <c r="H12" s="1" t="s">
        <v>22</v>
      </c>
      <c r="I12" s="50" t="s">
        <v>125</v>
      </c>
      <c r="J12" s="51" t="s">
        <v>133</v>
      </c>
    </row>
    <row r="13" spans="1:13" x14ac:dyDescent="0.35">
      <c r="D13" s="1" t="s">
        <v>87</v>
      </c>
      <c r="E13" s="2">
        <v>10000</v>
      </c>
      <c r="H13" s="1" t="s">
        <v>87</v>
      </c>
      <c r="I13" s="50" t="s">
        <v>125</v>
      </c>
      <c r="J13" s="51" t="s">
        <v>133</v>
      </c>
    </row>
    <row r="14" spans="1:13" x14ac:dyDescent="0.35">
      <c r="D14" s="1" t="s">
        <v>88</v>
      </c>
      <c r="E14" s="2">
        <v>0.03</v>
      </c>
      <c r="H14" s="1" t="s">
        <v>88</v>
      </c>
      <c r="I14" s="50" t="s">
        <v>125</v>
      </c>
      <c r="J14" s="51" t="s">
        <v>133</v>
      </c>
    </row>
    <row r="15" spans="1:13" x14ac:dyDescent="0.35">
      <c r="D15" s="1" t="s">
        <v>110</v>
      </c>
      <c r="E15" s="44">
        <f>E13*(1+E14)^output_RetirementAccumulation_YearsToGoal</f>
        <v>25750.827556851091</v>
      </c>
      <c r="H15" s="1" t="s">
        <v>26</v>
      </c>
      <c r="I15" s="50" t="s">
        <v>125</v>
      </c>
      <c r="J15" s="51" t="s">
        <v>133</v>
      </c>
    </row>
    <row r="16" spans="1:13" x14ac:dyDescent="0.35">
      <c r="D16" s="1" t="s">
        <v>104</v>
      </c>
      <c r="E16" s="44">
        <f>E15*2/3</f>
        <v>17167.218371234059</v>
      </c>
      <c r="H16" s="1" t="s">
        <v>32</v>
      </c>
      <c r="I16" s="50" t="s">
        <v>125</v>
      </c>
      <c r="J16" s="51" t="s">
        <v>133</v>
      </c>
    </row>
    <row r="17" spans="3:11" x14ac:dyDescent="0.35">
      <c r="D17" s="1" t="s">
        <v>111</v>
      </c>
      <c r="E17" s="44">
        <f>E21*(1+input_RetirementAccumulation_InflationAdjustedRateOfReturn)^output_RetirementAccumulation_YearsToGoal</f>
        <v>376908.1184202258</v>
      </c>
      <c r="H17" s="1" t="s">
        <v>28</v>
      </c>
      <c r="I17" s="50" t="s">
        <v>125</v>
      </c>
      <c r="J17" s="51" t="s">
        <v>133</v>
      </c>
    </row>
    <row r="18" spans="3:11" x14ac:dyDescent="0.35">
      <c r="D18" s="1" t="s">
        <v>16</v>
      </c>
      <c r="E18" s="2">
        <v>2000</v>
      </c>
    </row>
    <row r="19" spans="3:11" x14ac:dyDescent="0.35">
      <c r="D19" s="1" t="s">
        <v>17</v>
      </c>
      <c r="E19" s="14">
        <v>1000</v>
      </c>
      <c r="H19" s="49" t="s">
        <v>116</v>
      </c>
      <c r="I19" s="49" t="s">
        <v>4</v>
      </c>
      <c r="J19" s="49" t="s">
        <v>123</v>
      </c>
      <c r="K19" s="49" t="s">
        <v>120</v>
      </c>
    </row>
    <row r="20" spans="3:11" x14ac:dyDescent="0.35">
      <c r="D20" s="1" t="s">
        <v>32</v>
      </c>
      <c r="E20" s="2">
        <v>0.02</v>
      </c>
      <c r="H20" s="1" t="s">
        <v>22</v>
      </c>
      <c r="I20" s="1">
        <f>I4</f>
        <v>62</v>
      </c>
      <c r="J20" s="1" t="b">
        <f>IF(AND(I20&gt;J4,I20&lt;K4),TRUE,FALSE)</f>
        <v>1</v>
      </c>
      <c r="K20" s="52" t="str">
        <f>IF(J20=TRUE,"",VLOOKUP(H20,$H$12:$J$17,2,FALSE))</f>
        <v/>
      </c>
    </row>
    <row r="21" spans="3:11" x14ac:dyDescent="0.35">
      <c r="D21" s="1" t="s">
        <v>28</v>
      </c>
      <c r="E21" s="2">
        <v>200000</v>
      </c>
      <c r="H21" s="1" t="s">
        <v>87</v>
      </c>
      <c r="I21" s="1">
        <f>I5</f>
        <v>10000</v>
      </c>
      <c r="J21" s="1" t="b">
        <f>IF(AND(I21&gt;J5,I21&lt;K5),TRUE,FALSE)</f>
        <v>1</v>
      </c>
      <c r="K21" s="52" t="str">
        <f>IF(J21=TRUE,"",VLOOKUP(H21,$H$12:$J$14,2,FALSE))</f>
        <v/>
      </c>
    </row>
    <row r="22" spans="3:11" x14ac:dyDescent="0.35">
      <c r="D22" s="1" t="s">
        <v>26</v>
      </c>
      <c r="E22" s="2">
        <v>20</v>
      </c>
      <c r="H22" s="1" t="s">
        <v>88</v>
      </c>
      <c r="I22" s="1">
        <f>I6</f>
        <v>0.03</v>
      </c>
      <c r="J22" s="1" t="b">
        <f>IF(AND(I22&gt;J6,I22&lt;K6),TRUE,FALSE)</f>
        <v>1</v>
      </c>
      <c r="K22" s="52" t="str">
        <f>IF(J22=TRUE,"",VLOOKUP(H22,$H$12:$J$14,2,FALSE))</f>
        <v/>
      </c>
    </row>
    <row r="23" spans="3:11" x14ac:dyDescent="0.35">
      <c r="D23" s="8" t="s">
        <v>31</v>
      </c>
      <c r="E23" s="16">
        <f>input_RetirementAccumulation_RetirementAge-input_RetirementAccumulation_AgeNextBirthday</f>
        <v>32</v>
      </c>
      <c r="H23" s="1" t="s">
        <v>26</v>
      </c>
      <c r="I23" s="1">
        <f>I7</f>
        <v>20</v>
      </c>
      <c r="J23" s="1" t="b">
        <f>IF(AND(I23&gt;J7,I23&lt;K7),TRUE,FALSE)</f>
        <v>1</v>
      </c>
      <c r="K23" s="52" t="str">
        <f>IF(J23=TRUE,"",VLOOKUP(H23,$H$12:$J$14,2,FALSE))</f>
        <v/>
      </c>
    </row>
    <row r="24" spans="3:11" x14ac:dyDescent="0.35">
      <c r="C24" t="s">
        <v>27</v>
      </c>
      <c r="D24" s="8" t="s">
        <v>109</v>
      </c>
      <c r="E24" s="45">
        <f>IF(E10=$M$2,output_RetirementAccumulation_AnnualIncomeRequiredAtRetirement,output_RetirementAccumulation_ExpensesAtRetirement)/E20*(1-1/(1+E20)^output_RetirementAccumulation_YearsToGoal)*(1+E20)</f>
        <v>410943.74930943392</v>
      </c>
      <c r="H24" s="1" t="s">
        <v>32</v>
      </c>
      <c r="I24" s="1">
        <f t="shared" ref="I24:I25" si="0">I8</f>
        <v>0.02</v>
      </c>
      <c r="J24" s="1" t="b">
        <f t="shared" ref="J24:J25" si="1">IF(AND(I24&gt;J8,I24&lt;K8),TRUE,FALSE)</f>
        <v>1</v>
      </c>
      <c r="K24" s="52" t="str">
        <f t="shared" ref="K24:K25" si="2">IF(J24=TRUE,"",VLOOKUP(H24,$H$12:$J$14,2,FALSE))</f>
        <v/>
      </c>
    </row>
    <row r="25" spans="3:11" x14ac:dyDescent="0.35">
      <c r="D25" s="8" t="s">
        <v>9</v>
      </c>
      <c r="E25" s="45">
        <f>input_RetirementAccumulation_ExistingInsurance+input_RetirementAccumulation_ExistingAssets</f>
        <v>3000</v>
      </c>
      <c r="H25" s="1" t="s">
        <v>28</v>
      </c>
      <c r="I25" s="1">
        <f t="shared" si="0"/>
        <v>200000</v>
      </c>
      <c r="J25" s="1" t="b">
        <f t="shared" si="1"/>
        <v>1</v>
      </c>
      <c r="K25" s="52" t="str">
        <f t="shared" si="2"/>
        <v/>
      </c>
    </row>
    <row r="26" spans="3:11" x14ac:dyDescent="0.35">
      <c r="D26" s="1" t="s">
        <v>30</v>
      </c>
      <c r="E26" s="44">
        <f>E24-E25</f>
        <v>407943.74930943392</v>
      </c>
    </row>
    <row r="28" spans="3:11" ht="16" thickBot="1" x14ac:dyDescent="0.4"/>
    <row r="29" spans="3:11" x14ac:dyDescent="0.35">
      <c r="D29" s="53" t="s">
        <v>124</v>
      </c>
      <c r="E29" s="55" t="str">
        <f>IF(COUNTIF(J20:J25,FALSE)=0,"",VLOOKUP(FALSE,$J$20:$K$25,2,FALSE))</f>
        <v/>
      </c>
    </row>
    <row r="30" spans="3:11" ht="16" thickBot="1" x14ac:dyDescent="0.4">
      <c r="D30" s="54" t="s">
        <v>121</v>
      </c>
      <c r="E30" s="56" t="str">
        <f>IF(E29&lt;&gt;"",VLOOKUP(E29,$I$12:$J$17,2,FALSE),"")</f>
        <v/>
      </c>
    </row>
  </sheetData>
  <dataValidations disablePrompts="1" count="1">
    <dataValidation type="list" allowBlank="1" showInputMessage="1" showErrorMessage="1" sqref="E10" xr:uid="{F49CF281-FFB8-4771-96D8-F1374977C3B0}">
      <formula1>$M$2:$M$3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6E75-105A-4F43-BE86-370986EAA005}">
  <dimension ref="D3:K23"/>
  <sheetViews>
    <sheetView topLeftCell="C1" zoomScaleNormal="100" workbookViewId="0">
      <selection activeCell="E11" sqref="E11"/>
    </sheetView>
  </sheetViews>
  <sheetFormatPr defaultColWidth="11.08203125" defaultRowHeight="15.5" x14ac:dyDescent="0.35"/>
  <cols>
    <col min="2" max="2" width="14.25" customWidth="1"/>
    <col min="3" max="3" width="12.1640625" customWidth="1"/>
    <col min="4" max="4" width="37.83203125" bestFit="1" customWidth="1"/>
    <col min="5" max="5" width="11.83203125" customWidth="1"/>
    <col min="6" max="6" width="11.58203125" customWidth="1"/>
    <col min="7" max="7" width="10.83203125" customWidth="1"/>
    <col min="8" max="8" width="37.83203125" bestFit="1" customWidth="1"/>
    <col min="9" max="9" width="11.5" bestFit="1" customWidth="1"/>
    <col min="10" max="10" width="13.5" bestFit="1" customWidth="1"/>
    <col min="11" max="11" width="13.75" bestFit="1" customWidth="1"/>
  </cols>
  <sheetData>
    <row r="3" spans="4:11" x14ac:dyDescent="0.35">
      <c r="H3" s="49" t="s">
        <v>116</v>
      </c>
      <c r="I3" s="49" t="s">
        <v>117</v>
      </c>
      <c r="J3" s="49" t="s">
        <v>118</v>
      </c>
      <c r="K3" s="49" t="s">
        <v>119</v>
      </c>
    </row>
    <row r="4" spans="4:11" x14ac:dyDescent="0.35">
      <c r="H4" s="1" t="s">
        <v>11</v>
      </c>
      <c r="I4" s="1">
        <f>input_TotalPermanentDisabilityProtection_DesiredAnnualIncomeReplacement</f>
        <v>100000</v>
      </c>
      <c r="J4" s="1">
        <v>0</v>
      </c>
      <c r="K4" s="1">
        <v>9999999999</v>
      </c>
    </row>
    <row r="5" spans="4:11" x14ac:dyDescent="0.35">
      <c r="D5" s="1" t="s">
        <v>0</v>
      </c>
      <c r="E5" s="2"/>
      <c r="H5" s="1" t="s">
        <v>37</v>
      </c>
      <c r="I5" s="1">
        <f>input_TotalPermanentDisabilityProtection_DurationOfGoal</f>
        <v>25</v>
      </c>
      <c r="J5" s="1">
        <v>0</v>
      </c>
      <c r="K5" s="1">
        <v>99</v>
      </c>
    </row>
    <row r="6" spans="4:11" x14ac:dyDescent="0.35">
      <c r="D6" s="1" t="s">
        <v>1</v>
      </c>
      <c r="E6" s="3"/>
      <c r="H6" s="1" t="s">
        <v>36</v>
      </c>
      <c r="I6" s="1">
        <f>input_TotalPermanentDisabilityProtection_InflationAdjustedRateOfReturn</f>
        <v>0.01</v>
      </c>
      <c r="J6" s="1">
        <v>-0.2</v>
      </c>
      <c r="K6" s="1">
        <v>0.2</v>
      </c>
    </row>
    <row r="7" spans="4:11" x14ac:dyDescent="0.35">
      <c r="D7" s="1" t="s">
        <v>2</v>
      </c>
      <c r="E7" s="4"/>
      <c r="H7" s="1" t="s">
        <v>35</v>
      </c>
      <c r="I7" s="1">
        <f>input_TotalPermanentDisabilityProtection_MedicalExpenses</f>
        <v>200000</v>
      </c>
      <c r="J7" s="1">
        <v>0</v>
      </c>
      <c r="K7" s="1">
        <v>9999999999</v>
      </c>
    </row>
    <row r="9" spans="4:11" x14ac:dyDescent="0.35">
      <c r="H9" s="49" t="s">
        <v>116</v>
      </c>
      <c r="I9" s="49" t="s">
        <v>120</v>
      </c>
      <c r="J9" s="49" t="s">
        <v>121</v>
      </c>
    </row>
    <row r="10" spans="4:11" x14ac:dyDescent="0.35">
      <c r="D10" s="1" t="s">
        <v>11</v>
      </c>
      <c r="E10" s="14">
        <v>100000</v>
      </c>
      <c r="H10" s="1" t="s">
        <v>11</v>
      </c>
      <c r="I10" s="50" t="s">
        <v>125</v>
      </c>
      <c r="J10" s="51" t="s">
        <v>134</v>
      </c>
    </row>
    <row r="11" spans="4:11" x14ac:dyDescent="0.35">
      <c r="D11" s="1" t="s">
        <v>37</v>
      </c>
      <c r="E11" s="2">
        <v>25</v>
      </c>
      <c r="G11" s="6"/>
      <c r="H11" s="1" t="s">
        <v>37</v>
      </c>
      <c r="I11" s="50" t="s">
        <v>125</v>
      </c>
      <c r="J11" s="51" t="s">
        <v>134</v>
      </c>
    </row>
    <row r="12" spans="4:11" x14ac:dyDescent="0.35">
      <c r="D12" s="1" t="s">
        <v>36</v>
      </c>
      <c r="E12" s="2">
        <v>0.01</v>
      </c>
      <c r="H12" s="1" t="s">
        <v>36</v>
      </c>
      <c r="I12" s="50" t="s">
        <v>125</v>
      </c>
      <c r="J12" s="51" t="s">
        <v>134</v>
      </c>
    </row>
    <row r="13" spans="4:11" x14ac:dyDescent="0.35">
      <c r="D13" s="1" t="s">
        <v>39</v>
      </c>
      <c r="E13" s="15">
        <f>input_TotalPermanentDisabilityProtection_DesiredAnnualIncomeReplacement/input_TotalPermanentDisabilityProtection_InflationAdjustedRateOfReturn*(1-1/(1+input_TotalPermanentDisabilityProtection_InflationAdjustedRateOfReturn)^E11)*(1+E11)</f>
        <v>57260204.821616367</v>
      </c>
      <c r="H13" s="1" t="s">
        <v>35</v>
      </c>
      <c r="I13" s="50" t="s">
        <v>125</v>
      </c>
      <c r="J13" s="51" t="s">
        <v>134</v>
      </c>
    </row>
    <row r="14" spans="4:11" x14ac:dyDescent="0.35">
      <c r="D14" s="1" t="s">
        <v>35</v>
      </c>
      <c r="E14" s="2">
        <v>200000</v>
      </c>
      <c r="G14" s="6"/>
    </row>
    <row r="15" spans="4:11" x14ac:dyDescent="0.35">
      <c r="D15" s="1" t="s">
        <v>16</v>
      </c>
      <c r="E15" s="14">
        <v>100000</v>
      </c>
      <c r="G15" s="6"/>
      <c r="H15" s="49" t="s">
        <v>116</v>
      </c>
      <c r="I15" s="49" t="s">
        <v>4</v>
      </c>
      <c r="J15" s="49" t="s">
        <v>123</v>
      </c>
      <c r="K15" s="49" t="s">
        <v>120</v>
      </c>
    </row>
    <row r="16" spans="4:11" x14ac:dyDescent="0.35">
      <c r="D16" s="1" t="s">
        <v>17</v>
      </c>
      <c r="E16" s="14">
        <v>200000</v>
      </c>
      <c r="G16" s="6"/>
      <c r="H16" s="1" t="s">
        <v>11</v>
      </c>
      <c r="I16" s="1">
        <f>I4</f>
        <v>100000</v>
      </c>
      <c r="J16" s="1" t="b">
        <f>IF(AND(I16&gt;J4,I16&lt;K4),TRUE,FALSE)</f>
        <v>1</v>
      </c>
      <c r="K16" s="52" t="str">
        <f>IF(J16=TRUE,"",VLOOKUP(H16,$H$10:$J$13,2,FALSE))</f>
        <v/>
      </c>
    </row>
    <row r="17" spans="4:11" x14ac:dyDescent="0.35">
      <c r="D17" s="1" t="s">
        <v>9</v>
      </c>
      <c r="E17" s="15">
        <f>input_TotalPermanentDisabilityProtection_ExistingInsurance+input_TotalPermanentDisabilityProtection_ExistingAssets</f>
        <v>300000</v>
      </c>
      <c r="H17" s="1" t="s">
        <v>37</v>
      </c>
      <c r="I17" s="1">
        <f>I5</f>
        <v>25</v>
      </c>
      <c r="J17" s="1" t="b">
        <f>IF(AND(I17&gt;J5,I17&lt;K5),TRUE,FALSE)</f>
        <v>1</v>
      </c>
      <c r="K17" s="52" t="str">
        <f>IF(J17=TRUE,"",VLOOKUP(H17,$H$10:$J$12,2,FALSE))</f>
        <v/>
      </c>
    </row>
    <row r="18" spans="4:11" x14ac:dyDescent="0.35">
      <c r="D18" s="1" t="s">
        <v>38</v>
      </c>
      <c r="E18" s="3">
        <f>output_TotalPermanentDisabilityProtection_CapitalSumRequired+input_TotalPermanentDisabilityProtection_MedicalExpenses-output_TotalPermanentDisabilityProtection_ExistingResources</f>
        <v>57160204.821616367</v>
      </c>
      <c r="H18" s="1" t="s">
        <v>36</v>
      </c>
      <c r="I18" s="1">
        <f>I6</f>
        <v>0.01</v>
      </c>
      <c r="J18" s="1" t="b">
        <f>IF(AND(I18&gt;J6,I18&lt;K6),TRUE,FALSE)</f>
        <v>1</v>
      </c>
      <c r="K18" s="52" t="str">
        <f>IF(J18=TRUE,"",VLOOKUP(H18,$H$10:$J$12,2,FALSE))</f>
        <v/>
      </c>
    </row>
    <row r="19" spans="4:11" x14ac:dyDescent="0.35">
      <c r="D19" s="1" t="s">
        <v>15</v>
      </c>
      <c r="E19" s="3">
        <f>output_TotalPermanentDisabilityProtection_CapitalSumRequired+input_TotalPermanentDisabilityProtection_MedicalExpenses</f>
        <v>57460204.821616367</v>
      </c>
      <c r="H19" s="1" t="s">
        <v>35</v>
      </c>
      <c r="I19" s="1">
        <f>I7</f>
        <v>200000</v>
      </c>
      <c r="J19" s="1" t="b">
        <f>IF(AND(I19&gt;J7,I19&lt;K7),TRUE,FALSE)</f>
        <v>1</v>
      </c>
      <c r="K19" s="52" t="str">
        <f>IF(J19=TRUE,"",VLOOKUP(H19,$H$10:$J$12,2,FALSE))</f>
        <v/>
      </c>
    </row>
    <row r="21" spans="4:11" ht="16" thickBot="1" x14ac:dyDescent="0.4"/>
    <row r="22" spans="4:11" x14ac:dyDescent="0.35">
      <c r="D22" s="53" t="s">
        <v>124</v>
      </c>
      <c r="E22" s="55" t="str">
        <f>IF(COUNTIF(J16:J19,FALSE)=0,"",VLOOKUP(FALSE,$J$16:$K$19,2,FALSE))</f>
        <v/>
      </c>
    </row>
    <row r="23" spans="4:11" ht="16" thickBot="1" x14ac:dyDescent="0.4">
      <c r="D23" s="54" t="s">
        <v>121</v>
      </c>
      <c r="E23" s="56" t="str">
        <f>IF(E22&lt;&gt;"",VLOOKUP(E22,$I$10:$J$13,2,FALSE),"")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AF9D-8323-FB46-AB76-5447F001A8DE}">
  <dimension ref="D3:K20"/>
  <sheetViews>
    <sheetView topLeftCell="B1" workbookViewId="0">
      <selection activeCell="E14" sqref="E14"/>
    </sheetView>
  </sheetViews>
  <sheetFormatPr defaultColWidth="11.08203125" defaultRowHeight="15.5" x14ac:dyDescent="0.35"/>
  <cols>
    <col min="3" max="3" width="13.4140625" customWidth="1"/>
    <col min="4" max="4" width="25.25" bestFit="1" customWidth="1"/>
    <col min="5" max="5" width="13" bestFit="1" customWidth="1"/>
    <col min="7" max="7" width="13.58203125" bestFit="1" customWidth="1"/>
    <col min="8" max="8" width="37.83203125" bestFit="1" customWidth="1"/>
    <col min="9" max="9" width="11.5" bestFit="1" customWidth="1"/>
    <col min="10" max="10" width="13.5" bestFit="1" customWidth="1"/>
    <col min="11" max="11" width="13.75" bestFit="1" customWidth="1"/>
  </cols>
  <sheetData>
    <row r="3" spans="4:11" x14ac:dyDescent="0.35">
      <c r="H3" s="49" t="s">
        <v>116</v>
      </c>
      <c r="I3" s="49" t="s">
        <v>117</v>
      </c>
      <c r="J3" s="49" t="s">
        <v>118</v>
      </c>
      <c r="K3" s="49" t="s">
        <v>119</v>
      </c>
    </row>
    <row r="4" spans="4:11" x14ac:dyDescent="0.35">
      <c r="H4" s="1" t="s">
        <v>23</v>
      </c>
      <c r="I4" s="1">
        <f>input_SavingsAccumulation_AmountNeeded</f>
        <v>200000</v>
      </c>
      <c r="J4" s="1">
        <v>0</v>
      </c>
      <c r="K4" s="1">
        <v>9999999999</v>
      </c>
    </row>
    <row r="5" spans="4:11" x14ac:dyDescent="0.35">
      <c r="D5" s="1" t="s">
        <v>0</v>
      </c>
      <c r="E5" s="2"/>
      <c r="H5" s="1" t="s">
        <v>22</v>
      </c>
      <c r="I5" s="1">
        <f>input_SavingsAccumulation_YearsToGoal</f>
        <v>20</v>
      </c>
      <c r="J5" s="1">
        <v>0</v>
      </c>
      <c r="K5" s="1">
        <v>150</v>
      </c>
    </row>
    <row r="6" spans="4:11" x14ac:dyDescent="0.35">
      <c r="D6" s="1" t="s">
        <v>1</v>
      </c>
      <c r="E6" s="3"/>
    </row>
    <row r="7" spans="4:11" x14ac:dyDescent="0.35">
      <c r="D7" s="1" t="s">
        <v>2</v>
      </c>
      <c r="E7" s="4"/>
      <c r="H7" s="49" t="s">
        <v>116</v>
      </c>
      <c r="I7" s="49" t="s">
        <v>120</v>
      </c>
      <c r="J7" s="49" t="s">
        <v>121</v>
      </c>
    </row>
    <row r="8" spans="4:11" x14ac:dyDescent="0.35">
      <c r="H8" s="1" t="s">
        <v>23</v>
      </c>
      <c r="I8" s="50" t="s">
        <v>125</v>
      </c>
      <c r="J8" s="51" t="s">
        <v>135</v>
      </c>
    </row>
    <row r="9" spans="4:11" x14ac:dyDescent="0.35">
      <c r="H9" s="1" t="s">
        <v>22</v>
      </c>
      <c r="I9" s="50" t="s">
        <v>125</v>
      </c>
      <c r="J9" s="51" t="s">
        <v>135</v>
      </c>
    </row>
    <row r="10" spans="4:11" x14ac:dyDescent="0.35">
      <c r="D10" s="1" t="s">
        <v>22</v>
      </c>
      <c r="E10" s="30">
        <v>20</v>
      </c>
    </row>
    <row r="11" spans="4:11" x14ac:dyDescent="0.35">
      <c r="D11" s="1" t="s">
        <v>23</v>
      </c>
      <c r="E11" s="2">
        <v>200000</v>
      </c>
      <c r="H11" s="49" t="s">
        <v>116</v>
      </c>
      <c r="I11" s="49" t="s">
        <v>4</v>
      </c>
      <c r="J11" s="49" t="s">
        <v>123</v>
      </c>
      <c r="K11" s="49" t="s">
        <v>120</v>
      </c>
    </row>
    <row r="12" spans="4:11" x14ac:dyDescent="0.35">
      <c r="D12" s="1" t="s">
        <v>16</v>
      </c>
      <c r="E12" s="2">
        <v>10000</v>
      </c>
      <c r="H12" s="1" t="s">
        <v>23</v>
      </c>
      <c r="I12" s="1">
        <f>I4</f>
        <v>200000</v>
      </c>
      <c r="J12" s="1" t="b">
        <f>IF(AND(I12&gt;J4,I12&lt;K4),TRUE,FALSE)</f>
        <v>1</v>
      </c>
      <c r="K12" s="52" t="str">
        <f>IF(J12=TRUE,"",VLOOKUP(H12,$H$8:$J$9,2,FALSE))</f>
        <v/>
      </c>
    </row>
    <row r="13" spans="4:11" x14ac:dyDescent="0.35">
      <c r="D13" s="1" t="s">
        <v>17</v>
      </c>
      <c r="E13" s="2">
        <v>20000</v>
      </c>
      <c r="H13" s="1" t="s">
        <v>22</v>
      </c>
      <c r="I13" s="1">
        <f>I5</f>
        <v>20</v>
      </c>
      <c r="J13" s="1" t="b">
        <f>IF(AND(I13&gt;J5,I13&lt;K5),TRUE,FALSE)</f>
        <v>1</v>
      </c>
      <c r="K13" s="52" t="str">
        <f>IF(J13=TRUE,"",VLOOKUP(H13,$H$8:$J$9,2,FALSE))</f>
        <v/>
      </c>
    </row>
    <row r="14" spans="4:11" x14ac:dyDescent="0.35">
      <c r="D14" s="1" t="s">
        <v>25</v>
      </c>
      <c r="E14" s="15">
        <f>input_SavingsAccumulation_AmountNeeded</f>
        <v>200000</v>
      </c>
    </row>
    <row r="15" spans="4:11" x14ac:dyDescent="0.35">
      <c r="D15" s="1" t="s">
        <v>9</v>
      </c>
      <c r="E15" s="15">
        <f>input_SavingsAccumulation_ExistingInsurance+input_SavingsAccumulation_ExistingAssets</f>
        <v>30000</v>
      </c>
    </row>
    <row r="16" spans="4:11" x14ac:dyDescent="0.35">
      <c r="D16" s="1" t="s">
        <v>24</v>
      </c>
      <c r="E16" s="15">
        <f>output_SavingsAccumulation_CapitalSumRequired-E15</f>
        <v>170000</v>
      </c>
    </row>
    <row r="18" spans="4:5" ht="16" thickBot="1" x14ac:dyDescent="0.4"/>
    <row r="19" spans="4:5" x14ac:dyDescent="0.35">
      <c r="D19" s="53" t="s">
        <v>124</v>
      </c>
      <c r="E19" s="55" t="str">
        <f>IF(COUNTIF(J12:J13,FALSE)=0,"",VLOOKUP(FALSE,$J$12:$K$13,2,FALSE))</f>
        <v/>
      </c>
    </row>
    <row r="20" spans="4:5" ht="16" thickBot="1" x14ac:dyDescent="0.4">
      <c r="D20" s="54" t="s">
        <v>121</v>
      </c>
      <c r="E20" s="56" t="str">
        <f>IF(E19&lt;&gt;"",VLOOKUP(E19,$I$8:$J$9,2,FALSE),"")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5117-2696-40E0-AF3E-33DEA8AF5D35}">
  <dimension ref="D3:K20"/>
  <sheetViews>
    <sheetView workbookViewId="0">
      <selection activeCell="E12" sqref="E12"/>
    </sheetView>
  </sheetViews>
  <sheetFormatPr defaultColWidth="11.08203125" defaultRowHeight="15.5" x14ac:dyDescent="0.35"/>
  <cols>
    <col min="3" max="3" width="11.1640625" customWidth="1"/>
    <col min="4" max="4" width="25.25" bestFit="1" customWidth="1"/>
    <col min="5" max="5" width="13" bestFit="1" customWidth="1"/>
    <col min="7" max="7" width="13.58203125" bestFit="1" customWidth="1"/>
    <col min="8" max="8" width="37.83203125" bestFit="1" customWidth="1"/>
    <col min="9" max="9" width="11.5" bestFit="1" customWidth="1"/>
    <col min="10" max="10" width="13.5" bestFit="1" customWidth="1"/>
    <col min="11" max="11" width="13.75" bestFit="1" customWidth="1"/>
  </cols>
  <sheetData>
    <row r="3" spans="4:11" x14ac:dyDescent="0.35">
      <c r="H3" s="49" t="s">
        <v>116</v>
      </c>
      <c r="I3" s="49" t="s">
        <v>117</v>
      </c>
      <c r="J3" s="49" t="s">
        <v>118</v>
      </c>
      <c r="K3" s="49" t="s">
        <v>119</v>
      </c>
    </row>
    <row r="4" spans="4:11" x14ac:dyDescent="0.35">
      <c r="H4" s="1" t="s">
        <v>23</v>
      </c>
      <c r="I4" s="1">
        <f>input_ChildrenSavings_AmountNeeded</f>
        <v>200000</v>
      </c>
      <c r="J4" s="1">
        <v>0</v>
      </c>
      <c r="K4" s="1">
        <v>9999999999</v>
      </c>
    </row>
    <row r="5" spans="4:11" x14ac:dyDescent="0.35">
      <c r="D5" s="1" t="s">
        <v>0</v>
      </c>
      <c r="E5" s="2"/>
      <c r="H5" s="1" t="s">
        <v>22</v>
      </c>
      <c r="I5" s="1">
        <f>input_ChildrenSavings_YearsToGoal</f>
        <v>20</v>
      </c>
      <c r="J5" s="1">
        <v>0</v>
      </c>
      <c r="K5" s="1">
        <v>150</v>
      </c>
    </row>
    <row r="6" spans="4:11" x14ac:dyDescent="0.35">
      <c r="D6" s="1" t="s">
        <v>1</v>
      </c>
      <c r="E6" s="3"/>
    </row>
    <row r="7" spans="4:11" x14ac:dyDescent="0.35">
      <c r="D7" s="1" t="s">
        <v>2</v>
      </c>
      <c r="E7" s="4"/>
      <c r="H7" s="49" t="s">
        <v>116</v>
      </c>
      <c r="I7" s="49" t="s">
        <v>120</v>
      </c>
      <c r="J7" s="49" t="s">
        <v>121</v>
      </c>
    </row>
    <row r="8" spans="4:11" x14ac:dyDescent="0.35">
      <c r="H8" s="1" t="s">
        <v>23</v>
      </c>
      <c r="I8" s="50" t="s">
        <v>125</v>
      </c>
      <c r="J8" s="51" t="s">
        <v>136</v>
      </c>
    </row>
    <row r="9" spans="4:11" x14ac:dyDescent="0.35">
      <c r="H9" s="1" t="s">
        <v>22</v>
      </c>
      <c r="I9" s="50" t="s">
        <v>125</v>
      </c>
      <c r="J9" s="51" t="s">
        <v>136</v>
      </c>
    </row>
    <row r="10" spans="4:11" x14ac:dyDescent="0.35">
      <c r="D10" s="1" t="s">
        <v>22</v>
      </c>
      <c r="E10" s="30">
        <v>20</v>
      </c>
    </row>
    <row r="11" spans="4:11" x14ac:dyDescent="0.35">
      <c r="D11" s="1" t="s">
        <v>23</v>
      </c>
      <c r="E11" s="2">
        <v>200000</v>
      </c>
      <c r="H11" s="49" t="s">
        <v>116</v>
      </c>
      <c r="I11" s="49" t="s">
        <v>4</v>
      </c>
      <c r="J11" s="49" t="s">
        <v>123</v>
      </c>
      <c r="K11" s="49" t="s">
        <v>120</v>
      </c>
    </row>
    <row r="12" spans="4:11" x14ac:dyDescent="0.35">
      <c r="D12" s="1" t="s">
        <v>16</v>
      </c>
      <c r="E12" s="2">
        <v>10000</v>
      </c>
      <c r="H12" s="1" t="s">
        <v>23</v>
      </c>
      <c r="I12" s="1">
        <f>I4</f>
        <v>200000</v>
      </c>
      <c r="J12" s="1" t="b">
        <f>IF(AND(I12&gt;J4,I12&lt;K4),TRUE,FALSE)</f>
        <v>1</v>
      </c>
      <c r="K12" s="52" t="str">
        <f>IF(J12=TRUE,"",VLOOKUP(H12,$H$8:$J$9,2,FALSE))</f>
        <v/>
      </c>
    </row>
    <row r="13" spans="4:11" x14ac:dyDescent="0.35">
      <c r="D13" s="1" t="s">
        <v>17</v>
      </c>
      <c r="E13" s="2">
        <v>20000</v>
      </c>
      <c r="H13" s="1" t="s">
        <v>22</v>
      </c>
      <c r="I13" s="1">
        <f>I5</f>
        <v>20</v>
      </c>
      <c r="J13" s="1" t="b">
        <f>IF(AND(I13&gt;J5,I13&lt;K5),TRUE,FALSE)</f>
        <v>1</v>
      </c>
      <c r="K13" s="52" t="str">
        <f>IF(J13=TRUE,"",VLOOKUP(H13,$H$8:$J$9,2,FALSE))</f>
        <v/>
      </c>
    </row>
    <row r="14" spans="4:11" x14ac:dyDescent="0.35">
      <c r="D14" s="1" t="s">
        <v>25</v>
      </c>
      <c r="E14" s="15">
        <v>200000</v>
      </c>
    </row>
    <row r="15" spans="4:11" x14ac:dyDescent="0.35">
      <c r="D15" s="1" t="s">
        <v>9</v>
      </c>
      <c r="E15" s="15">
        <v>30000</v>
      </c>
    </row>
    <row r="16" spans="4:11" x14ac:dyDescent="0.35">
      <c r="D16" s="1" t="s">
        <v>24</v>
      </c>
      <c r="E16" s="15">
        <v>170000</v>
      </c>
    </row>
    <row r="18" spans="4:5" ht="16" thickBot="1" x14ac:dyDescent="0.4"/>
    <row r="19" spans="4:5" x14ac:dyDescent="0.35">
      <c r="D19" s="53" t="s">
        <v>124</v>
      </c>
      <c r="E19" s="55" t="str">
        <f>IF(COUNTIF(J12:J13,FALSE)=0,"",VLOOKUP(FALSE,$J$12:$K$13,2,FALSE))</f>
        <v/>
      </c>
    </row>
    <row r="20" spans="4:5" ht="16" thickBot="1" x14ac:dyDescent="0.4">
      <c r="D20" s="54" t="s">
        <v>121</v>
      </c>
      <c r="E20" s="56" t="str">
        <f>IF(E19&lt;&gt;"",VLOOKUP(E19,$I$8:$J$9,2,FALSE),"")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A8BA-FCD5-1143-AD6D-0C2216BC346F}">
  <dimension ref="D3:K31"/>
  <sheetViews>
    <sheetView topLeftCell="A4" zoomScaleNormal="100" workbookViewId="0">
      <selection activeCell="E8" sqref="E8"/>
    </sheetView>
  </sheetViews>
  <sheetFormatPr defaultColWidth="11.08203125" defaultRowHeight="15.5" x14ac:dyDescent="0.35"/>
  <cols>
    <col min="3" max="3" width="11.5" customWidth="1"/>
    <col min="4" max="4" width="33.08203125" bestFit="1" customWidth="1"/>
    <col min="5" max="5" width="13" bestFit="1" customWidth="1"/>
    <col min="7" max="7" width="13.83203125" customWidth="1"/>
    <col min="8" max="8" width="37.83203125" bestFit="1" customWidth="1"/>
    <col min="9" max="9" width="11.5" bestFit="1" customWidth="1"/>
    <col min="10" max="10" width="13.5" bestFit="1" customWidth="1"/>
    <col min="11" max="11" width="13.75" bestFit="1" customWidth="1"/>
  </cols>
  <sheetData>
    <row r="3" spans="4:11" x14ac:dyDescent="0.35">
      <c r="H3" s="49" t="s">
        <v>116</v>
      </c>
      <c r="I3" s="49" t="s">
        <v>117</v>
      </c>
      <c r="J3" s="49" t="s">
        <v>118</v>
      </c>
      <c r="K3" s="49" t="s">
        <v>119</v>
      </c>
    </row>
    <row r="4" spans="4:11" x14ac:dyDescent="0.35">
      <c r="H4" s="1" t="s">
        <v>23</v>
      </c>
      <c r="I4" s="1">
        <f>input_ChildrenEducationSavings_AmountNeeded</f>
        <v>300000</v>
      </c>
      <c r="J4" s="1">
        <v>0</v>
      </c>
      <c r="K4" s="1">
        <v>9999999999</v>
      </c>
    </row>
    <row r="5" spans="4:11" x14ac:dyDescent="0.35">
      <c r="D5" s="1" t="s">
        <v>0</v>
      </c>
      <c r="E5" s="2"/>
      <c r="H5" s="1" t="s">
        <v>22</v>
      </c>
      <c r="I5" s="1">
        <f>input_ChildrenEducationSavings_YearsToGoal</f>
        <v>10</v>
      </c>
      <c r="J5" s="1">
        <v>0</v>
      </c>
      <c r="K5" s="1">
        <v>9999999999</v>
      </c>
    </row>
    <row r="6" spans="4:11" x14ac:dyDescent="0.35">
      <c r="D6" s="1" t="s">
        <v>1</v>
      </c>
      <c r="E6" s="3"/>
      <c r="H6" s="1" t="s">
        <v>19</v>
      </c>
      <c r="I6" s="1">
        <f>input_ChildrenEducationSavings_InflationRate</f>
        <v>0.03</v>
      </c>
      <c r="J6" s="1">
        <v>0</v>
      </c>
      <c r="K6" s="1">
        <v>9999999999</v>
      </c>
    </row>
    <row r="7" spans="4:11" x14ac:dyDescent="0.35">
      <c r="D7" s="1" t="s">
        <v>2</v>
      </c>
      <c r="E7" s="4"/>
      <c r="H7" s="1" t="s">
        <v>51</v>
      </c>
      <c r="I7" s="1" t="str">
        <f>input_ChildrenEducationSavings_CountryOfStudy</f>
        <v>Singapore</v>
      </c>
      <c r="J7" s="1"/>
      <c r="K7" s="1"/>
    </row>
    <row r="9" spans="4:11" x14ac:dyDescent="0.35">
      <c r="H9" s="49" t="s">
        <v>116</v>
      </c>
      <c r="I9" s="49" t="s">
        <v>120</v>
      </c>
      <c r="J9" s="49" t="s">
        <v>121</v>
      </c>
    </row>
    <row r="10" spans="4:11" x14ac:dyDescent="0.35">
      <c r="D10" s="1" t="s">
        <v>51</v>
      </c>
      <c r="E10" s="14" t="s">
        <v>46</v>
      </c>
      <c r="H10" s="1" t="s">
        <v>23</v>
      </c>
      <c r="I10" s="50" t="s">
        <v>125</v>
      </c>
      <c r="J10" s="51" t="s">
        <v>136</v>
      </c>
    </row>
    <row r="11" spans="4:11" x14ac:dyDescent="0.35">
      <c r="D11" s="1" t="s">
        <v>52</v>
      </c>
      <c r="E11" s="15">
        <f>VLOOKUP(E10,D27:E31,2,0)</f>
        <v>0.03</v>
      </c>
      <c r="H11" s="1" t="s">
        <v>22</v>
      </c>
      <c r="I11" s="50" t="s">
        <v>125</v>
      </c>
      <c r="J11" s="51" t="s">
        <v>136</v>
      </c>
    </row>
    <row r="12" spans="4:11" x14ac:dyDescent="0.35">
      <c r="D12" s="1" t="s">
        <v>19</v>
      </c>
      <c r="E12" s="2">
        <v>0.03</v>
      </c>
      <c r="H12" s="1" t="s">
        <v>19</v>
      </c>
      <c r="I12" s="50" t="s">
        <v>125</v>
      </c>
      <c r="J12" s="51" t="s">
        <v>136</v>
      </c>
    </row>
    <row r="13" spans="4:11" x14ac:dyDescent="0.35">
      <c r="D13" s="1" t="s">
        <v>22</v>
      </c>
      <c r="E13" s="2">
        <v>10</v>
      </c>
      <c r="H13" s="1" t="s">
        <v>51</v>
      </c>
      <c r="I13" s="50" t="s">
        <v>125</v>
      </c>
      <c r="J13" s="51" t="s">
        <v>136</v>
      </c>
    </row>
    <row r="14" spans="4:11" x14ac:dyDescent="0.35">
      <c r="D14" s="1" t="s">
        <v>18</v>
      </c>
      <c r="E14" s="2">
        <v>300000</v>
      </c>
    </row>
    <row r="15" spans="4:11" x14ac:dyDescent="0.35">
      <c r="D15" s="1" t="s">
        <v>16</v>
      </c>
      <c r="E15" s="2">
        <v>10000</v>
      </c>
      <c r="H15" s="49" t="s">
        <v>116</v>
      </c>
      <c r="I15" s="49" t="s">
        <v>4</v>
      </c>
      <c r="J15" s="49" t="s">
        <v>123</v>
      </c>
      <c r="K15" s="49" t="s">
        <v>120</v>
      </c>
    </row>
    <row r="16" spans="4:11" x14ac:dyDescent="0.35">
      <c r="D16" s="1" t="s">
        <v>17</v>
      </c>
      <c r="E16" s="2">
        <v>20000</v>
      </c>
      <c r="H16" s="1" t="s">
        <v>23</v>
      </c>
      <c r="I16" s="1">
        <f>I4</f>
        <v>300000</v>
      </c>
      <c r="J16" s="1" t="b">
        <f>IF(AND(I16&gt;J4,I16&lt;K4),TRUE,FALSE)</f>
        <v>1</v>
      </c>
      <c r="K16" s="52" t="str">
        <f>IF(J16=TRUE,"",VLOOKUP(H16,$H$10:$J$13,2,FALSE))</f>
        <v/>
      </c>
    </row>
    <row r="17" spans="4:11" x14ac:dyDescent="0.35">
      <c r="D17" s="1" t="s">
        <v>21</v>
      </c>
      <c r="E17" s="3">
        <f>E14*(1+E12)^E13</f>
        <v>403174.91380323656</v>
      </c>
      <c r="H17" s="1" t="s">
        <v>22</v>
      </c>
      <c r="I17" s="1">
        <f>I5</f>
        <v>10</v>
      </c>
      <c r="J17" s="1" t="b">
        <f>IF(AND(I17&gt;J5,I17&lt;K5),TRUE,FALSE)</f>
        <v>1</v>
      </c>
      <c r="K17" s="52" t="str">
        <f t="shared" ref="K17:K19" si="0">IF(J17=TRUE,"",VLOOKUP(H17,$H$10:$J$13,2,FALSE))</f>
        <v/>
      </c>
    </row>
    <row r="18" spans="4:11" x14ac:dyDescent="0.35">
      <c r="D18" s="1" t="s">
        <v>9</v>
      </c>
      <c r="E18" s="3">
        <f>input_ChildrenEducationSavings_ExistingInsurance+input_ChildrenEducationSavings_ExistingAssets</f>
        <v>30000</v>
      </c>
      <c r="H18" s="1" t="s">
        <v>19</v>
      </c>
      <c r="I18" s="1">
        <f t="shared" ref="I18:I19" si="1">I6</f>
        <v>0.03</v>
      </c>
      <c r="J18" s="1" t="b">
        <f t="shared" ref="J18" si="2">IF(AND(I18&gt;J6,I18&lt;K6),TRUE,FALSE)</f>
        <v>1</v>
      </c>
      <c r="K18" s="52" t="str">
        <f t="shared" si="0"/>
        <v/>
      </c>
    </row>
    <row r="19" spans="4:11" x14ac:dyDescent="0.35">
      <c r="D19" s="1" t="s">
        <v>20</v>
      </c>
      <c r="E19" s="3">
        <f>E17-E18</f>
        <v>373174.91380323656</v>
      </c>
      <c r="H19" s="1" t="s">
        <v>51</v>
      </c>
      <c r="I19" s="1" t="str">
        <f t="shared" si="1"/>
        <v>Singapore</v>
      </c>
      <c r="J19" s="1" t="b">
        <f>OR(input_ChildrenEducationSavings_CountryOfStudy="",NOT(ISERROR(VLOOKUP(input_ChildrenEducationSavings_CountryOfStudy,D27:D31,1,0))))</f>
        <v>1</v>
      </c>
      <c r="K19" s="52" t="str">
        <f t="shared" si="0"/>
        <v/>
      </c>
    </row>
    <row r="21" spans="4:11" ht="16" thickBot="1" x14ac:dyDescent="0.4"/>
    <row r="22" spans="4:11" x14ac:dyDescent="0.35">
      <c r="D22" s="53" t="s">
        <v>124</v>
      </c>
      <c r="E22" s="55" t="str">
        <f>IF(COUNTIF(J16:J19,FALSE)=0,"",VLOOKUP(FALSE,$J$16:$K$19,2,FALSE))</f>
        <v/>
      </c>
    </row>
    <row r="23" spans="4:11" ht="16" thickBot="1" x14ac:dyDescent="0.4">
      <c r="D23" s="54" t="s">
        <v>121</v>
      </c>
      <c r="E23" s="56" t="str">
        <f>IF(E22&lt;&gt;"",VLOOKUP(E22,$I$10:$J$13,2,FALSE),"")</f>
        <v/>
      </c>
    </row>
    <row r="26" spans="4:11" x14ac:dyDescent="0.35">
      <c r="D26" s="13" t="s">
        <v>50</v>
      </c>
      <c r="E26" s="13" t="s">
        <v>19</v>
      </c>
    </row>
    <row r="27" spans="4:11" x14ac:dyDescent="0.35">
      <c r="D27" s="1" t="s">
        <v>46</v>
      </c>
      <c r="E27" s="1">
        <v>0.03</v>
      </c>
    </row>
    <row r="28" spans="4:11" x14ac:dyDescent="0.35">
      <c r="D28" s="1" t="s">
        <v>47</v>
      </c>
      <c r="E28" s="1">
        <v>0.05</v>
      </c>
    </row>
    <row r="29" spans="4:11" x14ac:dyDescent="0.35">
      <c r="D29" s="1" t="s">
        <v>48</v>
      </c>
      <c r="E29" s="1">
        <v>0.04</v>
      </c>
    </row>
    <row r="30" spans="4:11" x14ac:dyDescent="0.35">
      <c r="D30" s="1" t="s">
        <v>49</v>
      </c>
      <c r="E30" s="1">
        <v>0.03</v>
      </c>
    </row>
    <row r="31" spans="4:11" x14ac:dyDescent="0.35">
      <c r="D31" s="1" t="s">
        <v>8</v>
      </c>
      <c r="E31" s="1"/>
    </row>
  </sheetData>
  <dataValidations count="1">
    <dataValidation type="list" allowBlank="1" showInputMessage="1" showErrorMessage="1" sqref="E10" xr:uid="{CAFB4E18-4B32-A846-A148-27D5341E2E16}">
      <formula1>$D$27:$D$31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6F9B-3E33-F241-9A8B-FA10A7B41545}">
  <dimension ref="D3:K19"/>
  <sheetViews>
    <sheetView topLeftCell="B4" zoomScale="89" workbookViewId="0">
      <selection activeCell="E10" sqref="E10"/>
    </sheetView>
  </sheetViews>
  <sheetFormatPr defaultColWidth="11.08203125" defaultRowHeight="15.5" x14ac:dyDescent="0.35"/>
  <cols>
    <col min="3" max="3" width="14.33203125" customWidth="1"/>
    <col min="4" max="4" width="40.08203125" bestFit="1" customWidth="1"/>
    <col min="5" max="5" width="9" bestFit="1" customWidth="1"/>
    <col min="7" max="7" width="13" bestFit="1" customWidth="1"/>
    <col min="8" max="8" width="37.83203125" bestFit="1" customWidth="1"/>
    <col min="9" max="9" width="11.5" bestFit="1" customWidth="1"/>
    <col min="10" max="10" width="13.5" bestFit="1" customWidth="1"/>
    <col min="11" max="11" width="13.75" bestFit="1" customWidth="1"/>
  </cols>
  <sheetData>
    <row r="3" spans="4:11" x14ac:dyDescent="0.35">
      <c r="H3" s="49" t="s">
        <v>116</v>
      </c>
      <c r="I3" s="49" t="s">
        <v>117</v>
      </c>
      <c r="J3" s="49" t="s">
        <v>118</v>
      </c>
      <c r="K3" s="49" t="s">
        <v>119</v>
      </c>
    </row>
    <row r="4" spans="4:11" x14ac:dyDescent="0.35">
      <c r="H4" s="1" t="s">
        <v>43</v>
      </c>
      <c r="I4" s="1">
        <f>input_LongTermCareProtection_ReplacementIncomeNeededPerMonth</f>
        <v>10000</v>
      </c>
      <c r="J4" s="1">
        <v>0</v>
      </c>
      <c r="K4" s="1">
        <v>9999999999</v>
      </c>
    </row>
    <row r="5" spans="4:11" x14ac:dyDescent="0.35">
      <c r="D5" s="1" t="s">
        <v>0</v>
      </c>
      <c r="E5" s="2"/>
    </row>
    <row r="6" spans="4:11" x14ac:dyDescent="0.35">
      <c r="D6" s="1" t="s">
        <v>1</v>
      </c>
      <c r="E6" s="3"/>
      <c r="H6" s="49" t="s">
        <v>116</v>
      </c>
      <c r="I6" s="49" t="s">
        <v>120</v>
      </c>
      <c r="J6" s="49" t="s">
        <v>121</v>
      </c>
    </row>
    <row r="7" spans="4:11" x14ac:dyDescent="0.35">
      <c r="D7" s="1" t="s">
        <v>2</v>
      </c>
      <c r="E7" s="4"/>
      <c r="H7" s="1" t="s">
        <v>43</v>
      </c>
      <c r="I7" s="50" t="s">
        <v>125</v>
      </c>
      <c r="J7" s="51" t="s">
        <v>137</v>
      </c>
    </row>
    <row r="9" spans="4:11" x14ac:dyDescent="0.35">
      <c r="H9" s="49" t="s">
        <v>116</v>
      </c>
      <c r="I9" s="49" t="s">
        <v>4</v>
      </c>
      <c r="J9" s="49" t="s">
        <v>123</v>
      </c>
      <c r="K9" s="49" t="s">
        <v>120</v>
      </c>
    </row>
    <row r="10" spans="4:11" x14ac:dyDescent="0.35">
      <c r="D10" s="1" t="s">
        <v>43</v>
      </c>
      <c r="E10" s="14">
        <v>10000</v>
      </c>
      <c r="H10" s="1" t="s">
        <v>43</v>
      </c>
      <c r="I10" s="1">
        <f>I4</f>
        <v>10000</v>
      </c>
      <c r="J10" s="1" t="b">
        <f>IF(AND(I10&gt;J4,I10&lt;K4),TRUE,FALSE)</f>
        <v>1</v>
      </c>
      <c r="K10" s="52" t="str">
        <f>IF(J10=TRUE,"",VLOOKUP(H10,$H$7:$J$7,2,FALSE))</f>
        <v/>
      </c>
    </row>
    <row r="11" spans="4:11" x14ac:dyDescent="0.35">
      <c r="D11" s="1" t="s">
        <v>16</v>
      </c>
      <c r="E11" s="14">
        <v>0</v>
      </c>
    </row>
    <row r="12" spans="4:11" x14ac:dyDescent="0.35">
      <c r="D12" s="1" t="s">
        <v>17</v>
      </c>
      <c r="E12" s="14">
        <v>0</v>
      </c>
    </row>
    <row r="13" spans="4:11" x14ac:dyDescent="0.35">
      <c r="D13" s="1" t="s">
        <v>45</v>
      </c>
      <c r="E13" s="15">
        <f>input_LongTermCareProtection_ReplacementIncomeNeededPerMonth</f>
        <v>10000</v>
      </c>
    </row>
    <row r="14" spans="4:11" x14ac:dyDescent="0.35">
      <c r="D14" s="1" t="s">
        <v>9</v>
      </c>
      <c r="E14" s="15">
        <f>E12+E11</f>
        <v>0</v>
      </c>
    </row>
    <row r="15" spans="4:11" x14ac:dyDescent="0.35">
      <c r="D15" s="1" t="s">
        <v>44</v>
      </c>
      <c r="E15" s="15">
        <f>E13-E14</f>
        <v>10000</v>
      </c>
    </row>
    <row r="17" spans="4:5" ht="16" thickBot="1" x14ac:dyDescent="0.4">
      <c r="D17" s="12"/>
    </row>
    <row r="18" spans="4:5" x14ac:dyDescent="0.35">
      <c r="D18" s="53" t="s">
        <v>124</v>
      </c>
      <c r="E18" s="55" t="str">
        <f>IF(COUNTIF(J10,FALSE)=0,"",VLOOKUP(FALSE,$J$10:$K$10,2,FALSE))</f>
        <v/>
      </c>
    </row>
    <row r="19" spans="4:5" ht="16" thickBot="1" x14ac:dyDescent="0.4">
      <c r="D19" s="54" t="s">
        <v>121</v>
      </c>
      <c r="E19" s="56" t="str">
        <f>IF(E18&lt;&gt;"",VLOOKUP(E18,$I$7:$J$7,2,FALSE),"")</f>
        <v/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57C40-5780-0341-8A5A-4FF85500F50E}">
  <dimension ref="D3:K19"/>
  <sheetViews>
    <sheetView workbookViewId="0">
      <selection activeCell="E18" sqref="E18"/>
    </sheetView>
  </sheetViews>
  <sheetFormatPr defaultColWidth="11.08203125" defaultRowHeight="15.5" x14ac:dyDescent="0.35"/>
  <cols>
    <col min="3" max="3" width="11.83203125" customWidth="1"/>
    <col min="4" max="4" width="24.25" bestFit="1" customWidth="1"/>
    <col min="5" max="5" width="13" bestFit="1" customWidth="1"/>
    <col min="7" max="7" width="13.58203125" bestFit="1" customWidth="1"/>
    <col min="8" max="8" width="37.83203125" customWidth="1"/>
    <col min="9" max="9" width="11.5" bestFit="1" customWidth="1"/>
    <col min="10" max="10" width="13.5" bestFit="1" customWidth="1"/>
    <col min="11" max="11" width="13.75" bestFit="1" customWidth="1"/>
  </cols>
  <sheetData>
    <row r="3" spans="4:11" x14ac:dyDescent="0.35">
      <c r="H3" s="49" t="s">
        <v>116</v>
      </c>
      <c r="I3" s="49" t="s">
        <v>117</v>
      </c>
      <c r="J3" s="49" t="s">
        <v>118</v>
      </c>
      <c r="K3" s="49" t="s">
        <v>119</v>
      </c>
    </row>
    <row r="4" spans="4:11" x14ac:dyDescent="0.35">
      <c r="H4" s="1" t="s">
        <v>23</v>
      </c>
      <c r="I4" s="1">
        <f>input_LossOfIncomeProtection_AmountNeeded</f>
        <v>200000</v>
      </c>
      <c r="J4" s="1">
        <v>0</v>
      </c>
      <c r="K4" s="1">
        <v>9999999999</v>
      </c>
    </row>
    <row r="5" spans="4:11" x14ac:dyDescent="0.35">
      <c r="D5" s="1" t="s">
        <v>0</v>
      </c>
      <c r="E5" s="2"/>
    </row>
    <row r="6" spans="4:11" x14ac:dyDescent="0.35">
      <c r="D6" s="1" t="s">
        <v>1</v>
      </c>
      <c r="E6" s="3"/>
      <c r="H6" s="49" t="s">
        <v>116</v>
      </c>
      <c r="I6" s="49" t="s">
        <v>120</v>
      </c>
      <c r="J6" s="49" t="s">
        <v>121</v>
      </c>
    </row>
    <row r="7" spans="4:11" x14ac:dyDescent="0.35">
      <c r="D7" s="1" t="s">
        <v>2</v>
      </c>
      <c r="E7" s="4"/>
      <c r="H7" s="1" t="s">
        <v>23</v>
      </c>
      <c r="I7" s="50" t="s">
        <v>125</v>
      </c>
      <c r="J7" s="51" t="s">
        <v>138</v>
      </c>
    </row>
    <row r="9" spans="4:11" x14ac:dyDescent="0.35">
      <c r="H9" s="49" t="s">
        <v>116</v>
      </c>
      <c r="I9" s="49" t="s">
        <v>4</v>
      </c>
      <c r="J9" s="49" t="s">
        <v>123</v>
      </c>
      <c r="K9" s="49" t="s">
        <v>120</v>
      </c>
    </row>
    <row r="10" spans="4:11" x14ac:dyDescent="0.35">
      <c r="D10" s="1" t="s">
        <v>23</v>
      </c>
      <c r="E10" s="2">
        <v>200000</v>
      </c>
      <c r="H10" s="1" t="s">
        <v>23</v>
      </c>
      <c r="I10" s="1">
        <f>I4</f>
        <v>200000</v>
      </c>
      <c r="J10" s="1" t="b">
        <f>IF(AND(I10&gt;J4,I10&lt;K4),TRUE,FALSE)</f>
        <v>1</v>
      </c>
      <c r="K10" s="52" t="str">
        <f>IF(J10=TRUE,"",VLOOKUP(H10,$H$7:$J$7,2,FALSE))</f>
        <v/>
      </c>
    </row>
    <row r="11" spans="4:11" x14ac:dyDescent="0.35">
      <c r="D11" s="1" t="s">
        <v>16</v>
      </c>
      <c r="E11" s="2">
        <v>10000</v>
      </c>
    </row>
    <row r="12" spans="4:11" x14ac:dyDescent="0.35">
      <c r="D12" s="1" t="s">
        <v>17</v>
      </c>
      <c r="E12" s="2">
        <v>20000</v>
      </c>
    </row>
    <row r="13" spans="4:11" x14ac:dyDescent="0.35">
      <c r="D13" s="1" t="s">
        <v>25</v>
      </c>
      <c r="E13" s="15">
        <f>input_LossOfIncomeProtection_AmountNeeded</f>
        <v>200000</v>
      </c>
    </row>
    <row r="14" spans="4:11" x14ac:dyDescent="0.35">
      <c r="D14" s="1" t="s">
        <v>9</v>
      </c>
      <c r="E14" s="15">
        <f>input_LossOfIncomeProtection_ExistingInsurance+input_LossOfIncomeProtection_ExistingAssets</f>
        <v>30000</v>
      </c>
    </row>
    <row r="15" spans="4:11" x14ac:dyDescent="0.35">
      <c r="D15" s="1" t="s">
        <v>24</v>
      </c>
      <c r="E15" s="15">
        <f>output_LossOfIncomeProtection_CapitalSumRequired-E14</f>
        <v>170000</v>
      </c>
    </row>
    <row r="17" spans="4:5" ht="16" thickBot="1" x14ac:dyDescent="0.4"/>
    <row r="18" spans="4:5" x14ac:dyDescent="0.35">
      <c r="D18" s="53" t="s">
        <v>124</v>
      </c>
      <c r="E18" s="55" t="str">
        <f>IF(COUNTIF(J10,FALSE)=0,"",VLOOKUP(FALSE,$J$10:$K$10,2,FALSE))</f>
        <v/>
      </c>
    </row>
    <row r="19" spans="4:5" ht="16" thickBot="1" x14ac:dyDescent="0.4">
      <c r="D19" s="54" t="s">
        <v>121</v>
      </c>
      <c r="E19" s="56" t="str">
        <f>IF(E18&lt;&gt;"",VLOOKUP(E18,$I$7:$J$7,2,FALSE),"")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852A-57A9-794C-93B0-C0D6AAA56EE5}">
  <dimension ref="D3:K19"/>
  <sheetViews>
    <sheetView topLeftCell="A7" workbookViewId="0">
      <selection activeCell="E11" sqref="E11"/>
    </sheetView>
  </sheetViews>
  <sheetFormatPr defaultColWidth="11.08203125" defaultRowHeight="15.5" x14ac:dyDescent="0.35"/>
  <cols>
    <col min="3" max="3" width="12.83203125" customWidth="1"/>
    <col min="4" max="4" width="24.25" bestFit="1" customWidth="1"/>
    <col min="5" max="5" width="13" bestFit="1" customWidth="1"/>
    <col min="7" max="7" width="13.58203125" bestFit="1" customWidth="1"/>
    <col min="8" max="8" width="37.83203125" customWidth="1"/>
    <col min="9" max="9" width="11.5" bestFit="1" customWidth="1"/>
    <col min="10" max="10" width="13.5" bestFit="1" customWidth="1"/>
    <col min="11" max="11" width="13.75" bestFit="1" customWidth="1"/>
  </cols>
  <sheetData>
    <row r="3" spans="4:11" x14ac:dyDescent="0.35">
      <c r="H3" s="49" t="s">
        <v>116</v>
      </c>
      <c r="I3" s="49" t="s">
        <v>117</v>
      </c>
      <c r="J3" s="49" t="s">
        <v>118</v>
      </c>
      <c r="K3" s="49" t="s">
        <v>119</v>
      </c>
    </row>
    <row r="4" spans="4:11" x14ac:dyDescent="0.35">
      <c r="H4" s="1" t="s">
        <v>23</v>
      </c>
      <c r="I4" s="1">
        <f>input_GenderRelatedIllnessProtection_AmountNeeded</f>
        <v>200000</v>
      </c>
      <c r="J4" s="1">
        <v>0</v>
      </c>
      <c r="K4" s="1">
        <v>9999999999</v>
      </c>
    </row>
    <row r="5" spans="4:11" x14ac:dyDescent="0.35">
      <c r="D5" s="1" t="s">
        <v>0</v>
      </c>
      <c r="E5" s="2"/>
    </row>
    <row r="6" spans="4:11" x14ac:dyDescent="0.35">
      <c r="D6" s="1" t="s">
        <v>1</v>
      </c>
      <c r="E6" s="3"/>
      <c r="H6" s="49" t="s">
        <v>116</v>
      </c>
      <c r="I6" s="49" t="s">
        <v>120</v>
      </c>
      <c r="J6" s="49" t="s">
        <v>121</v>
      </c>
    </row>
    <row r="7" spans="4:11" x14ac:dyDescent="0.35">
      <c r="D7" s="1" t="s">
        <v>2</v>
      </c>
      <c r="E7" s="4"/>
      <c r="H7" s="1" t="s">
        <v>23</v>
      </c>
      <c r="I7" s="50" t="s">
        <v>125</v>
      </c>
      <c r="J7" s="51" t="s">
        <v>139</v>
      </c>
    </row>
    <row r="9" spans="4:11" x14ac:dyDescent="0.35">
      <c r="H9" s="49" t="s">
        <v>116</v>
      </c>
      <c r="I9" s="49" t="s">
        <v>4</v>
      </c>
      <c r="J9" s="49" t="s">
        <v>123</v>
      </c>
      <c r="K9" s="49" t="s">
        <v>120</v>
      </c>
    </row>
    <row r="10" spans="4:11" x14ac:dyDescent="0.35">
      <c r="D10" s="1" t="s">
        <v>23</v>
      </c>
      <c r="E10" s="2">
        <v>200000</v>
      </c>
      <c r="H10" s="1" t="s">
        <v>23</v>
      </c>
      <c r="I10" s="1">
        <f>I4</f>
        <v>200000</v>
      </c>
      <c r="J10" s="1" t="b">
        <f>IF(AND(I10&gt;J4,I10&lt;K4),TRUE,FALSE)</f>
        <v>1</v>
      </c>
      <c r="K10" s="52" t="str">
        <f>IF(J10=TRUE,"",VLOOKUP(H10,$H$7:$J$7,2,FALSE))</f>
        <v/>
      </c>
    </row>
    <row r="11" spans="4:11" x14ac:dyDescent="0.35">
      <c r="D11" s="1" t="s">
        <v>16</v>
      </c>
      <c r="E11" s="2">
        <v>10000</v>
      </c>
    </row>
    <row r="12" spans="4:11" x14ac:dyDescent="0.35">
      <c r="D12" s="1" t="s">
        <v>17</v>
      </c>
      <c r="E12" s="2">
        <v>20000</v>
      </c>
    </row>
    <row r="13" spans="4:11" x14ac:dyDescent="0.35">
      <c r="D13" s="1" t="s">
        <v>25</v>
      </c>
      <c r="E13" s="15">
        <f>input_GenderRelatedIllnessProtection_AmountNeeded</f>
        <v>200000</v>
      </c>
    </row>
    <row r="14" spans="4:11" x14ac:dyDescent="0.35">
      <c r="D14" s="1" t="s">
        <v>9</v>
      </c>
      <c r="E14" s="15">
        <f>input_GenderRelatedIllnessProtection_ExistingInsurance+input_GenderRelatedIllnessProtection_ExistingAssets</f>
        <v>30000</v>
      </c>
    </row>
    <row r="15" spans="4:11" x14ac:dyDescent="0.35">
      <c r="D15" s="1" t="s">
        <v>24</v>
      </c>
      <c r="E15" s="15">
        <f>output_GenderRelatedIllnessProtection_CapitalSumRequired-E14</f>
        <v>170000</v>
      </c>
    </row>
    <row r="17" spans="4:5" ht="16" thickBot="1" x14ac:dyDescent="0.4"/>
    <row r="18" spans="4:5" x14ac:dyDescent="0.35">
      <c r="D18" s="53" t="s">
        <v>124</v>
      </c>
      <c r="E18" s="55" t="str">
        <f>IF(COUNTIF(J10,FALSE)=0,"",VLOOKUP(FALSE,$J$10:$K$10,2,FALSE))</f>
        <v/>
      </c>
    </row>
    <row r="19" spans="4:5" ht="16" thickBot="1" x14ac:dyDescent="0.4">
      <c r="D19" s="54" t="s">
        <v>121</v>
      </c>
      <c r="E19" s="56" t="str">
        <f>IF(E18&lt;&gt;"",VLOOKUP(E18,$I$7:$J$7,2,FALSE),"")</f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E4B9-9EDF-0647-8F5A-FE1DF8D270AF}">
  <dimension ref="D3:K19"/>
  <sheetViews>
    <sheetView topLeftCell="D1" workbookViewId="0">
      <selection activeCell="E20" sqref="E20"/>
    </sheetView>
  </sheetViews>
  <sheetFormatPr defaultColWidth="11.08203125" defaultRowHeight="15.5" x14ac:dyDescent="0.35"/>
  <cols>
    <col min="3" max="3" width="11.9140625" customWidth="1"/>
    <col min="4" max="4" width="24.25" bestFit="1" customWidth="1"/>
    <col min="5" max="5" width="13" bestFit="1" customWidth="1"/>
    <col min="7" max="7" width="13.58203125" bestFit="1" customWidth="1"/>
    <col min="8" max="8" width="37.83203125" customWidth="1"/>
    <col min="9" max="9" width="11.5" bestFit="1" customWidth="1"/>
    <col min="10" max="10" width="13.5" bestFit="1" customWidth="1"/>
    <col min="11" max="11" width="13.75" bestFit="1" customWidth="1"/>
  </cols>
  <sheetData>
    <row r="3" spans="4:11" x14ac:dyDescent="0.35">
      <c r="H3" s="49" t="s">
        <v>116</v>
      </c>
      <c r="I3" s="49" t="s">
        <v>117</v>
      </c>
      <c r="J3" s="49" t="s">
        <v>118</v>
      </c>
      <c r="K3" s="49" t="s">
        <v>119</v>
      </c>
    </row>
    <row r="4" spans="4:11" x14ac:dyDescent="0.35">
      <c r="H4" s="1" t="s">
        <v>23</v>
      </c>
      <c r="I4" s="1">
        <f>input_PersonalAccidentProtection_AmountNeeded</f>
        <v>200000</v>
      </c>
      <c r="J4" s="1">
        <v>0</v>
      </c>
      <c r="K4" s="1">
        <v>9999999999</v>
      </c>
    </row>
    <row r="5" spans="4:11" x14ac:dyDescent="0.35">
      <c r="D5" s="1" t="s">
        <v>0</v>
      </c>
      <c r="E5" s="2"/>
    </row>
    <row r="6" spans="4:11" x14ac:dyDescent="0.35">
      <c r="D6" s="1" t="s">
        <v>1</v>
      </c>
      <c r="E6" s="3"/>
      <c r="H6" s="49" t="s">
        <v>116</v>
      </c>
      <c r="I6" s="49" t="s">
        <v>120</v>
      </c>
      <c r="J6" s="49" t="s">
        <v>121</v>
      </c>
    </row>
    <row r="7" spans="4:11" x14ac:dyDescent="0.35">
      <c r="D7" s="1" t="s">
        <v>2</v>
      </c>
      <c r="E7" s="4"/>
      <c r="H7" s="1" t="s">
        <v>23</v>
      </c>
      <c r="I7" s="50" t="s">
        <v>125</v>
      </c>
      <c r="J7" s="51" t="s">
        <v>140</v>
      </c>
    </row>
    <row r="9" spans="4:11" x14ac:dyDescent="0.35">
      <c r="H9" s="49" t="s">
        <v>116</v>
      </c>
      <c r="I9" s="49" t="s">
        <v>4</v>
      </c>
      <c r="J9" s="49" t="s">
        <v>123</v>
      </c>
      <c r="K9" s="49" t="s">
        <v>120</v>
      </c>
    </row>
    <row r="10" spans="4:11" x14ac:dyDescent="0.35">
      <c r="D10" s="1" t="s">
        <v>23</v>
      </c>
      <c r="E10" s="2">
        <v>200000</v>
      </c>
      <c r="H10" s="1" t="s">
        <v>23</v>
      </c>
      <c r="I10" s="1">
        <f>I4</f>
        <v>200000</v>
      </c>
      <c r="J10" s="1" t="b">
        <f>IF(AND(I10&gt;J4,I10&lt;K4),TRUE,FALSE)</f>
        <v>1</v>
      </c>
      <c r="K10" s="52" t="str">
        <f>IF(J10=TRUE,"",VLOOKUP(H10,$H$7:$J$7,2,FALSE))</f>
        <v/>
      </c>
    </row>
    <row r="11" spans="4:11" x14ac:dyDescent="0.35">
      <c r="D11" s="1" t="s">
        <v>16</v>
      </c>
      <c r="E11" s="2">
        <v>10000</v>
      </c>
    </row>
    <row r="12" spans="4:11" x14ac:dyDescent="0.35">
      <c r="D12" s="1" t="s">
        <v>17</v>
      </c>
      <c r="E12" s="2">
        <v>20000</v>
      </c>
    </row>
    <row r="13" spans="4:11" x14ac:dyDescent="0.35">
      <c r="D13" s="1" t="s">
        <v>25</v>
      </c>
      <c r="E13" s="15">
        <f>input_PersonalAccidentProtection_AmountNeeded</f>
        <v>200000</v>
      </c>
    </row>
    <row r="14" spans="4:11" x14ac:dyDescent="0.35">
      <c r="D14" s="1" t="s">
        <v>9</v>
      </c>
      <c r="E14" s="15">
        <f>input_PersonalAccidentProtection_ExistingInsurance+input_PersonalAccidentProtection_ExistingAssets</f>
        <v>30000</v>
      </c>
    </row>
    <row r="15" spans="4:11" x14ac:dyDescent="0.35">
      <c r="D15" s="1" t="s">
        <v>24</v>
      </c>
      <c r="E15" s="15">
        <f>output_PersonalAccidentProtection_CapitalSumRequired-E14</f>
        <v>170000</v>
      </c>
    </row>
    <row r="17" spans="4:5" ht="16" thickBot="1" x14ac:dyDescent="0.4"/>
    <row r="18" spans="4:5" x14ac:dyDescent="0.35">
      <c r="D18" s="53" t="s">
        <v>124</v>
      </c>
      <c r="E18" s="55" t="str">
        <f>IF(COUNTIF(J10,FALSE)=0,"",VLOOKUP(FALSE,$J$10:$K$10,2,FALSE))</f>
        <v/>
      </c>
    </row>
    <row r="19" spans="4:5" ht="16" thickBot="1" x14ac:dyDescent="0.4">
      <c r="D19" s="54" t="s">
        <v>121</v>
      </c>
      <c r="E19" s="56" t="str">
        <f>IF(E18&lt;&gt;"",VLOOKUP(E18,$I$7:$J$7,2,FALSE),"")</f>
        <v/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2C3C-0CFF-47EA-83FB-26935D2E3027}">
  <dimension ref="D3:K19"/>
  <sheetViews>
    <sheetView zoomScale="81" workbookViewId="0">
      <selection activeCell="E18" sqref="E18:E19"/>
    </sheetView>
  </sheetViews>
  <sheetFormatPr defaultColWidth="11.08203125" defaultRowHeight="15.5" x14ac:dyDescent="0.35"/>
  <cols>
    <col min="3" max="3" width="11.4140625" customWidth="1"/>
    <col min="4" max="4" width="26.33203125" bestFit="1" customWidth="1"/>
    <col min="5" max="5" width="13" bestFit="1" customWidth="1"/>
    <col min="7" max="7" width="13.58203125" bestFit="1" customWidth="1"/>
    <col min="8" max="8" width="37.83203125" customWidth="1"/>
    <col min="9" max="9" width="11.5" bestFit="1" customWidth="1"/>
    <col min="10" max="10" width="13.5" bestFit="1" customWidth="1"/>
    <col min="11" max="11" width="13.75" bestFit="1" customWidth="1"/>
  </cols>
  <sheetData>
    <row r="3" spans="4:11" x14ac:dyDescent="0.35">
      <c r="H3" s="49" t="s">
        <v>116</v>
      </c>
      <c r="I3" s="49" t="s">
        <v>117</v>
      </c>
      <c r="J3" s="49" t="s">
        <v>118</v>
      </c>
      <c r="K3" s="49" t="s">
        <v>119</v>
      </c>
    </row>
    <row r="4" spans="4:11" x14ac:dyDescent="0.35">
      <c r="H4" s="1" t="s">
        <v>23</v>
      </c>
      <c r="I4" s="1">
        <f>input_FractureNeedProtection_AmountNeeded</f>
        <v>200000</v>
      </c>
      <c r="J4" s="1">
        <v>0</v>
      </c>
      <c r="K4" s="1">
        <v>9999999999</v>
      </c>
    </row>
    <row r="5" spans="4:11" x14ac:dyDescent="0.35">
      <c r="D5" s="1" t="s">
        <v>0</v>
      </c>
      <c r="E5" s="2"/>
    </row>
    <row r="6" spans="4:11" x14ac:dyDescent="0.35">
      <c r="D6" s="1" t="s">
        <v>1</v>
      </c>
      <c r="E6" s="3"/>
      <c r="H6" s="49" t="s">
        <v>116</v>
      </c>
      <c r="I6" s="49" t="s">
        <v>120</v>
      </c>
      <c r="J6" s="49" t="s">
        <v>121</v>
      </c>
    </row>
    <row r="7" spans="4:11" x14ac:dyDescent="0.35">
      <c r="D7" s="1" t="s">
        <v>2</v>
      </c>
      <c r="E7" s="4"/>
      <c r="H7" s="1" t="s">
        <v>23</v>
      </c>
      <c r="I7" s="50" t="s">
        <v>125</v>
      </c>
      <c r="J7" s="51" t="s">
        <v>140</v>
      </c>
    </row>
    <row r="9" spans="4:11" x14ac:dyDescent="0.35">
      <c r="H9" s="49" t="s">
        <v>116</v>
      </c>
      <c r="I9" s="49" t="s">
        <v>4</v>
      </c>
      <c r="J9" s="49" t="s">
        <v>123</v>
      </c>
      <c r="K9" s="49" t="s">
        <v>120</v>
      </c>
    </row>
    <row r="10" spans="4:11" x14ac:dyDescent="0.35">
      <c r="D10" s="1" t="s">
        <v>23</v>
      </c>
      <c r="E10" s="2">
        <v>200000</v>
      </c>
      <c r="H10" s="1" t="s">
        <v>23</v>
      </c>
      <c r="I10" s="1">
        <f>I4</f>
        <v>200000</v>
      </c>
      <c r="J10" s="1" t="b">
        <f>IF(AND(I10&gt;J4,I10&lt;K4),TRUE,FALSE)</f>
        <v>1</v>
      </c>
      <c r="K10" s="52" t="str">
        <f>IF(J10=TRUE,"",VLOOKUP(H10,$H$7:$J$7,2,FALSE))</f>
        <v/>
      </c>
    </row>
    <row r="11" spans="4:11" x14ac:dyDescent="0.35">
      <c r="D11" s="1" t="s">
        <v>16</v>
      </c>
      <c r="E11" s="2">
        <v>10000</v>
      </c>
    </row>
    <row r="12" spans="4:11" x14ac:dyDescent="0.35">
      <c r="D12" s="1" t="s">
        <v>17</v>
      </c>
      <c r="E12" s="2">
        <v>20000</v>
      </c>
    </row>
    <row r="13" spans="4:11" x14ac:dyDescent="0.35">
      <c r="D13" s="1" t="s">
        <v>25</v>
      </c>
      <c r="E13" s="15">
        <f>input_PersonalAccidentProtection_AmountNeeded</f>
        <v>200000</v>
      </c>
    </row>
    <row r="14" spans="4:11" x14ac:dyDescent="0.35">
      <c r="D14" s="1" t="s">
        <v>9</v>
      </c>
      <c r="E14" s="15">
        <f>input_PersonalAccidentProtection_ExistingInsurance+input_PersonalAccidentProtection_ExistingAssets</f>
        <v>30000</v>
      </c>
    </row>
    <row r="15" spans="4:11" x14ac:dyDescent="0.35">
      <c r="D15" s="1" t="s">
        <v>103</v>
      </c>
      <c r="E15" s="15">
        <f>output_PersonalAccidentProtection_CapitalSumRequired-E14</f>
        <v>170000</v>
      </c>
    </row>
    <row r="17" spans="4:5" ht="16" thickBot="1" x14ac:dyDescent="0.4"/>
    <row r="18" spans="4:5" x14ac:dyDescent="0.35">
      <c r="D18" s="53" t="s">
        <v>124</v>
      </c>
      <c r="E18" s="55" t="str">
        <f>IF(COUNTIF(J10,FALSE)=0,"",VLOOKUP(FALSE,$J$10:$K$10,2,FALSE))</f>
        <v/>
      </c>
    </row>
    <row r="19" spans="4:5" ht="16" thickBot="1" x14ac:dyDescent="0.4">
      <c r="D19" s="54" t="s">
        <v>121</v>
      </c>
      <c r="E19" s="56" t="str">
        <f>IF(E18&lt;&gt;"",VLOOKUP(E18,$I$7:$J$7,2,FALSE),"")</f>
        <v/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780C-4873-C541-9B59-8F214C37B092}">
  <dimension ref="C1:O27"/>
  <sheetViews>
    <sheetView topLeftCell="C1" zoomScale="83" zoomScaleNormal="100" workbookViewId="0">
      <selection activeCell="K26" sqref="K26"/>
    </sheetView>
  </sheetViews>
  <sheetFormatPr defaultColWidth="8.58203125" defaultRowHeight="14.5" x14ac:dyDescent="0.35"/>
  <cols>
    <col min="1" max="2" width="8.58203125" style="18"/>
    <col min="3" max="3" width="33.58203125" style="18" bestFit="1" customWidth="1"/>
    <col min="4" max="4" width="20" style="18" bestFit="1" customWidth="1"/>
    <col min="5" max="6" width="8.58203125" style="18"/>
    <col min="7" max="7" width="8.58203125" style="18" customWidth="1"/>
    <col min="8" max="8" width="16.83203125" style="18" bestFit="1" customWidth="1"/>
    <col min="9" max="9" width="8.58203125" style="18" customWidth="1"/>
    <col min="10" max="11" width="8.58203125" style="18"/>
    <col min="12" max="12" width="33.58203125" style="57" bestFit="1" customWidth="1"/>
    <col min="13" max="13" width="9" style="57" bestFit="1" customWidth="1"/>
    <col min="14" max="14" width="9.1640625" style="57" customWidth="1"/>
    <col min="15" max="15" width="9" style="57" bestFit="1" customWidth="1"/>
    <col min="16" max="16384" width="8.58203125" style="18"/>
  </cols>
  <sheetData>
    <row r="1" spans="3:15" x14ac:dyDescent="0.35">
      <c r="D1" s="17" t="s">
        <v>4</v>
      </c>
    </row>
    <row r="2" spans="3:15" ht="15.5" x14ac:dyDescent="0.35">
      <c r="D2" s="19" t="s">
        <v>2</v>
      </c>
      <c r="L2" s="58" t="s">
        <v>116</v>
      </c>
      <c r="M2" s="58" t="s">
        <v>120</v>
      </c>
      <c r="N2" s="58" t="s">
        <v>121</v>
      </c>
      <c r="O2" s="59"/>
    </row>
    <row r="3" spans="3:15" ht="15.5" x14ac:dyDescent="0.35">
      <c r="D3" s="20" t="s">
        <v>34</v>
      </c>
      <c r="L3" s="60" t="s">
        <v>64</v>
      </c>
      <c r="M3" s="60" t="s">
        <v>141</v>
      </c>
      <c r="N3" s="60" t="str">
        <f>_xlfn.CONCAT("Please provide information for ",L3)</f>
        <v>Please provide information for Investment experience</v>
      </c>
      <c r="O3" s="59"/>
    </row>
    <row r="4" spans="3:15" ht="15.5" x14ac:dyDescent="0.35">
      <c r="L4" s="60" t="s">
        <v>65</v>
      </c>
      <c r="M4" s="60" t="s">
        <v>142</v>
      </c>
      <c r="N4" s="60" t="str">
        <f t="shared" ref="N4:N8" si="0">_xlfn.CONCAT("Please provide information for ",L4)</f>
        <v>Please provide information for Acceptable short term loss</v>
      </c>
      <c r="O4" s="59"/>
    </row>
    <row r="5" spans="3:15" x14ac:dyDescent="0.35">
      <c r="L5" s="60" t="s">
        <v>66</v>
      </c>
      <c r="M5" s="60" t="s">
        <v>143</v>
      </c>
      <c r="N5" s="60" t="str">
        <f t="shared" si="0"/>
        <v>Please provide information for Comfortability of Investment holding</v>
      </c>
    </row>
    <row r="6" spans="3:15" x14ac:dyDescent="0.35">
      <c r="C6" s="18" t="s">
        <v>64</v>
      </c>
      <c r="D6" s="17">
        <v>1</v>
      </c>
      <c r="L6" s="60" t="s">
        <v>67</v>
      </c>
      <c r="M6" s="60" t="s">
        <v>144</v>
      </c>
      <c r="N6" s="60" t="str">
        <f t="shared" si="0"/>
        <v>Please provide information for Financing standard of living through assets</v>
      </c>
    </row>
    <row r="7" spans="3:15" x14ac:dyDescent="0.35">
      <c r="C7" s="18" t="s">
        <v>65</v>
      </c>
      <c r="D7" s="17">
        <v>2</v>
      </c>
      <c r="L7" s="60" t="s">
        <v>68</v>
      </c>
      <c r="M7" s="60" t="s">
        <v>145</v>
      </c>
      <c r="N7" s="60" t="str">
        <f t="shared" si="0"/>
        <v>Please provide information for Riskiest assets that you would invest in</v>
      </c>
    </row>
    <row r="8" spans="3:15" x14ac:dyDescent="0.35">
      <c r="C8" s="18" t="s">
        <v>66</v>
      </c>
      <c r="D8" s="17">
        <v>2</v>
      </c>
      <c r="L8" s="60" t="s">
        <v>69</v>
      </c>
      <c r="M8" s="60" t="s">
        <v>146</v>
      </c>
      <c r="N8" s="60" t="str">
        <f t="shared" si="0"/>
        <v>Please provide information for Years to Retirement</v>
      </c>
    </row>
    <row r="9" spans="3:15" x14ac:dyDescent="0.35">
      <c r="C9" s="18" t="s">
        <v>67</v>
      </c>
      <c r="D9" s="17">
        <v>2</v>
      </c>
    </row>
    <row r="10" spans="3:15" x14ac:dyDescent="0.35">
      <c r="C10" s="18" t="s">
        <v>68</v>
      </c>
      <c r="D10" s="17">
        <v>2</v>
      </c>
      <c r="L10" s="58" t="s">
        <v>116</v>
      </c>
      <c r="M10" s="58" t="s">
        <v>4</v>
      </c>
      <c r="N10" s="58" t="s">
        <v>123</v>
      </c>
      <c r="O10" s="58" t="s">
        <v>120</v>
      </c>
    </row>
    <row r="11" spans="3:15" x14ac:dyDescent="0.35">
      <c r="C11" s="18" t="s">
        <v>69</v>
      </c>
      <c r="D11" s="17">
        <v>2</v>
      </c>
      <c r="L11" s="60" t="s">
        <v>64</v>
      </c>
      <c r="M11" s="60">
        <f>input_RiskProfile_YearsOfInvestmentExperience</f>
        <v>1</v>
      </c>
      <c r="N11" s="60" t="b">
        <f>IF(input_RiskProfile_YearsOfInvestmentExperience&lt;&gt;"",TRUE,FALSE)</f>
        <v>1</v>
      </c>
      <c r="O11" s="61" t="str">
        <f>IF(N11=TRUE,"",VLOOKUP(L11,$L$3:$M$8,2,FALSE))</f>
        <v/>
      </c>
    </row>
    <row r="12" spans="3:15" x14ac:dyDescent="0.35">
      <c r="L12" s="60" t="s">
        <v>65</v>
      </c>
      <c r="M12" s="60">
        <f>input_RiskProfile_AcceptableLoss</f>
        <v>2</v>
      </c>
      <c r="N12" s="60" t="b">
        <f>IF(input_RiskProfile_AcceptableLoss&lt;&gt;"",TRUE,FALSE)</f>
        <v>1</v>
      </c>
      <c r="O12" s="61" t="str">
        <f t="shared" ref="O12:O16" si="1">IF(N12=TRUE,"",VLOOKUP(L12,$L$3:$M$8,2,FALSE))</f>
        <v/>
      </c>
    </row>
    <row r="13" spans="3:15" x14ac:dyDescent="0.35">
      <c r="L13" s="60" t="s">
        <v>66</v>
      </c>
      <c r="M13" s="60">
        <f>input_RiskProfile_HoldInvestmentUntil</f>
        <v>2</v>
      </c>
      <c r="N13" s="60" t="b">
        <f>IF(input_RiskProfile_HoldInvestmentUntil&lt;&gt;"",TRUE,FALSE)</f>
        <v>1</v>
      </c>
      <c r="O13" s="61" t="str">
        <f t="shared" si="1"/>
        <v/>
      </c>
    </row>
    <row r="14" spans="3:15" x14ac:dyDescent="0.35">
      <c r="C14" s="18" t="s">
        <v>71</v>
      </c>
      <c r="D14" s="20" t="str">
        <f>VLOOKUP(output_RiskProfile_TotalScore,C24:D27,2,TRUE)</f>
        <v>Low to Medium Risk</v>
      </c>
      <c r="L14" s="60" t="s">
        <v>67</v>
      </c>
      <c r="M14" s="60">
        <f>input_RiskProfile_YearsToManageWithoutIncome</f>
        <v>2</v>
      </c>
      <c r="N14" s="60" t="b">
        <f>IF(input_RiskProfile_YearsToManageWithoutIncome&lt;&gt;"",TRUE,FALSE)</f>
        <v>1</v>
      </c>
      <c r="O14" s="61" t="str">
        <f t="shared" si="1"/>
        <v/>
      </c>
    </row>
    <row r="15" spans="3:15" x14ac:dyDescent="0.35">
      <c r="C15" s="18" t="s">
        <v>80</v>
      </c>
      <c r="D15" s="20">
        <f>SUM(D6:D11)</f>
        <v>11</v>
      </c>
      <c r="L15" s="60" t="s">
        <v>68</v>
      </c>
      <c r="M15" s="60">
        <f>input_RiskProfile_RiskiestAssetSelection</f>
        <v>2</v>
      </c>
      <c r="N15" s="60" t="b">
        <f>IF(input_RiskProfile_RiskiestAssetSelection&lt;&gt;"",TRUE,FALSE)</f>
        <v>1</v>
      </c>
      <c r="O15" s="61" t="str">
        <f t="shared" si="1"/>
        <v/>
      </c>
    </row>
    <row r="16" spans="3:15" x14ac:dyDescent="0.35">
      <c r="C16" s="18" t="s">
        <v>83</v>
      </c>
      <c r="D16" s="20" t="str">
        <f t="array" ref="D16">VLOOKUP(output_RiskProfile_RiskProfile,D24:E27,2,0)</f>
        <v>My goal is to use my investments to keep pace with inflation. I can accept some ups and downs in the value of my investments. I understand this means sometimes the value may become less than the amount I invest, in order to achieve the potential of some real capital growth.</v>
      </c>
      <c r="L16" s="60" t="s">
        <v>69</v>
      </c>
      <c r="M16" s="60">
        <f>input_RiskProfile_YearsToRetire</f>
        <v>2</v>
      </c>
      <c r="N16" s="60" t="b">
        <f>IF(input_RiskProfile_YearsToRetire&lt;&gt;"",TRUE,FALSE)</f>
        <v>1</v>
      </c>
      <c r="O16" s="61" t="str">
        <f t="shared" si="1"/>
        <v/>
      </c>
    </row>
    <row r="18" spans="3:5" ht="15" thickBot="1" x14ac:dyDescent="0.4"/>
    <row r="19" spans="3:5" ht="15.5" x14ac:dyDescent="0.35">
      <c r="C19" s="53" t="s">
        <v>124</v>
      </c>
      <c r="D19" s="55" t="str">
        <f>IF(COUNTIF(N11:N16,FALSE)=0,"",VLOOKUP(FALSE,$N$11:$O$16,2,FALSE))</f>
        <v/>
      </c>
    </row>
    <row r="20" spans="3:5" ht="16" thickBot="1" x14ac:dyDescent="0.4">
      <c r="C20" s="54" t="s">
        <v>121</v>
      </c>
      <c r="D20" s="56" t="str">
        <f>IF(D19&lt;&gt;"",VLOOKUP(D19,$M$3:$N$8,2,FALSE),"")</f>
        <v/>
      </c>
    </row>
    <row r="23" spans="3:5" x14ac:dyDescent="0.35">
      <c r="C23" s="26" t="s">
        <v>70</v>
      </c>
      <c r="D23" s="26" t="s">
        <v>71</v>
      </c>
      <c r="E23" s="26" t="s">
        <v>73</v>
      </c>
    </row>
    <row r="24" spans="3:5" x14ac:dyDescent="0.35">
      <c r="C24" s="28">
        <v>6</v>
      </c>
      <c r="D24" s="28" t="s">
        <v>74</v>
      </c>
      <c r="E24" s="27" t="s">
        <v>75</v>
      </c>
    </row>
    <row r="25" spans="3:5" x14ac:dyDescent="0.35">
      <c r="C25" s="28">
        <v>11</v>
      </c>
      <c r="D25" s="28" t="s">
        <v>76</v>
      </c>
      <c r="E25" s="27" t="s">
        <v>77</v>
      </c>
    </row>
    <row r="26" spans="3:5" x14ac:dyDescent="0.35">
      <c r="C26" s="28">
        <v>16</v>
      </c>
      <c r="D26" s="28" t="s">
        <v>78</v>
      </c>
      <c r="E26" s="27" t="s">
        <v>79</v>
      </c>
    </row>
    <row r="27" spans="3:5" x14ac:dyDescent="0.35">
      <c r="C27" s="28">
        <v>21</v>
      </c>
      <c r="D27" s="28" t="s">
        <v>81</v>
      </c>
      <c r="E27" s="27" t="s">
        <v>82</v>
      </c>
    </row>
  </sheetData>
  <phoneticPr fontId="1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18F7-8CCB-474E-A55C-ECDD7B9887A9}">
  <dimension ref="C1:K17"/>
  <sheetViews>
    <sheetView topLeftCell="D3" zoomScaleNormal="100" workbookViewId="0">
      <selection activeCell="H5" sqref="H5:K13"/>
    </sheetView>
  </sheetViews>
  <sheetFormatPr defaultColWidth="8.58203125" defaultRowHeight="14.5" x14ac:dyDescent="0.35"/>
  <cols>
    <col min="1" max="2" width="8.58203125" style="18"/>
    <col min="3" max="3" width="61.58203125" style="18" bestFit="1" customWidth="1"/>
    <col min="4" max="4" width="20" style="18" bestFit="1" customWidth="1"/>
    <col min="5" max="7" width="8.58203125" style="18"/>
    <col min="8" max="8" width="52.1640625" style="18" bestFit="1" customWidth="1"/>
    <col min="9" max="16384" width="8.58203125" style="18"/>
  </cols>
  <sheetData>
    <row r="1" spans="3:11" x14ac:dyDescent="0.35">
      <c r="D1" s="17" t="s">
        <v>4</v>
      </c>
    </row>
    <row r="2" spans="3:11" x14ac:dyDescent="0.35">
      <c r="D2" s="19" t="s">
        <v>2</v>
      </c>
    </row>
    <row r="3" spans="3:11" x14ac:dyDescent="0.35">
      <c r="D3" s="20" t="s">
        <v>34</v>
      </c>
    </row>
    <row r="5" spans="3:11" ht="15.5" x14ac:dyDescent="0.35">
      <c r="H5" s="58" t="s">
        <v>116</v>
      </c>
      <c r="I5" s="58" t="s">
        <v>120</v>
      </c>
      <c r="J5" s="58" t="s">
        <v>121</v>
      </c>
      <c r="K5" s="59"/>
    </row>
    <row r="6" spans="3:11" ht="15.5" x14ac:dyDescent="0.35">
      <c r="H6" s="60" t="s">
        <v>84</v>
      </c>
      <c r="I6" s="60" t="s">
        <v>147</v>
      </c>
      <c r="J6" s="60" t="str">
        <f>_xlfn.CONCAT("Please provide information for ",H6)</f>
        <v>Please provide information for Diploma or higher qualification</v>
      </c>
      <c r="K6" s="59"/>
    </row>
    <row r="7" spans="3:11" ht="15.5" x14ac:dyDescent="0.35">
      <c r="H7" s="60" t="s">
        <v>85</v>
      </c>
      <c r="I7" s="60" t="s">
        <v>148</v>
      </c>
      <c r="J7" s="60" t="str">
        <f t="shared" ref="J7:J8" si="0">_xlfn.CONCAT("Please provide information for ",H7)</f>
        <v>Please provide information for At least 6 transaction in past 3 yrs in specified investment products</v>
      </c>
      <c r="K7" s="59"/>
    </row>
    <row r="8" spans="3:11" x14ac:dyDescent="0.35">
      <c r="C8" s="18" t="s">
        <v>84</v>
      </c>
      <c r="D8" s="29" t="b">
        <v>1</v>
      </c>
      <c r="H8" s="60" t="s">
        <v>86</v>
      </c>
      <c r="I8" s="60" t="s">
        <v>149</v>
      </c>
      <c r="J8" s="60" t="str">
        <f t="shared" si="0"/>
        <v>Please provide information for Experience in Investment products</v>
      </c>
      <c r="K8" s="57"/>
    </row>
    <row r="9" spans="3:11" x14ac:dyDescent="0.35">
      <c r="C9" s="18" t="s">
        <v>85</v>
      </c>
      <c r="D9" s="29" t="b">
        <v>1</v>
      </c>
      <c r="H9" s="57"/>
      <c r="I9" s="57"/>
      <c r="J9" s="57"/>
      <c r="K9" s="57"/>
    </row>
    <row r="10" spans="3:11" x14ac:dyDescent="0.35">
      <c r="C10" s="18" t="s">
        <v>86</v>
      </c>
      <c r="D10" s="29" t="b">
        <v>1</v>
      </c>
      <c r="H10" s="58" t="s">
        <v>116</v>
      </c>
      <c r="I10" s="58" t="s">
        <v>4</v>
      </c>
      <c r="J10" s="58" t="s">
        <v>123</v>
      </c>
      <c r="K10" s="58" t="s">
        <v>120</v>
      </c>
    </row>
    <row r="11" spans="3:11" x14ac:dyDescent="0.35">
      <c r="H11" s="60" t="s">
        <v>84</v>
      </c>
      <c r="I11" s="60" t="b">
        <f>input_CustomerKnowledgeAssessment_HasDiplomaOrHigher</f>
        <v>1</v>
      </c>
      <c r="J11" s="60" t="b">
        <f>IF(input_CustomerKnowledgeAssessment_HasDiplomaOrHigher&lt;&gt;"",TRUE,FALSE)</f>
        <v>1</v>
      </c>
      <c r="K11" s="61" t="str">
        <f>IF(J11=TRUE,"",VLOOKUP(H11,$I$6:$J$8,2,FALSE))</f>
        <v/>
      </c>
    </row>
    <row r="12" spans="3:11" x14ac:dyDescent="0.35">
      <c r="D12" s="48"/>
      <c r="H12" s="60" t="s">
        <v>85</v>
      </c>
      <c r="I12" s="60" t="b">
        <f>input_CustomerKnowledgeAssessment_HasPerformedTransactions</f>
        <v>1</v>
      </c>
      <c r="J12" s="60" t="b">
        <f>IF(input_CustomerKnowledgeAssessment_HasPerformedTransactions&lt;&gt;"",TRUE,FALSE)</f>
        <v>1</v>
      </c>
      <c r="K12" s="61" t="str">
        <f t="shared" ref="K12:K13" si="1">IF(J12=TRUE,"",VLOOKUP(H12,$I$6:$J$8,2,FALSE))</f>
        <v/>
      </c>
    </row>
    <row r="13" spans="3:11" x14ac:dyDescent="0.35">
      <c r="C13" s="18" t="s">
        <v>72</v>
      </c>
      <c r="D13" s="20" t="str">
        <f>IF(OR(input_CustomerKnowledgeAssessment_HasDiplomaOrHigher="TRUE",input_CustomerKnowledgeAssessment_HasPerformedTransactions="TRUE",input_CustomerKnowledgeAssessment_HasInvestmentExperience="TRUE"),"You are deemed to have knowledge and/ or experience for transactions in an ILP  / CIS. Your Financial Consultant is still required to 
recommend fund(s)/ portfolio(s)   which is or are in line with, or lower than your risk profile."&amp;"
Note: If you do not accept your Financial Consultant’s recommendation and choose fund(s)/ portfolio(s) with a higher risk  , then 
the responsibility to ensure the suitability of the ILP  / CIS selected would become yours."&amp;" You will also not be able to rely on the Financial 
Adviser’s Act to file a civil claim in the event you allege you suffered a loss.","You are deemed not to have knowledge and experience for transactions in an ILP  / CIS. Your Financial Consultant is therefore required 
to recommend fund(s)/ portfolio(s) which is or are in line with, or lower than your risk profile.")</f>
        <v>You are deemed not to have knowledge and experience for transactions in an ILP  / CIS. Your Financial Consultant is therefore required 
to recommend fund(s)/ portfolio(s) which is or are in line with, or lower than your risk profile.</v>
      </c>
      <c r="H13" s="60" t="s">
        <v>86</v>
      </c>
      <c r="I13" s="60" t="b">
        <f>input_CustomerKnowledgeAssessment_HasInvestmentExperience</f>
        <v>1</v>
      </c>
      <c r="J13" s="60" t="b">
        <f>IF(input_CustomerKnowledgeAssessment_HasInvestmentExperience&lt;&gt;"",TRUE,FALSE)</f>
        <v>1</v>
      </c>
      <c r="K13" s="61" t="str">
        <f t="shared" si="1"/>
        <v/>
      </c>
    </row>
    <row r="15" spans="3:11" ht="15" thickBot="1" x14ac:dyDescent="0.4"/>
    <row r="16" spans="3:11" ht="15.5" x14ac:dyDescent="0.35">
      <c r="C16" s="53" t="s">
        <v>124</v>
      </c>
      <c r="D16" s="55" t="str">
        <f>IF(COUNTIF(J11:J13,FALSE)=0,"",VLOOKUP(FALSE,$J$11:$K$13,2,FALSE))</f>
        <v/>
      </c>
    </row>
    <row r="17" spans="3:4" ht="16" thickBot="1" x14ac:dyDescent="0.4">
      <c r="C17" s="54" t="s">
        <v>121</v>
      </c>
      <c r="D17" s="56" t="str">
        <f>IF(D16&lt;&gt;"",VLOOKUP(D16,$I$6:$J$8,2,FALSE),"")</f>
        <v/>
      </c>
    </row>
  </sheetData>
  <dataValidations count="1">
    <dataValidation type="list" allowBlank="1" showInputMessage="1" showErrorMessage="1" sqref="D8:D10" xr:uid="{891FABC7-F2B8-044A-BEF9-931CFC4C8941}">
      <formula1>"TRUE,FALSE"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B046-29AC-ED43-820E-FB031B4CBF6D}">
  <dimension ref="B1:P25"/>
  <sheetViews>
    <sheetView tabSelected="1" zoomScaleNormal="100" workbookViewId="0">
      <selection activeCell="H15" sqref="H15"/>
    </sheetView>
  </sheetViews>
  <sheetFormatPr defaultColWidth="8.58203125" defaultRowHeight="14.5" x14ac:dyDescent="0.35"/>
  <cols>
    <col min="1" max="1" width="8.58203125" style="18"/>
    <col min="2" max="2" width="35.33203125" style="18" bestFit="1" customWidth="1"/>
    <col min="3" max="3" width="19" style="18" bestFit="1" customWidth="1"/>
    <col min="4" max="4" width="8.58203125" style="18"/>
    <col min="5" max="5" width="16" style="18" bestFit="1" customWidth="1"/>
    <col min="6" max="6" width="11" style="18" customWidth="1"/>
    <col min="7" max="7" width="8.58203125" style="18"/>
    <col min="8" max="8" width="23.58203125" style="18" bestFit="1" customWidth="1"/>
    <col min="9" max="9" width="20.33203125" style="18" bestFit="1" customWidth="1"/>
    <col min="10" max="12" width="8.58203125" style="18"/>
    <col min="13" max="13" width="35.75" style="18" bestFit="1" customWidth="1"/>
    <col min="14" max="16384" width="8.58203125" style="18"/>
  </cols>
  <sheetData>
    <row r="1" spans="2:16" ht="15" thickBot="1" x14ac:dyDescent="0.4">
      <c r="B1" s="17" t="s">
        <v>4</v>
      </c>
    </row>
    <row r="2" spans="2:16" ht="15.5" x14ac:dyDescent="0.35">
      <c r="B2" s="19" t="s">
        <v>2</v>
      </c>
      <c r="H2" s="53" t="s">
        <v>124</v>
      </c>
      <c r="I2" s="55" t="str">
        <f>IF(COUNTIF(O11:O14,FALSE)=0,"",VLOOKUP(FALSE,$O$11:$P$14,2,FALSE))</f>
        <v/>
      </c>
    </row>
    <row r="3" spans="2:16" ht="16" thickBot="1" x14ac:dyDescent="0.4">
      <c r="B3" s="20" t="s">
        <v>34</v>
      </c>
      <c r="H3" s="54" t="s">
        <v>121</v>
      </c>
      <c r="I3" s="56" t="str">
        <f>IF(I2&lt;&gt;"",VLOOKUP(I2,$N$5:$O$8,2,FALSE),"")</f>
        <v/>
      </c>
    </row>
    <row r="4" spans="2:16" ht="15.5" x14ac:dyDescent="0.35">
      <c r="M4" s="58" t="s">
        <v>116</v>
      </c>
      <c r="N4" s="58" t="s">
        <v>120</v>
      </c>
      <c r="O4" s="58" t="s">
        <v>121</v>
      </c>
      <c r="P4" s="59"/>
    </row>
    <row r="5" spans="2:16" ht="15.5" x14ac:dyDescent="0.35">
      <c r="M5" s="60" t="s">
        <v>55</v>
      </c>
      <c r="N5" s="62" t="s">
        <v>150</v>
      </c>
      <c r="O5" s="60" t="str">
        <f>_xlfn.CONCAT("Please provide information for ",M5)</f>
        <v>Please provide information for Minus Annual Employee's CPF Contribution</v>
      </c>
      <c r="P5" s="59"/>
    </row>
    <row r="6" spans="2:16" ht="15.5" x14ac:dyDescent="0.35">
      <c r="M6" s="60" t="s">
        <v>56</v>
      </c>
      <c r="N6" s="62" t="s">
        <v>151</v>
      </c>
      <c r="O6" s="60" t="str">
        <f t="shared" ref="O6:O8" si="0">_xlfn.CONCAT("Please provide information for ",M6)</f>
        <v>Please provide information for Net Annual Income, after CPF, from your job</v>
      </c>
      <c r="P6" s="59"/>
    </row>
    <row r="7" spans="2:16" x14ac:dyDescent="0.35">
      <c r="B7" s="63" t="s">
        <v>53</v>
      </c>
      <c r="C7" s="64"/>
      <c r="E7" s="18" t="s">
        <v>60</v>
      </c>
      <c r="F7" s="18">
        <v>102000</v>
      </c>
      <c r="H7" s="63" t="s">
        <v>94</v>
      </c>
      <c r="I7" s="64"/>
      <c r="M7" s="60" t="s">
        <v>57</v>
      </c>
      <c r="N7" s="62" t="s">
        <v>152</v>
      </c>
      <c r="O7" s="60" t="str">
        <f t="shared" si="0"/>
        <v>Please provide information for Total Take Home Income</v>
      </c>
      <c r="P7" s="57"/>
    </row>
    <row r="8" spans="2:16" x14ac:dyDescent="0.35">
      <c r="B8" s="31" t="s">
        <v>89</v>
      </c>
      <c r="C8" s="32">
        <v>30</v>
      </c>
      <c r="E8" s="18" t="s">
        <v>61</v>
      </c>
      <c r="F8" s="18">
        <v>75600</v>
      </c>
      <c r="H8" s="39" t="s">
        <v>95</v>
      </c>
      <c r="I8" s="40" t="s">
        <v>99</v>
      </c>
      <c r="M8" s="60" t="s">
        <v>97</v>
      </c>
      <c r="N8" s="62" t="s">
        <v>153</v>
      </c>
      <c r="O8" s="60" t="str">
        <f t="shared" si="0"/>
        <v>Please provide information for Total Annual Expense</v>
      </c>
      <c r="P8" s="57"/>
    </row>
    <row r="9" spans="2:16" x14ac:dyDescent="0.35">
      <c r="B9" s="43" t="s">
        <v>54</v>
      </c>
      <c r="C9" s="24">
        <v>7000</v>
      </c>
      <c r="H9" s="41" t="s">
        <v>96</v>
      </c>
      <c r="I9" s="24">
        <v>50000</v>
      </c>
    </row>
    <row r="10" spans="2:16" x14ac:dyDescent="0.35">
      <c r="B10" s="21" t="s">
        <v>55</v>
      </c>
      <c r="C10" s="23">
        <f>(F10+F11)*IF(input_IncomeAndExpense_Age&lt;=55,0.2,IF(input_IncomeAndExpense_Age&lt;=60,0.13,IF(input_IncomeAndExpense_Age&lt;=65,0.075,0.05)))</f>
        <v>3400</v>
      </c>
      <c r="E10" s="18" t="s">
        <v>62</v>
      </c>
      <c r="F10" s="25">
        <f>MIN(input_IncomeAndExpense_AnnualIncomeBeforeCPF,F8)</f>
        <v>7000</v>
      </c>
      <c r="H10" s="41" t="s">
        <v>97</v>
      </c>
      <c r="I10" s="23">
        <f>SUM(input_IncomeAndExpense_AnnualPersonalExpense,input_IncomeAndExpense_AnnualFixedExpense,input_IncomeAndExpense_AnnualLuxuryExpense,input_IncomeAndExpense_AnnualFamilyExpense,input_IncomeAndExpense_AnnualOtherExpense)</f>
        <v>52000</v>
      </c>
      <c r="M10" s="58" t="s">
        <v>116</v>
      </c>
      <c r="N10" s="58" t="s">
        <v>4</v>
      </c>
      <c r="O10" s="58" t="s">
        <v>123</v>
      </c>
      <c r="P10" s="58" t="s">
        <v>120</v>
      </c>
    </row>
    <row r="11" spans="2:16" x14ac:dyDescent="0.35">
      <c r="B11" s="21" t="s">
        <v>56</v>
      </c>
      <c r="C11" s="23">
        <f>input_IncomeAndExpense_AnnualIncomeBeforeCPF-C10+input_IncomeAndExpense_AnnualBonusAmount</f>
        <v>13600</v>
      </c>
      <c r="E11" s="18" t="s">
        <v>63</v>
      </c>
      <c r="F11" s="25">
        <f>MIN(input_IncomeAndExpense_AnnualBonusAmount,F7-F10)</f>
        <v>10000</v>
      </c>
      <c r="H11" s="21"/>
      <c r="I11" s="22"/>
      <c r="M11" s="60" t="s">
        <v>55</v>
      </c>
      <c r="N11" s="60">
        <f>output_IncomeAndExpense_AnnualEmployeeCPFContribution</f>
        <v>3400</v>
      </c>
      <c r="O11" s="60" t="b">
        <f>IF(output_IncomeAndExpense_AnnualEmployeeCPFContribution&gt;=0,TRUE,FALSE)</f>
        <v>1</v>
      </c>
      <c r="P11" s="61" t="str">
        <f>IF(O11=TRUE,"",VLOOKUP(M11,$M$5:$N$8,2,FALSE))</f>
        <v/>
      </c>
    </row>
    <row r="12" spans="2:16" x14ac:dyDescent="0.35">
      <c r="B12" s="21" t="s">
        <v>57</v>
      </c>
      <c r="C12" s="23">
        <f>output_IncomeAndExpense_NetAnnualIncome+input_IncomeAndExpense_AnnualBonusAmount+input_IncomeAndExpense_AnnualDividendsAmount+input_IncomeAndExpense_AnnualPropertyRentalIncomeAmount+input_IncomeAndExpense_AnnualOtherIncomeAmount</f>
        <v>23600</v>
      </c>
      <c r="H12" s="41" t="s">
        <v>95</v>
      </c>
      <c r="I12" s="42" t="s">
        <v>98</v>
      </c>
      <c r="M12" s="60" t="s">
        <v>56</v>
      </c>
      <c r="N12" s="60">
        <f>output_IncomeAndExpense_NetAnnualIncome</f>
        <v>13600</v>
      </c>
      <c r="O12" s="60" t="b">
        <f>IF(output_IncomeAndExpense_NetAnnualIncome&gt;=0,TRUE,FALSE)</f>
        <v>1</v>
      </c>
      <c r="P12" s="61" t="str">
        <f t="shared" ref="P12:P14" si="1">IF(O12=TRUE,"",VLOOKUP(M12,$M$5:$N$8,2,FALSE))</f>
        <v/>
      </c>
    </row>
    <row r="13" spans="2:16" x14ac:dyDescent="0.35">
      <c r="B13" s="21"/>
      <c r="C13" s="22"/>
      <c r="H13" s="43" t="s">
        <v>107</v>
      </c>
      <c r="I13" s="24">
        <v>500</v>
      </c>
      <c r="M13" s="60" t="s">
        <v>57</v>
      </c>
      <c r="N13" s="60">
        <f>output_IncomeAndExpense_TotalTakeHomeIncome</f>
        <v>23600</v>
      </c>
      <c r="O13" s="60" t="b">
        <f>IF(output_IncomeAndExpense_TotalTakeHomeIncome&gt;=0,TRUE,FALSE)</f>
        <v>1</v>
      </c>
      <c r="P13" s="61" t="str">
        <f t="shared" si="1"/>
        <v/>
      </c>
    </row>
    <row r="14" spans="2:16" x14ac:dyDescent="0.35">
      <c r="B14" s="21" t="s">
        <v>58</v>
      </c>
      <c r="C14" s="22" t="s">
        <v>59</v>
      </c>
      <c r="H14" s="21"/>
      <c r="I14" s="22"/>
      <c r="M14" s="60" t="s">
        <v>97</v>
      </c>
      <c r="N14" s="60">
        <f>output_IncomeAndExpense_TotalAnnualExpense</f>
        <v>52000</v>
      </c>
      <c r="O14" s="60" t="b">
        <f>IF(output_IncomeAndExpense_TotalAnnualExpense&gt;=0,TRUE,FALSE)</f>
        <v>1</v>
      </c>
      <c r="P14" s="61" t="str">
        <f t="shared" si="1"/>
        <v/>
      </c>
    </row>
    <row r="15" spans="2:16" x14ac:dyDescent="0.35">
      <c r="B15" s="43" t="s">
        <v>106</v>
      </c>
      <c r="C15" s="24">
        <v>10000</v>
      </c>
      <c r="H15" s="41" t="s">
        <v>95</v>
      </c>
      <c r="I15" s="42" t="s">
        <v>101</v>
      </c>
    </row>
    <row r="16" spans="2:16" x14ac:dyDescent="0.35">
      <c r="B16" s="38"/>
      <c r="C16" s="22"/>
      <c r="H16" s="43" t="s">
        <v>107</v>
      </c>
      <c r="I16" s="24">
        <v>500</v>
      </c>
    </row>
    <row r="17" spans="2:9" x14ac:dyDescent="0.35">
      <c r="B17" s="21" t="s">
        <v>58</v>
      </c>
      <c r="C17" s="22" t="s">
        <v>90</v>
      </c>
      <c r="H17" s="21"/>
      <c r="I17" s="22"/>
    </row>
    <row r="18" spans="2:9" x14ac:dyDescent="0.35">
      <c r="B18" s="43" t="s">
        <v>106</v>
      </c>
      <c r="C18" s="24">
        <v>0</v>
      </c>
      <c r="H18" s="41" t="s">
        <v>95</v>
      </c>
      <c r="I18" s="42" t="s">
        <v>102</v>
      </c>
    </row>
    <row r="19" spans="2:9" x14ac:dyDescent="0.35">
      <c r="B19" s="38"/>
      <c r="C19" s="22"/>
      <c r="H19" s="43" t="s">
        <v>107</v>
      </c>
      <c r="I19" s="24">
        <v>500</v>
      </c>
    </row>
    <row r="20" spans="2:9" x14ac:dyDescent="0.35">
      <c r="B20" s="33" t="s">
        <v>58</v>
      </c>
      <c r="C20" s="34" t="s">
        <v>91</v>
      </c>
      <c r="H20" s="21"/>
      <c r="I20" s="22"/>
    </row>
    <row r="21" spans="2:9" x14ac:dyDescent="0.35">
      <c r="B21" s="43" t="s">
        <v>106</v>
      </c>
      <c r="C21" s="35">
        <v>0</v>
      </c>
      <c r="H21" s="41" t="s">
        <v>95</v>
      </c>
      <c r="I21" s="42" t="s">
        <v>100</v>
      </c>
    </row>
    <row r="22" spans="2:9" x14ac:dyDescent="0.35">
      <c r="B22" s="38"/>
      <c r="C22" s="22"/>
      <c r="H22" s="33" t="s">
        <v>107</v>
      </c>
      <c r="I22" s="35">
        <v>500</v>
      </c>
    </row>
    <row r="23" spans="2:9" x14ac:dyDescent="0.35">
      <c r="B23" s="33" t="s">
        <v>58</v>
      </c>
      <c r="C23" s="34" t="s">
        <v>8</v>
      </c>
      <c r="H23" s="46" t="s">
        <v>115</v>
      </c>
      <c r="I23" s="47" t="s">
        <v>93</v>
      </c>
    </row>
    <row r="24" spans="2:9" x14ac:dyDescent="0.35">
      <c r="B24" s="33" t="s">
        <v>92</v>
      </c>
      <c r="C24" s="35" t="s">
        <v>93</v>
      </c>
    </row>
    <row r="25" spans="2:9" x14ac:dyDescent="0.35">
      <c r="B25" s="36" t="s">
        <v>106</v>
      </c>
      <c r="C25" s="37">
        <v>0</v>
      </c>
    </row>
  </sheetData>
  <mergeCells count="2">
    <mergeCell ref="B7:C7"/>
    <mergeCell ref="H7:I7"/>
  </mergeCells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176</vt:i4>
      </vt:variant>
    </vt:vector>
  </HeadingPairs>
  <TitlesOfParts>
    <vt:vector size="192" baseType="lpstr">
      <vt:lpstr>Death Protection</vt:lpstr>
      <vt:lpstr>Dependent Death Protection</vt:lpstr>
      <vt:lpstr>Critical Illness</vt:lpstr>
      <vt:lpstr>Retirement Accumulation</vt:lpstr>
      <vt:lpstr>Total Permanent Disability</vt:lpstr>
      <vt:lpstr>Savings</vt:lpstr>
      <vt:lpstr>Children Savings</vt:lpstr>
      <vt:lpstr>Children Education</vt:lpstr>
      <vt:lpstr>Long Term Care</vt:lpstr>
      <vt:lpstr>Loss of Income</vt:lpstr>
      <vt:lpstr>Gender Related Illness</vt:lpstr>
      <vt:lpstr>Personal Accident</vt:lpstr>
      <vt:lpstr>Fracture Need</vt:lpstr>
      <vt:lpstr>Risk Profile</vt:lpstr>
      <vt:lpstr>Customer Knowledge</vt:lpstr>
      <vt:lpstr>Income &amp; Expense</vt:lpstr>
      <vt:lpstr>input_ChildrenEducationSavings_AmountNeeded</vt:lpstr>
      <vt:lpstr>input_ChildrenEducationSavings_CountryOfStudy</vt:lpstr>
      <vt:lpstr>input_ChildrenEducationSavings_ExistingAssets</vt:lpstr>
      <vt:lpstr>input_ChildrenEducationSavings_ExistingInsurance</vt:lpstr>
      <vt:lpstr>input_ChildrenEducationSavings_InflationRate</vt:lpstr>
      <vt:lpstr>input_ChildrenEducationSavings_YearsToGoal</vt:lpstr>
      <vt:lpstr>input_ChildrenSavings_AmountNeeded</vt:lpstr>
      <vt:lpstr>input_ChildrenSavings_ExistingAssets</vt:lpstr>
      <vt:lpstr>input_ChildrenSavings_ExistingInsurance</vt:lpstr>
      <vt:lpstr>input_ChildrenSavings_YearsToGoal</vt:lpstr>
      <vt:lpstr>input_CriticalIllnessProtection_DesiredAnnualIncomeRequirements</vt:lpstr>
      <vt:lpstr>input_CriticalIllnessProtection_DurationOfGoal</vt:lpstr>
      <vt:lpstr>input_CriticalIllnessProtection_EstimatedTreatmentCosts</vt:lpstr>
      <vt:lpstr>input_CriticalIllnessProtection_ExistingAssets</vt:lpstr>
      <vt:lpstr>input_CriticalIllnessProtection_ExistingInsurance</vt:lpstr>
      <vt:lpstr>input_CriticalIllnessProtection_InflationAdjustedRateOfReturn</vt:lpstr>
      <vt:lpstr>input_CustomerKnowledgeAssessment_HasDiplomaOrHigher</vt:lpstr>
      <vt:lpstr>input_CustomerKnowledgeAssessment_HasInvestmentExperience</vt:lpstr>
      <vt:lpstr>input_CustomerKnowledgeAssessment_HasPerformedTransactions</vt:lpstr>
      <vt:lpstr>input_DeathProtection_DesiredAnnualIncomeReplacement</vt:lpstr>
      <vt:lpstr>input_DeathProtection_DurationOfGoal</vt:lpstr>
      <vt:lpstr>input_DeathProtection_EmergencyFund</vt:lpstr>
      <vt:lpstr>input_DeathProtection_ExistingAssets</vt:lpstr>
      <vt:lpstr>input_DeathProtection_ExistingInsurance</vt:lpstr>
      <vt:lpstr>input_DeathProtection_FinalExpenses</vt:lpstr>
      <vt:lpstr>input_DeathProtection_InflationAdjustedRateOfReturn</vt:lpstr>
      <vt:lpstr>input_DeathProtection_MortgagePayment</vt:lpstr>
      <vt:lpstr>input_DeathProtection_Others</vt:lpstr>
      <vt:lpstr>input_DeathProtection_PersonalDebts</vt:lpstr>
      <vt:lpstr>input_DependentDeathProtection_ExistingAssets</vt:lpstr>
      <vt:lpstr>input_DependentDeathProtection_ExistingInsurance</vt:lpstr>
      <vt:lpstr>input_DependentDeathProtection_FinalExpenses</vt:lpstr>
      <vt:lpstr>input_DependentDeathProtection_Loans</vt:lpstr>
      <vt:lpstr>input_DependentDeathProtection_Others</vt:lpstr>
      <vt:lpstr>input_FractureNeedProtection_AmountNeeded</vt:lpstr>
      <vt:lpstr>input_FractureNeedProtection_ExistingAssets</vt:lpstr>
      <vt:lpstr>input_FractureNeedProtection_ExistingInsurance</vt:lpstr>
      <vt:lpstr>input_GenderRelatedIllnessProtection_AmountNeeded</vt:lpstr>
      <vt:lpstr>input_GenderRelatedIllnessProtection_ExistingAssets</vt:lpstr>
      <vt:lpstr>input_GenderRelatedIllnessProtection_ExistingInsurance</vt:lpstr>
      <vt:lpstr>input_IncomeAndExpense_Age</vt:lpstr>
      <vt:lpstr>input_IncomeAndExpense_AnnualBonusAmount</vt:lpstr>
      <vt:lpstr>input_IncomeAndExpense_AnnualDividendsAmount</vt:lpstr>
      <vt:lpstr>input_IncomeAndExpense_AnnualFamilyExpense</vt:lpstr>
      <vt:lpstr>input_IncomeAndExpense_AnnualFixedExpense</vt:lpstr>
      <vt:lpstr>input_IncomeAndExpense_AnnualIncomeBeforeCPF</vt:lpstr>
      <vt:lpstr>input_IncomeAndExpense_AnnualLuxuryExpense</vt:lpstr>
      <vt:lpstr>input_IncomeAndExpense_AnnualOtherExpense</vt:lpstr>
      <vt:lpstr>input_IncomeAndExpense_AnnualOtherExpenseDescription</vt:lpstr>
      <vt:lpstr>input_IncomeAndExpense_AnnualOtherIncomeAmount</vt:lpstr>
      <vt:lpstr>input_IncomeAndExpense_AnnualPersonalExpense</vt:lpstr>
      <vt:lpstr>input_IncomeAndExpense_AnnualPropertyRentalIncomeAmount</vt:lpstr>
      <vt:lpstr>input_IncomeAndExpense_OtherIncomeDescription</vt:lpstr>
      <vt:lpstr>input_LongTermCareProtection_ExistingAssets</vt:lpstr>
      <vt:lpstr>input_LongTermCareProtection_ExistingInsurance</vt:lpstr>
      <vt:lpstr>input_LongTermCareProtection_ReplacementIncomeNeededPerMonth</vt:lpstr>
      <vt:lpstr>input_LossOfIncomeProtection_AmountNeeded</vt:lpstr>
      <vt:lpstr>input_LossOfIncomeProtection_ExistingAssets</vt:lpstr>
      <vt:lpstr>input_LossOfIncomeProtection_ExistingInsurance</vt:lpstr>
      <vt:lpstr>input_PersonalAccidentProtection_AmountNeeded</vt:lpstr>
      <vt:lpstr>input_PersonalAccidentProtection_ExistingAssets</vt:lpstr>
      <vt:lpstr>input_PersonalAccidentProtection_ExistingInsurance</vt:lpstr>
      <vt:lpstr>input_RetirementAccumulation_AgeNextBirthday</vt:lpstr>
      <vt:lpstr>input_RetirementAccumulation_AnnualExpense</vt:lpstr>
      <vt:lpstr>input_RetirementAccumulation_AnnualIncome</vt:lpstr>
      <vt:lpstr>input_RetirementAccumulation_DurationOfGoal</vt:lpstr>
      <vt:lpstr>input_RetirementAccumulation_ExistingAssets</vt:lpstr>
      <vt:lpstr>input_RetirementAccumulation_ExistingInsurance</vt:lpstr>
      <vt:lpstr>input_RetirementAccumulation_InflationAdjustedRateOfReturn</vt:lpstr>
      <vt:lpstr>input_RetirementAccumulation_PreferredMethod</vt:lpstr>
      <vt:lpstr>input_RetirementAccumulation_RateOfIncomeIncrement</vt:lpstr>
      <vt:lpstr>input_RetirementAccumulation_RetirementAge</vt:lpstr>
      <vt:lpstr>input_RiskProfile_AcceptableLoss</vt:lpstr>
      <vt:lpstr>input_RiskProfile_HoldInvestmentUntil</vt:lpstr>
      <vt:lpstr>input_RiskProfile_RiskiestAssetSelection</vt:lpstr>
      <vt:lpstr>input_RiskProfile_YearsOfInvestmentExperience</vt:lpstr>
      <vt:lpstr>input_RiskProfile_YearsToManageWithoutIncome</vt:lpstr>
      <vt:lpstr>input_RiskProfile_YearsToRetire</vt:lpstr>
      <vt:lpstr>input_SavingsAccumulation_AmountNeeded</vt:lpstr>
      <vt:lpstr>input_SavingsAccumulation_ExistingAssets</vt:lpstr>
      <vt:lpstr>input_SavingsAccumulation_ExistingInsurance</vt:lpstr>
      <vt:lpstr>input_SavingsAccumulation_YearsToGoal</vt:lpstr>
      <vt:lpstr>input_TotalPermanentDisabilityProtection_DesiredAnnualIncomeReplacement</vt:lpstr>
      <vt:lpstr>input_TotalPermanentDisabilityProtection_DurationOfGoal</vt:lpstr>
      <vt:lpstr>input_TotalPermanentDisabilityProtection_ExistingAssets</vt:lpstr>
      <vt:lpstr>input_TotalPermanentDisabilityProtection_ExistingInsurance</vt:lpstr>
      <vt:lpstr>input_TotalPermanentDisabilityProtection_InflationAdjustedRateOfReturn</vt:lpstr>
      <vt:lpstr>input_TotalPermanentDisabilityProtection_MedicalExpenses</vt:lpstr>
      <vt:lpstr>output_ChildrenEducationSavings_CapitalSumRequired</vt:lpstr>
      <vt:lpstr>output_ChildrenEducationSavings_ExistingResources</vt:lpstr>
      <vt:lpstr>output_ChildrenEducationSavings_InflationRate</vt:lpstr>
      <vt:lpstr>output_ChildrenEducationSavings_TotalShortFall</vt:lpstr>
      <vt:lpstr>output_ChildrenEducationSavings_Validation</vt:lpstr>
      <vt:lpstr>output_ChildrenEducationSavings_ValidationMessage</vt:lpstr>
      <vt:lpstr>output_ChildrenSavings_CapitalSumRequired</vt:lpstr>
      <vt:lpstr>output_ChildrenSavings_ExistingResources</vt:lpstr>
      <vt:lpstr>output_ChildrenSavings_TotalShortFall</vt:lpstr>
      <vt:lpstr>output_ChildrenSavings_Validation</vt:lpstr>
      <vt:lpstr>output_ChildrenSavings_ValidationMessage</vt:lpstr>
      <vt:lpstr>output_CriticalIllnessProtection_CapitalSumRequired</vt:lpstr>
      <vt:lpstr>output_CriticalIllnessProtection_ExistingResources</vt:lpstr>
      <vt:lpstr>output_CriticalIllnessProtection_TotalCashNeeds</vt:lpstr>
      <vt:lpstr>output_CriticalIllnessProtection_TotalShortFall</vt:lpstr>
      <vt:lpstr>output_CriticalIllnessProtection_Validation</vt:lpstr>
      <vt:lpstr>output_CriticalIllnessProtection_ValidationMessage</vt:lpstr>
      <vt:lpstr>output_CustomerKnowledgeAssessment_CustomerKnowledgeAssessment</vt:lpstr>
      <vt:lpstr>output_CustomerKnowledgeAssessment_Validation</vt:lpstr>
      <vt:lpstr>output_CustomerKnowledgeAssessment_ValidationMessage</vt:lpstr>
      <vt:lpstr>output_DeathProtection_CapitalSumRequired</vt:lpstr>
      <vt:lpstr>output_DeathProtection_ExistingResources</vt:lpstr>
      <vt:lpstr>output_DeathProtection_TotalCashNeeds</vt:lpstr>
      <vt:lpstr>output_DeathProtection_TotalShortFall</vt:lpstr>
      <vt:lpstr>output_DeathProtection_Validation</vt:lpstr>
      <vt:lpstr>output_DeathProtection_ValidationMessage</vt:lpstr>
      <vt:lpstr>output_DependentDeathProtection_CapitalSumRequired</vt:lpstr>
      <vt:lpstr>output_DependentDeathProtection_ExistingResources</vt:lpstr>
      <vt:lpstr>output_DependentDeathProtection_TotalCashNeeds</vt:lpstr>
      <vt:lpstr>output_DependentDeathProtection_TotalShortFall</vt:lpstr>
      <vt:lpstr>output_DependentDeathProtection_Validation</vt:lpstr>
      <vt:lpstr>output_DependentDeathProtection_ValidationMessage</vt:lpstr>
      <vt:lpstr>output_FractureNeedProtection_CapitalSumRequired</vt:lpstr>
      <vt:lpstr>output_FractureNeedProtection_ExistingResources</vt:lpstr>
      <vt:lpstr>output_FractureNeedProtection_TotalShortFall</vt:lpstr>
      <vt:lpstr>output_FractureNeedProtection_Validation</vt:lpstr>
      <vt:lpstr>output_FractureNeedProtection_ValidationMessage</vt:lpstr>
      <vt:lpstr>output_GenderRelatedIllnessProtection_CapitalSumRequired</vt:lpstr>
      <vt:lpstr>output_GenderRelatedIllnessProtection_ExistingResources</vt:lpstr>
      <vt:lpstr>output_GenderRelatedIllnessProtection_TotalShortFall</vt:lpstr>
      <vt:lpstr>output_GenderRelatedIllnessProtection_Validation</vt:lpstr>
      <vt:lpstr>output_GenderRelatedIllnessProtection_ValidationMessage</vt:lpstr>
      <vt:lpstr>output_IncomeAndExpense_AnnualEmployeeCPFContribution</vt:lpstr>
      <vt:lpstr>output_IncomeAndExpense_NetAnnualIncome</vt:lpstr>
      <vt:lpstr>output_IncomeAndExpense_TotalAnnualExpense</vt:lpstr>
      <vt:lpstr>output_IncomeAndExpense_TotalTakeHomeIncome</vt:lpstr>
      <vt:lpstr>output_IncomeAndExpense_Validation</vt:lpstr>
      <vt:lpstr>output_IncomeAndExpense_ValidationMessage</vt:lpstr>
      <vt:lpstr>output_LongTermCareProtection_CapitalSumRequired</vt:lpstr>
      <vt:lpstr>output_LongTermCareProtection_ExistingResources</vt:lpstr>
      <vt:lpstr>output_LongTermCareProtection_TotalShortFall</vt:lpstr>
      <vt:lpstr>output_LongTermCareProtection_Validation</vt:lpstr>
      <vt:lpstr>output_LongTermCareProtection_ValidationMessage</vt:lpstr>
      <vt:lpstr>output_LossOfIncomeProtection_CapitalSumRequired</vt:lpstr>
      <vt:lpstr>output_LossOfIncomeProtection_ExistingResources</vt:lpstr>
      <vt:lpstr>output_LossOfIncomeProtection_TotalShortFall</vt:lpstr>
      <vt:lpstr>output_LossOfIncomeProtection_Validation</vt:lpstr>
      <vt:lpstr>output_LossOfIncomeProtection_ValidationMessage</vt:lpstr>
      <vt:lpstr>output_PersonalAccidentProtection_CapitalSumRequired</vt:lpstr>
      <vt:lpstr>output_PersonalAccidentProtection_ExistingResources</vt:lpstr>
      <vt:lpstr>output_PersonalAccidentProtection_TotalShortFall</vt:lpstr>
      <vt:lpstr>output_PersonalAccidentProtection_Validation</vt:lpstr>
      <vt:lpstr>output_PersonalAccidentProtection_ValidationMessage</vt:lpstr>
      <vt:lpstr>output_RetirementAccumulation_AnnualIncomeRequiredAtRetirement</vt:lpstr>
      <vt:lpstr>output_RetirementAccumulation_CapitalSumRequired</vt:lpstr>
      <vt:lpstr>output_RetirementAccumulation_ExistingResources</vt:lpstr>
      <vt:lpstr>output_RetirementAccumulation_ExpensesAtRetirement</vt:lpstr>
      <vt:lpstr>output_RetirementAccumulation_ProjectedAnnualIncomeRequiredAtRetirement</vt:lpstr>
      <vt:lpstr>output_RetirementAccumulation_TotalShortFall</vt:lpstr>
      <vt:lpstr>output_RetirementAccumulation_Validation</vt:lpstr>
      <vt:lpstr>output_RetirementAccumulation_ValidationMessage</vt:lpstr>
      <vt:lpstr>output_RetirementAccumulation_YearsToGoal</vt:lpstr>
      <vt:lpstr>output_RiskProfile_RiskProfile</vt:lpstr>
      <vt:lpstr>output_RiskProfile_RiskProfileSummary</vt:lpstr>
      <vt:lpstr>output_RiskProfile_TotalScore</vt:lpstr>
      <vt:lpstr>output_RiskProfile_Validation</vt:lpstr>
      <vt:lpstr>output_RiskProfile_ValidationMessage</vt:lpstr>
      <vt:lpstr>output_SavingsAccumulation_CapitalSumRequired</vt:lpstr>
      <vt:lpstr>output_SavingsAccumulation_ExistingResources</vt:lpstr>
      <vt:lpstr>output_SavingsAccumulation_TotalShortFall</vt:lpstr>
      <vt:lpstr>output_SavingsAccumulation_Validation</vt:lpstr>
      <vt:lpstr>output_SavingsAccumulation_ValidationMessage</vt:lpstr>
      <vt:lpstr>output_TotalPermanentDisabilityProtection_CapitalSumRequired</vt:lpstr>
      <vt:lpstr>output_TotalPermanentDisabilityProtection_ExistingResources</vt:lpstr>
      <vt:lpstr>output_TotalPermanentDisabilityProtection_TotalCashNeeds</vt:lpstr>
      <vt:lpstr>output_TotalPermanentDisabilityProtection_TotalShortFall</vt:lpstr>
      <vt:lpstr>output_TotalPermanentDisabilityProtection_Validation</vt:lpstr>
      <vt:lpstr>output_TotalPermanentDisabilityProtection_ValidationMessage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360F</cp:lastModifiedBy>
  <dcterms:created xsi:type="dcterms:W3CDTF">2023-03-31T02:44:30Z</dcterms:created>
  <dcterms:modified xsi:type="dcterms:W3CDTF">2023-07-27T10:08:44Z</dcterms:modified>
</cp:coreProperties>
</file>