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60F\Shared with me\UM - MicroServices\UMN  - 360-NeedsCalculator\"/>
    </mc:Choice>
  </mc:AlternateContent>
  <xr:revisionPtr revIDLastSave="0" documentId="13_ncr:1_{5F6AD53B-EF59-4979-9A66-50FC162A1CBE}" xr6:coauthVersionLast="47" xr6:coauthVersionMax="47" xr10:uidLastSave="{00000000-0000-0000-0000-000000000000}"/>
  <bookViews>
    <workbookView xWindow="28680" yWindow="-120" windowWidth="29040" windowHeight="15720" tabRatio="878" firstSheet="9" activeTab="15" xr2:uid="{F60777F6-1C56-4B45-8313-1B039BDB332C}"/>
  </bookViews>
  <sheets>
    <sheet name="Validation Input Received" sheetId="16" r:id="rId1"/>
    <sheet name="Death Protection" sheetId="1" r:id="rId2"/>
    <sheet name="Dependent Death Protection" sheetId="26" r:id="rId3"/>
    <sheet name="Total Permanent Disability" sheetId="10" r:id="rId4"/>
    <sheet name="Critical Illness" sheetId="11" r:id="rId5"/>
    <sheet name="Hospital" sheetId="27" r:id="rId6"/>
    <sheet name="Long-Term Care" sheetId="12" r:id="rId7"/>
    <sheet name="Personal Accident" sheetId="15" r:id="rId8"/>
    <sheet name="Fracture Need" sheetId="24" r:id="rId9"/>
    <sheet name="Loss of Income" sheetId="13" r:id="rId10"/>
    <sheet name="Gender Related Illness" sheetId="14" r:id="rId11"/>
    <sheet name="Retirement" sheetId="7" r:id="rId12"/>
    <sheet name="Savings" sheetId="9" r:id="rId13"/>
    <sheet name="Children Education" sheetId="5" r:id="rId14"/>
    <sheet name="Children Savings" sheetId="25" r:id="rId15"/>
    <sheet name="Personal Details" sheetId="22" r:id="rId16"/>
    <sheet name="Financial Details" sheetId="18" r:id="rId17"/>
    <sheet name="Dependent Details" sheetId="23" r:id="rId18"/>
    <sheet name="Risk Profile" sheetId="20" r:id="rId19"/>
    <sheet name="Customer Knowledge" sheetId="21" r:id="rId20"/>
    <sheet name="Hopes &amp; Dreams" sheetId="17" r:id="rId21"/>
  </sheets>
  <definedNames>
    <definedName name="input_CKA_EducationQualification_IsSelected">'Customer Knowledge'!$D$8</definedName>
    <definedName name="input_CKA_EducationQualification_Selection">'Customer Knowledge'!$D$9</definedName>
    <definedName name="input_CKA_InvestmentExperience_IsSelected">'Customer Knowledge'!$D$12</definedName>
    <definedName name="input_CKA_InvestmentExperience_Selection">'Customer Knowledge'!$D$13</definedName>
    <definedName name="input_CKA_ResultDescription">'Customer Knowledge'!$D$14</definedName>
    <definedName name="input_CKA_WorkExperience_IsSelected">'Customer Knowledge'!$D$10</definedName>
    <definedName name="input_CKA_WorkExperience_Selection">'Customer Knowledge'!$D$11</definedName>
    <definedName name="input_Dependents_Dependents_1_AgeNextBirthday">'Dependent Details'!$D$21</definedName>
    <definedName name="input_Dependents_Dependents_1_Dob">'Dependent Details'!$D$19</definedName>
    <definedName name="input_Dependents_Dependents_1_Gender">'Dependent Details'!$D$16</definedName>
    <definedName name="input_Dependents_Dependents_1_OccupationCode">'Dependent Details'!$D$17</definedName>
    <definedName name="input_Dependents_Dependents_1_OtherOccupation">'Dependent Details'!$D$18</definedName>
    <definedName name="input_Dependents_Dependents_1_Relationship">'Dependent Details'!$D$15</definedName>
    <definedName name="input_Dependents_Dependents_1_YearsOfSupport">'Dependent Details'!$D$20</definedName>
    <definedName name="input_Dependents_Dependents_2_AgeNextBirthday">'Dependent Details'!$D$29</definedName>
    <definedName name="input_Dependents_Dependents_2_Dob">'Dependent Details'!$D$27</definedName>
    <definedName name="input_Dependents_Dependents_2_Gender">'Dependent Details'!$D$24</definedName>
    <definedName name="input_Dependents_Dependents_2_OccupationCode">'Dependent Details'!$D$25</definedName>
    <definedName name="input_Dependents_Dependents_2_OtherOccupation">'Dependent Details'!$D$26</definedName>
    <definedName name="input_Dependents_Dependents_2_Relationship">'Dependent Details'!$D$23</definedName>
    <definedName name="input_Dependents_Dependents_2_YearsOfSupport">'Dependent Details'!$D$28</definedName>
    <definedName name="input_Dependents_Dependents_3_AgeNextBirthday">'Dependent Details'!$D$37</definedName>
    <definedName name="input_Dependents_Dependents_3_Dob">'Dependent Details'!$D$35</definedName>
    <definedName name="input_Dependents_Dependents_3_Gender">'Dependent Details'!$D$32</definedName>
    <definedName name="input_Dependents_Dependents_3_OccupationCode">'Dependent Details'!$D$33</definedName>
    <definedName name="input_Dependents_Dependents_3_OtherOccupation">'Dependent Details'!$D$34</definedName>
    <definedName name="input_Dependents_Dependents_3_Relationship">'Dependent Details'!$D$31</definedName>
    <definedName name="input_Dependents_Dependents_3_YearsOfSupport">'Dependent Details'!$D$36</definedName>
    <definedName name="input_Dependents_Dependents_4_AgeNextBirthday">'Dependent Details'!$D$45</definedName>
    <definedName name="input_Dependents_Dependents_4_Dob">'Dependent Details'!$D$43</definedName>
    <definedName name="input_Dependents_Dependents_4_Gender">'Dependent Details'!$D$40</definedName>
    <definedName name="input_Dependents_Dependents_4_OccupationCode">'Dependent Details'!$D$41</definedName>
    <definedName name="input_Dependents_Dependents_4_OtherOccupation">'Dependent Details'!$D$42</definedName>
    <definedName name="input_Dependents_Dependents_4_Relationship">'Dependent Details'!$D$39</definedName>
    <definedName name="input_Dependents_Dependents_4_YearsOfSupport">'Dependent Details'!$D$44</definedName>
    <definedName name="input_Dependents_Dependents_5_AgeNextBirthday">'Dependent Details'!$D$53</definedName>
    <definedName name="input_Dependents_Dependents_5_Dob">'Dependent Details'!$D$51</definedName>
    <definedName name="input_Dependents_Dependents_5_Gender">'Dependent Details'!$D$48</definedName>
    <definedName name="input_Dependents_Dependents_5_OccupationCode">'Dependent Details'!$D$49</definedName>
    <definedName name="input_Dependents_Dependents_5_OtherOccupation">'Dependent Details'!$D$50</definedName>
    <definedName name="input_Dependents_Dependents_5_Relationship">'Dependent Details'!$D$47</definedName>
    <definedName name="input_Dependents_Dependents_5_YearsOfSupport">'Dependent Details'!$D$52</definedName>
    <definedName name="input_Dependents_Dependents_6_AgeNextBirthday">'Dependent Details'!$D$61</definedName>
    <definedName name="input_Dependents_Dependents_6_Dob">'Dependent Details'!$D$59</definedName>
    <definedName name="input_Dependents_Dependents_6_Gender">'Dependent Details'!$D$56</definedName>
    <definedName name="input_Dependents_Dependents_6_OccupationCode">'Dependent Details'!$D$57</definedName>
    <definedName name="input_Dependents_Dependents_6_OtherOccupation">'Dependent Details'!$D$58</definedName>
    <definedName name="input_Dependents_Dependents_6_Relationship">'Dependent Details'!$D$55</definedName>
    <definedName name="input_Dependents_Dependents_6_YearsOfSupport">'Dependent Details'!$D$60</definedName>
    <definedName name="input_Dependents_Dependents_7_AgeNextBirthday">'Dependent Details'!$D$69</definedName>
    <definedName name="input_Dependents_Dependents_7_Dob">'Dependent Details'!$D$67</definedName>
    <definedName name="input_Dependents_Dependents_7_Gender">'Dependent Details'!$D$64</definedName>
    <definedName name="input_Dependents_Dependents_7_OccupationCode">'Dependent Details'!$D$65</definedName>
    <definedName name="input_Dependents_Dependents_7_OtherOccupation">'Dependent Details'!$D$66</definedName>
    <definedName name="input_Dependents_Dependents_7_Relationship">'Dependent Details'!$D$63</definedName>
    <definedName name="input_Dependents_Dependents_7_YearsOfSupport">'Dependent Details'!$D$68</definedName>
    <definedName name="input_Dependents_Dependents_8_AgeNextBirthday">'Dependent Details'!$D$77</definedName>
    <definedName name="input_Dependents_Dependents_8_Dob">'Dependent Details'!$D$75</definedName>
    <definedName name="input_Dependents_Dependents_8_Gender">'Dependent Details'!$D$72</definedName>
    <definedName name="input_Dependents_Dependents_8_OccupationCode">'Dependent Details'!$D$73</definedName>
    <definedName name="input_Dependents_Dependents_8_OtherOccupation">'Dependent Details'!$D$74</definedName>
    <definedName name="input_Dependents_Dependents_8_Relationship">'Dependent Details'!$D$71</definedName>
    <definedName name="input_Dependents_Dependents_8_YearsOfSupport">'Dependent Details'!$D$76</definedName>
    <definedName name="input_Dependents_DependentsDisclosed">'Dependent Details'!$D$7</definedName>
    <definedName name="input_Dependents_HaveFinancialSupportDependents">'Dependent Details'!$D$6</definedName>
    <definedName name="input_Dependents_ReasonDependentUndisclosed">'Dependent Details'!$D$8</definedName>
    <definedName name="input_Dependents_ReasonDependentUndisclosedOthers">'Dependent Details'!$D$9</definedName>
    <definedName name="input_F_CKA_selected">'Validation Input Received'!$D$18</definedName>
    <definedName name="input_F_DDT_selected">'Validation Input Received'!$D$19</definedName>
    <definedName name="input_F_FDT_selected">'Validation Input Received'!$D$22</definedName>
    <definedName name="input_F_HAD_selected">'Validation Input Received'!$D$20</definedName>
    <definedName name="input_F_PDT_selected">'Validation Input Received'!$D$21</definedName>
    <definedName name="input_F_RPQ_selected">'Validation Input Received'!$D$17</definedName>
    <definedName name="input_FinancialDetail_AssetAndLiability_Assets_1_AssetType">'Financial Details'!$C$13</definedName>
    <definedName name="input_FinancialDetail_AssetAndLiability_Assets_1_AssetValue">'Financial Details'!$C$14</definedName>
    <definedName name="input_FinancialDetail_AssetAndLiability_Assets_1_OtherAssetType">'Financial Details'!$C$16</definedName>
    <definedName name="input_FinancialDetail_AssetAndLiability_Assets_1_Roi">'Financial Details'!$C$15</definedName>
    <definedName name="input_FinancialDetail_AssetAndLiability_Assets_10_AssetType">'Financial Details'!$C$58</definedName>
    <definedName name="input_FinancialDetail_AssetAndLiability_Assets_10_AssetValue">'Financial Details'!$C$59</definedName>
    <definedName name="input_FinancialDetail_AssetAndLiability_Assets_10_OtherAssetType">'Financial Details'!$C$61</definedName>
    <definedName name="input_FinancialDetail_AssetAndLiability_Assets_10_Roi">'Financial Details'!$C$60</definedName>
    <definedName name="input_FinancialDetail_AssetAndLiability_Assets_11_AssetType">'Financial Details'!$C$63</definedName>
    <definedName name="input_FinancialDetail_AssetAndLiability_Assets_11_AssetValue">'Financial Details'!$C$64</definedName>
    <definedName name="input_FinancialDetail_AssetAndLiability_Assets_11_OtherAssetType">'Financial Details'!$C$66</definedName>
    <definedName name="input_FinancialDetail_AssetAndLiability_Assets_11_Roi">'Financial Details'!$C$65</definedName>
    <definedName name="input_FinancialDetail_AssetAndLiability_Assets_12_AssetType">'Financial Details'!$C$68</definedName>
    <definedName name="input_FinancialDetail_AssetAndLiability_Assets_12_AssetValue">'Financial Details'!$C$69</definedName>
    <definedName name="input_FinancialDetail_AssetAndLiability_Assets_12_OtherAssetType">'Financial Details'!$C$71</definedName>
    <definedName name="input_FinancialDetail_AssetAndLiability_Assets_12_Roi">'Financial Details'!$C$70</definedName>
    <definedName name="input_FinancialDetail_AssetAndLiability_Assets_2_AssetType">'Financial Details'!$C$18</definedName>
    <definedName name="input_FinancialDetail_AssetAndLiability_Assets_2_AssetValue">'Financial Details'!$C$19</definedName>
    <definedName name="input_FinancialDetail_AssetAndLiability_Assets_2_OtherAssetType">'Financial Details'!$C$21</definedName>
    <definedName name="input_FinancialDetail_AssetAndLiability_Assets_2_Roi">'Financial Details'!$C$20</definedName>
    <definedName name="input_FinancialDetail_AssetAndLiability_Assets_3_AssetType">'Financial Details'!$C$23</definedName>
    <definedName name="input_FinancialDetail_AssetAndLiability_Assets_3_AssetValue">'Financial Details'!$C$24</definedName>
    <definedName name="input_FinancialDetail_AssetAndLiability_Assets_3_OtherAssetType">'Financial Details'!$C$26</definedName>
    <definedName name="input_FinancialDetail_AssetAndLiability_Assets_3_Roi">'Financial Details'!$C$25</definedName>
    <definedName name="input_FinancialDetail_AssetAndLiability_Assets_4_AssetType">'Financial Details'!$C$28</definedName>
    <definedName name="input_FinancialDetail_AssetAndLiability_Assets_4_AssetValue">'Financial Details'!$C$29</definedName>
    <definedName name="input_FinancialDetail_AssetAndLiability_Assets_4_OtherAssetType">'Financial Details'!$C$31</definedName>
    <definedName name="input_FinancialDetail_AssetAndLiability_Assets_4_Roi">'Financial Details'!$C$30</definedName>
    <definedName name="input_FinancialDetail_AssetAndLiability_Assets_5_AssetType">'Financial Details'!$C$33</definedName>
    <definedName name="input_FinancialDetail_AssetAndLiability_Assets_5_AssetValue">'Financial Details'!$C$34</definedName>
    <definedName name="input_FinancialDetail_AssetAndLiability_Assets_5_OtherAssetType">'Financial Details'!$C$36</definedName>
    <definedName name="input_FinancialDetail_AssetAndLiability_Assets_5_Roi">'Financial Details'!$C$35</definedName>
    <definedName name="input_FinancialDetail_AssetAndLiability_Assets_6_AssetType">'Financial Details'!$C$38</definedName>
    <definedName name="input_FinancialDetail_AssetAndLiability_Assets_6_AssetValue">'Financial Details'!$C$39</definedName>
    <definedName name="input_FinancialDetail_AssetAndLiability_Assets_6_OtherAssetType">'Financial Details'!$C$41</definedName>
    <definedName name="input_FinancialDetail_AssetAndLiability_Assets_6_Roi">'Financial Details'!$C$40</definedName>
    <definedName name="input_FinancialDetail_AssetAndLiability_Assets_7_AssetType">'Financial Details'!$C$43</definedName>
    <definedName name="input_FinancialDetail_AssetAndLiability_Assets_7_AssetValue">'Financial Details'!$C$44</definedName>
    <definedName name="input_FinancialDetail_AssetAndLiability_Assets_7_OtherAssetType">'Financial Details'!$C$46</definedName>
    <definedName name="input_FinancialDetail_AssetAndLiability_Assets_7_Roi">'Financial Details'!$C$45</definedName>
    <definedName name="input_FinancialDetail_AssetAndLiability_Assets_8_AssetType">'Financial Details'!$C$48</definedName>
    <definedName name="input_FinancialDetail_AssetAndLiability_Assets_8_AssetValue">'Financial Details'!$C$49</definedName>
    <definedName name="input_FinancialDetail_AssetAndLiability_Assets_8_OtherAssetType">'Financial Details'!$C$51</definedName>
    <definedName name="input_FinancialDetail_AssetAndLiability_Assets_8_Roi">'Financial Details'!$C$50</definedName>
    <definedName name="input_FinancialDetail_AssetAndLiability_Assets_9_AssetType">'Financial Details'!$C$53</definedName>
    <definedName name="input_FinancialDetail_AssetAndLiability_Assets_9_AssetValue">'Financial Details'!$C$54</definedName>
    <definedName name="input_FinancialDetail_AssetAndLiability_Assets_9_OtherAssetType">'Financial Details'!$C$56</definedName>
    <definedName name="input_FinancialDetail_AssetAndLiability_Assets_9_Roi">'Financial Details'!$C$55</definedName>
    <definedName name="input_FinancialDetail_AssetAndLiability_Disclosure_Disclose">'Financial Details'!$C$8</definedName>
    <definedName name="input_FinancialDetail_AssetAndLiability_Disclosure_DiscloseReason">'Financial Details'!$C$9</definedName>
    <definedName name="input_FinancialDetail_AssetAndLiability_Disclosure_OtherReason">'Financial Details'!$C$10</definedName>
    <definedName name="input_FinancialDetail_AssetAndLiability_Liabilities_1_LiabilityType">'Financial Details'!$F$13</definedName>
    <definedName name="input_FinancialDetail_AssetAndLiability_Liabilities_1_LiabilityValue">'Financial Details'!$F$14</definedName>
    <definedName name="input_FinancialDetail_AssetAndLiability_Liabilities_1_OtherLiabilityType">'Financial Details'!$F$15</definedName>
    <definedName name="input_FinancialDetail_AssetAndLiability_Liabilities_2_LiabilityType">'Financial Details'!$F$17</definedName>
    <definedName name="input_FinancialDetail_AssetAndLiability_Liabilities_2_LiabilityValue">'Financial Details'!$F$18</definedName>
    <definedName name="input_FinancialDetail_AssetAndLiability_Liabilities_2_OtherLiabilityType">'Financial Details'!$F$19</definedName>
    <definedName name="input_FinancialDetail_AssetAndLiability_Liabilities_3_LiabilityType">'Financial Details'!$F$21</definedName>
    <definedName name="input_FinancialDetail_AssetAndLiability_Liabilities_3_LiabilityValue">'Financial Details'!$F$22</definedName>
    <definedName name="input_FinancialDetail_AssetAndLiability_Liabilities_3_OtherLiabilityType">'Financial Details'!$F$23</definedName>
    <definedName name="input_FinancialDetail_AssetAndLiability_Liabilities_4_LiabilityType">'Financial Details'!$F$25</definedName>
    <definedName name="input_FinancialDetail_AssetAndLiability_Liabilities_4_LiabilityValue">'Financial Details'!$F$26</definedName>
    <definedName name="input_FinancialDetail_AssetAndLiability_Liabilities_4_OtherLiabilityType">'Financial Details'!$F$27</definedName>
    <definedName name="input_FinancialDetail_AssetAndLiability_Liabilities_5_LiabilityType">'Financial Details'!$F$29</definedName>
    <definedName name="input_FinancialDetail_AssetAndLiability_Liabilities_5_LiabilityValue">'Financial Details'!$F$30</definedName>
    <definedName name="input_FinancialDetail_AssetAndLiability_Liabilities_5_OtherLiabilityType">'Financial Details'!$F$31</definedName>
    <definedName name="input_FinancialDetail_AssetAndLiability_Liabilities_6_LiabilityType">'Financial Details'!$F$33</definedName>
    <definedName name="input_FinancialDetail_AssetAndLiability_Liabilities_6_LiabilityValue">'Financial Details'!$F$34</definedName>
    <definedName name="input_FinancialDetail_AssetAndLiability_Liabilities_6_OtherLiabilityType">'Financial Details'!$F$35</definedName>
    <definedName name="input_FinancialDetail_AssetAndLiability_SignificantChangeDeclaration_IsExpected">'Financial Details'!$C$6</definedName>
    <definedName name="input_FinancialDetail_AssetAndLiability_SignificantChangeDeclaration_ReasonForChange">'Financial Details'!$C$7</definedName>
    <definedName name="input_FinancialDetail_Budget_AnnualAmount_Cash">'Financial Details'!$O$14</definedName>
    <definedName name="input_FinancialDetail_Budget_AnnualAmount_Cpfma">'Financial Details'!$O$17</definedName>
    <definedName name="input_FinancialDetail_Budget_AnnualAmount_Cpfoa">'Financial Details'!$O$15</definedName>
    <definedName name="input_FinancialDetail_Budget_AnnualAmount_Cpfsa">'Financial Details'!$O$16</definedName>
    <definedName name="input_FinancialDetail_Budget_AnnualAmount_Srs">'Financial Details'!$O$18</definedName>
    <definedName name="input_FinancialDetail_Budget_LumpSumAmount_Cash">'Financial Details'!$O$21</definedName>
    <definedName name="input_FinancialDetail_Budget_LumpSumAmount_Cpfma">'Financial Details'!$O$24</definedName>
    <definedName name="input_FinancialDetail_Budget_LumpSumAmount_Cpfoa">'Financial Details'!$O$22</definedName>
    <definedName name="input_FinancialDetail_Budget_LumpSumAmount_Cpfsa">'Financial Details'!$O$23</definedName>
    <definedName name="input_FinancialDetail_Budget_LumpSumAmount_Srs">'Financial Details'!$O$25</definedName>
    <definedName name="input_FinancialDetail_ExistingInsurance_ConsentToRetrieveInsurance">'Financial Details'!$R$6</definedName>
    <definedName name="input_FinancialDetail_ExistingInsurance_ExistingPolicies_Disclosure_Disclose">'Financial Details'!$R$8</definedName>
    <definedName name="input_FinancialDetail_ExistingInsurance_ExistingPolicies_Disclosure_DiscloseReason">'Financial Details'!$R$9</definedName>
    <definedName name="input_FinancialDetail_ExistingInsurance_ExistingPolicies_Disclosure_OtherReason">'Financial Details'!$R$10</definedName>
    <definedName name="input_FinancialDetail_ExistingInsurance_ExistingPolicies_WealthAccumulationInsurance_1_Benefits_CriticalIllness">'Financial Details'!$R$20</definedName>
    <definedName name="input_FinancialDetail_ExistingInsurance_ExistingPolicies_WealthAccumulationInsurance_1_Benefits_Death">'Financial Details'!$R$18</definedName>
    <definedName name="input_FinancialDetail_ExistingInsurance_ExistingPolicies_WealthAccumulationInsurance_1_Benefits_EducationRetirementSavings">'Financial Details'!$R$35</definedName>
    <definedName name="input_FinancialDetail_ExistingInsurance_ExistingPolicies_WealthAccumulationInsurance_1_Benefits_Fracture">'Financial Details'!$R$26</definedName>
    <definedName name="input_FinancialDetail_ExistingInsurance_ExistingPolicies_WealthAccumulationInsurance_1_Benefits_GenderRelatedIllness">'Financial Details'!$R$28</definedName>
    <definedName name="input_FinancialDetail_ExistingInsurance_ExistingPolicies_WealthAccumulationInsurance_1_Benefits_HospitalType">'Financial Details'!$R$21</definedName>
    <definedName name="input_FinancialDetail_ExistingInsurance_ExistingPolicies_WealthAccumulationInsurance_1_Benefits_HospitalWardType">'Financial Details'!$R$22</definedName>
    <definedName name="input_FinancialDetail_ExistingInsurance_ExistingPolicies_WealthAccumulationInsurance_1_Benefits_LongTermCare">'Financial Details'!$R$24</definedName>
    <definedName name="input_FinancialDetail_ExistingInsurance_ExistingPolicies_WealthAccumulationInsurance_1_Benefits_LossOfIncome">'Financial Details'!$R$27</definedName>
    <definedName name="input_FinancialDetail_ExistingInsurance_ExistingPolicies_WealthAccumulationInsurance_1_Benefits_PersonalAccident">'Financial Details'!$R$25</definedName>
    <definedName name="input_FinancialDetail_ExistingInsurance_ExistingPolicies_WealthAccumulationInsurance_1_Benefits_TotalPermanentDisability">'Financial Details'!$R$19</definedName>
    <definedName name="input_FinancialDetail_ExistingInsurance_ExistingPolicies_WealthAccumulationInsurance_1_CurrentCashValue">'Financial Details'!$R$34</definedName>
    <definedName name="input_FinancialDetail_ExistingInsurance_ExistingPolicies_WealthAccumulationInsurance_1_DeductibleAndCoInsurance">'Financial Details'!$R$23</definedName>
    <definedName name="input_FinancialDetail_ExistingInsurance_ExistingPolicies_WealthAccumulationInsurance_1_InsuranceCompany">'Financial Details'!$R$16</definedName>
    <definedName name="input_FinancialDetail_ExistingInsurance_ExistingPolicies_WealthAccumulationInsurance_1_LifeAssured">'Financial Details'!$R$13</definedName>
    <definedName name="input_FinancialDetail_ExistingInsurance_ExistingPolicies_WealthAccumulationInsurance_1_MaturityDate">'Financial Details'!$R$30</definedName>
    <definedName name="input_FinancialDetail_ExistingInsurance_ExistingPolicies_WealthAccumulationInsurance_1_PolicyName">'Financial Details'!$R$14</definedName>
    <definedName name="input_FinancialDetail_ExistingInsurance_ExistingPolicies_WealthAccumulationInsurance_1_PolicyNumber">'Financial Details'!$R$15</definedName>
    <definedName name="input_FinancialDetail_ExistingInsurance_ExistingPolicies_WealthAccumulationInsurance_1_PolicyTerm">'Financial Details'!$R$29</definedName>
    <definedName name="input_FinancialDetail_ExistingInsurance_ExistingPolicies_WealthAccumulationInsurance_1_PolicyType">'Financial Details'!$R$17</definedName>
    <definedName name="input_FinancialDetail_ExistingInsurance_ExistingPolicies_WealthAccumulationInsurance_1_ProjectedMaturityValue">'Financial Details'!$R$33</definedName>
    <definedName name="input_FinancialDetail_ExistingInsurance_ExistingPolicies_WealthAccumulationInsurance_1_RegularPremium">'Financial Details'!$R$32</definedName>
    <definedName name="input_FinancialDetail_ExistingInsurance_ExistingPolicies_WealthAccumulationInsurance_1_SinglePremium">'Financial Details'!$R$31</definedName>
    <definedName name="input_FinancialDetail_ExistingInsurance_ExistingPolicies_WealthAccumulationInsurance_1_WealthAccumulationGoal">'Financial Details'!$R$36</definedName>
    <definedName name="input_FinancialDetail_ExistingInsurance_ExistingPolicies_WealthProtectionInsurance_1_Benefits_CriticalIllness">'Financial Details'!$R$44</definedName>
    <definedName name="input_FinancialDetail_ExistingInsurance_ExistingPolicies_WealthProtectionInsurance_1_Benefits_Death">'Financial Details'!$R$42</definedName>
    <definedName name="input_FinancialDetail_ExistingInsurance_ExistingPolicies_WealthProtectionInsurance_1_Benefits_Fracture">'Financial Details'!$R$50</definedName>
    <definedName name="input_FinancialDetail_ExistingInsurance_ExistingPolicies_WealthProtectionInsurance_1_Benefits_GenderRelatedIllness">'Financial Details'!$R$52</definedName>
    <definedName name="input_FinancialDetail_ExistingInsurance_ExistingPolicies_WealthProtectionInsurance_1_Benefits_HospitalType">'Financial Details'!$R$45</definedName>
    <definedName name="input_FinancialDetail_ExistingInsurance_ExistingPolicies_WealthProtectionInsurance_1_Benefits_HospitalWardType">'Financial Details'!$R$46</definedName>
    <definedName name="input_FinancialDetail_ExistingInsurance_ExistingPolicies_WealthProtectionInsurance_1_Benefits_LongTermCare">'Financial Details'!$R$48</definedName>
    <definedName name="input_FinancialDetail_ExistingInsurance_ExistingPolicies_WealthProtectionInsurance_1_Benefits_LossOfIncome">'Financial Details'!$R$51</definedName>
    <definedName name="input_FinancialDetail_ExistingInsurance_ExistingPolicies_WealthProtectionInsurance_1_Benefits_PersonalAccident">'Financial Details'!$R$49</definedName>
    <definedName name="input_FinancialDetail_ExistingInsurance_ExistingPolicies_WealthProtectionInsurance_1_Benefits_TotalPermanentDisability">'Financial Details'!$R$43</definedName>
    <definedName name="input_FinancialDetail_ExistingInsurance_ExistingPolicies_WealthProtectionInsurance_1_DeductibleAndCoInsurance">'Financial Details'!$R$47</definedName>
    <definedName name="input_FinancialDetail_ExistingInsurance_ExistingPolicies_WealthProtectionInsurance_1_InsuranceCompany">'Financial Details'!$R$40</definedName>
    <definedName name="input_FinancialDetail_ExistingInsurance_ExistingPolicies_WealthProtectionInsurance_1_LifeAssured">'Financial Details'!$R$37</definedName>
    <definedName name="input_FinancialDetail_ExistingInsurance_ExistingPolicies_WealthProtectionInsurance_1_PolicyName">'Financial Details'!$R$38</definedName>
    <definedName name="input_FinancialDetail_ExistingInsurance_ExistingPolicies_WealthProtectionInsurance_1_PolicyNumber">'Financial Details'!$R$39</definedName>
    <definedName name="input_FinancialDetail_ExistingInsurance_ExistingPolicies_WealthProtectionInsurance_1_PolicyTerm">'Financial Details'!$R$53</definedName>
    <definedName name="input_FinancialDetail_ExistingInsurance_ExistingPolicies_WealthProtectionInsurance_1_PolicyType">'Financial Details'!$R$41</definedName>
    <definedName name="input_FinancialDetail_ExistingInsurance_ExistingPolicies_WealthProtectionInsurance_1_RegularPremium">'Financial Details'!$R$55</definedName>
    <definedName name="input_FinancialDetail_ExistingInsurance_ExistingPolicies_WealthProtectionInsurance_1_SinglePremium">'Financial Details'!$R$54</definedName>
    <definedName name="input_FinancialDetail_ExistingInsurance_HaveExistingInsurance">'Financial Details'!$R$5</definedName>
    <definedName name="input_FinancialDetail_ExistingInsurance_ReasonNotConsentToRetrieveInsurance">'Financial Details'!$R$7</definedName>
    <definedName name="input_FinancialDetail_IncomeAndExpense_Disclosure_Disclose">'Financial Details'!$I$8</definedName>
    <definedName name="input_FinancialDetail_IncomeAndExpense_Disclosure_DiscloseReason">'Financial Details'!$I$9</definedName>
    <definedName name="input_FinancialDetail_IncomeAndExpense_Disclosure_OtherReason">'Financial Details'!$I$10</definedName>
    <definedName name="input_FinancialDetail_IncomeAndExpense_ExpenseOverview_Expense_1_AnnualAmount">'Financial Details'!$L$17</definedName>
    <definedName name="input_FinancialDetail_IncomeAndExpense_ExpenseOverview_Expense_1_Description">'Financial Details'!$L$19</definedName>
    <definedName name="input_FinancialDetail_IncomeAndExpense_ExpenseOverview_Expense_1_Frequency">'Financial Details'!$L$18</definedName>
    <definedName name="input_FinancialDetail_IncomeAndExpense_ExpenseOverview_Expense_1_MonthlyAmount">'Financial Details'!$L$16</definedName>
    <definedName name="input_FinancialDetail_IncomeAndExpense_ExpenseOverview_Expense_1_Type">'Financial Details'!$L$15</definedName>
    <definedName name="input_FinancialDetail_IncomeAndExpense_ExpenseOverview_Expense_2_AnnualAmount">'Financial Details'!$L$23</definedName>
    <definedName name="input_FinancialDetail_IncomeAndExpense_ExpenseOverview_Expense_2_Description">'Financial Details'!$L$25</definedName>
    <definedName name="input_FinancialDetail_IncomeAndExpense_ExpenseOverview_Expense_2_Frequency">'Financial Details'!$L$24</definedName>
    <definedName name="input_FinancialDetail_IncomeAndExpense_ExpenseOverview_Expense_2_MonthlyAmount">'Financial Details'!$L$22</definedName>
    <definedName name="input_FinancialDetail_IncomeAndExpense_ExpenseOverview_Expense_2_Type">'Financial Details'!$L$21</definedName>
    <definedName name="input_FinancialDetail_IncomeAndExpense_ExpenseOverview_Expense_3_AnnualAmount">'Financial Details'!$L$29</definedName>
    <definedName name="input_FinancialDetail_IncomeAndExpense_ExpenseOverview_Expense_3_Description">'Financial Details'!$L$31</definedName>
    <definedName name="input_FinancialDetail_IncomeAndExpense_ExpenseOverview_Expense_3_Frequency">'Financial Details'!$L$30</definedName>
    <definedName name="input_FinancialDetail_IncomeAndExpense_ExpenseOverview_Expense_3_MonthlyAmount">'Financial Details'!$L$28</definedName>
    <definedName name="input_FinancialDetail_IncomeAndExpense_ExpenseOverview_Expense_3_Type">'Financial Details'!$L$27</definedName>
    <definedName name="input_FinancialDetail_IncomeAndExpense_ExpenseOverview_Expense_4_AnnualAmount">'Financial Details'!$L$35</definedName>
    <definedName name="input_FinancialDetail_IncomeAndExpense_ExpenseOverview_Expense_4_Description">'Financial Details'!$L$37</definedName>
    <definedName name="input_FinancialDetail_IncomeAndExpense_ExpenseOverview_Expense_4_Frequency">'Financial Details'!$L$36</definedName>
    <definedName name="input_FinancialDetail_IncomeAndExpense_ExpenseOverview_Expense_4_MonthlyAmount">'Financial Details'!$L$34</definedName>
    <definedName name="input_FinancialDetail_IncomeAndExpense_ExpenseOverview_Expense_4_Type">'Financial Details'!$L$33</definedName>
    <definedName name="input_FinancialDetail_IncomeAndExpense_ExpenseOverview_Expense_5_AnnualAmount">'Financial Details'!$L$41</definedName>
    <definedName name="input_FinancialDetail_IncomeAndExpense_ExpenseOverview_Expense_5_Description">'Financial Details'!$L$43</definedName>
    <definedName name="input_FinancialDetail_IncomeAndExpense_ExpenseOverview_Expense_5_Frequency">'Financial Details'!$L$42</definedName>
    <definedName name="input_FinancialDetail_IncomeAndExpense_ExpenseOverview_Expense_5_MonthlyAmount">'Financial Details'!$L$40</definedName>
    <definedName name="input_FinancialDetail_IncomeAndExpense_ExpenseOverview_Expense_5_Type">'Financial Details'!$L$39</definedName>
    <definedName name="input_FinancialDetail_IncomeAndExpense_ExpenseOverview_TotalAnnualExpenses">'Financial Details'!$L$13</definedName>
    <definedName name="input_FinancialDetail_IncomeAndExpense_IncomeOverview_AnnualBonusAmount">'Financial Details'!$I$18</definedName>
    <definedName name="input_FinancialDetail_IncomeAndExpense_IncomeOverview_AnnualEmployeeCPFContribution">'Financial Details'!$I$15</definedName>
    <definedName name="input_FinancialDetail_IncomeAndExpense_IncomeOverview_AnnualIncomeBeforeCPF">'Financial Details'!$I$14</definedName>
    <definedName name="input_FinancialDetail_IncomeAndExpense_IncomeOverview_MonthlyIncomeBeforeCPF">'Financial Details'!$I$13</definedName>
    <definedName name="input_FinancialDetail_IncomeAndExpense_IncomeOverview_NetAnnualIncome">'Financial Details'!$I$16</definedName>
    <definedName name="input_FinancialDetail_IncomeAndExpense_IncomeOverview_PassiveIncome_1_AnnualAmount">'Financial Details'!$I$24</definedName>
    <definedName name="input_FinancialDetail_IncomeAndExpense_IncomeOverview_PassiveIncome_1_Description">'Financial Details'!$I$22</definedName>
    <definedName name="input_FinancialDetail_IncomeAndExpense_IncomeOverview_PassiveIncome_1_Frequency">'Financial Details'!$I$21</definedName>
    <definedName name="input_FinancialDetail_IncomeAndExpense_IncomeOverview_PassiveIncome_1_MonthlyAmount">'Financial Details'!$I$23</definedName>
    <definedName name="input_FinancialDetail_IncomeAndExpense_IncomeOverview_PassiveIncome_1_Type">'Financial Details'!$I$20</definedName>
    <definedName name="input_FinancialDetail_IncomeAndExpense_IncomeOverview_PassiveIncome_2_AnnualAmount">'Financial Details'!$I$30</definedName>
    <definedName name="input_FinancialDetail_IncomeAndExpense_IncomeOverview_PassiveIncome_2_Description">'Financial Details'!$I$28</definedName>
    <definedName name="input_FinancialDetail_IncomeAndExpense_IncomeOverview_PassiveIncome_2_Frequency">'Financial Details'!$I$27</definedName>
    <definedName name="input_FinancialDetail_IncomeAndExpense_IncomeOverview_PassiveIncome_2_MonthlyAmount">'Financial Details'!$I$29</definedName>
    <definedName name="input_FinancialDetail_IncomeAndExpense_IncomeOverview_PassiveIncome_2_Type">'Financial Details'!$I$26</definedName>
    <definedName name="input_FinancialDetail_IncomeAndExpense_IncomeOverview_PassiveIncome_3_AnnualAmount">'Financial Details'!$I$36</definedName>
    <definedName name="input_FinancialDetail_IncomeAndExpense_IncomeOverview_PassiveIncome_3_Description">'Financial Details'!$I$34</definedName>
    <definedName name="input_FinancialDetail_IncomeAndExpense_IncomeOverview_PassiveIncome_3_Frequency">'Financial Details'!$I$33</definedName>
    <definedName name="input_FinancialDetail_IncomeAndExpense_IncomeOverview_PassiveIncome_3_MonthlyAmount">'Financial Details'!$I$35</definedName>
    <definedName name="input_FinancialDetail_IncomeAndExpense_IncomeOverview_PassiveIncome_3_Type">'Financial Details'!$I$32</definedName>
    <definedName name="input_FinancialDetail_IncomeAndExpense_IncomeOverview_TotalTakeHomeAnnualIncome">'Financial Details'!$I$17</definedName>
    <definedName name="input_FinancialDetail_IncomeAndExpense_SignificantChangeDeclaration_IsExpected">'Financial Details'!$I$6</definedName>
    <definedName name="input_FinancialDetail_IncomeAndExpense_SignificantChangeDeclaration_ReasonForChange">'Financial Details'!$I$7</definedName>
    <definedName name="input_HopesAndDreams_Accumulation_ChildrenEducationSavings">'Hopes &amp; Dreams'!$D$19</definedName>
    <definedName name="input_HopesAndDreams_Accumulation_ChildrenSavings">'Hopes &amp; Dreams'!$D$20</definedName>
    <definedName name="input_HopesAndDreams_Accumulation_RetirementAccumulation">'Hopes &amp; Dreams'!$D$17</definedName>
    <definedName name="input_HopesAndDreams_Accumulation_SavingsAccumulation">'Hopes &amp; Dreams'!$D$18</definedName>
    <definedName name="input_HopesAndDreams_Protection_CriticalIllnessProtection">'Hopes &amp; Dreams'!$D$8</definedName>
    <definedName name="input_HopesAndDreams_Protection_DeathProtection">'Hopes &amp; Dreams'!$D$7</definedName>
    <definedName name="input_HopesAndDreams_Protection_FractureNeedProtection">'Hopes &amp; Dreams'!$D$13</definedName>
    <definedName name="input_HopesAndDreams_Protection_GenderRelatedIllnessProtection">'Hopes &amp; Dreams'!$D$16</definedName>
    <definedName name="input_HopesAndDreams_Protection_HospitalProtection">'Hopes &amp; Dreams'!$D$10</definedName>
    <definedName name="input_HopesAndDreams_Protection_LongTermCareProtection">'Hopes &amp; Dreams'!$D$11</definedName>
    <definedName name="input_HopesAndDreams_Protection_LossOfIncomeProtection">'Hopes &amp; Dreams'!$D$15</definedName>
    <definedName name="input_HopesAndDreams_Protection_PersonalAccidentProtection">'Hopes &amp; Dreams'!$D$12</definedName>
    <definedName name="input_HopesAndDreams_Protection_TotalPermanentDisabilityProtection">'Hopes &amp; Dreams'!$D$9</definedName>
    <definedName name="input_HopesAndDreams_Protection_WaiverOfPremium">'Hopes &amp; Dreams'!$D$14</definedName>
    <definedName name="input_N_CRI_selected">'Validation Input Received'!$D$6</definedName>
    <definedName name="input_N_CSV_selected">'Validation Input Received'!$D$16</definedName>
    <definedName name="input_N_DIC_selected">'Validation Input Received'!$D$4</definedName>
    <definedName name="input_N_EDU_selected">'Validation Input Received'!$D$15</definedName>
    <definedName name="input_N_FTE_selected">'Validation Input Received'!$D$10</definedName>
    <definedName name="input_N_HOS_selected">'Validation Input Received'!$D$7</definedName>
    <definedName name="input_N_INC_selected">'Validation Input Received'!$D$3</definedName>
    <definedName name="input_N_LOI_selected">'Validation Input Received'!$D$11</definedName>
    <definedName name="input_N_LTC_selected">'Validation Input Received'!$D$8</definedName>
    <definedName name="input_N_MFI_selected">'Validation Input Received'!$D$12</definedName>
    <definedName name="input_N_PAD_selected">'Validation Input Received'!$D$9</definedName>
    <definedName name="input_N_RET_selected">'Validation Input Received'!$D$13</definedName>
    <definedName name="input_N_SAV_selected">'Validation Input Received'!$D$14</definedName>
    <definedName name="input_N_TPD_selected">'Validation Input Received'!$D$5</definedName>
    <definedName name="input_NeedAnalysis_WealthAccumulationNeed_ChildrenEducationSavings_AmountNeeded">'Children Education'!$D$7</definedName>
    <definedName name="input_NeedAnalysis_WealthAccumulationNeed_ChildrenEducationSavings_CapitalSumRequired">'Children Education'!$D$10</definedName>
    <definedName name="input_NeedAnalysis_WealthAccumulationNeed_ChildrenEducationSavings_CountryOfStudy">'Children Education'!$D$4</definedName>
    <definedName name="input_NeedAnalysis_WealthAccumulationNeed_ChildrenEducationSavings_ExistingResources">'Children Education'!$D$11</definedName>
    <definedName name="input_NeedAnalysis_WealthAccumulationNeed_ChildrenEducationSavings_InflationRate">'Children Education'!$D$5</definedName>
    <definedName name="input_NeedAnalysis_WealthAccumulationNeed_ChildrenEducationSavings_ResourceBreakdown_ExistingAssets">'Children Education'!$D$9</definedName>
    <definedName name="input_NeedAnalysis_WealthAccumulationNeed_ChildrenEducationSavings_ResourceBreakdown_ExistingInsurance">'Children Education'!$D$8</definedName>
    <definedName name="input_NeedAnalysis_WealthAccumulationNeed_ChildrenEducationSavings_ToAddressNow">'Children Education'!$D$13</definedName>
    <definedName name="input_NeedAnalysis_WealthAccumulationNeed_ChildrenEducationSavings_TotalShortfall">'Children Education'!$D$12</definedName>
    <definedName name="input_NeedAnalysis_WealthAccumulationNeed_ChildrenEducationSavings_YearsToGoal">'Children Education'!$D$6</definedName>
    <definedName name="input_NeedAnalysis_WealthAccumulationNeed_ChildrenSavings_AmountNeeded">'Children Savings'!$D$4</definedName>
    <definedName name="input_NeedAnalysis_WealthAccumulationNeed_ChildrenSavings_CapitalSumRequired">'Children Savings'!$D$7</definedName>
    <definedName name="input_NeedAnalysis_WealthAccumulationNeed_ChildrenSavings_ExistingResources">'Children Savings'!$D$8</definedName>
    <definedName name="input_NeedAnalysis_WealthAccumulationNeed_ChildrenSavings_ResourceBreakdown_ExistingAssets">'Children Savings'!$D$6</definedName>
    <definedName name="input_NeedAnalysis_WealthAccumulationNeed_ChildrenSavings_ResourceBreakdown_ExistingInsurance">'Children Savings'!$D$5</definedName>
    <definedName name="input_NeedAnalysis_WealthAccumulationNeed_ChildrenSavings_ToAddressNow">'Children Savings'!$D$11</definedName>
    <definedName name="input_NeedAnalysis_WealthAccumulationNeed_ChildrenSavings_TotalShortfall">'Children Savings'!$D$9</definedName>
    <definedName name="input_NeedAnalysis_WealthAccumulationNeed_ChildrenSavings_YearsToGoal">'Children Savings'!$D$10</definedName>
    <definedName name="input_NeedAnalysis_WealthAccumulationNeed_RetirementAccumulation_AgeNextBirthday">Retirement!$C$8</definedName>
    <definedName name="input_NeedAnalysis_WealthAccumulationNeed_RetirementAccumulation_AnnualExpense">Retirement!$C$10</definedName>
    <definedName name="input_NeedAnalysis_WealthAccumulationNeed_RetirementAccumulation_AnnualIncome">Retirement!$C$20</definedName>
    <definedName name="input_NeedAnalysis_WealthAccumulationNeed_RetirementAccumulation_AnnualIncomeRequiredAtRetirement">Retirement!$C$23</definedName>
    <definedName name="input_NeedAnalysis_WealthAccumulationNeed_RetirementAccumulation_CapitalSumRequired">Retirement!$C$17</definedName>
    <definedName name="input_NeedAnalysis_WealthAccumulationNeed_RetirementAccumulation_DurationOfGoal">Retirement!$C$11</definedName>
    <definedName name="input_NeedAnalysis_WealthAccumulationNeed_RetirementAccumulation_ExistingResources">Retirement!$C$18</definedName>
    <definedName name="input_NeedAnalysis_WealthAccumulationNeed_RetirementAccumulation_ExpensesAtRetirement">Retirement!$C$16</definedName>
    <definedName name="input_NeedAnalysis_WealthAccumulationNeed_RetirementAccumulation_InflationAdjustedRateOfReturn">Retirement!$C$14</definedName>
    <definedName name="input_NeedAnalysis_WealthAccumulationNeed_RetirementAccumulation_PreferredMethod">Retirement!$C$7</definedName>
    <definedName name="input_NeedAnalysis_WealthAccumulationNeed_RetirementAccumulation_ProjectedAnnualIncomeRequiredAtRetirement">Retirement!$C$22</definedName>
    <definedName name="input_NeedAnalysis_WealthAccumulationNeed_RetirementAccumulation_RateOfIncomeIncrement">Retirement!$C$21</definedName>
    <definedName name="input_NeedAnalysis_WealthAccumulationNeed_RetirementAccumulation_ResourceBreakdown_ExistingAssets">Retirement!$C$13</definedName>
    <definedName name="input_NeedAnalysis_WealthAccumulationNeed_RetirementAccumulation_ResourceBreakdown_ExistingInsurance">Retirement!$C$12</definedName>
    <definedName name="input_NeedAnalysis_WealthAccumulationNeed_RetirementAccumulation_RetirementAge">Retirement!$C$9</definedName>
    <definedName name="input_NeedAnalysis_WealthAccumulationNeed_RetirementAccumulation_ToAddressNow">Retirement!$C$24</definedName>
    <definedName name="input_NeedAnalysis_WealthAccumulationNeed_RetirementAccumulation_TotalShortfall">Retirement!$C$19</definedName>
    <definedName name="input_NeedAnalysis_WealthAccumulationNeed_RetirementAccumulation_YearsToGoal">Retirement!$C$15</definedName>
    <definedName name="input_NeedAnalysis_WealthAccumulationNeed_SavingsAccumulation_AmountNeeded">Savings!$D$4</definedName>
    <definedName name="input_NeedAnalysis_WealthAccumulationNeed_SavingsAccumulation_CapitalSumRequired">Savings!$D$7</definedName>
    <definedName name="input_NeedAnalysis_WealthAccumulationNeed_SavingsAccumulation_ExistingResources">Savings!$D$8</definedName>
    <definedName name="input_NeedAnalysis_WealthAccumulationNeed_SavingsAccumulation_ResourceBreakdown_ExistingAssets">Savings!$D$6</definedName>
    <definedName name="input_NeedAnalysis_WealthAccumulationNeed_SavingsAccumulation_ResourceBreakdown_ExistingInsurance">Savings!$D$5</definedName>
    <definedName name="input_NeedAnalysis_WealthAccumulationNeed_SavingsAccumulation_ToAddressNow">Savings!$D$11</definedName>
    <definedName name="input_NeedAnalysis_WealthAccumulationNeed_SavingsAccumulation_TotalShortfall">Savings!$D$9</definedName>
    <definedName name="input_NeedAnalysis_WealthAccumulationNeed_SavingsAccumulation_YearsToGoal">Savings!$D$10</definedName>
    <definedName name="input_NeedAnalysis_WealthProtectionNeed_CriticalIllnessProtection_CapitalSumRequired">'Critical Illness'!$D$15</definedName>
    <definedName name="input_NeedAnalysis_WealthProtectionNeed_CriticalIllnessProtection_DesiredAnnualIncomeRequirements">'Critical Illness'!$D$9</definedName>
    <definedName name="input_NeedAnalysis_WealthProtectionNeed_CriticalIllnessProtection_DurationOfGoal">'Critical Illness'!$D$10</definedName>
    <definedName name="input_NeedAnalysis_WealthProtectionNeed_CriticalIllnessProtection_EstimatedTreatmentCosts">'Critical Illness'!$D$12</definedName>
    <definedName name="input_NeedAnalysis_WealthProtectionNeed_CriticalIllnessProtection_ExistingResources">'Critical Illness'!$D$16</definedName>
    <definedName name="input_NeedAnalysis_WealthProtectionNeed_CriticalIllnessProtection_InflationAdjustedRateOfReturn">'Critical Illness'!$D$11</definedName>
    <definedName name="input_NeedAnalysis_WealthProtectionNeed_CriticalIllnessProtection_ResourceBreakdown_ExistingAssets">'Critical Illness'!$D$14</definedName>
    <definedName name="input_NeedAnalysis_WealthProtectionNeed_CriticalIllnessProtection_ResourceBreakdown_ExistingInsurance">'Critical Illness'!$D$13</definedName>
    <definedName name="input_NeedAnalysis_WealthProtectionNeed_CriticalIllnessProtection_ToAddressNow">'Critical Illness'!$D$19</definedName>
    <definedName name="input_NeedAnalysis_WealthProtectionNeed_CriticalIllnessProtection_TotalCashNeeds">'Critical Illness'!$D$18</definedName>
    <definedName name="input_NeedAnalysis_WealthProtectionNeed_CriticalIllnessProtection_TotalShortfall">'Critical Illness'!$D$17</definedName>
    <definedName name="input_NeedAnalysis_WealthProtectionNeed_DeathProtection_CapitalSumRequired">'Death Protection'!$E$20</definedName>
    <definedName name="input_NeedAnalysis_WealthProtectionNeed_DeathProtection_DesiredAnnualIncomeReplacement">'Death Protection'!$E$10</definedName>
    <definedName name="input_NeedAnalysis_WealthProtectionNeed_DeathProtection_DurationOfGoal">'Death Protection'!$E$11</definedName>
    <definedName name="input_NeedAnalysis_WealthProtectionNeed_DeathProtection_EmergencyFund">'Death Protection'!$E$14</definedName>
    <definedName name="input_NeedAnalysis_WealthProtectionNeed_DeathProtection_ExistingResources">'Death Protection'!$E$22</definedName>
    <definedName name="input_NeedAnalysis_WealthProtectionNeed_DeathProtection_FinalExpenses">'Death Protection'!$E$13</definedName>
    <definedName name="input_NeedAnalysis_WealthProtectionNeed_DeathProtection_InflationAdjustedRateOfReturn">'Death Protection'!$E$12</definedName>
    <definedName name="input_NeedAnalysis_WealthProtectionNeed_DeathProtection_MortgagePayment">'Death Protection'!$E$15</definedName>
    <definedName name="input_NeedAnalysis_WealthProtectionNeed_DeathProtection_Others">'Death Protection'!$E$17</definedName>
    <definedName name="input_NeedAnalysis_WealthProtectionNeed_DeathProtection_PersonalDebts">'Death Protection'!$E$16</definedName>
    <definedName name="input_NeedAnalysis_WealthProtectionNeed_DeathProtection_ResourceBreakdown_ExistingAssets">'Death Protection'!$E$19</definedName>
    <definedName name="input_NeedAnalysis_WealthProtectionNeed_DeathProtection_ResourceBreakdown_ExistingInsurance">'Death Protection'!$E$18</definedName>
    <definedName name="input_NeedAnalysis_WealthProtectionNeed_DeathProtection_ToAddressNow">'Death Protection'!$E$26</definedName>
    <definedName name="input_NeedAnalysis_WealthProtectionNeed_DeathProtection_TotalCashNeeds">'Death Protection'!$E$21</definedName>
    <definedName name="input_NeedAnalysis_WealthProtectionNeed_DeathProtection_TotalShortfall">'Death Protection'!$E$23</definedName>
    <definedName name="input_NeedAnalysis_WealthProtectionNeed_DependentDeathProtection_CapitalSumRequired">'Dependent Death Protection'!$E$15</definedName>
    <definedName name="input_NeedAnalysis_WealthProtectionNeed_DependentDeathProtection_ExistingResources">'Dependent Death Protection'!$E$17</definedName>
    <definedName name="input_NeedAnalysis_WealthProtectionNeed_DependentDeathProtection_FinalExpenses">'Dependent Death Protection'!$E$10</definedName>
    <definedName name="input_NeedAnalysis_WealthProtectionNeed_DependentDeathProtection_Loans">'Dependent Death Protection'!$E$11</definedName>
    <definedName name="input_NeedAnalysis_WealthProtectionNeed_DependentDeathProtection_Others">'Dependent Death Protection'!$E$12</definedName>
    <definedName name="input_NeedAnalysis_WealthProtectionNeed_DependentDeathProtection_ResourceBreakdown_ExistingAssets">'Dependent Death Protection'!$E$14</definedName>
    <definedName name="input_NeedAnalysis_WealthProtectionNeed_DependentDeathProtection_ResourceBreakdown_ExistingInsurance">'Dependent Death Protection'!$E$13</definedName>
    <definedName name="input_NeedAnalysis_WealthProtectionNeed_DependentDeathProtection_ToAddressNow">'Dependent Death Protection'!$E$19</definedName>
    <definedName name="input_NeedAnalysis_WealthProtectionNeed_DependentDeathProtection_TotalCashNeeds">'Dependent Death Protection'!$E$16</definedName>
    <definedName name="input_NeedAnalysis_WealthProtectionNeed_DependentDeathProtection_TotalShortfall">'Dependent Death Protection'!$E$18</definedName>
    <definedName name="input_NeedAnalysis_WealthProtectionNeed_FractureNeedProtection_AmountNeeded">'Fracture Need'!$D$4</definedName>
    <definedName name="input_NeedAnalysis_WealthProtectionNeed_FractureNeedProtection_CapitalSumRequired">'Fracture Need'!$D$7</definedName>
    <definedName name="input_NeedAnalysis_WealthProtectionNeed_FractureNeedProtection_ExistingResources">'Fracture Need'!$D$8</definedName>
    <definedName name="input_NeedAnalysis_WealthProtectionNeed_FractureNeedProtection_ResourceBreakdown_ExistingAssets">'Fracture Need'!$D$6</definedName>
    <definedName name="input_NeedAnalysis_WealthProtectionNeed_FractureNeedProtection_ResourceBreakdown_ExistingInsurance">'Fracture Need'!$D$5</definedName>
    <definedName name="input_NeedAnalysis_WealthProtectionNeed_FractureNeedProtection_ToAddressNow">'Fracture Need'!$D$10</definedName>
    <definedName name="input_NeedAnalysis_WealthProtectionNeed_FractureNeedProtection_TotalShortfall">'Fracture Need'!$D$9</definedName>
    <definedName name="input_NeedAnalysis_WealthProtectionNeed_GenderRelatedIllnessProtection_AmountNeeded">'Gender Related Illness'!$D$4</definedName>
    <definedName name="input_NeedAnalysis_WealthProtectionNeed_GenderRelatedIllnessProtection_CapitalSumRequired">'Gender Related Illness'!$D$7</definedName>
    <definedName name="input_NeedAnalysis_WealthProtectionNeed_GenderRelatedIllnessProtection_ExistingResources">'Gender Related Illness'!$D$8</definedName>
    <definedName name="input_NeedAnalysis_WealthProtectionNeed_GenderRelatedIllnessProtection_ResourceBreakdown_ExistingAssets">'Gender Related Illness'!$D$6</definedName>
    <definedName name="input_NeedAnalysis_WealthProtectionNeed_GenderRelatedIllnessProtection_ResourceBreakdown_ExistingInsurance">'Gender Related Illness'!$D$5</definedName>
    <definedName name="input_NeedAnalysis_WealthProtectionNeed_GenderRelatedIllnessProtection_ToAddressNow">'Gender Related Illness'!$D$10</definedName>
    <definedName name="input_NeedAnalysis_WealthProtectionNeed_GenderRelatedIllnessProtection_TotalShortfall">'Gender Related Illness'!$D$9</definedName>
    <definedName name="input_NeedAnalysis_WealthProtectionNeed_HospitalProtection_DeductibleAndCoInsurance">Hospital!$D$11</definedName>
    <definedName name="input_NeedAnalysis_WealthProtectionNeed_HospitalProtection_HospitalType">Hospital!$D$9</definedName>
    <definedName name="input_NeedAnalysis_WealthProtectionNeed_HospitalProtection_HospitalWardType">Hospital!$D$10</definedName>
    <definedName name="input_NeedAnalysis_WealthProtectionNeed_IsPremiumSupport">'Death Protection'!$E$24</definedName>
    <definedName name="input_NeedAnalysis_WealthProtectionNeed_LongTermCareProtection_CapitalSumRequired">'Long-Term Care'!$D$7</definedName>
    <definedName name="input_NeedAnalysis_WealthProtectionNeed_LongTermCareProtection_ExistingResources">'Long-Term Care'!$D$8</definedName>
    <definedName name="input_NeedAnalysis_WealthProtectionNeed_LongTermCareProtection_ReplacementIncomeNeededPerMonth">'Long-Term Care'!$D$4</definedName>
    <definedName name="input_NeedAnalysis_WealthProtectionNeed_LongTermCareProtection_ResourceBreakdown_ExistingAssets">'Long-Term Care'!$D$6</definedName>
    <definedName name="input_NeedAnalysis_WealthProtectionNeed_LongTermCareProtection_ResourceBreakdown_ExistingInsurance">'Long-Term Care'!$D$5</definedName>
    <definedName name="input_NeedAnalysis_WealthProtectionNeed_LongTermCareProtection_ToAddressNow">'Long-Term Care'!$D$10</definedName>
    <definedName name="input_NeedAnalysis_WealthProtectionNeed_LongTermCareProtection_TotalShortfall">'Long-Term Care'!$D$9</definedName>
    <definedName name="input_NeedAnalysis_WealthProtectionNeed_LossOfIncomeProtection_AmountNeeded">'Loss of Income'!$D$4</definedName>
    <definedName name="input_NeedAnalysis_WealthProtectionNeed_LossOfIncomeProtection_CapitalSumRequired">'Loss of Income'!$D$7</definedName>
    <definedName name="input_NeedAnalysis_WealthProtectionNeed_LossOfIncomeProtection_ExistingResources">'Loss of Income'!$D$8</definedName>
    <definedName name="input_NeedAnalysis_WealthProtectionNeed_LossOfIncomeProtection_ResourceBreakdown_ExistingAssets">'Loss of Income'!$D$6</definedName>
    <definedName name="input_NeedAnalysis_WealthProtectionNeed_LossOfIncomeProtection_ResourceBreakdown_ExistingInsurance">'Loss of Income'!$D$5</definedName>
    <definedName name="input_NeedAnalysis_WealthProtectionNeed_LossOfIncomeProtection_ToAddressNow">'Loss of Income'!$D$10</definedName>
    <definedName name="input_NeedAnalysis_WealthProtectionNeed_LossOfIncomeProtection_TotalShortfall">'Loss of Income'!$D$9</definedName>
    <definedName name="input_NeedAnalysis_WealthProtectionNeed_PersonalAccidentProtection_AmountNeeded">'Personal Accident'!$D$4</definedName>
    <definedName name="input_NeedAnalysis_WealthProtectionNeed_PersonalAccidentProtection_CapitalSumRequired">'Personal Accident'!$D$7</definedName>
    <definedName name="input_NeedAnalysis_WealthProtectionNeed_PersonalAccidentProtection_ExistingResources">'Personal Accident'!$D$8</definedName>
    <definedName name="input_NeedAnalysis_WealthProtectionNeed_PersonalAccidentProtection_ResourceBreakdown_ExistingAssets">'Personal Accident'!$D$6</definedName>
    <definedName name="input_NeedAnalysis_WealthProtectionNeed_PersonalAccidentProtection_ResourceBreakdown_ExistingInsurance">'Personal Accident'!$D$5</definedName>
    <definedName name="input_NeedAnalysis_WealthProtectionNeed_PersonalAccidentProtection_ToAddressNow">'Personal Accident'!$D$10</definedName>
    <definedName name="input_NeedAnalysis_WealthProtectionNeed_PersonalAccidentProtection_TotalShortfall">'Personal Accident'!$D$9</definedName>
    <definedName name="input_NeedAnalysis_WealthProtectionNeed_PremiumSupportAcknowledgement">'Death Protection'!$E$25</definedName>
    <definedName name="input_NeedAnalysis_WealthProtectionNeed_TotalPermanentDisabilityProtection_CapitalSumRequired">'Total Permanent Disability'!$C$14</definedName>
    <definedName name="input_NeedAnalysis_WealthProtectionNeed_TotalPermanentDisabilityProtection_DesiredAnnualIncomeReplacement">'Total Permanent Disability'!$C$8</definedName>
    <definedName name="input_NeedAnalysis_WealthProtectionNeed_TotalPermanentDisabilityProtection_DurationOfGoal">'Total Permanent Disability'!$C$9</definedName>
    <definedName name="input_NeedAnalysis_WealthProtectionNeed_TotalPermanentDisabilityProtection_ExistingResources">'Total Permanent Disability'!$C$15</definedName>
    <definedName name="input_NeedAnalysis_WealthProtectionNeed_TotalPermanentDisabilityProtection_InflationAdjustedRateOfReturn">'Total Permanent Disability'!$C$10</definedName>
    <definedName name="input_NeedAnalysis_WealthProtectionNeed_TotalPermanentDisabilityProtection_MedicalExpenses">'Total Permanent Disability'!$C$11</definedName>
    <definedName name="input_NeedAnalysis_WealthProtectionNeed_TotalPermanentDisabilityProtection_ResourceBreakdown_ExistingAssets">'Total Permanent Disability'!$C$13</definedName>
    <definedName name="input_NeedAnalysis_WealthProtectionNeed_TotalPermanentDisabilityProtection_ResourceBreakdown_ExistingInsurance">'Total Permanent Disability'!$C$12</definedName>
    <definedName name="input_NeedAnalysis_WealthProtectionNeed_TotalPermanentDisabilityProtection_ToAddressNow">'Total Permanent Disability'!$C$18</definedName>
    <definedName name="input_NeedAnalysis_WealthProtectionNeed_TotalPermanentDisabilityProtection_TotalCashNeeds">'Total Permanent Disability'!$C$17</definedName>
    <definedName name="input_NeedAnalysis_WealthProtectionNeed_TotalPermanentDisabilityProtection_TotalShortfall">'Total Permanent Disability'!$C$16</definedName>
    <definedName name="input_PersonalDetails_AgeNextBirthday">'Personal Details'!$C$13</definedName>
    <definedName name="input_PersonalDetails_CountryOfBirth">'Personal Details'!$C$20</definedName>
    <definedName name="input_PersonalDetails_Dob">'Personal Details'!$C$12</definedName>
    <definedName name="input_PersonalDetails_EducationCode">'Personal Details'!$C$41</definedName>
    <definedName name="input_PersonalDetails_EmploymentType">'Personal Details'!$C$45</definedName>
    <definedName name="input_PersonalDetails_EnglishProficiency">'Personal Details'!$C$40</definedName>
    <definedName name="input_PersonalDetails_Gender">'Personal Details'!$C$14</definedName>
    <definedName name="input_PersonalDetails_MaritalStatus">'Personal Details'!$C$19</definedName>
    <definedName name="input_PersonalDetails_MedicalConditionDisclosure_MedicalCondition">'Personal Details'!$C$54</definedName>
    <definedName name="input_PersonalDetails_MedicalConditionDisclosure_MedicalConditionInfo">'Personal Details'!$C$55</definedName>
    <definedName name="input_PersonalDetails_Nationality">'Personal Details'!$C$15</definedName>
    <definedName name="input_PersonalDetails_OccupationCode">'Personal Details'!$C$42</definedName>
    <definedName name="input_PersonalDetails_OtherOccupation">'Personal Details'!$C$43</definedName>
    <definedName name="input_PersonalDetails_PrNationality">'Personal Details'!$C$16</definedName>
    <definedName name="input_PersonalDetails_SelfEmployed">'Personal Details'!$C$46</definedName>
    <definedName name="input_PersonalDetails_Smoker">'Personal Details'!$C$21</definedName>
    <definedName name="input_PersonalDetails_Title">'Personal Details'!$C$8</definedName>
    <definedName name="input_PersonalDetails_TrustedIndividual_Accompanied">'Personal Details'!$C$48</definedName>
    <definedName name="input_PersonalDetails_TrustedIndividual_TrusteeRelationship">'Personal Details'!$C$51</definedName>
    <definedName name="input_PersonalDetails_TypeOfPass">'Personal Details'!$C$17</definedName>
    <definedName name="input_RPQ_AcceptableLoss">'Risk Profile'!$D$7</definedName>
    <definedName name="input_RPQ_HoldInvestmentUntil">'Risk Profile'!$D$8</definedName>
    <definedName name="input_RPQ_RiskiestAssetSelection">'Risk Profile'!$D$10</definedName>
    <definedName name="input_RPQ_RiskProfile">'Risk Profile'!$D$12</definedName>
    <definedName name="input_RPQ_RiskProfileSummary">'Risk Profile'!$D$14</definedName>
    <definedName name="input_RPQ_RiskTotalScore">'Risk Profile'!$D$13</definedName>
    <definedName name="input_RPQ_YearsOfInvestmentExperience">'Risk Profile'!$D$6</definedName>
    <definedName name="input_RPQ_YearsToManageWithoutIncome">'Risk Profile'!$D$9</definedName>
    <definedName name="input_RPQ_YearsToRetire">'Risk Profile'!$D$11</definedName>
    <definedName name="output_CKA_Validation">'Customer Knowledge'!$G$15</definedName>
    <definedName name="output_CKA_ValidationMessage">'Customer Knowledge'!$G$16</definedName>
    <definedName name="output_Dependents_Dependents_Validation">'Dependent Details'!$J$2</definedName>
    <definedName name="output_Dependents_Dependents_ValidationMessage">'Dependent Details'!$J$3</definedName>
    <definedName name="output_FinancialDetail_FinancialDetails_Validation">'Financial Details'!$F$2</definedName>
    <definedName name="output_FinancialDetail_FinancialDetails_ValidationMessage">'Financial Details'!$F$3</definedName>
    <definedName name="output_NeedAnalysis_WealthAccumulationNeed_ChildrenEducationSavings_Validation">'Children Education'!$D$18</definedName>
    <definedName name="output_NeedAnalysis_WealthAccumulationNeed_ChildrenEducationSavings_ValidationMessage">'Children Education'!$D$19</definedName>
    <definedName name="output_NeedAnalysis_WealthAccumulationNeed_ChildrenSavings_Validation">'Children Savings'!$F$13</definedName>
    <definedName name="output_NeedAnalysis_WealthAccumulationNeed_ChildrenSavings_ValidationMessage">'Children Savings'!$F$14</definedName>
    <definedName name="output_NeedAnalysis_WealthAccumulationNeed_RetirementAccumulation_Validation">Retirement!$F$25</definedName>
    <definedName name="output_NeedAnalysis_WealthAccumulationNeed_RetirementAccumulation_ValidationMessage">Retirement!$F$26</definedName>
    <definedName name="output_NeedAnalysis_WealthAccumulationNeed_SavingsAccumulation_Validation">Savings!$F$13</definedName>
    <definedName name="output_NeedAnalysis_WealthAccumulationNeed_SavingsAccumulation_ValidationMessage">Savings!$F$14</definedName>
    <definedName name="output_NeedAnalysis_WealthProtectionNeed_CriticalIllnessProtection_Validation">'Critical Illness'!$H$13</definedName>
    <definedName name="output_NeedAnalysis_WealthProtectionNeed_CriticalIllnessProtection_ValidationMessage">'Critical Illness'!$H$14</definedName>
    <definedName name="output_NeedAnalysis_WealthProtectionNeed_DeathProtection_Validation">'Death Protection'!$H$22</definedName>
    <definedName name="output_NeedAnalysis_WealthProtectionNeed_DeathProtection_ValidationMessage">'Death Protection'!$H$23</definedName>
    <definedName name="output_NeedAnalysis_WealthProtectionNeed_DependentDeathProtection_Validation">'Dependent Death Protection'!$E$23</definedName>
    <definedName name="output_NeedAnalysis_WealthProtectionNeed_DependentDeathProtection_ValidationMessage">'Dependent Death Protection'!$E$24</definedName>
    <definedName name="output_NeedAnalysis_WealthProtectionNeed_FractureNeedProtection_Validation">'Fracture Need'!$F$10</definedName>
    <definedName name="output_NeedAnalysis_WealthProtectionNeed_FractureNeedProtection_ValidationMessage">'Fracture Need'!$F$11</definedName>
    <definedName name="output_NeedAnalysis_WealthProtectionNeed_GenderRelatedIllnessProtection_Validation">'Gender Related Illness'!$F$10</definedName>
    <definedName name="output_NeedAnalysis_WealthProtectionNeed_GenderRelatedIllnessProtection_ValidationMessage">'Gender Related Illness'!$F$11</definedName>
    <definedName name="output_NeedAnalysis_WealthProtectionNeed_HospitalProtection_Validation">Hospital!$D$15</definedName>
    <definedName name="output_NeedAnalysis_WealthProtectionNeed_HospitalProtection_ValidationMessage">Hospital!$D$16</definedName>
    <definedName name="output_NeedAnalysis_WealthProtectionNeed_LongTermCareProtection_Validation">'Long-Term Care'!$H$13</definedName>
    <definedName name="output_NeedAnalysis_WealthProtectionNeed_LongTermCareProtection_ValidationMessage">'Long-Term Care'!$H$14</definedName>
    <definedName name="output_NeedAnalysis_WealthProtectionNeed_LossOfIncomeProtection_Validation">'Loss of Income'!$G$10</definedName>
    <definedName name="output_NeedAnalysis_WealthProtectionNeed_LossOfIncomeProtection_ValidationMessage">'Loss of Income'!$G$11</definedName>
    <definedName name="output_NeedAnalysis_WealthProtectionNeed_PersonalAccidentProtection_Validation">'Personal Accident'!$F$10</definedName>
    <definedName name="output_NeedAnalysis_WealthProtectionNeed_PersonalAccidentProtection_ValidationMessage">'Personal Accident'!$F$11</definedName>
    <definedName name="output_NeedAnalysis_WealthProtectionNeed_TotalPermanentDisabilityProtection_Validation">'Total Permanent Disability'!$F$12</definedName>
    <definedName name="output_NeedAnalysis_WealthProtectionNeed_TotalPermanentDisabilityProtection_ValidationMessage">'Total Permanent Disability'!$F$13</definedName>
    <definedName name="output_PersonalDetails_PersonalDetails_Validation">'Personal Details'!$G$2</definedName>
    <definedName name="output_PersonalDetails_PersonalDetails_ValidationMessage">'Personal Details'!$G$3</definedName>
    <definedName name="output_RPQ_Validation">'Risk Profile'!$D$17</definedName>
    <definedName name="output_RPQ_ValidationMessage">'Risk Profile'!$D$18</definedName>
    <definedName name="output_Success">'Validation Input Received'!$I$4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0" l="1"/>
  <c r="D17" i="20"/>
  <c r="L5" i="20"/>
  <c r="L6" i="20"/>
  <c r="L7" i="20"/>
  <c r="L8" i="20"/>
  <c r="L9" i="20"/>
  <c r="L10" i="20"/>
  <c r="L11" i="20"/>
  <c r="L12" i="20"/>
  <c r="L13" i="20"/>
  <c r="L14" i="20"/>
  <c r="L15" i="20"/>
  <c r="L16" i="20"/>
  <c r="L4" i="20"/>
  <c r="K15" i="20"/>
  <c r="K16" i="20"/>
  <c r="L28" i="20"/>
  <c r="L29" i="20"/>
  <c r="L30" i="20"/>
  <c r="L31" i="20"/>
  <c r="K14" i="20"/>
  <c r="K13" i="20"/>
  <c r="K17" i="23" l="1"/>
  <c r="K25" i="23"/>
  <c r="K34" i="23"/>
  <c r="K38" i="23"/>
  <c r="K51" i="23"/>
  <c r="K54" i="23"/>
  <c r="K56" i="23"/>
  <c r="K59" i="23"/>
  <c r="K62" i="23"/>
  <c r="K64" i="23"/>
  <c r="K67" i="23"/>
  <c r="K9" i="23"/>
  <c r="J68" i="23"/>
  <c r="K68" i="23" s="1"/>
  <c r="J67" i="23"/>
  <c r="J66" i="23"/>
  <c r="K66" i="23" s="1"/>
  <c r="J65" i="23"/>
  <c r="K65" i="23" s="1"/>
  <c r="J64" i="23"/>
  <c r="J63" i="23"/>
  <c r="K63" i="23" s="1"/>
  <c r="J62" i="23"/>
  <c r="J61" i="23"/>
  <c r="K61" i="23" s="1"/>
  <c r="J60" i="23"/>
  <c r="K60" i="23" s="1"/>
  <c r="J59" i="23"/>
  <c r="J58" i="23"/>
  <c r="K58" i="23" s="1"/>
  <c r="J57" i="23"/>
  <c r="K57" i="23" s="1"/>
  <c r="J56" i="23"/>
  <c r="J55" i="23"/>
  <c r="K55" i="23" s="1"/>
  <c r="J54" i="23"/>
  <c r="J53" i="23"/>
  <c r="K53" i="23" s="1"/>
  <c r="J52" i="23"/>
  <c r="K52" i="23" s="1"/>
  <c r="J51" i="23"/>
  <c r="J50" i="23"/>
  <c r="K50" i="23" s="1"/>
  <c r="J49" i="23"/>
  <c r="K49" i="23" s="1"/>
  <c r="J48" i="23"/>
  <c r="K48" i="23" s="1"/>
  <c r="J47" i="23"/>
  <c r="K47" i="23" s="1"/>
  <c r="J46" i="23"/>
  <c r="K46" i="23" s="1"/>
  <c r="J45" i="23"/>
  <c r="K45" i="23" s="1"/>
  <c r="J44" i="23"/>
  <c r="K44" i="23" s="1"/>
  <c r="J43" i="23"/>
  <c r="K43" i="23" s="1"/>
  <c r="J42" i="23"/>
  <c r="K42" i="23" s="1"/>
  <c r="J40" i="23"/>
  <c r="K40" i="23" s="1"/>
  <c r="J39" i="23"/>
  <c r="K39" i="23" s="1"/>
  <c r="J38" i="23"/>
  <c r="J37" i="23"/>
  <c r="K37" i="23" s="1"/>
  <c r="J36" i="23"/>
  <c r="K36" i="23" s="1"/>
  <c r="J35" i="23"/>
  <c r="K35" i="23" s="1"/>
  <c r="J34" i="23"/>
  <c r="J32" i="23"/>
  <c r="K32" i="23" s="1"/>
  <c r="J31" i="23"/>
  <c r="K31" i="23" s="1"/>
  <c r="J30" i="23"/>
  <c r="K30" i="23" s="1"/>
  <c r="J29" i="23"/>
  <c r="K29" i="23" s="1"/>
  <c r="J28" i="23"/>
  <c r="K28" i="23" s="1"/>
  <c r="J27" i="23"/>
  <c r="K27" i="23" s="1"/>
  <c r="J26" i="23"/>
  <c r="K26" i="23" s="1"/>
  <c r="J25" i="23"/>
  <c r="J24" i="23"/>
  <c r="K24" i="23" s="1"/>
  <c r="J23" i="23"/>
  <c r="K23" i="23" s="1"/>
  <c r="J22" i="23"/>
  <c r="K22" i="23" s="1"/>
  <c r="J21" i="23"/>
  <c r="K21" i="23" s="1"/>
  <c r="J20" i="23"/>
  <c r="K20" i="23" s="1"/>
  <c r="J19" i="23"/>
  <c r="K19" i="23" s="1"/>
  <c r="J18" i="23"/>
  <c r="K18" i="23" s="1"/>
  <c r="J17" i="23"/>
  <c r="J16" i="23"/>
  <c r="K16" i="23" s="1"/>
  <c r="J15" i="23"/>
  <c r="K15" i="23" s="1"/>
  <c r="J14" i="23"/>
  <c r="K14" i="23" s="1"/>
  <c r="J13" i="23"/>
  <c r="K13" i="23" s="1"/>
  <c r="J12" i="23"/>
  <c r="K12" i="23" s="1"/>
  <c r="J11" i="23"/>
  <c r="K11" i="23" s="1"/>
  <c r="J10" i="23"/>
  <c r="K10" i="23" s="1"/>
  <c r="J9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F3" i="18"/>
  <c r="F2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6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0" i="18"/>
  <c r="W181" i="18"/>
  <c r="W182" i="18"/>
  <c r="W183" i="18"/>
  <c r="W184" i="18"/>
  <c r="W185" i="18"/>
  <c r="W186" i="18"/>
  <c r="W187" i="18"/>
  <c r="W188" i="18"/>
  <c r="W189" i="18"/>
  <c r="W190" i="18"/>
  <c r="W191" i="18"/>
  <c r="W192" i="18"/>
  <c r="W193" i="18"/>
  <c r="W194" i="18"/>
  <c r="W195" i="18"/>
  <c r="W196" i="18"/>
  <c r="W197" i="18"/>
  <c r="W198" i="18"/>
  <c r="W199" i="18"/>
  <c r="W200" i="18"/>
  <c r="W201" i="18"/>
  <c r="W202" i="18"/>
  <c r="W203" i="18"/>
  <c r="W204" i="18"/>
  <c r="W205" i="18"/>
  <c r="W206" i="18"/>
  <c r="W207" i="18"/>
  <c r="W208" i="18"/>
  <c r="W209" i="18"/>
  <c r="W210" i="18"/>
  <c r="W211" i="18"/>
  <c r="W212" i="18"/>
  <c r="W213" i="18"/>
  <c r="W214" i="18"/>
  <c r="W215" i="18"/>
  <c r="W216" i="18"/>
  <c r="W217" i="18"/>
  <c r="W218" i="18"/>
  <c r="W219" i="18"/>
  <c r="W220" i="18"/>
  <c r="W221" i="18"/>
  <c r="W222" i="18"/>
  <c r="W223" i="18"/>
  <c r="W224" i="18"/>
  <c r="W225" i="18"/>
  <c r="W226" i="18"/>
  <c r="W227" i="18"/>
  <c r="W228" i="18"/>
  <c r="W229" i="18"/>
  <c r="W230" i="18"/>
  <c r="W231" i="18"/>
  <c r="W232" i="18"/>
  <c r="W233" i="18"/>
  <c r="W234" i="18"/>
  <c r="W235" i="18"/>
  <c r="W236" i="18"/>
  <c r="W237" i="18"/>
  <c r="W238" i="18"/>
  <c r="W239" i="18"/>
  <c r="W240" i="18"/>
  <c r="W241" i="18"/>
  <c r="W242" i="18"/>
  <c r="W243" i="18"/>
  <c r="W244" i="18"/>
  <c r="W245" i="18"/>
  <c r="W246" i="18"/>
  <c r="W247" i="18"/>
  <c r="W248" i="18"/>
  <c r="W249" i="18"/>
  <c r="W250" i="18"/>
  <c r="W251" i="18"/>
  <c r="W252" i="18"/>
  <c r="W253" i="18"/>
  <c r="W254" i="18"/>
  <c r="W255" i="18"/>
  <c r="W256" i="18"/>
  <c r="W257" i="18"/>
  <c r="W258" i="18"/>
  <c r="W259" i="18"/>
  <c r="W260" i="18"/>
  <c r="W261" i="18"/>
  <c r="W262" i="18"/>
  <c r="W263" i="18"/>
  <c r="W264" i="18"/>
  <c r="W265" i="18"/>
  <c r="W266" i="18"/>
  <c r="W267" i="18"/>
  <c r="W268" i="18"/>
  <c r="W269" i="18"/>
  <c r="W270" i="18"/>
  <c r="W271" i="18"/>
  <c r="W272" i="18"/>
  <c r="W273" i="18"/>
  <c r="W141" i="18"/>
  <c r="V128" i="18"/>
  <c r="V127" i="18"/>
  <c r="V126" i="18"/>
  <c r="V125" i="18"/>
  <c r="V124" i="18"/>
  <c r="V123" i="18"/>
  <c r="V122" i="18"/>
  <c r="V121" i="18"/>
  <c r="V120" i="18"/>
  <c r="V119" i="18"/>
  <c r="V118" i="18"/>
  <c r="V117" i="18"/>
  <c r="V116" i="18"/>
  <c r="V115" i="18"/>
  <c r="V114" i="18"/>
  <c r="V113" i="18"/>
  <c r="V112" i="18"/>
  <c r="V111" i="18"/>
  <c r="V110" i="18"/>
  <c r="V109" i="18"/>
  <c r="V108" i="18"/>
  <c r="V107" i="18"/>
  <c r="V106" i="18"/>
  <c r="V105" i="18"/>
  <c r="V104" i="18"/>
  <c r="V97" i="18"/>
  <c r="V96" i="18"/>
  <c r="V94" i="18"/>
  <c r="V93" i="18"/>
  <c r="V95" i="18"/>
  <c r="V92" i="18"/>
  <c r="V91" i="18"/>
  <c r="V90" i="18"/>
  <c r="V89" i="18"/>
  <c r="V88" i="18"/>
  <c r="V87" i="18"/>
  <c r="V86" i="18"/>
  <c r="V85" i="18"/>
  <c r="V84" i="18"/>
  <c r="V83" i="18"/>
  <c r="V71" i="18"/>
  <c r="V70" i="18"/>
  <c r="V69" i="18"/>
  <c r="V68" i="18"/>
  <c r="V67" i="18"/>
  <c r="V66" i="18"/>
  <c r="V53" i="18"/>
  <c r="V52" i="18"/>
  <c r="V51" i="18"/>
  <c r="V50" i="18"/>
  <c r="V49" i="18"/>
  <c r="V48" i="18"/>
  <c r="V47" i="18"/>
  <c r="V46" i="18"/>
  <c r="V45" i="18"/>
  <c r="V44" i="18"/>
  <c r="V43" i="18"/>
  <c r="V42" i="18"/>
  <c r="V65" i="18"/>
  <c r="V64" i="18"/>
  <c r="V63" i="18"/>
  <c r="V62" i="18"/>
  <c r="V61" i="18"/>
  <c r="V60" i="18"/>
  <c r="V59" i="18"/>
  <c r="V58" i="18"/>
  <c r="V57" i="18"/>
  <c r="V56" i="18"/>
  <c r="V55" i="18"/>
  <c r="V54" i="18"/>
  <c r="V41" i="18"/>
  <c r="V40" i="18"/>
  <c r="V39" i="18"/>
  <c r="V38" i="18"/>
  <c r="V37" i="18"/>
  <c r="V36" i="18"/>
  <c r="V35" i="18"/>
  <c r="V34" i="18"/>
  <c r="V33" i="18"/>
  <c r="V32" i="18"/>
  <c r="V31" i="18"/>
  <c r="V30" i="18"/>
  <c r="V29" i="18"/>
  <c r="V28" i="18"/>
  <c r="V27" i="18"/>
  <c r="V26" i="18"/>
  <c r="V25" i="18"/>
  <c r="V24" i="18"/>
  <c r="V23" i="18"/>
  <c r="V22" i="18"/>
  <c r="V18" i="18"/>
  <c r="V19" i="18"/>
  <c r="V20" i="18"/>
  <c r="V21" i="18"/>
  <c r="V17" i="18"/>
  <c r="V16" i="18"/>
  <c r="V15" i="18"/>
  <c r="V14" i="18"/>
  <c r="V13" i="18"/>
  <c r="V12" i="18"/>
  <c r="V11" i="18"/>
  <c r="V10" i="18"/>
  <c r="V9" i="18"/>
  <c r="V8" i="18"/>
  <c r="V7" i="18"/>
  <c r="V6" i="18"/>
  <c r="G25" i="22"/>
  <c r="G29" i="22"/>
  <c r="F7" i="16" l="1"/>
  <c r="F20" i="16"/>
  <c r="E9" i="1"/>
  <c r="H29" i="22"/>
  <c r="G28" i="22"/>
  <c r="H28" i="22" s="1"/>
  <c r="H9" i="22"/>
  <c r="H10" i="22"/>
  <c r="H11" i="22"/>
  <c r="H12" i="22"/>
  <c r="H13" i="22"/>
  <c r="H14" i="22"/>
  <c r="H15" i="22"/>
  <c r="H16" i="22"/>
  <c r="H17" i="22"/>
  <c r="H18" i="22"/>
  <c r="H20" i="22"/>
  <c r="H21" i="22"/>
  <c r="H22" i="22"/>
  <c r="H23" i="22"/>
  <c r="H24" i="22"/>
  <c r="H25" i="22"/>
  <c r="H26" i="22"/>
  <c r="H27" i="22"/>
  <c r="G20" i="22"/>
  <c r="G26" i="22"/>
  <c r="G17" i="22"/>
  <c r="G27" i="22"/>
  <c r="G16" i="22"/>
  <c r="G15" i="22"/>
  <c r="G24" i="22"/>
  <c r="G13" i="22"/>
  <c r="G12" i="22"/>
  <c r="G11" i="22"/>
  <c r="G21" i="22"/>
  <c r="G8" i="22"/>
  <c r="H8" i="22" s="1"/>
  <c r="V102" i="18"/>
  <c r="V99" i="18"/>
  <c r="V76" i="18"/>
  <c r="V73" i="18"/>
  <c r="I5" i="17" l="1"/>
  <c r="I6" i="17" s="1"/>
  <c r="J10" i="27"/>
  <c r="J9" i="27"/>
  <c r="I10" i="27"/>
  <c r="I9" i="27"/>
  <c r="V101" i="18"/>
  <c r="V100" i="18"/>
  <c r="V98" i="18"/>
  <c r="V75" i="18"/>
  <c r="V74" i="18"/>
  <c r="V72" i="18"/>
  <c r="D5" i="17"/>
  <c r="D8" i="27"/>
  <c r="D15" i="27" s="1"/>
  <c r="D16" i="27" s="1"/>
  <c r="K78" i="23"/>
  <c r="K77" i="23"/>
  <c r="K76" i="23"/>
  <c r="K75" i="23"/>
  <c r="K74" i="23"/>
  <c r="K73" i="23"/>
  <c r="K72" i="23"/>
  <c r="K71" i="23"/>
  <c r="H53" i="22"/>
  <c r="H52" i="22"/>
  <c r="H51" i="22"/>
  <c r="H50" i="22"/>
  <c r="H49" i="22"/>
  <c r="H48" i="22"/>
  <c r="H47" i="22"/>
  <c r="H46" i="22"/>
  <c r="H45" i="22"/>
  <c r="H44" i="22"/>
  <c r="L5" i="21"/>
  <c r="L6" i="21"/>
  <c r="L7" i="21"/>
  <c r="L8" i="21"/>
  <c r="L9" i="21"/>
  <c r="L10" i="21"/>
  <c r="L4" i="21"/>
  <c r="L19" i="21"/>
  <c r="L18" i="21"/>
  <c r="L17" i="21"/>
  <c r="L16" i="21"/>
  <c r="L15" i="21"/>
  <c r="L14" i="21"/>
  <c r="L13" i="21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40" i="7"/>
  <c r="J41" i="7"/>
  <c r="J42" i="7"/>
  <c r="J43" i="7"/>
  <c r="J49" i="7"/>
  <c r="J50" i="7"/>
  <c r="J51" i="7"/>
  <c r="J35" i="7"/>
  <c r="J36" i="7"/>
  <c r="J37" i="7"/>
  <c r="I40" i="7"/>
  <c r="I41" i="7"/>
  <c r="I42" i="7"/>
  <c r="I43" i="7"/>
  <c r="I44" i="7"/>
  <c r="J44" i="7" s="1"/>
  <c r="I45" i="7"/>
  <c r="J45" i="7" s="1"/>
  <c r="I46" i="7"/>
  <c r="J46" i="7" s="1"/>
  <c r="I47" i="7"/>
  <c r="J47" i="7" s="1"/>
  <c r="I48" i="7"/>
  <c r="J48" i="7" s="1"/>
  <c r="I49" i="7"/>
  <c r="I50" i="7"/>
  <c r="I51" i="7"/>
  <c r="I52" i="7"/>
  <c r="J52" i="7" s="1"/>
  <c r="I53" i="7"/>
  <c r="J53" i="7" s="1"/>
  <c r="I54" i="7"/>
  <c r="I55" i="7"/>
  <c r="J55" i="7" s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K10" i="27" l="1"/>
  <c r="K9" i="27"/>
  <c r="J54" i="7"/>
  <c r="V138" i="18"/>
  <c r="V137" i="18"/>
  <c r="V136" i="18"/>
  <c r="V135" i="18"/>
  <c r="V134" i="18"/>
  <c r="V133" i="18"/>
  <c r="V132" i="18"/>
  <c r="V131" i="18"/>
  <c r="V130" i="18"/>
  <c r="V129" i="18"/>
  <c r="V103" i="18"/>
  <c r="V82" i="18"/>
  <c r="V81" i="18"/>
  <c r="V80" i="18"/>
  <c r="V79" i="18"/>
  <c r="V78" i="18"/>
  <c r="V77" i="18"/>
  <c r="G9" i="22" l="1"/>
  <c r="G22" i="22" l="1"/>
  <c r="G23" i="22"/>
  <c r="J41" i="23" l="1"/>
  <c r="J33" i="23"/>
  <c r="K33" i="23" s="1"/>
  <c r="K41" i="23" l="1"/>
  <c r="J2" i="23"/>
  <c r="J3" i="23" s="1"/>
  <c r="L25" i="11"/>
  <c r="K37" i="11"/>
  <c r="L37" i="11" s="1"/>
  <c r="M37" i="11" s="1"/>
  <c r="K13" i="11"/>
  <c r="L20" i="20" l="1"/>
  <c r="L21" i="20"/>
  <c r="L22" i="20"/>
  <c r="L23" i="20"/>
  <c r="L24" i="20"/>
  <c r="L25" i="20"/>
  <c r="L26" i="20"/>
  <c r="L27" i="20"/>
  <c r="L19" i="20"/>
  <c r="K12" i="20"/>
  <c r="K11" i="20"/>
  <c r="K10" i="20"/>
  <c r="K9" i="20"/>
  <c r="K8" i="20"/>
  <c r="K7" i="20"/>
  <c r="K6" i="20"/>
  <c r="K5" i="20"/>
  <c r="K4" i="20"/>
  <c r="J37" i="10"/>
  <c r="K37" i="10" s="1"/>
  <c r="J25" i="10"/>
  <c r="I37" i="10"/>
  <c r="I13" i="10"/>
  <c r="K10" i="21"/>
  <c r="K9" i="21"/>
  <c r="K8" i="21"/>
  <c r="K7" i="21"/>
  <c r="K6" i="21"/>
  <c r="K5" i="21"/>
  <c r="K4" i="21"/>
  <c r="G18" i="22" l="1"/>
  <c r="G14" i="22"/>
  <c r="G10" i="22"/>
  <c r="J21" i="24"/>
  <c r="K21" i="24" s="1"/>
  <c r="J18" i="24"/>
  <c r="J17" i="24"/>
  <c r="J16" i="24"/>
  <c r="J15" i="24"/>
  <c r="J14" i="24"/>
  <c r="J13" i="24"/>
  <c r="I10" i="24"/>
  <c r="I9" i="24"/>
  <c r="I8" i="24"/>
  <c r="I7" i="24"/>
  <c r="I6" i="24"/>
  <c r="I5" i="24"/>
  <c r="I26" i="24"/>
  <c r="J26" i="24" s="1"/>
  <c r="K26" i="24" s="1"/>
  <c r="I25" i="24"/>
  <c r="J25" i="24" s="1"/>
  <c r="K25" i="24" s="1"/>
  <c r="I24" i="24"/>
  <c r="J24" i="24" s="1"/>
  <c r="K24" i="24" s="1"/>
  <c r="I23" i="24"/>
  <c r="J23" i="24" s="1"/>
  <c r="K23" i="24" s="1"/>
  <c r="I22" i="24"/>
  <c r="J22" i="24" s="1"/>
  <c r="I21" i="24"/>
  <c r="J24" i="15"/>
  <c r="K24" i="15" s="1"/>
  <c r="I26" i="15"/>
  <c r="J26" i="15" s="1"/>
  <c r="K26" i="15" s="1"/>
  <c r="I25" i="15"/>
  <c r="J25" i="15" s="1"/>
  <c r="K25" i="15" s="1"/>
  <c r="I24" i="15"/>
  <c r="J16" i="15"/>
  <c r="J17" i="15"/>
  <c r="J18" i="15"/>
  <c r="I10" i="15"/>
  <c r="I9" i="15"/>
  <c r="I8" i="15"/>
  <c r="K26" i="14"/>
  <c r="J16" i="14"/>
  <c r="J17" i="14"/>
  <c r="J18" i="14"/>
  <c r="J26" i="14"/>
  <c r="I26" i="14"/>
  <c r="I25" i="14"/>
  <c r="J25" i="14" s="1"/>
  <c r="K25" i="14" s="1"/>
  <c r="I24" i="14"/>
  <c r="J24" i="14" s="1"/>
  <c r="K24" i="14" s="1"/>
  <c r="I10" i="14"/>
  <c r="I9" i="14"/>
  <c r="I8" i="14"/>
  <c r="K16" i="13"/>
  <c r="K17" i="13"/>
  <c r="K18" i="13"/>
  <c r="K24" i="13"/>
  <c r="L24" i="13" s="1"/>
  <c r="K26" i="13"/>
  <c r="L26" i="13" s="1"/>
  <c r="J26" i="13"/>
  <c r="J25" i="13"/>
  <c r="K25" i="13" s="1"/>
  <c r="L25" i="13" s="1"/>
  <c r="J24" i="13"/>
  <c r="J10" i="13"/>
  <c r="J9" i="13"/>
  <c r="J8" i="13"/>
  <c r="L17" i="12"/>
  <c r="L25" i="12"/>
  <c r="M25" i="12" s="1"/>
  <c r="K25" i="12"/>
  <c r="K24" i="12"/>
  <c r="K23" i="12"/>
  <c r="K22" i="12"/>
  <c r="K21" i="12"/>
  <c r="K20" i="12"/>
  <c r="K9" i="12"/>
  <c r="K8" i="12"/>
  <c r="K7" i="12"/>
  <c r="K6" i="12"/>
  <c r="K5" i="12"/>
  <c r="K36" i="11"/>
  <c r="L36" i="11" s="1"/>
  <c r="M36" i="11" s="1"/>
  <c r="K35" i="11"/>
  <c r="L35" i="11" s="1"/>
  <c r="M35" i="11" s="1"/>
  <c r="K34" i="11"/>
  <c r="L34" i="11" s="1"/>
  <c r="M34" i="11" s="1"/>
  <c r="K12" i="11"/>
  <c r="K11" i="11"/>
  <c r="K10" i="11"/>
  <c r="L20" i="11"/>
  <c r="L21" i="11"/>
  <c r="L22" i="11"/>
  <c r="L23" i="11"/>
  <c r="L24" i="11"/>
  <c r="K23" i="25"/>
  <c r="K24" i="25"/>
  <c r="K25" i="25"/>
  <c r="K26" i="25"/>
  <c r="K27" i="25"/>
  <c r="K28" i="25"/>
  <c r="K22" i="25"/>
  <c r="I12" i="10"/>
  <c r="I11" i="10"/>
  <c r="I10" i="10"/>
  <c r="J22" i="10"/>
  <c r="J23" i="10"/>
  <c r="J24" i="10"/>
  <c r="I34" i="10"/>
  <c r="J34" i="10" s="1"/>
  <c r="K34" i="10" s="1"/>
  <c r="I35" i="10"/>
  <c r="J35" i="10" s="1"/>
  <c r="K35" i="10" s="1"/>
  <c r="I36" i="10"/>
  <c r="J36" i="10" s="1"/>
  <c r="K36" i="10" s="1"/>
  <c r="I28" i="25"/>
  <c r="I27" i="25"/>
  <c r="I26" i="25"/>
  <c r="I25" i="25"/>
  <c r="J14" i="25"/>
  <c r="J15" i="25"/>
  <c r="J16" i="25"/>
  <c r="J17" i="25"/>
  <c r="J18" i="25"/>
  <c r="J19" i="25"/>
  <c r="J13" i="25"/>
  <c r="I10" i="25"/>
  <c r="I9" i="25"/>
  <c r="I8" i="25"/>
  <c r="I7" i="25"/>
  <c r="I28" i="9"/>
  <c r="J28" i="9" s="1"/>
  <c r="K28" i="9" s="1"/>
  <c r="I27" i="9"/>
  <c r="J27" i="9" s="1"/>
  <c r="K27" i="9" s="1"/>
  <c r="I26" i="9"/>
  <c r="I25" i="9"/>
  <c r="J25" i="9" s="1"/>
  <c r="K25" i="9" s="1"/>
  <c r="J26" i="9"/>
  <c r="K26" i="9" s="1"/>
  <c r="J16" i="9"/>
  <c r="J17" i="9"/>
  <c r="J18" i="9"/>
  <c r="J19" i="9"/>
  <c r="I10" i="9"/>
  <c r="I9" i="9"/>
  <c r="I8" i="9"/>
  <c r="I7" i="9"/>
  <c r="J29" i="7"/>
  <c r="J30" i="7"/>
  <c r="J31" i="7"/>
  <c r="J32" i="7"/>
  <c r="J33" i="7"/>
  <c r="J34" i="7"/>
  <c r="I5" i="5"/>
  <c r="I32" i="5"/>
  <c r="J32" i="5" s="1"/>
  <c r="K32" i="5" s="1"/>
  <c r="I31" i="5"/>
  <c r="J31" i="5" s="1"/>
  <c r="K31" i="5" s="1"/>
  <c r="I30" i="5"/>
  <c r="J30" i="5" s="1"/>
  <c r="K30" i="5" s="1"/>
  <c r="J20" i="5"/>
  <c r="J21" i="5"/>
  <c r="J22" i="5"/>
  <c r="I12" i="5"/>
  <c r="I11" i="5"/>
  <c r="I10" i="5"/>
  <c r="K31" i="26"/>
  <c r="L31" i="26" s="1"/>
  <c r="J35" i="26"/>
  <c r="K35" i="26" s="1"/>
  <c r="L35" i="26" s="1"/>
  <c r="J34" i="26"/>
  <c r="K34" i="26" s="1"/>
  <c r="L34" i="26" s="1"/>
  <c r="J33" i="26"/>
  <c r="K33" i="26" s="1"/>
  <c r="L33" i="26" s="1"/>
  <c r="J32" i="26"/>
  <c r="K32" i="26" s="1"/>
  <c r="L32" i="26" s="1"/>
  <c r="J31" i="26"/>
  <c r="J30" i="26"/>
  <c r="K30" i="26" s="1"/>
  <c r="L30" i="26" s="1"/>
  <c r="J29" i="26"/>
  <c r="K29" i="26" s="1"/>
  <c r="L29" i="26" s="1"/>
  <c r="J28" i="26"/>
  <c r="K28" i="26" s="1"/>
  <c r="L28" i="26" s="1"/>
  <c r="J27" i="26"/>
  <c r="K27" i="26" s="1"/>
  <c r="L27" i="26" s="1"/>
  <c r="K17" i="26"/>
  <c r="K18" i="26"/>
  <c r="K19" i="26"/>
  <c r="K20" i="26"/>
  <c r="K21" i="26"/>
  <c r="K22" i="26"/>
  <c r="K23" i="26"/>
  <c r="K24" i="26"/>
  <c r="K16" i="26"/>
  <c r="J13" i="26"/>
  <c r="J12" i="26"/>
  <c r="J11" i="26"/>
  <c r="J10" i="26"/>
  <c r="J9" i="26"/>
  <c r="J8" i="26"/>
  <c r="J7" i="26"/>
  <c r="J6" i="26"/>
  <c r="J5" i="26"/>
  <c r="M47" i="1"/>
  <c r="N47" i="1" s="1"/>
  <c r="M48" i="1"/>
  <c r="N48" i="1" s="1"/>
  <c r="M49" i="1"/>
  <c r="N49" i="1" s="1"/>
  <c r="M50" i="1"/>
  <c r="N50" i="1" s="1"/>
  <c r="L50" i="1"/>
  <c r="L49" i="1"/>
  <c r="L48" i="1"/>
  <c r="L47" i="1"/>
  <c r="M34" i="1"/>
  <c r="M33" i="1"/>
  <c r="M32" i="1"/>
  <c r="M31" i="1"/>
  <c r="L18" i="1"/>
  <c r="L17" i="1"/>
  <c r="L16" i="1"/>
  <c r="L15" i="1"/>
  <c r="K22" i="24" l="1"/>
  <c r="C13" i="22" l="1"/>
  <c r="G19" i="22" l="1"/>
  <c r="H19" i="22" s="1"/>
  <c r="L13" i="12" l="1"/>
  <c r="L14" i="12"/>
  <c r="L15" i="12"/>
  <c r="L16" i="12"/>
  <c r="L12" i="12"/>
  <c r="J15" i="5"/>
  <c r="J16" i="5"/>
  <c r="J18" i="5"/>
  <c r="J19" i="5"/>
  <c r="J17" i="5"/>
  <c r="I5" i="15" l="1"/>
  <c r="I6" i="15"/>
  <c r="I7" i="15"/>
  <c r="J13" i="15"/>
  <c r="J14" i="15"/>
  <c r="J15" i="15"/>
  <c r="I21" i="15"/>
  <c r="J21" i="15" s="1"/>
  <c r="K21" i="15" s="1"/>
  <c r="I22" i="15"/>
  <c r="J22" i="15" s="1"/>
  <c r="K22" i="15" s="1"/>
  <c r="I23" i="15"/>
  <c r="J23" i="15" s="1"/>
  <c r="K23" i="15" s="1"/>
  <c r="I5" i="14" l="1"/>
  <c r="I6" i="14"/>
  <c r="I7" i="14"/>
  <c r="J13" i="14"/>
  <c r="J14" i="14"/>
  <c r="J15" i="14"/>
  <c r="I21" i="14"/>
  <c r="J21" i="14" s="1"/>
  <c r="I22" i="14"/>
  <c r="J22" i="14" s="1"/>
  <c r="K22" i="14" s="1"/>
  <c r="I23" i="14"/>
  <c r="J23" i="14" s="1"/>
  <c r="K23" i="14" s="1"/>
  <c r="K21" i="14" l="1"/>
  <c r="J5" i="13"/>
  <c r="J6" i="13"/>
  <c r="J7" i="13"/>
  <c r="K13" i="13"/>
  <c r="K14" i="13"/>
  <c r="K15" i="13"/>
  <c r="J21" i="13"/>
  <c r="K21" i="13" s="1"/>
  <c r="J22" i="13"/>
  <c r="K22" i="13" s="1"/>
  <c r="L22" i="13" s="1"/>
  <c r="J23" i="13"/>
  <c r="K23" i="13" s="1"/>
  <c r="L23" i="13" s="1"/>
  <c r="L21" i="13" l="1"/>
  <c r="K4" i="12"/>
  <c r="L20" i="12"/>
  <c r="L21" i="12"/>
  <c r="M21" i="12" s="1"/>
  <c r="L22" i="12"/>
  <c r="M22" i="12" s="1"/>
  <c r="L23" i="12"/>
  <c r="M23" i="12" s="1"/>
  <c r="L24" i="12"/>
  <c r="M24" i="12" s="1"/>
  <c r="M20" i="12" l="1"/>
  <c r="K4" i="11"/>
  <c r="K5" i="11"/>
  <c r="K6" i="11"/>
  <c r="K7" i="11"/>
  <c r="K8" i="11"/>
  <c r="K9" i="11"/>
  <c r="L16" i="11"/>
  <c r="L17" i="11"/>
  <c r="L18" i="11"/>
  <c r="L19" i="11"/>
  <c r="K28" i="11"/>
  <c r="L28" i="11" s="1"/>
  <c r="K29" i="11"/>
  <c r="L29" i="11" s="1"/>
  <c r="M29" i="11" s="1"/>
  <c r="K30" i="11"/>
  <c r="L30" i="11" s="1"/>
  <c r="M30" i="11" s="1"/>
  <c r="K31" i="11"/>
  <c r="L31" i="11" s="1"/>
  <c r="M31" i="11" s="1"/>
  <c r="K32" i="11"/>
  <c r="L32" i="11" s="1"/>
  <c r="M32" i="11" s="1"/>
  <c r="K33" i="11"/>
  <c r="L33" i="11" s="1"/>
  <c r="M33" i="11" s="1"/>
  <c r="M28" i="11" l="1"/>
  <c r="I4" i="10"/>
  <c r="I5" i="10"/>
  <c r="I6" i="10"/>
  <c r="I7" i="10"/>
  <c r="I8" i="10"/>
  <c r="I9" i="10"/>
  <c r="J16" i="10"/>
  <c r="J17" i="10"/>
  <c r="J18" i="10"/>
  <c r="J19" i="10"/>
  <c r="J20" i="10"/>
  <c r="J21" i="10"/>
  <c r="I28" i="10"/>
  <c r="J28" i="10" s="1"/>
  <c r="I29" i="10"/>
  <c r="J29" i="10" s="1"/>
  <c r="K29" i="10" s="1"/>
  <c r="I30" i="10"/>
  <c r="J30" i="10" s="1"/>
  <c r="K30" i="10" s="1"/>
  <c r="I31" i="10"/>
  <c r="J31" i="10" s="1"/>
  <c r="K31" i="10" s="1"/>
  <c r="I32" i="10"/>
  <c r="J32" i="10" s="1"/>
  <c r="K32" i="10" s="1"/>
  <c r="I33" i="10"/>
  <c r="J33" i="10" s="1"/>
  <c r="K33" i="10" s="1"/>
  <c r="K28" i="10" l="1"/>
  <c r="I4" i="9"/>
  <c r="I5" i="9"/>
  <c r="I6" i="9"/>
  <c r="J13" i="9"/>
  <c r="J14" i="9"/>
  <c r="J15" i="9"/>
  <c r="I22" i="9"/>
  <c r="J22" i="9" s="1"/>
  <c r="I23" i="9"/>
  <c r="J23" i="9" s="1"/>
  <c r="K23" i="9" s="1"/>
  <c r="I24" i="9"/>
  <c r="J24" i="9" s="1"/>
  <c r="K24" i="9" s="1"/>
  <c r="K22" i="9" l="1"/>
  <c r="J22" i="7"/>
  <c r="J23" i="7"/>
  <c r="J24" i="7"/>
  <c r="J25" i="7"/>
  <c r="J26" i="7"/>
  <c r="J27" i="7"/>
  <c r="J28" i="7"/>
  <c r="J40" i="7"/>
  <c r="I6" i="5" l="1"/>
  <c r="I7" i="5"/>
  <c r="I8" i="5"/>
  <c r="I9" i="5"/>
  <c r="I25" i="5"/>
  <c r="J25" i="5" s="1"/>
  <c r="K25" i="5" s="1"/>
  <c r="I26" i="5"/>
  <c r="J26" i="5" s="1"/>
  <c r="I27" i="5"/>
  <c r="J27" i="5" s="1"/>
  <c r="K27" i="5" s="1"/>
  <c r="I28" i="5"/>
  <c r="J28" i="5" s="1"/>
  <c r="K28" i="5" s="1"/>
  <c r="I29" i="5"/>
  <c r="J29" i="5" s="1"/>
  <c r="K29" i="5" s="1"/>
  <c r="K26" i="5" l="1"/>
  <c r="L37" i="1"/>
  <c r="M37" i="1" s="1"/>
  <c r="L38" i="1"/>
  <c r="M38" i="1" s="1"/>
  <c r="N38" i="1" s="1"/>
  <c r="L39" i="1"/>
  <c r="M39" i="1" s="1"/>
  <c r="N39" i="1" s="1"/>
  <c r="L40" i="1"/>
  <c r="M40" i="1" s="1"/>
  <c r="N40" i="1" s="1"/>
  <c r="L41" i="1"/>
  <c r="M41" i="1" s="1"/>
  <c r="N41" i="1" s="1"/>
  <c r="L42" i="1"/>
  <c r="M42" i="1" s="1"/>
  <c r="N42" i="1" s="1"/>
  <c r="L43" i="1"/>
  <c r="M43" i="1" s="1"/>
  <c r="N43" i="1" s="1"/>
  <c r="L44" i="1"/>
  <c r="M44" i="1" s="1"/>
  <c r="N44" i="1" s="1"/>
  <c r="L45" i="1"/>
  <c r="M45" i="1" s="1"/>
  <c r="N45" i="1" s="1"/>
  <c r="L46" i="1"/>
  <c r="M46" i="1" s="1"/>
  <c r="N46" i="1" s="1"/>
  <c r="M21" i="1"/>
  <c r="M22" i="1"/>
  <c r="M23" i="1"/>
  <c r="M24" i="1"/>
  <c r="M25" i="1"/>
  <c r="M26" i="1"/>
  <c r="M27" i="1"/>
  <c r="M28" i="1"/>
  <c r="M29" i="1"/>
  <c r="M30" i="1"/>
  <c r="L5" i="1"/>
  <c r="L6" i="1"/>
  <c r="L7" i="1"/>
  <c r="L8" i="1"/>
  <c r="L9" i="1"/>
  <c r="L10" i="1"/>
  <c r="L11" i="1"/>
  <c r="L12" i="1"/>
  <c r="L13" i="1"/>
  <c r="L14" i="1"/>
  <c r="N37" i="1" l="1"/>
  <c r="C7" i="10" l="1"/>
  <c r="F12" i="10" s="1"/>
  <c r="F13" i="10" s="1"/>
  <c r="D5" i="23"/>
  <c r="D3" i="13"/>
  <c r="G10" i="13" s="1"/>
  <c r="G11" i="13" s="1"/>
  <c r="D7" i="21"/>
  <c r="G15" i="21" s="1"/>
  <c r="D3" i="24"/>
  <c r="F10" i="24" s="1"/>
  <c r="E10" i="16" s="1"/>
  <c r="F10" i="16" s="1"/>
  <c r="D5" i="20"/>
  <c r="D3" i="12"/>
  <c r="H13" i="12" s="1"/>
  <c r="D3" i="5"/>
  <c r="D18" i="5" s="1"/>
  <c r="D3" i="25"/>
  <c r="F13" i="25" s="1"/>
  <c r="D3" i="9"/>
  <c r="F13" i="9" s="1"/>
  <c r="D8" i="11"/>
  <c r="H13" i="11" s="1"/>
  <c r="F5" i="18"/>
  <c r="C6" i="7"/>
  <c r="F25" i="7" s="1"/>
  <c r="E9" i="26"/>
  <c r="E23" i="26" s="1"/>
  <c r="E4" i="16" s="1"/>
  <c r="F4" i="16" s="1"/>
  <c r="D3" i="15"/>
  <c r="F10" i="15" s="1"/>
  <c r="C7" i="22"/>
  <c r="G2" i="22" s="1"/>
  <c r="G3" i="22" s="1"/>
  <c r="D3" i="14"/>
  <c r="F10" i="14"/>
  <c r="H22" i="1"/>
  <c r="E3" i="16" s="1"/>
  <c r="F3" i="16" s="1"/>
  <c r="H14" i="11" l="1"/>
  <c r="E5" i="16"/>
  <c r="F5" i="16" s="1"/>
  <c r="E8" i="16"/>
  <c r="F8" i="16" s="1"/>
  <c r="E12" i="16"/>
  <c r="F12" i="16" s="1"/>
  <c r="F11" i="14"/>
  <c r="E6" i="16"/>
  <c r="F6" i="16" s="1"/>
  <c r="E14" i="16"/>
  <c r="F14" i="16" s="1"/>
  <c r="F14" i="9"/>
  <c r="F11" i="15"/>
  <c r="E9" i="16"/>
  <c r="F9" i="16" s="1"/>
  <c r="F14" i="25"/>
  <c r="E16" i="16"/>
  <c r="F16" i="16" s="1"/>
  <c r="D19" i="5"/>
  <c r="E15" i="16"/>
  <c r="F15" i="16" s="1"/>
  <c r="G16" i="21"/>
  <c r="E18" i="16"/>
  <c r="F18" i="16" s="1"/>
  <c r="E19" i="16"/>
  <c r="F19" i="16" s="1"/>
  <c r="E13" i="16"/>
  <c r="F13" i="16" s="1"/>
  <c r="F26" i="7"/>
  <c r="E22" i="16"/>
  <c r="F22" i="16" s="1"/>
  <c r="E17" i="16"/>
  <c r="F17" i="16" s="1"/>
  <c r="H23" i="1"/>
  <c r="H14" i="12"/>
  <c r="E11" i="16"/>
  <c r="F11" i="16" s="1"/>
  <c r="F11" i="24"/>
  <c r="E24" i="26"/>
  <c r="E21" i="16"/>
  <c r="F21" i="16" s="1"/>
  <c r="I4" i="16" l="1"/>
</calcChain>
</file>

<file path=xl/sharedStrings.xml><?xml version="1.0" encoding="utf-8"?>
<sst xmlns="http://schemas.openxmlformats.org/spreadsheetml/2006/main" count="4211" uniqueCount="1925">
  <si>
    <t>Inputs</t>
  </si>
  <si>
    <t>Outputs</t>
  </si>
  <si>
    <t>Formulae</t>
  </si>
  <si>
    <t>Final Expenses</t>
  </si>
  <si>
    <t>Input</t>
  </si>
  <si>
    <t>Total Liabilities</t>
  </si>
  <si>
    <t>Total Existing Life Coverage</t>
  </si>
  <si>
    <t>Emergency Fund</t>
  </si>
  <si>
    <t>Mortgage Payment</t>
  </si>
  <si>
    <t>Personal Debts</t>
  </si>
  <si>
    <t>Others</t>
  </si>
  <si>
    <t>Existing Resources</t>
  </si>
  <si>
    <t>Inflation Adjusted Return</t>
  </si>
  <si>
    <t>Desired Annual Income Replacement</t>
  </si>
  <si>
    <t>Number Of Years Needed</t>
  </si>
  <si>
    <t>Parameter</t>
  </si>
  <si>
    <t>Is Valid</t>
  </si>
  <si>
    <t>Error Code</t>
  </si>
  <si>
    <t>Mapping</t>
  </si>
  <si>
    <t>Minimum Value</t>
  </si>
  <si>
    <t>Maximum Value</t>
  </si>
  <si>
    <t>Error Message</t>
  </si>
  <si>
    <t>Validity</t>
  </si>
  <si>
    <t>Existing Insurance</t>
  </si>
  <si>
    <t>Existing Assets</t>
  </si>
  <si>
    <r>
      <t>Amount Needed</t>
    </r>
    <r>
      <rPr>
        <sz val="8"/>
        <color theme="1"/>
        <rFont val="Calibri"/>
        <family val="2"/>
        <scheme val="minor"/>
      </rPr>
      <t> </t>
    </r>
  </si>
  <si>
    <t>Target Year</t>
  </si>
  <si>
    <t>Inflation Rate</t>
  </si>
  <si>
    <t>When do you need this fund?</t>
  </si>
  <si>
    <t>Amount Needed</t>
  </si>
  <si>
    <t>Duration of Retirement</t>
  </si>
  <si>
    <t>Annual Retirement Expenses (Today's value)</t>
  </si>
  <si>
    <t>Age at Next Birthday</t>
  </si>
  <si>
    <t>Interest Rate</t>
  </si>
  <si>
    <t>Assumptions</t>
  </si>
  <si>
    <t>Formula</t>
  </si>
  <si>
    <t>Output</t>
  </si>
  <si>
    <t>Estimated Medical Expenses</t>
  </si>
  <si>
    <t>Inflation Adjusted Return (Rate of Return)</t>
  </si>
  <si>
    <t>Number of years expenses are to be covered</t>
  </si>
  <si>
    <t>Estimated Treatment Costs</t>
  </si>
  <si>
    <t>Replacement Income Needed Per Month</t>
  </si>
  <si>
    <t>Selected</t>
  </si>
  <si>
    <t>Need Type</t>
  </si>
  <si>
    <t>Description</t>
  </si>
  <si>
    <t>Singapore</t>
  </si>
  <si>
    <t>Australia</t>
  </si>
  <si>
    <t>United States</t>
  </si>
  <si>
    <t>United Kingdom</t>
  </si>
  <si>
    <t>Country</t>
  </si>
  <si>
    <t>Country of study</t>
  </si>
  <si>
    <t>Wealth Protection</t>
  </si>
  <si>
    <t>Validation</t>
  </si>
  <si>
    <t>Validation Message</t>
  </si>
  <si>
    <t>Death</t>
  </si>
  <si>
    <t>Critical Illness</t>
  </si>
  <si>
    <t>Wealth Accumulation</t>
  </si>
  <si>
    <t>Total &amp; Permanent Disability</t>
  </si>
  <si>
    <t>Hospitalisation</t>
  </si>
  <si>
    <t>Long Term Care</t>
  </si>
  <si>
    <t>Loss of Income due to Accident/Illness</t>
  </si>
  <si>
    <t>Cover for Fracture Need</t>
  </si>
  <si>
    <t>Cover for Male/Female Related</t>
  </si>
  <si>
    <t>Retirement</t>
  </si>
  <si>
    <t>Savings</t>
  </si>
  <si>
    <t>Children's Education</t>
  </si>
  <si>
    <t>Children's Savings</t>
  </si>
  <si>
    <t>Have existing insurance?</t>
  </si>
  <si>
    <t>Significant change in 12 months?</t>
  </si>
  <si>
    <t>Conscent to retrive?</t>
  </si>
  <si>
    <t>What changes you expect</t>
  </si>
  <si>
    <t>None</t>
  </si>
  <si>
    <t>If no, please share your reason</t>
  </si>
  <si>
    <t>Fully declared?</t>
  </si>
  <si>
    <t>Reason for not fully disclosing</t>
  </si>
  <si>
    <t>If Others, please specify</t>
  </si>
  <si>
    <t>Assets</t>
  </si>
  <si>
    <t>Liabilities</t>
  </si>
  <si>
    <t>Income</t>
  </si>
  <si>
    <t>Expenses</t>
  </si>
  <si>
    <t>Budget</t>
  </si>
  <si>
    <t>Existing insurance</t>
  </si>
  <si>
    <t>Asset type</t>
  </si>
  <si>
    <t>Liability Type</t>
  </si>
  <si>
    <t>Monthly Income, before CPF, from your job</t>
  </si>
  <si>
    <t>Current Value (SGD)</t>
  </si>
  <si>
    <t>Annual Income, before CPF, from your job</t>
  </si>
  <si>
    <t>Cash</t>
  </si>
  <si>
    <t>Life Assured</t>
  </si>
  <si>
    <t>Desmond Leong</t>
  </si>
  <si>
    <t>Return on Investment</t>
  </si>
  <si>
    <t>CPF-OA</t>
  </si>
  <si>
    <t>CPF-SA</t>
  </si>
  <si>
    <t>Policy Name</t>
  </si>
  <si>
    <t>AU Wealth Protector</t>
  </si>
  <si>
    <t>CPF-MA</t>
  </si>
  <si>
    <t>Policy Number</t>
  </si>
  <si>
    <t>A1234567</t>
  </si>
  <si>
    <t>SRS</t>
  </si>
  <si>
    <t>Insurance Company</t>
  </si>
  <si>
    <t>AdviseU Insur Ltd</t>
  </si>
  <si>
    <t>Income Type</t>
  </si>
  <si>
    <t>Policy Type</t>
  </si>
  <si>
    <t>ILP RSP</t>
  </si>
  <si>
    <t>Income Frequency</t>
  </si>
  <si>
    <t>Lump Sum</t>
  </si>
  <si>
    <t>Death Benefit</t>
  </si>
  <si>
    <t>TPD</t>
  </si>
  <si>
    <t>Private A</t>
  </si>
  <si>
    <t>Deductible &amp; Co-insurance</t>
  </si>
  <si>
    <t>Long-term care</t>
  </si>
  <si>
    <t>Personal Accident</t>
  </si>
  <si>
    <t>Others free text</t>
  </si>
  <si>
    <t>Fracture Benefit</t>
  </si>
  <si>
    <t>Loss of Income Benefit</t>
  </si>
  <si>
    <t>Male/ Female Related Illness</t>
  </si>
  <si>
    <t>Policy Term</t>
  </si>
  <si>
    <t>Maturity Date</t>
  </si>
  <si>
    <t>Single Premium</t>
  </si>
  <si>
    <t>Regular Premium P.A.</t>
  </si>
  <si>
    <t>Projected Maturity Value</t>
  </si>
  <si>
    <t>Current Cash Value</t>
  </si>
  <si>
    <t>E</t>
  </si>
  <si>
    <t>Frequency</t>
  </si>
  <si>
    <t>Investment experience</t>
  </si>
  <si>
    <t>Acceptable short term loss</t>
  </si>
  <si>
    <t>Comfortability of Investment holding</t>
  </si>
  <si>
    <t>Financing standard of living through assets</t>
  </si>
  <si>
    <t>Riskiest assets that you would invest in</t>
  </si>
  <si>
    <t>Years to Retirement</t>
  </si>
  <si>
    <t>If yes, please select accordingly</t>
  </si>
  <si>
    <t>Accountancy</t>
  </si>
  <si>
    <t>Collective investment schemes</t>
  </si>
  <si>
    <t>Inflation Adjusted Rate of Return</t>
  </si>
  <si>
    <t>Current Annual Income</t>
  </si>
  <si>
    <t>Rate of Income Increment</t>
  </si>
  <si>
    <t>Risk Profile</t>
  </si>
  <si>
    <t>Customer Knowledge</t>
  </si>
  <si>
    <t>Title</t>
  </si>
  <si>
    <t>Gender</t>
  </si>
  <si>
    <t>Nationality</t>
  </si>
  <si>
    <t>Type of Pass</t>
  </si>
  <si>
    <t>Marital Status</t>
  </si>
  <si>
    <t>Education</t>
  </si>
  <si>
    <t>Occupation</t>
  </si>
  <si>
    <t>Employment Type</t>
  </si>
  <si>
    <t>Personal Details</t>
  </si>
  <si>
    <t>Christian Name</t>
  </si>
  <si>
    <t>Dennis</t>
  </si>
  <si>
    <t>Given Name</t>
  </si>
  <si>
    <t>Desmond</t>
  </si>
  <si>
    <t>Surname</t>
  </si>
  <si>
    <t>Leong</t>
  </si>
  <si>
    <t>COL</t>
  </si>
  <si>
    <t>Date of Birth (DD/MM/YYYY)</t>
  </si>
  <si>
    <t>DoB is invalid.</t>
  </si>
  <si>
    <t>Age, at next birthday</t>
  </si>
  <si>
    <t>Type of Pass is invalid.</t>
  </si>
  <si>
    <t>Marital Status is invalid.</t>
  </si>
  <si>
    <t>Nationality of Singapore PR</t>
  </si>
  <si>
    <t>Do you smoke?</t>
  </si>
  <si>
    <t>Please select an option for smoker.</t>
  </si>
  <si>
    <t>Mobile Country Code</t>
  </si>
  <si>
    <t>NRIC/FIN/Passport No.</t>
  </si>
  <si>
    <t>S7914228B</t>
  </si>
  <si>
    <t>Mobile Number</t>
  </si>
  <si>
    <t>English proficient?</t>
  </si>
  <si>
    <t>Please select an option for English proficiency.</t>
  </si>
  <si>
    <t>Country of Birth</t>
  </si>
  <si>
    <t>Please select education.</t>
  </si>
  <si>
    <t>If others, please specify</t>
  </si>
  <si>
    <t>Email</t>
  </si>
  <si>
    <t>desmondleong@gmail.com</t>
  </si>
  <si>
    <t>Emplyment Type is invalid.</t>
  </si>
  <si>
    <t>+65</t>
  </si>
  <si>
    <t>Self-Employed</t>
  </si>
  <si>
    <t>Please select an option for self employment.</t>
  </si>
  <si>
    <t>Is anyone accompanying you?</t>
  </si>
  <si>
    <t>Please indicate whether a Trusted Individual is present</t>
  </si>
  <si>
    <t>Home Country Code</t>
  </si>
  <si>
    <t>Relationship of TI to You</t>
  </si>
  <si>
    <t>Please fill in all the particulars for a trusted individual.</t>
  </si>
  <si>
    <t>Home Number</t>
  </si>
  <si>
    <t>Office Country Code</t>
  </si>
  <si>
    <t>Office Number</t>
  </si>
  <si>
    <t>Postal Code</t>
  </si>
  <si>
    <t>Block Number</t>
  </si>
  <si>
    <t>Street</t>
  </si>
  <si>
    <t>Tampines Street 83</t>
  </si>
  <si>
    <t>Building</t>
  </si>
  <si>
    <t>Tampines Greenview</t>
  </si>
  <si>
    <t>Floor/Unit</t>
  </si>
  <si>
    <t>11/123</t>
  </si>
  <si>
    <t>City</t>
  </si>
  <si>
    <t>State</t>
  </si>
  <si>
    <t>Are you proficient in written and spoken English?</t>
  </si>
  <si>
    <t>Freelancer</t>
  </si>
  <si>
    <t>Employer</t>
  </si>
  <si>
    <t>ABC Pte Ltd</t>
  </si>
  <si>
    <t>Name of TI</t>
  </si>
  <si>
    <t>John Woo</t>
  </si>
  <si>
    <t>Last 4 characters of NRIC/FIN/Passport No. of TI</t>
  </si>
  <si>
    <t>345A</t>
  </si>
  <si>
    <t>Medical Condition</t>
  </si>
  <si>
    <t>Medical Condition Description</t>
  </si>
  <si>
    <t>Mildly severe</t>
  </si>
  <si>
    <t>Please state the reason why</t>
  </si>
  <si>
    <t>Relationship</t>
  </si>
  <si>
    <t>Private and Confidential</t>
  </si>
  <si>
    <t>Dependents</t>
  </si>
  <si>
    <t>Wish to declare</t>
  </si>
  <si>
    <t>Years to Support Required</t>
  </si>
  <si>
    <t>Mike</t>
  </si>
  <si>
    <t>Jeremy</t>
  </si>
  <si>
    <t>S7914228C</t>
  </si>
  <si>
    <t>DoB</t>
  </si>
  <si>
    <t>Age</t>
  </si>
  <si>
    <t>Inability to pay Premiums</t>
  </si>
  <si>
    <t>Self</t>
  </si>
  <si>
    <t>Total Score</t>
  </si>
  <si>
    <t>Risk Profile Summary</t>
  </si>
  <si>
    <t>Customer Knowledge Assessment</t>
  </si>
  <si>
    <t>Minus Annual Employee's CPF Contribution</t>
  </si>
  <si>
    <t>Net Annual Income, after CPF, from your job</t>
  </si>
  <si>
    <t>Total Take Home Income</t>
  </si>
  <si>
    <t>Monthly Expense</t>
  </si>
  <si>
    <t>Expense Type</t>
  </si>
  <si>
    <t>Annual Expense</t>
  </si>
  <si>
    <t>Lump Sum Dependents Expenses Needed</t>
  </si>
  <si>
    <t>Total Cash Needs</t>
  </si>
  <si>
    <t xml:space="preserve">Life Protection Gap </t>
  </si>
  <si>
    <t>Lump Sum Education Expenses needed</t>
  </si>
  <si>
    <t>Education Gap (Total shortfall)</t>
  </si>
  <si>
    <t>More Year to Retirement</t>
  </si>
  <si>
    <t>Lump Sum Retirement Expenses Needed</t>
  </si>
  <si>
    <t xml:space="preserve">Retirement Gap (Total Shortfall) </t>
  </si>
  <si>
    <t>Lump Sum Savings Needed</t>
  </si>
  <si>
    <t>Savings Gap (Total shortfall)</t>
  </si>
  <si>
    <t>Capital Sum Required</t>
  </si>
  <si>
    <t>TPD Protection Gap (Total shortfall)</t>
  </si>
  <si>
    <t>Lump Sum Post Critical Illness Expenses needed</t>
  </si>
  <si>
    <t>Critical Illness Protection Gap (Total shortfall)</t>
  </si>
  <si>
    <t>Lump Sum Long-Term Care Expenses needed</t>
  </si>
  <si>
    <t>Long-Term Care Protection Gap (Total shortfall)</t>
  </si>
  <si>
    <t>Fracture Gap (Total shortfall)</t>
  </si>
  <si>
    <t>Loans</t>
  </si>
  <si>
    <t>Other Expense Description</t>
  </si>
  <si>
    <t>Low to Medium Risk</t>
  </si>
  <si>
    <t>My goal is to use my investments to keep pace with inflation. I can accept some ups and downs in the value of my investments. I understand this means sometimes the value may become less than the amount I invest, in order to achieve the potential of some real capital growth.</t>
  </si>
  <si>
    <t>You are deemed to have knowledge and/ or experience for transactions in an ILP  / CIS. Your Financial Consultant is still required to 
recommend fund(s)/ portfolio(s)   which is or are in line with, or lower than your risk profile.
Note: If you do not accept your Financial Consultant’s recommendation and choose fund(s)/ portfolio(s) with a higher risk  , then 
the responsibility to ensure the suitability of the ILP  / CIS selected would become yours. You will also not be able to rely on the Financial 
Adviser’s Act to file a civil claim in the event you allege you suffered a loss.</t>
  </si>
  <si>
    <t>For</t>
  </si>
  <si>
    <t>Dependent</t>
  </si>
  <si>
    <t>Self, Dependent</t>
  </si>
  <si>
    <t>Financial Details</t>
  </si>
  <si>
    <t>Hopes &amp; Dreams</t>
  </si>
  <si>
    <t>Dependent Details</t>
  </si>
  <si>
    <t>Projected Annual Income Required at Retirement</t>
  </si>
  <si>
    <t>Annual Expense at Retirement Age</t>
  </si>
  <si>
    <t>Annual Income at Retirement Age</t>
  </si>
  <si>
    <t>Method</t>
  </si>
  <si>
    <t>M</t>
  </si>
  <si>
    <t>D</t>
  </si>
  <si>
    <t>P</t>
  </si>
  <si>
    <t>F</t>
  </si>
  <si>
    <t>U</t>
  </si>
  <si>
    <t>S</t>
  </si>
  <si>
    <t>W</t>
  </si>
  <si>
    <t/>
  </si>
  <si>
    <t>AU</t>
  </si>
  <si>
    <t>BR</t>
  </si>
  <si>
    <t>CO</t>
  </si>
  <si>
    <t>DA</t>
  </si>
  <si>
    <t>FA</t>
  </si>
  <si>
    <t>GC</t>
  </si>
  <si>
    <t>GP</t>
  </si>
  <si>
    <t>GU</t>
  </si>
  <si>
    <t>HU</t>
  </si>
  <si>
    <t>MO</t>
  </si>
  <si>
    <t>NE</t>
  </si>
  <si>
    <t>NI</t>
  </si>
  <si>
    <t>OT</t>
  </si>
  <si>
    <t>SI</t>
  </si>
  <si>
    <t>SO</t>
  </si>
  <si>
    <t>ST</t>
  </si>
  <si>
    <t>UN</t>
  </si>
  <si>
    <t>WA</t>
  </si>
  <si>
    <t>WI</t>
  </si>
  <si>
    <t>Relationship Code</t>
  </si>
  <si>
    <t>MR</t>
  </si>
  <si>
    <t>SIR</t>
  </si>
  <si>
    <t>MS</t>
  </si>
  <si>
    <t>MRS</t>
  </si>
  <si>
    <t>MDM</t>
  </si>
  <si>
    <t>MISS</t>
  </si>
  <si>
    <t>DR</t>
  </si>
  <si>
    <t>PROF</t>
  </si>
  <si>
    <t>SNG</t>
  </si>
  <si>
    <t>AFG</t>
  </si>
  <si>
    <t>ALB</t>
  </si>
  <si>
    <t>ALG</t>
  </si>
  <si>
    <t>AND</t>
  </si>
  <si>
    <t>ANG</t>
  </si>
  <si>
    <t>AIA</t>
  </si>
  <si>
    <t>ANT</t>
  </si>
  <si>
    <t>ARG</t>
  </si>
  <si>
    <t>ARM</t>
  </si>
  <si>
    <t>ABW</t>
  </si>
  <si>
    <t>AUS</t>
  </si>
  <si>
    <t>AUT</t>
  </si>
  <si>
    <t>AZE</t>
  </si>
  <si>
    <t>BHM</t>
  </si>
  <si>
    <t>BAH</t>
  </si>
  <si>
    <t>BAN</t>
  </si>
  <si>
    <t>BRB</t>
  </si>
  <si>
    <t>BEL</t>
  </si>
  <si>
    <t>BGM</t>
  </si>
  <si>
    <t>BLZ</t>
  </si>
  <si>
    <t>BEN</t>
  </si>
  <si>
    <t>BER</t>
  </si>
  <si>
    <t>BHU</t>
  </si>
  <si>
    <t>BOL</t>
  </si>
  <si>
    <t>BOH</t>
  </si>
  <si>
    <t>BOT</t>
  </si>
  <si>
    <t>BRA</t>
  </si>
  <si>
    <t>BRU</t>
  </si>
  <si>
    <t>BUL</t>
  </si>
  <si>
    <t>BFA</t>
  </si>
  <si>
    <t>BUR</t>
  </si>
  <si>
    <t>CAM</t>
  </si>
  <si>
    <t>CMR</t>
  </si>
  <si>
    <t>CAN</t>
  </si>
  <si>
    <t>CPV</t>
  </si>
  <si>
    <t>CAY</t>
  </si>
  <si>
    <t>CAR</t>
  </si>
  <si>
    <t>TCD</t>
  </si>
  <si>
    <t>CHI</t>
  </si>
  <si>
    <t>CHL</t>
  </si>
  <si>
    <t>COM</t>
  </si>
  <si>
    <t>DRC</t>
  </si>
  <si>
    <t>COK</t>
  </si>
  <si>
    <t>COS</t>
  </si>
  <si>
    <t>CDI</t>
  </si>
  <si>
    <t>CRO</t>
  </si>
  <si>
    <t>CUB</t>
  </si>
  <si>
    <t>CYP</t>
  </si>
  <si>
    <t>CZE</t>
  </si>
  <si>
    <t>DEN</t>
  </si>
  <si>
    <t>DJI</t>
  </si>
  <si>
    <t>DMA</t>
  </si>
  <si>
    <t>DOM</t>
  </si>
  <si>
    <t>TLS</t>
  </si>
  <si>
    <t>ECU</t>
  </si>
  <si>
    <t>EGY</t>
  </si>
  <si>
    <t>SLV</t>
  </si>
  <si>
    <t>GNQ</t>
  </si>
  <si>
    <t>ERI</t>
  </si>
  <si>
    <t>EST</t>
  </si>
  <si>
    <t>ETH</t>
  </si>
  <si>
    <t>FRO</t>
  </si>
  <si>
    <t>FLK</t>
  </si>
  <si>
    <t>FIJ</t>
  </si>
  <si>
    <t>FIN</t>
  </si>
  <si>
    <t>FRA</t>
  </si>
  <si>
    <t>GAB</t>
  </si>
  <si>
    <t>GMB</t>
  </si>
  <si>
    <t>GEO</t>
  </si>
  <si>
    <t>GER</t>
  </si>
  <si>
    <t>GHA</t>
  </si>
  <si>
    <t>GIB</t>
  </si>
  <si>
    <t>GRE</t>
  </si>
  <si>
    <t>GRL</t>
  </si>
  <si>
    <t>GDL</t>
  </si>
  <si>
    <t>GUD</t>
  </si>
  <si>
    <t>GUA</t>
  </si>
  <si>
    <t>GTM</t>
  </si>
  <si>
    <t>GIN</t>
  </si>
  <si>
    <t>GNB</t>
  </si>
  <si>
    <t>GUY</t>
  </si>
  <si>
    <t>HAI</t>
  </si>
  <si>
    <t>HND</t>
  </si>
  <si>
    <t>HON</t>
  </si>
  <si>
    <t>HUN</t>
  </si>
  <si>
    <t>ICE</t>
  </si>
  <si>
    <t>INI</t>
  </si>
  <si>
    <t>IND</t>
  </si>
  <si>
    <t>IRQ</t>
  </si>
  <si>
    <t>IRE</t>
  </si>
  <si>
    <t>IRN</t>
  </si>
  <si>
    <t>IMN</t>
  </si>
  <si>
    <t>ISR</t>
  </si>
  <si>
    <t>ITA</t>
  </si>
  <si>
    <t>JAM</t>
  </si>
  <si>
    <t>JAP</t>
  </si>
  <si>
    <t>JOR</t>
  </si>
  <si>
    <t>KAZ</t>
  </si>
  <si>
    <t>KEN</t>
  </si>
  <si>
    <t>KIR</t>
  </si>
  <si>
    <t>KUW</t>
  </si>
  <si>
    <t>KYR</t>
  </si>
  <si>
    <t>LAO</t>
  </si>
  <si>
    <t>LVA</t>
  </si>
  <si>
    <t>LEB</t>
  </si>
  <si>
    <t>LSO</t>
  </si>
  <si>
    <t>LIE</t>
  </si>
  <si>
    <t>LIB</t>
  </si>
  <si>
    <t>LIC</t>
  </si>
  <si>
    <t>LIT</t>
  </si>
  <si>
    <t>LUX</t>
  </si>
  <si>
    <t>MAC</t>
  </si>
  <si>
    <t>MDG</t>
  </si>
  <si>
    <t>MWI</t>
  </si>
  <si>
    <t>MAL</t>
  </si>
  <si>
    <t>MAD</t>
  </si>
  <si>
    <t>MLI</t>
  </si>
  <si>
    <t>MAT</t>
  </si>
  <si>
    <t>MHL</t>
  </si>
  <si>
    <t>MTQ</t>
  </si>
  <si>
    <t>MRT</t>
  </si>
  <si>
    <t>MAU</t>
  </si>
  <si>
    <t>MEX</t>
  </si>
  <si>
    <t>FSM</t>
  </si>
  <si>
    <t>MDA</t>
  </si>
  <si>
    <t>MON</t>
  </si>
  <si>
    <t>MOT</t>
  </si>
  <si>
    <t>MGL</t>
  </si>
  <si>
    <t>MSR</t>
  </si>
  <si>
    <t>MAR</t>
  </si>
  <si>
    <t>MOZ</t>
  </si>
  <si>
    <t>MYA</t>
  </si>
  <si>
    <t>NAM</t>
  </si>
  <si>
    <t>NRU</t>
  </si>
  <si>
    <t>NEP</t>
  </si>
  <si>
    <t>NTL</t>
  </si>
  <si>
    <t>NCL</t>
  </si>
  <si>
    <t>NZI</t>
  </si>
  <si>
    <t>NIC</t>
  </si>
  <si>
    <t>NER</t>
  </si>
  <si>
    <t>NIG</t>
  </si>
  <si>
    <t>MNP</t>
  </si>
  <si>
    <t>NKO</t>
  </si>
  <si>
    <t>NOR</t>
  </si>
  <si>
    <t>OMA</t>
  </si>
  <si>
    <t>OTH</t>
  </si>
  <si>
    <t>PAK</t>
  </si>
  <si>
    <t>PLW</t>
  </si>
  <si>
    <t>PSE</t>
  </si>
  <si>
    <t>PAN</t>
  </si>
  <si>
    <t>PNG</t>
  </si>
  <si>
    <t>PAR</t>
  </si>
  <si>
    <t>PER</t>
  </si>
  <si>
    <t>PHI</t>
  </si>
  <si>
    <t>POL</t>
  </si>
  <si>
    <t>POR</t>
  </si>
  <si>
    <t>PRI</t>
  </si>
  <si>
    <t>QAT</t>
  </si>
  <si>
    <t>REU</t>
  </si>
  <si>
    <t>ROM</t>
  </si>
  <si>
    <t>RUS</t>
  </si>
  <si>
    <t>RWA</t>
  </si>
  <si>
    <t>SAI</t>
  </si>
  <si>
    <t>LCA</t>
  </si>
  <si>
    <t>VCT</t>
  </si>
  <si>
    <t>SAM</t>
  </si>
  <si>
    <t>SMR</t>
  </si>
  <si>
    <t>SAO</t>
  </si>
  <si>
    <t>STH</t>
  </si>
  <si>
    <t>SEN</t>
  </si>
  <si>
    <t>SYC</t>
  </si>
  <si>
    <t>SER</t>
  </si>
  <si>
    <t>SIE</t>
  </si>
  <si>
    <t>SLK</t>
  </si>
  <si>
    <t>SLO</t>
  </si>
  <si>
    <t>SOL</t>
  </si>
  <si>
    <t>SOM</t>
  </si>
  <si>
    <t>SAF</t>
  </si>
  <si>
    <t>SKR</t>
  </si>
  <si>
    <t>SSU</t>
  </si>
  <si>
    <t>SPA</t>
  </si>
  <si>
    <t>SRI</t>
  </si>
  <si>
    <t>SHN</t>
  </si>
  <si>
    <t>SPM</t>
  </si>
  <si>
    <t>SUD</t>
  </si>
  <si>
    <t>SUR</t>
  </si>
  <si>
    <t>SWZ</t>
  </si>
  <si>
    <t>SWE</t>
  </si>
  <si>
    <t>SWI</t>
  </si>
  <si>
    <t>SYR</t>
  </si>
  <si>
    <t>TAI</t>
  </si>
  <si>
    <t>TJK</t>
  </si>
  <si>
    <t>TZA</t>
  </si>
  <si>
    <t>THA</t>
  </si>
  <si>
    <t>TGO</t>
  </si>
  <si>
    <t>TKL</t>
  </si>
  <si>
    <t>TON</t>
  </si>
  <si>
    <t>TTO</t>
  </si>
  <si>
    <t>TUN</t>
  </si>
  <si>
    <t>TUR</t>
  </si>
  <si>
    <t>TKM</t>
  </si>
  <si>
    <t>TUV</t>
  </si>
  <si>
    <t>UGA</t>
  </si>
  <si>
    <t>UKR</t>
  </si>
  <si>
    <t>UAE</t>
  </si>
  <si>
    <t>UKD</t>
  </si>
  <si>
    <t>USA</t>
  </si>
  <si>
    <t>URY</t>
  </si>
  <si>
    <t>UZB</t>
  </si>
  <si>
    <t>VUT</t>
  </si>
  <si>
    <t>VAT</t>
  </si>
  <si>
    <t>VEN</t>
  </si>
  <si>
    <t>VIE</t>
  </si>
  <si>
    <t>YEM</t>
  </si>
  <si>
    <t>YUG</t>
  </si>
  <si>
    <t>ZAI</t>
  </si>
  <si>
    <t>ZAM</t>
  </si>
  <si>
    <t>ZIM</t>
  </si>
  <si>
    <t>Country code</t>
  </si>
  <si>
    <t>C</t>
  </si>
  <si>
    <t>T</t>
  </si>
  <si>
    <t>phoneArea/otherInfo</t>
  </si>
  <si>
    <t>SGP</t>
  </si>
  <si>
    <t>DZA</t>
  </si>
  <si>
    <t>ASM</t>
  </si>
  <si>
    <t>AGO</t>
  </si>
  <si>
    <t>ATA</t>
  </si>
  <si>
    <t>ATG</t>
  </si>
  <si>
    <t>BHS</t>
  </si>
  <si>
    <t>BHR</t>
  </si>
  <si>
    <t>BGD</t>
  </si>
  <si>
    <t>BLR</t>
  </si>
  <si>
    <t>BMU</t>
  </si>
  <si>
    <t>BTN</t>
  </si>
  <si>
    <t>BIH</t>
  </si>
  <si>
    <t>BWA</t>
  </si>
  <si>
    <t>VGB</t>
  </si>
  <si>
    <t>BRN</t>
  </si>
  <si>
    <t>BGR</t>
  </si>
  <si>
    <t>MMR</t>
  </si>
  <si>
    <t>BDI</t>
  </si>
  <si>
    <t>KHM</t>
  </si>
  <si>
    <t>CYM</t>
  </si>
  <si>
    <t>CAF</t>
  </si>
  <si>
    <t>CHN</t>
  </si>
  <si>
    <t>CXR</t>
  </si>
  <si>
    <t>CCK</t>
  </si>
  <si>
    <t>CRC</t>
  </si>
  <si>
    <t>HRV</t>
  </si>
  <si>
    <t>COD</t>
  </si>
  <si>
    <t>DNK</t>
  </si>
  <si>
    <t>FJI</t>
  </si>
  <si>
    <t>PYF</t>
  </si>
  <si>
    <t>DEU</t>
  </si>
  <si>
    <t>GRC</t>
  </si>
  <si>
    <t>GRD</t>
  </si>
  <si>
    <t>GUM</t>
  </si>
  <si>
    <t>HTI</t>
  </si>
  <si>
    <t>HKG</t>
  </si>
  <si>
    <t>IS</t>
  </si>
  <si>
    <t>IDN</t>
  </si>
  <si>
    <t>IRL</t>
  </si>
  <si>
    <t>CIV</t>
  </si>
  <si>
    <t>JPN</t>
  </si>
  <si>
    <t>JEY</t>
  </si>
  <si>
    <t>KWT</t>
  </si>
  <si>
    <t>KGZ</t>
  </si>
  <si>
    <t>LBN</t>
  </si>
  <si>
    <t>LBR</t>
  </si>
  <si>
    <t>LBY</t>
  </si>
  <si>
    <t>LTU</t>
  </si>
  <si>
    <t>MKD</t>
  </si>
  <si>
    <t>MYS</t>
  </si>
  <si>
    <t>MDV</t>
  </si>
  <si>
    <t>MLT</t>
  </si>
  <si>
    <t>MUS</t>
  </si>
  <si>
    <t>MYT</t>
  </si>
  <si>
    <t>MCO</t>
  </si>
  <si>
    <t>MNG</t>
  </si>
  <si>
    <t>MNE</t>
  </si>
  <si>
    <t>NPL</t>
  </si>
  <si>
    <t>NLD</t>
  </si>
  <si>
    <t>NZL</t>
  </si>
  <si>
    <t>NGA</t>
  </si>
  <si>
    <t>NIU</t>
  </si>
  <si>
    <t>NFK</t>
  </si>
  <si>
    <t>PRK</t>
  </si>
  <si>
    <t>OMN</t>
  </si>
  <si>
    <t>PRY</t>
  </si>
  <si>
    <t>PHL</t>
  </si>
  <si>
    <t>PCN</t>
  </si>
  <si>
    <t>PRT</t>
  </si>
  <si>
    <t>COG</t>
  </si>
  <si>
    <t>ROU</t>
  </si>
  <si>
    <t>BLM</t>
  </si>
  <si>
    <t>KNA</t>
  </si>
  <si>
    <t>MAF</t>
  </si>
  <si>
    <t>WSM</t>
  </si>
  <si>
    <t>STP</t>
  </si>
  <si>
    <t>SAU</t>
  </si>
  <si>
    <t>SRB</t>
  </si>
  <si>
    <t>SLE</t>
  </si>
  <si>
    <t>SVK</t>
  </si>
  <si>
    <t>SVN</t>
  </si>
  <si>
    <t>SLB</t>
  </si>
  <si>
    <t>ZAF</t>
  </si>
  <si>
    <t>KOR</t>
  </si>
  <si>
    <t>ESP</t>
  </si>
  <si>
    <t>LKA</t>
  </si>
  <si>
    <t>SDN</t>
  </si>
  <si>
    <t>SJM</t>
  </si>
  <si>
    <t>CHE</t>
  </si>
  <si>
    <t>TWN</t>
  </si>
  <si>
    <t>TCA</t>
  </si>
  <si>
    <t>ARE</t>
  </si>
  <si>
    <t>GBR</t>
  </si>
  <si>
    <t>VIR</t>
  </si>
  <si>
    <t>VNM</t>
  </si>
  <si>
    <t>WLF</t>
  </si>
  <si>
    <t>ESH</t>
  </si>
  <si>
    <t>ZMB</t>
  </si>
  <si>
    <t>ZWE</t>
  </si>
  <si>
    <t>phoneArea/code</t>
  </si>
  <si>
    <t>93</t>
  </si>
  <si>
    <t>65</t>
  </si>
  <si>
    <t>355</t>
  </si>
  <si>
    <t>213</t>
  </si>
  <si>
    <t>1-684</t>
  </si>
  <si>
    <t>376</t>
  </si>
  <si>
    <t>244</t>
  </si>
  <si>
    <t>1-264</t>
  </si>
  <si>
    <t>672</t>
  </si>
  <si>
    <t>1-268</t>
  </si>
  <si>
    <t>54</t>
  </si>
  <si>
    <t>374</t>
  </si>
  <si>
    <t>297</t>
  </si>
  <si>
    <t>61</t>
  </si>
  <si>
    <t>43</t>
  </si>
  <si>
    <t>994</t>
  </si>
  <si>
    <t>1-242</t>
  </si>
  <si>
    <t>973</t>
  </si>
  <si>
    <t>880</t>
  </si>
  <si>
    <t>1-246</t>
  </si>
  <si>
    <t>375</t>
  </si>
  <si>
    <t>32</t>
  </si>
  <si>
    <t>501</t>
  </si>
  <si>
    <t>229</t>
  </si>
  <si>
    <t>1-441</t>
  </si>
  <si>
    <t>975</t>
  </si>
  <si>
    <t>591</t>
  </si>
  <si>
    <t>387</t>
  </si>
  <si>
    <t>267</t>
  </si>
  <si>
    <t>55</t>
  </si>
  <si>
    <t>1-284</t>
  </si>
  <si>
    <t>673</t>
  </si>
  <si>
    <t>359</t>
  </si>
  <si>
    <t>226</t>
  </si>
  <si>
    <t>95</t>
  </si>
  <si>
    <t>257</t>
  </si>
  <si>
    <t>855</t>
  </si>
  <si>
    <t>237</t>
  </si>
  <si>
    <t>1</t>
  </si>
  <si>
    <t>238</t>
  </si>
  <si>
    <t>1-345</t>
  </si>
  <si>
    <t>236</t>
  </si>
  <si>
    <t>235</t>
  </si>
  <si>
    <t>56</t>
  </si>
  <si>
    <t>86</t>
  </si>
  <si>
    <t>57</t>
  </si>
  <si>
    <t>269</t>
  </si>
  <si>
    <t>682</t>
  </si>
  <si>
    <t>506</t>
  </si>
  <si>
    <t>385</t>
  </si>
  <si>
    <t>53</t>
  </si>
  <si>
    <t>357</t>
  </si>
  <si>
    <t>420</t>
  </si>
  <si>
    <t>243</t>
  </si>
  <si>
    <t>45</t>
  </si>
  <si>
    <t>253</t>
  </si>
  <si>
    <t>1-767</t>
  </si>
  <si>
    <t>1-809</t>
  </si>
  <si>
    <t>593</t>
  </si>
  <si>
    <t>20</t>
  </si>
  <si>
    <t>503</t>
  </si>
  <si>
    <t>240</t>
  </si>
  <si>
    <t>291</t>
  </si>
  <si>
    <t>372</t>
  </si>
  <si>
    <t>251</t>
  </si>
  <si>
    <t>500</t>
  </si>
  <si>
    <t>298</t>
  </si>
  <si>
    <t>679</t>
  </si>
  <si>
    <t>358</t>
  </si>
  <si>
    <t>33</t>
  </si>
  <si>
    <t>689</t>
  </si>
  <si>
    <t>241</t>
  </si>
  <si>
    <t>220</t>
  </si>
  <si>
    <t>995</t>
  </si>
  <si>
    <t>49</t>
  </si>
  <si>
    <t>233</t>
  </si>
  <si>
    <t>350</t>
  </si>
  <si>
    <t>30</t>
  </si>
  <si>
    <t>299</t>
  </si>
  <si>
    <t>1-473</t>
  </si>
  <si>
    <t>1-671</t>
  </si>
  <si>
    <t>502</t>
  </si>
  <si>
    <t>224</t>
  </si>
  <si>
    <t>245</t>
  </si>
  <si>
    <t>592</t>
  </si>
  <si>
    <t>509</t>
  </si>
  <si>
    <t>39</t>
  </si>
  <si>
    <t>504</t>
  </si>
  <si>
    <t>852</t>
  </si>
  <si>
    <t>36</t>
  </si>
  <si>
    <t>354</t>
  </si>
  <si>
    <t>91</t>
  </si>
  <si>
    <t>62</t>
  </si>
  <si>
    <t>98</t>
  </si>
  <si>
    <t>964</t>
  </si>
  <si>
    <t>353</t>
  </si>
  <si>
    <t>44</t>
  </si>
  <si>
    <t>972</t>
  </si>
  <si>
    <t>225</t>
  </si>
  <si>
    <t>1-876</t>
  </si>
  <si>
    <t>81</t>
  </si>
  <si>
    <t>962</t>
  </si>
  <si>
    <t>7</t>
  </si>
  <si>
    <t>254</t>
  </si>
  <si>
    <t>686</t>
  </si>
  <si>
    <t>965</t>
  </si>
  <si>
    <t>996</t>
  </si>
  <si>
    <t>856</t>
  </si>
  <si>
    <t>371</t>
  </si>
  <si>
    <t>961</t>
  </si>
  <si>
    <t>266</t>
  </si>
  <si>
    <t>231</t>
  </si>
  <si>
    <t>218</t>
  </si>
  <si>
    <t>423</t>
  </si>
  <si>
    <t>370</t>
  </si>
  <si>
    <t>352</t>
  </si>
  <si>
    <t>853</t>
  </si>
  <si>
    <t>389</t>
  </si>
  <si>
    <t>261</t>
  </si>
  <si>
    <t>265</t>
  </si>
  <si>
    <t>60</t>
  </si>
  <si>
    <t>960</t>
  </si>
  <si>
    <t>223</t>
  </si>
  <si>
    <t>356</t>
  </si>
  <si>
    <t>692</t>
  </si>
  <si>
    <t>222</t>
  </si>
  <si>
    <t>230</t>
  </si>
  <si>
    <t>262</t>
  </si>
  <si>
    <t>52</t>
  </si>
  <si>
    <t>691</t>
  </si>
  <si>
    <t>373</t>
  </si>
  <si>
    <t>377</t>
  </si>
  <si>
    <t>976</t>
  </si>
  <si>
    <t>382</t>
  </si>
  <si>
    <t>1-664</t>
  </si>
  <si>
    <t>212</t>
  </si>
  <si>
    <t>258</t>
  </si>
  <si>
    <t>264</t>
  </si>
  <si>
    <t>674</t>
  </si>
  <si>
    <t>977</t>
  </si>
  <si>
    <t>31</t>
  </si>
  <si>
    <t>599</t>
  </si>
  <si>
    <t>687</t>
  </si>
  <si>
    <t>64</t>
  </si>
  <si>
    <t>505</t>
  </si>
  <si>
    <t>227</t>
  </si>
  <si>
    <t>234</t>
  </si>
  <si>
    <t>683</t>
  </si>
  <si>
    <t>850</t>
  </si>
  <si>
    <t>1-670</t>
  </si>
  <si>
    <t>47</t>
  </si>
  <si>
    <t>968</t>
  </si>
  <si>
    <t>92</t>
  </si>
  <si>
    <t>680</t>
  </si>
  <si>
    <t>275</t>
  </si>
  <si>
    <t>507</t>
  </si>
  <si>
    <t>675</t>
  </si>
  <si>
    <t>595</t>
  </si>
  <si>
    <t>51</t>
  </si>
  <si>
    <t>63</t>
  </si>
  <si>
    <t>870</t>
  </si>
  <si>
    <t>48</t>
  </si>
  <si>
    <t>351</t>
  </si>
  <si>
    <t>974</t>
  </si>
  <si>
    <t>242</t>
  </si>
  <si>
    <t>40</t>
  </si>
  <si>
    <t>250</t>
  </si>
  <si>
    <t>590</t>
  </si>
  <si>
    <t>290</t>
  </si>
  <si>
    <t>1-869</t>
  </si>
  <si>
    <t>1-758</t>
  </si>
  <si>
    <t>1-599</t>
  </si>
  <si>
    <t>508</t>
  </si>
  <si>
    <t>1-784</t>
  </si>
  <si>
    <t>685</t>
  </si>
  <si>
    <t>378</t>
  </si>
  <si>
    <t>239</t>
  </si>
  <si>
    <t>966</t>
  </si>
  <si>
    <t>221</t>
  </si>
  <si>
    <t>381</t>
  </si>
  <si>
    <t>248</t>
  </si>
  <si>
    <t>232</t>
  </si>
  <si>
    <t>421</t>
  </si>
  <si>
    <t>386</t>
  </si>
  <si>
    <t>677</t>
  </si>
  <si>
    <t>252</t>
  </si>
  <si>
    <t>27</t>
  </si>
  <si>
    <t>82</t>
  </si>
  <si>
    <t>34</t>
  </si>
  <si>
    <t>94</t>
  </si>
  <si>
    <t>249</t>
  </si>
  <si>
    <t>597</t>
  </si>
  <si>
    <t>268</t>
  </si>
  <si>
    <t>46</t>
  </si>
  <si>
    <t>41</t>
  </si>
  <si>
    <t>963</t>
  </si>
  <si>
    <t>886</t>
  </si>
  <si>
    <t>992</t>
  </si>
  <si>
    <t>255</t>
  </si>
  <si>
    <t>66</t>
  </si>
  <si>
    <t>670</t>
  </si>
  <si>
    <t>228</t>
  </si>
  <si>
    <t>690</t>
  </si>
  <si>
    <t>676</t>
  </si>
  <si>
    <t>1-868</t>
  </si>
  <si>
    <t>216</t>
  </si>
  <si>
    <t>90</t>
  </si>
  <si>
    <t>993</t>
  </si>
  <si>
    <t>1-649</t>
  </si>
  <si>
    <t>688</t>
  </si>
  <si>
    <t>256</t>
  </si>
  <si>
    <t>380</t>
  </si>
  <si>
    <t>971</t>
  </si>
  <si>
    <t>598</t>
  </si>
  <si>
    <t>1-340</t>
  </si>
  <si>
    <t>998</t>
  </si>
  <si>
    <t>678</t>
  </si>
  <si>
    <t>58</t>
  </si>
  <si>
    <t>84</t>
  </si>
  <si>
    <t>681</t>
  </si>
  <si>
    <t>967</t>
  </si>
  <si>
    <t>260</t>
  </si>
  <si>
    <t>263</t>
  </si>
  <si>
    <t>residentOf/code</t>
  </si>
  <si>
    <t>BRI</t>
  </si>
  <si>
    <t>CNR</t>
  </si>
  <si>
    <t>CHS</t>
  </si>
  <si>
    <t>CRI</t>
  </si>
  <si>
    <t>CUW</t>
  </si>
  <si>
    <t>INO</t>
  </si>
  <si>
    <t>INS</t>
  </si>
  <si>
    <t>LCN</t>
  </si>
  <si>
    <t>MLG</t>
  </si>
  <si>
    <t>THO</t>
  </si>
  <si>
    <t>MAE</t>
  </si>
  <si>
    <t>SPR</t>
  </si>
  <si>
    <t>DP</t>
  </si>
  <si>
    <t>EYP</t>
  </si>
  <si>
    <t>EP</t>
  </si>
  <si>
    <t>LTVP</t>
  </si>
  <si>
    <t>SP</t>
  </si>
  <si>
    <t>ABBT</t>
  </si>
  <si>
    <t>ACEX</t>
  </si>
  <si>
    <t>ACCT</t>
  </si>
  <si>
    <t>ACTR</t>
  </si>
  <si>
    <t>ACTY</t>
  </si>
  <si>
    <t>ACUP</t>
  </si>
  <si>
    <t>ADJS</t>
  </si>
  <si>
    <t>ADMG</t>
  </si>
  <si>
    <t>ADVE</t>
  </si>
  <si>
    <t>ADVP</t>
  </si>
  <si>
    <t>AEST</t>
  </si>
  <si>
    <t>AGNT</t>
  </si>
  <si>
    <t>AGRI</t>
  </si>
  <si>
    <t>AITI</t>
  </si>
  <si>
    <t>AITO</t>
  </si>
  <si>
    <t>AIRM</t>
  </si>
  <si>
    <t>AIME</t>
  </si>
  <si>
    <t>ACRE</t>
  </si>
  <si>
    <t>AIRL</t>
  </si>
  <si>
    <t>AIRP</t>
  </si>
  <si>
    <t>AMBU</t>
  </si>
  <si>
    <t>ANAS</t>
  </si>
  <si>
    <t>ALST</t>
  </si>
  <si>
    <t>AMKP</t>
  </si>
  <si>
    <t>ANNO</t>
  </si>
  <si>
    <t>ACON</t>
  </si>
  <si>
    <t>ARCH</t>
  </si>
  <si>
    <t>AMED</t>
  </si>
  <si>
    <t>ARTS</t>
  </si>
  <si>
    <t>AUTA</t>
  </si>
  <si>
    <t>ASEM</t>
  </si>
  <si>
    <t>ASSR</t>
  </si>
  <si>
    <t>ATHL</t>
  </si>
  <si>
    <t>AUDT</t>
  </si>
  <si>
    <t>AUTH</t>
  </si>
  <si>
    <t>BABY</t>
  </si>
  <si>
    <t>BAKE</t>
  </si>
  <si>
    <t>BANK</t>
  </si>
  <si>
    <t>BARR</t>
  </si>
  <si>
    <t>BART</t>
  </si>
  <si>
    <t>BEAU</t>
  </si>
  <si>
    <t>BIOC</t>
  </si>
  <si>
    <t>BIOL</t>
  </si>
  <si>
    <t>BLCK</t>
  </si>
  <si>
    <t>BLAS</t>
  </si>
  <si>
    <t>BOAT</t>
  </si>
  <si>
    <t>BOAS</t>
  </si>
  <si>
    <t>BODG</t>
  </si>
  <si>
    <t>BOIL</t>
  </si>
  <si>
    <t>BOMP</t>
  </si>
  <si>
    <t>BOUN</t>
  </si>
  <si>
    <t>BROP</t>
  </si>
  <si>
    <t>BROK</t>
  </si>
  <si>
    <t>BLDG</t>
  </si>
  <si>
    <t>BULL</t>
  </si>
  <si>
    <t>BIZA</t>
  </si>
  <si>
    <t>BIDM</t>
  </si>
  <si>
    <t>BUSM</t>
  </si>
  <si>
    <t>BIZM</t>
  </si>
  <si>
    <t>BUTC</t>
  </si>
  <si>
    <t>BUTS</t>
  </si>
  <si>
    <t>CABC</t>
  </si>
  <si>
    <t>CALL</t>
  </si>
  <si>
    <t>CAME</t>
  </si>
  <si>
    <t>CAMM</t>
  </si>
  <si>
    <t>CAPT</t>
  </si>
  <si>
    <t>CAPS</t>
  </si>
  <si>
    <t>CARE</t>
  </si>
  <si>
    <t>CARP</t>
  </si>
  <si>
    <t>CASH</t>
  </si>
  <si>
    <t>CATE</t>
  </si>
  <si>
    <t>CEMD</t>
  </si>
  <si>
    <t>CEME</t>
  </si>
  <si>
    <t>CHAU</t>
  </si>
  <si>
    <t>CHEF</t>
  </si>
  <si>
    <t>CHEM</t>
  </si>
  <si>
    <t>CHFF</t>
  </si>
  <si>
    <t>CHIL</t>
  </si>
  <si>
    <t>CHID</t>
  </si>
  <si>
    <t>CHIR</t>
  </si>
  <si>
    <t>CHOR</t>
  </si>
  <si>
    <t>CRCH</t>
  </si>
  <si>
    <t>CIVS</t>
  </si>
  <si>
    <t>CLEI</t>
  </si>
  <si>
    <t>CLEO</t>
  </si>
  <si>
    <t>CLRK</t>
  </si>
  <si>
    <t>CLAS</t>
  </si>
  <si>
    <t>COAS</t>
  </si>
  <si>
    <t>COBB</t>
  </si>
  <si>
    <t>COFM</t>
  </si>
  <si>
    <t>CPRO</t>
  </si>
  <si>
    <t>COMT</t>
  </si>
  <si>
    <t>CONC</t>
  </si>
  <si>
    <t>CONM</t>
  </si>
  <si>
    <t>CONW</t>
  </si>
  <si>
    <t>CNST</t>
  </si>
  <si>
    <t>CONS</t>
  </si>
  <si>
    <t>CONT</t>
  </si>
  <si>
    <t>COOK</t>
  </si>
  <si>
    <t>COPY</t>
  </si>
  <si>
    <t>COST</t>
  </si>
  <si>
    <t>COUN</t>
  </si>
  <si>
    <t>COUS</t>
  </si>
  <si>
    <t>COUM</t>
  </si>
  <si>
    <t>COUV</t>
  </si>
  <si>
    <t>COUT</t>
  </si>
  <si>
    <t>CRAF</t>
  </si>
  <si>
    <t>CRAN</t>
  </si>
  <si>
    <t>CREA</t>
  </si>
  <si>
    <t>CRED</t>
  </si>
  <si>
    <t>CULT</t>
  </si>
  <si>
    <t>CURR</t>
  </si>
  <si>
    <t>CUST</t>
  </si>
  <si>
    <t>CUSO</t>
  </si>
  <si>
    <t>CSOM</t>
  </si>
  <si>
    <t>DANI</t>
  </si>
  <si>
    <t>DANC</t>
  </si>
  <si>
    <t>DEAL</t>
  </si>
  <si>
    <t>DEBT</t>
  </si>
  <si>
    <t>DECK</t>
  </si>
  <si>
    <t>DECO</t>
  </si>
  <si>
    <t>DECT</t>
  </si>
  <si>
    <t>DELI</t>
  </si>
  <si>
    <t>DEMO</t>
  </si>
  <si>
    <t>DENT</t>
  </si>
  <si>
    <t>DASS</t>
  </si>
  <si>
    <t>DESN</t>
  </si>
  <si>
    <t>DISP</t>
  </si>
  <si>
    <t>DETT</t>
  </si>
  <si>
    <t>DEVE</t>
  </si>
  <si>
    <t>DIET</t>
  </si>
  <si>
    <t>DIRE</t>
  </si>
  <si>
    <t>DISC</t>
  </si>
  <si>
    <t>DISH</t>
  </si>
  <si>
    <t>DIV</t>
  </si>
  <si>
    <t>DIVI</t>
  </si>
  <si>
    <t>DOCK</t>
  </si>
  <si>
    <t>DOCT</t>
  </si>
  <si>
    <t>DOGT</t>
  </si>
  <si>
    <t>DOMH</t>
  </si>
  <si>
    <t>DOOR</t>
  </si>
  <si>
    <t>DRAF</t>
  </si>
  <si>
    <t>DRAM</t>
  </si>
  <si>
    <t>DRES</t>
  </si>
  <si>
    <t>DRLO</t>
  </si>
  <si>
    <t>DRIB</t>
  </si>
  <si>
    <t>DRVI</t>
  </si>
  <si>
    <t>DRYC</t>
  </si>
  <si>
    <t>ECOM</t>
  </si>
  <si>
    <t>ECNO</t>
  </si>
  <si>
    <t>EDIT</t>
  </si>
  <si>
    <t>EDUO</t>
  </si>
  <si>
    <t>ELCT</t>
  </si>
  <si>
    <t>EPOP</t>
  </si>
  <si>
    <t>ENGA</t>
  </si>
  <si>
    <t>ENGI</t>
  </si>
  <si>
    <t>ENGC</t>
  </si>
  <si>
    <t>ENGL</t>
  </si>
  <si>
    <t>ENGE</t>
  </si>
  <si>
    <t>ENGM</t>
  </si>
  <si>
    <t>ENGH</t>
  </si>
  <si>
    <t>ENGS</t>
  </si>
  <si>
    <t>ENGV</t>
  </si>
  <si>
    <t>ENTE</t>
  </si>
  <si>
    <t>EXCA</t>
  </si>
  <si>
    <t>FACT</t>
  </si>
  <si>
    <t>FARM</t>
  </si>
  <si>
    <t>FASH</t>
  </si>
  <si>
    <t>FERR</t>
  </si>
  <si>
    <t>FILP</t>
  </si>
  <si>
    <t>FINA</t>
  </si>
  <si>
    <t>FINC</t>
  </si>
  <si>
    <t>FIRE</t>
  </si>
  <si>
    <t>FBRD</t>
  </si>
  <si>
    <t>FISD</t>
  </si>
  <si>
    <t>FISC</t>
  </si>
  <si>
    <t>FISH</t>
  </si>
  <si>
    <t>FITI</t>
  </si>
  <si>
    <t>FLIG</t>
  </si>
  <si>
    <t>FLOR</t>
  </si>
  <si>
    <t>FBMG</t>
  </si>
  <si>
    <t>FMFG</t>
  </si>
  <si>
    <t>FORE</t>
  </si>
  <si>
    <t>FORD</t>
  </si>
  <si>
    <t>FORT</t>
  </si>
  <si>
    <t>FRUI</t>
  </si>
  <si>
    <t>FUND</t>
  </si>
  <si>
    <t>GARB</t>
  </si>
  <si>
    <t>GARD</t>
  </si>
  <si>
    <t>GASD</t>
  </si>
  <si>
    <t>GENM</t>
  </si>
  <si>
    <t>GENW</t>
  </si>
  <si>
    <t>GEOM</t>
  </si>
  <si>
    <t>GLAZ</t>
  </si>
  <si>
    <t>GOLD</t>
  </si>
  <si>
    <t>GRAP</t>
  </si>
  <si>
    <t>GROC</t>
  </si>
  <si>
    <t>GRO</t>
  </si>
  <si>
    <t>GYNA</t>
  </si>
  <si>
    <t>HAIR</t>
  </si>
  <si>
    <t>HAWK</t>
  </si>
  <si>
    <t>HELI</t>
  </si>
  <si>
    <t>HOME</t>
  </si>
  <si>
    <t>HORT</t>
  </si>
  <si>
    <t>HOUK</t>
  </si>
  <si>
    <t>HRPE</t>
  </si>
  <si>
    <t>ILLS</t>
  </si>
  <si>
    <t>IMMO</t>
  </si>
  <si>
    <t>INSP</t>
  </si>
  <si>
    <t>INPA</t>
  </si>
  <si>
    <t>INSU</t>
  </si>
  <si>
    <t>INDE</t>
  </si>
  <si>
    <t>INTP</t>
  </si>
  <si>
    <t>ITAN</t>
  </si>
  <si>
    <t>JANI</t>
  </si>
  <si>
    <t>JEWL</t>
  </si>
  <si>
    <t>JOCK</t>
  </si>
  <si>
    <t>JOUS</t>
  </si>
  <si>
    <t>JOUR</t>
  </si>
  <si>
    <t>JUDI</t>
  </si>
  <si>
    <t>KEYS</t>
  </si>
  <si>
    <t>LABT</t>
  </si>
  <si>
    <t>LABO</t>
  </si>
  <si>
    <t>LAWR</t>
  </si>
  <si>
    <t>LECT</t>
  </si>
  <si>
    <t>LEAD</t>
  </si>
  <si>
    <t>LIBR</t>
  </si>
  <si>
    <t>LIFE</t>
  </si>
  <si>
    <t>LIFT</t>
  </si>
  <si>
    <t>LIGH</t>
  </si>
  <si>
    <t>LITH</t>
  </si>
  <si>
    <t>LOCK</t>
  </si>
  <si>
    <t>LOGI</t>
  </si>
  <si>
    <t>LOSS</t>
  </si>
  <si>
    <t>MACH</t>
  </si>
  <si>
    <t>MAID</t>
  </si>
  <si>
    <t>MAIN</t>
  </si>
  <si>
    <t>MAKE</t>
  </si>
  <si>
    <t>MAKR</t>
  </si>
  <si>
    <t>MANC</t>
  </si>
  <si>
    <t>MGTT</t>
  </si>
  <si>
    <t>MGR</t>
  </si>
  <si>
    <t>MDIR</t>
  </si>
  <si>
    <t>MANI</t>
  </si>
  <si>
    <t>MANP</t>
  </si>
  <si>
    <t>MANF</t>
  </si>
  <si>
    <t>MARS</t>
  </si>
  <si>
    <t>MKTM</t>
  </si>
  <si>
    <t>MART</t>
  </si>
  <si>
    <t>MASS</t>
  </si>
  <si>
    <t>MECH</t>
  </si>
  <si>
    <t>MEDI</t>
  </si>
  <si>
    <t>MERD</t>
  </si>
  <si>
    <t>MERC</t>
  </si>
  <si>
    <t>META</t>
  </si>
  <si>
    <t>MIDW</t>
  </si>
  <si>
    <t>MODE</t>
  </si>
  <si>
    <t>MONC</t>
  </si>
  <si>
    <t>MONK</t>
  </si>
  <si>
    <t>MOUL</t>
  </si>
  <si>
    <t>MRTP</t>
  </si>
  <si>
    <t>MUST</t>
  </si>
  <si>
    <t>MUSI</t>
  </si>
  <si>
    <t>NARC</t>
  </si>
  <si>
    <t>NATI</t>
  </si>
  <si>
    <t>NETS</t>
  </si>
  <si>
    <t>NEUR</t>
  </si>
  <si>
    <t>NEWC</t>
  </si>
  <si>
    <t>NEWS</t>
  </si>
  <si>
    <t>NUN</t>
  </si>
  <si>
    <t>NURS</t>
  </si>
  <si>
    <t>NUTR</t>
  </si>
  <si>
    <t>OBST</t>
  </si>
  <si>
    <t>ODDJ</t>
  </si>
  <si>
    <t>ORP</t>
  </si>
  <si>
    <t>OILR</t>
  </si>
  <si>
    <t>OILT</t>
  </si>
  <si>
    <t>OPMG</t>
  </si>
  <si>
    <t>OPRT</t>
  </si>
  <si>
    <t>OPTC</t>
  </si>
  <si>
    <t>OPTO</t>
  </si>
  <si>
    <t>OTH1</t>
  </si>
  <si>
    <t>OTH2</t>
  </si>
  <si>
    <t>OTH3</t>
  </si>
  <si>
    <t>OTHE</t>
  </si>
  <si>
    <t>PHOT</t>
  </si>
  <si>
    <t>PACK</t>
  </si>
  <si>
    <t>PAED</t>
  </si>
  <si>
    <t>PAIA</t>
  </si>
  <si>
    <t>PAIN</t>
  </si>
  <si>
    <t>PAIG</t>
  </si>
  <si>
    <t>PATR</t>
  </si>
  <si>
    <t>PAWN</t>
  </si>
  <si>
    <t>PENS</t>
  </si>
  <si>
    <t>PASA</t>
  </si>
  <si>
    <t>PEST</t>
  </si>
  <si>
    <t>PETG</t>
  </si>
  <si>
    <t>PETT</t>
  </si>
  <si>
    <t>PETA</t>
  </si>
  <si>
    <t>PHAR</t>
  </si>
  <si>
    <t>PHOI</t>
  </si>
  <si>
    <t>PHYS</t>
  </si>
  <si>
    <t>PILO</t>
  </si>
  <si>
    <t>PILP</t>
  </si>
  <si>
    <t>PLAN</t>
  </si>
  <si>
    <t>PLUM</t>
  </si>
  <si>
    <t>POLI</t>
  </si>
  <si>
    <t>POLS</t>
  </si>
  <si>
    <t>POLT</t>
  </si>
  <si>
    <t>PORT</t>
  </si>
  <si>
    <t>POST</t>
  </si>
  <si>
    <t>PRED</t>
  </si>
  <si>
    <t>PRIN</t>
  </si>
  <si>
    <t>PRIS</t>
  </si>
  <si>
    <t>PRIV</t>
  </si>
  <si>
    <t>PROW</t>
  </si>
  <si>
    <t>PRFB</t>
  </si>
  <si>
    <t>PRJA</t>
  </si>
  <si>
    <t>PRJM</t>
  </si>
  <si>
    <t>PROM</t>
  </si>
  <si>
    <t>PROP</t>
  </si>
  <si>
    <t>PSYC</t>
  </si>
  <si>
    <t>PSCH</t>
  </si>
  <si>
    <t>PURO</t>
  </si>
  <si>
    <t>PUBL</t>
  </si>
  <si>
    <t>PUCH</t>
  </si>
  <si>
    <t>QCON</t>
  </si>
  <si>
    <t>RAGR</t>
  </si>
  <si>
    <t>RADI</t>
  </si>
  <si>
    <t>RECP</t>
  </si>
  <si>
    <t>RECO</t>
  </si>
  <si>
    <t>REFL</t>
  </si>
  <si>
    <t>REGT</t>
  </si>
  <si>
    <t>REMS</t>
  </si>
  <si>
    <t>RPTS</t>
  </si>
  <si>
    <t>RPTO</t>
  </si>
  <si>
    <t>RESI</t>
  </si>
  <si>
    <t>RESO</t>
  </si>
  <si>
    <t>CREW</t>
  </si>
  <si>
    <t>RETR</t>
  </si>
  <si>
    <t>SAFF</t>
  </si>
  <si>
    <t>SAIL</t>
  </si>
  <si>
    <t>SALM</t>
  </si>
  <si>
    <t>SALO</t>
  </si>
  <si>
    <t>SALI</t>
  </si>
  <si>
    <t>SCAD</t>
  </si>
  <si>
    <t>SECT</t>
  </si>
  <si>
    <t>SECA</t>
  </si>
  <si>
    <t>SECU</t>
  </si>
  <si>
    <t>SELF</t>
  </si>
  <si>
    <t>SELO</t>
  </si>
  <si>
    <t>SERO</t>
  </si>
  <si>
    <t>SEWO</t>
  </si>
  <si>
    <t>SHIP</t>
  </si>
  <si>
    <t>SHPO</t>
  </si>
  <si>
    <t>SHOI</t>
  </si>
  <si>
    <t>SHOO</t>
  </si>
  <si>
    <t>SING</t>
  </si>
  <si>
    <t>SKIF</t>
  </si>
  <si>
    <t>SOCW</t>
  </si>
  <si>
    <t>SOLA</t>
  </si>
  <si>
    <t>SOLM</t>
  </si>
  <si>
    <t>SOLR</t>
  </si>
  <si>
    <t>SPTM</t>
  </si>
  <si>
    <t>STEN</t>
  </si>
  <si>
    <t>STOR</t>
  </si>
  <si>
    <t>STOL</t>
  </si>
  <si>
    <t>STUD</t>
  </si>
  <si>
    <t>STUN</t>
  </si>
  <si>
    <t>SUPV</t>
  </si>
  <si>
    <t>SUPC</t>
  </si>
  <si>
    <t>SUPL</t>
  </si>
  <si>
    <t>SUPM</t>
  </si>
  <si>
    <t>SUPH</t>
  </si>
  <si>
    <t>SUPS</t>
  </si>
  <si>
    <t>SUPE</t>
  </si>
  <si>
    <t>SUPP</t>
  </si>
  <si>
    <t>SURG</t>
  </si>
  <si>
    <t>SURV</t>
  </si>
  <si>
    <t>SYSA</t>
  </si>
  <si>
    <t>TAIF</t>
  </si>
  <si>
    <t>TAIL</t>
  </si>
  <si>
    <t>TATT</t>
  </si>
  <si>
    <t>TAXC</t>
  </si>
  <si>
    <t>TAXI</t>
  </si>
  <si>
    <t>TEAC</t>
  </si>
  <si>
    <t>TESU</t>
  </si>
  <si>
    <t>TECH</t>
  </si>
  <si>
    <t>TEST</t>
  </si>
  <si>
    <t>THEA</t>
  </si>
  <si>
    <t>TICK</t>
  </si>
  <si>
    <t>TODD</t>
  </si>
  <si>
    <t>TOGU</t>
  </si>
  <si>
    <t>TOCO</t>
  </si>
  <si>
    <t>TOUR</t>
  </si>
  <si>
    <t>TRAD</t>
  </si>
  <si>
    <t>TRNP</t>
  </si>
  <si>
    <t>TRAN</t>
  </si>
  <si>
    <t>TUGM</t>
  </si>
  <si>
    <t>TUTO</t>
  </si>
  <si>
    <t>TYPS</t>
  </si>
  <si>
    <t>UNDR</t>
  </si>
  <si>
    <t>UNEM</t>
  </si>
  <si>
    <t>VALR</t>
  </si>
  <si>
    <t>VETE</t>
  </si>
  <si>
    <t>VICE</t>
  </si>
  <si>
    <t>WAIB</t>
  </si>
  <si>
    <t>WAIT</t>
  </si>
  <si>
    <t>PLAS</t>
  </si>
  <si>
    <t>WSIN</t>
  </si>
  <si>
    <t>WEBM</t>
  </si>
  <si>
    <t>WELA</t>
  </si>
  <si>
    <t>WELG</t>
  </si>
  <si>
    <t>WELD</t>
  </si>
  <si>
    <t>WELS</t>
  </si>
  <si>
    <t>WIND</t>
  </si>
  <si>
    <t>WINS</t>
  </si>
  <si>
    <t>ZOOK</t>
  </si>
  <si>
    <t>NONE</t>
  </si>
  <si>
    <t>SEC</t>
  </si>
  <si>
    <t>PRETER</t>
  </si>
  <si>
    <t>TER</t>
  </si>
  <si>
    <t>NULL</t>
  </si>
  <si>
    <t>Other Income Description</t>
  </si>
  <si>
    <t>Annual Bonus Amount</t>
  </si>
  <si>
    <t>Annual Amount</t>
  </si>
  <si>
    <t>Monthly Amount</t>
  </si>
  <si>
    <t>Total Annual Expenses</t>
  </si>
  <si>
    <t>Wealth Accumulation Goal</t>
  </si>
  <si>
    <t>E/R/S</t>
  </si>
  <si>
    <t>Hospital Ward Type</t>
  </si>
  <si>
    <t>Hospital Type</t>
  </si>
  <si>
    <t>Premium Support</t>
  </si>
  <si>
    <t>Premium Support Acknowledgement</t>
  </si>
  <si>
    <t>To Address Now</t>
  </si>
  <si>
    <t>Deductible and co insurance</t>
  </si>
  <si>
    <t>PRIVATE</t>
  </si>
  <si>
    <t>A</t>
  </si>
  <si>
    <t>HospitalTypes/code</t>
  </si>
  <si>
    <t>PUBLIC</t>
  </si>
  <si>
    <t>HospitalWardTypes/code</t>
  </si>
  <si>
    <t>B1_AND_BELOW</t>
  </si>
  <si>
    <t>residency/code</t>
  </si>
  <si>
    <t>SC</t>
  </si>
  <si>
    <t>WPEP</t>
  </si>
  <si>
    <t>AssetTypes/code</t>
  </si>
  <si>
    <t>RESIDENTIAL_PROPERTY</t>
  </si>
  <si>
    <t>INVESTMENT_PROPERTIES</t>
  </si>
  <si>
    <t>BANK_SAVINGS</t>
  </si>
  <si>
    <t>CPFOA</t>
  </si>
  <si>
    <t>CPFSA</t>
  </si>
  <si>
    <t>CPFMA</t>
  </si>
  <si>
    <t>CAR_OR_OTHER_VEHICLE</t>
  </si>
  <si>
    <t>OTHERS</t>
  </si>
  <si>
    <t>INVESTMENT_PORTFOLIO</t>
  </si>
  <si>
    <t>InvestmentTypes/code</t>
  </si>
  <si>
    <t>UNIT_TRUST_OR_MUTUAL_FUNDS</t>
  </si>
  <si>
    <t>STOCKS</t>
  </si>
  <si>
    <t>BONDS</t>
  </si>
  <si>
    <t>SourceOfFundTypes/code</t>
  </si>
  <si>
    <t>FrequencyTypes/code</t>
  </si>
  <si>
    <t>ANNUALLY</t>
  </si>
  <si>
    <t>SEMI_ANNUALLY</t>
  </si>
  <si>
    <t>QUARTERLY</t>
  </si>
  <si>
    <t>MONTHLY</t>
  </si>
  <si>
    <t>LiabilityTypes/code</t>
  </si>
  <si>
    <t>MORTGAGE</t>
  </si>
  <si>
    <t>CAR_OR_VEHICLE_LOAN</t>
  </si>
  <si>
    <t>OVERDRAFT_OR_CASH_LOAN</t>
  </si>
  <si>
    <t>Monthly Income from job</t>
  </si>
  <si>
    <t>Annual Income from job</t>
  </si>
  <si>
    <t>Annual Employee's CPF Contribution</t>
  </si>
  <si>
    <t>Net Annual Income</t>
  </si>
  <si>
    <t>Other Occupation</t>
  </si>
  <si>
    <t>PassiveIncomeTypes/code</t>
  </si>
  <si>
    <t>DIVIDENDS</t>
  </si>
  <si>
    <t>PROPERTY_RENTAL</t>
  </si>
  <si>
    <t>ExpensesType/code</t>
  </si>
  <si>
    <t>PERSONAL_EXPENSE</t>
  </si>
  <si>
    <t>FIXED_EXPENSE</t>
  </si>
  <si>
    <t>FAMILY_EXPENSE</t>
  </si>
  <si>
    <t>LUXURY_EXPENSE</t>
  </si>
  <si>
    <t>Annual Cash</t>
  </si>
  <si>
    <t>Annual CPF-OA</t>
  </si>
  <si>
    <t>Annual CPF-SA</t>
  </si>
  <si>
    <t>Annual CPF-MA</t>
  </si>
  <si>
    <t>Annual SRS</t>
  </si>
  <si>
    <t>Lump Sum Cash</t>
  </si>
  <si>
    <t>Lump Sum CPF-OA</t>
  </si>
  <si>
    <t>Lump Sum CPF-SA</t>
  </si>
  <si>
    <t>Lump Sum CPF-MA</t>
  </si>
  <si>
    <t>Lump Sum SRS</t>
  </si>
  <si>
    <t>Validation Status</t>
  </si>
  <si>
    <t>Death Protection</t>
  </si>
  <si>
    <t>Dependent Death Protection</t>
  </si>
  <si>
    <t>Total Permanent Disability</t>
  </si>
  <si>
    <t>Fracture Need</t>
  </si>
  <si>
    <t>Loss of Income</t>
  </si>
  <si>
    <t>Gender Related Illness</t>
  </si>
  <si>
    <t>Children Education</t>
  </si>
  <si>
    <t>Children Savings</t>
  </si>
  <si>
    <t>Hospital</t>
  </si>
  <si>
    <t>DiscloseOtherReasons/code</t>
  </si>
  <si>
    <t>PRIVATE_AND_CONFIDENTIAL</t>
  </si>
  <si>
    <t>WealthAccumulationGoals/code</t>
  </si>
  <si>
    <t>EDUCATION</t>
  </si>
  <si>
    <t>RETIREMENT</t>
  </si>
  <si>
    <t>SAVINGS</t>
  </si>
  <si>
    <t>Master Validation</t>
  </si>
  <si>
    <t>N_INC</t>
  </si>
  <si>
    <t>N_DIC</t>
  </si>
  <si>
    <t>N_TPD</t>
  </si>
  <si>
    <t>N_CRI</t>
  </si>
  <si>
    <t>N_HOS</t>
  </si>
  <si>
    <t>N_LTC</t>
  </si>
  <si>
    <t>N_PAD</t>
  </si>
  <si>
    <t>N_FTE</t>
  </si>
  <si>
    <t>N_LOI</t>
  </si>
  <si>
    <t>N_MFI</t>
  </si>
  <si>
    <t>N_RET</t>
  </si>
  <si>
    <t>N_SAV</t>
  </si>
  <si>
    <t>N_EDU</t>
  </si>
  <si>
    <t>N_CSV</t>
  </si>
  <si>
    <t>F_RPQ</t>
  </si>
  <si>
    <t>F_CKA</t>
  </si>
  <si>
    <t>F_DDT</t>
  </si>
  <si>
    <t>F_HAD</t>
  </si>
  <si>
    <t>F_PDT</t>
  </si>
  <si>
    <t>F_FDT</t>
  </si>
  <si>
    <t>What changes you expect in Assets &amp; Liabilities</t>
  </si>
  <si>
    <t xml:space="preserve">Significant change in Assets &amp; Liabilities in 12 months? </t>
  </si>
  <si>
    <t>Fully declared Assets &amp; Liabilities?</t>
  </si>
  <si>
    <t>Reason for not fully disclosing Assets &amp; Liabilities</t>
  </si>
  <si>
    <t>If Others, please specify Assets &amp; Liabilities</t>
  </si>
  <si>
    <t xml:space="preserve">Significant change in Income &amp; Expenses in 12 months? </t>
  </si>
  <si>
    <t>What changes you expect in Income &amp; Expenses</t>
  </si>
  <si>
    <t>Fully declared Income &amp; Expenses?</t>
  </si>
  <si>
    <t>Reason for not fully disclosing Income &amp; Expenses</t>
  </si>
  <si>
    <t>If Others, please specify Income &amp; Expenses</t>
  </si>
  <si>
    <t>INC001</t>
  </si>
  <si>
    <t>INC002</t>
  </si>
  <si>
    <t>INC003</t>
  </si>
  <si>
    <t>INC004</t>
  </si>
  <si>
    <t>INC005</t>
  </si>
  <si>
    <t>INC006</t>
  </si>
  <si>
    <t>INC007</t>
  </si>
  <si>
    <t>INC008</t>
  </si>
  <si>
    <t>INC009</t>
  </si>
  <si>
    <t>INC010</t>
  </si>
  <si>
    <t>INC011</t>
  </si>
  <si>
    <t>INC012</t>
  </si>
  <si>
    <t>INC013</t>
  </si>
  <si>
    <t>INC014</t>
  </si>
  <si>
    <t>DIC001</t>
  </si>
  <si>
    <t>DIC002</t>
  </si>
  <si>
    <t>DIC003</t>
  </si>
  <si>
    <t>DIC004</t>
  </si>
  <si>
    <t>DIC005</t>
  </si>
  <si>
    <t>DIC006</t>
  </si>
  <si>
    <t>DIC007</t>
  </si>
  <si>
    <t>DIC008</t>
  </si>
  <si>
    <t>DIC009</t>
  </si>
  <si>
    <t>TPD001</t>
  </si>
  <si>
    <t>TPD002</t>
  </si>
  <si>
    <t>TPD003</t>
  </si>
  <si>
    <t>TPD004</t>
  </si>
  <si>
    <t>TPD005</t>
  </si>
  <si>
    <t>TPD006</t>
  </si>
  <si>
    <t>TPD007</t>
  </si>
  <si>
    <t>TPD008</t>
  </si>
  <si>
    <t>TPD009</t>
  </si>
  <si>
    <t>TPD010</t>
  </si>
  <si>
    <t>CRI001</t>
  </si>
  <si>
    <t>CRI002</t>
  </si>
  <si>
    <t>CRI003</t>
  </si>
  <si>
    <t>CRI004</t>
  </si>
  <si>
    <t>CRI005</t>
  </si>
  <si>
    <t>CRI006</t>
  </si>
  <si>
    <t>CRI007</t>
  </si>
  <si>
    <t>CRI008</t>
  </si>
  <si>
    <t>CRI009</t>
  </si>
  <si>
    <t>CRI010</t>
  </si>
  <si>
    <t>Please select Hospital Type</t>
  </si>
  <si>
    <t>Please select Hospital Ward Type</t>
  </si>
  <si>
    <t>HOS001</t>
  </si>
  <si>
    <t>HOS002</t>
  </si>
  <si>
    <t>LTC001</t>
  </si>
  <si>
    <t>LTC002</t>
  </si>
  <si>
    <t>LTC003</t>
  </si>
  <si>
    <t>LTC004</t>
  </si>
  <si>
    <t>LTC005</t>
  </si>
  <si>
    <t>LTC006</t>
  </si>
  <si>
    <t>PAD001</t>
  </si>
  <si>
    <t>PAD002</t>
  </si>
  <si>
    <t>PAD003</t>
  </si>
  <si>
    <t>PAD004</t>
  </si>
  <si>
    <t>PAD005</t>
  </si>
  <si>
    <t>PAD006</t>
  </si>
  <si>
    <t>FTE001</t>
  </si>
  <si>
    <t>FTE002</t>
  </si>
  <si>
    <t>FTE003</t>
  </si>
  <si>
    <t>FTE004</t>
  </si>
  <si>
    <t>FTE005</t>
  </si>
  <si>
    <t>FTE006</t>
  </si>
  <si>
    <t>LOI001</t>
  </si>
  <si>
    <t>LOI002</t>
  </si>
  <si>
    <t>LOI003</t>
  </si>
  <si>
    <t>LOI004</t>
  </si>
  <si>
    <t>LOI005</t>
  </si>
  <si>
    <t>LOI006</t>
  </si>
  <si>
    <t>MFI001</t>
  </si>
  <si>
    <t>MFI002</t>
  </si>
  <si>
    <t>MFI003</t>
  </si>
  <si>
    <t>MFI004</t>
  </si>
  <si>
    <t>MFI005</t>
  </si>
  <si>
    <t>MFI006</t>
  </si>
  <si>
    <t>RET001</t>
  </si>
  <si>
    <t>RET002</t>
  </si>
  <si>
    <t>RET003</t>
  </si>
  <si>
    <t>RET004</t>
  </si>
  <si>
    <t>RET005</t>
  </si>
  <si>
    <t>RET006</t>
  </si>
  <si>
    <t>RET007</t>
  </si>
  <si>
    <t>RET008</t>
  </si>
  <si>
    <t>RET009</t>
  </si>
  <si>
    <t>RET010</t>
  </si>
  <si>
    <t>RET011</t>
  </si>
  <si>
    <t>RET012</t>
  </si>
  <si>
    <t>RET013</t>
  </si>
  <si>
    <t>RET014</t>
  </si>
  <si>
    <t>RET015</t>
  </si>
  <si>
    <t>RET016</t>
  </si>
  <si>
    <t>SAV001</t>
  </si>
  <si>
    <t>SAV002</t>
  </si>
  <si>
    <t>SAV003</t>
  </si>
  <si>
    <t>SAV004</t>
  </si>
  <si>
    <t>SAV005</t>
  </si>
  <si>
    <t>SAV006</t>
  </si>
  <si>
    <t>SAV007</t>
  </si>
  <si>
    <t>EDU001</t>
  </si>
  <si>
    <t>EDU002</t>
  </si>
  <si>
    <t>EDU003</t>
  </si>
  <si>
    <t>EDU004</t>
  </si>
  <si>
    <t>EDU005</t>
  </si>
  <si>
    <t>EDU006</t>
  </si>
  <si>
    <t>EDU007</t>
  </si>
  <si>
    <t>EDU008</t>
  </si>
  <si>
    <t>CSV001</t>
  </si>
  <si>
    <t>CSV002</t>
  </si>
  <si>
    <t>CSV003</t>
  </si>
  <si>
    <t>CSV004</t>
  </si>
  <si>
    <t>CSV005</t>
  </si>
  <si>
    <t>CSV006</t>
  </si>
  <si>
    <t>CSV007</t>
  </si>
  <si>
    <t>RPQ001</t>
  </si>
  <si>
    <t>RPQ002</t>
  </si>
  <si>
    <t>RPQ003</t>
  </si>
  <si>
    <t>RPQ004</t>
  </si>
  <si>
    <t>RPQ005</t>
  </si>
  <si>
    <t>RPQ006</t>
  </si>
  <si>
    <t>RPQ007</t>
  </si>
  <si>
    <t>RPQ008</t>
  </si>
  <si>
    <t>RPQ009</t>
  </si>
  <si>
    <t>CKA001</t>
  </si>
  <si>
    <t>CKA002</t>
  </si>
  <si>
    <t>CKA003</t>
  </si>
  <si>
    <t>CKA004</t>
  </si>
  <si>
    <t>CKA005</t>
  </si>
  <si>
    <t>CKA006</t>
  </si>
  <si>
    <t>CKA007</t>
  </si>
  <si>
    <t>DDT001</t>
  </si>
  <si>
    <t>DDT002</t>
  </si>
  <si>
    <t>DDT003</t>
  </si>
  <si>
    <t>DDT004</t>
  </si>
  <si>
    <t>DDT005</t>
  </si>
  <si>
    <t>DDT006</t>
  </si>
  <si>
    <t>DDT007</t>
  </si>
  <si>
    <t>DDT008</t>
  </si>
  <si>
    <t>PDT001</t>
  </si>
  <si>
    <t>PDT002</t>
  </si>
  <si>
    <t>PDT003</t>
  </si>
  <si>
    <t>PDT004</t>
  </si>
  <si>
    <t>PDT005</t>
  </si>
  <si>
    <t>PDT006</t>
  </si>
  <si>
    <t>PDT007</t>
  </si>
  <si>
    <t>PDT008</t>
  </si>
  <si>
    <t>PDT009</t>
  </si>
  <si>
    <t>PDT010</t>
  </si>
  <si>
    <t>PDT011</t>
  </si>
  <si>
    <t>PDT012</t>
  </si>
  <si>
    <t>PDT013</t>
  </si>
  <si>
    <t>PDT014</t>
  </si>
  <si>
    <t>PDT015</t>
  </si>
  <si>
    <t>PDT016</t>
  </si>
  <si>
    <t>PDT017</t>
  </si>
  <si>
    <t>PDT018</t>
  </si>
  <si>
    <t>PDT019</t>
  </si>
  <si>
    <t>PDT020</t>
  </si>
  <si>
    <t>Cross Validation Check 1</t>
  </si>
  <si>
    <t>Cross Validation Check 2</t>
  </si>
  <si>
    <t>PDT021</t>
  </si>
  <si>
    <t>PDT022</t>
  </si>
  <si>
    <t>Your declared occupation is inconsistent with RPQ Qn6</t>
  </si>
  <si>
    <t>Education Qualification</t>
  </si>
  <si>
    <t>Work Experience</t>
  </si>
  <si>
    <t>Investment Experience</t>
  </si>
  <si>
    <t>Validation Check</t>
  </si>
  <si>
    <t>Asset type 1</t>
  </si>
  <si>
    <t>Asset type 2</t>
  </si>
  <si>
    <t>Asset type 3</t>
  </si>
  <si>
    <t>Asset type 4</t>
  </si>
  <si>
    <t>Asset type 5</t>
  </si>
  <si>
    <t>Asset type 6</t>
  </si>
  <si>
    <t>Asset type 7</t>
  </si>
  <si>
    <t>Asset type 8</t>
  </si>
  <si>
    <t>Asset type 9</t>
  </si>
  <si>
    <t>Asset type 10</t>
  </si>
  <si>
    <t>Asset type 11</t>
  </si>
  <si>
    <t>Asset type 12</t>
  </si>
  <si>
    <t>Current Value Assets 1</t>
  </si>
  <si>
    <t>Current Value Assets 2</t>
  </si>
  <si>
    <t>Current Value Assets 3</t>
  </si>
  <si>
    <t>Current Value Assets 4</t>
  </si>
  <si>
    <t>Current Value Assets 5</t>
  </si>
  <si>
    <t>Current Value Assets 6</t>
  </si>
  <si>
    <t>Current Value Assets 7</t>
  </si>
  <si>
    <t>Current Value Assets 8</t>
  </si>
  <si>
    <t>Current Value Assets 9</t>
  </si>
  <si>
    <t>Current Value Assets 10</t>
  </si>
  <si>
    <t>Current Value Assets 11</t>
  </si>
  <si>
    <t>Current Value Assets 12</t>
  </si>
  <si>
    <t>Return on Investment 1</t>
  </si>
  <si>
    <t>Return on Investment 2</t>
  </si>
  <si>
    <t>Return on Investment 3</t>
  </si>
  <si>
    <t>Return on Investment 4</t>
  </si>
  <si>
    <t>Return on Investment 5</t>
  </si>
  <si>
    <t>Return on Investment 6</t>
  </si>
  <si>
    <t>Return on Investment 7</t>
  </si>
  <si>
    <t>Return on Investment 8</t>
  </si>
  <si>
    <t>Return on Investment 9</t>
  </si>
  <si>
    <t>Return on Investment 10</t>
  </si>
  <si>
    <t>Return on Investment 11</t>
  </si>
  <si>
    <t>Return on Investment 12</t>
  </si>
  <si>
    <t>Others Assets Description 2</t>
  </si>
  <si>
    <t>Others Assets Description 1</t>
  </si>
  <si>
    <t>Others Assets Description 3</t>
  </si>
  <si>
    <t>Others Assets Description 4</t>
  </si>
  <si>
    <t>Others Assets Description 5</t>
  </si>
  <si>
    <t>Others Assets Description 6</t>
  </si>
  <si>
    <t>Others Assets Description 7</t>
  </si>
  <si>
    <t>Others Assets Description 8</t>
  </si>
  <si>
    <t>Others Assets Description 9</t>
  </si>
  <si>
    <t>Others Assets Description 10</t>
  </si>
  <si>
    <t>Others Assets Description 11</t>
  </si>
  <si>
    <t>Others Assets Description 12</t>
  </si>
  <si>
    <t>Liability Type 1</t>
  </si>
  <si>
    <t>Liability Type 2</t>
  </si>
  <si>
    <t>Liability Type 3</t>
  </si>
  <si>
    <t>Liability Type 4</t>
  </si>
  <si>
    <t>Liability Type 5</t>
  </si>
  <si>
    <t>Liability Type 6</t>
  </si>
  <si>
    <t>Current Value Liability 1</t>
  </si>
  <si>
    <t>Current Value Liability 2</t>
  </si>
  <si>
    <t>Current Value Liability 3</t>
  </si>
  <si>
    <t>Current Value Liability 4</t>
  </si>
  <si>
    <t>Current Value Liability 5</t>
  </si>
  <si>
    <t>Current Value Liability 6</t>
  </si>
  <si>
    <t>Others Liability Description 1</t>
  </si>
  <si>
    <t>Others Liability Description 2</t>
  </si>
  <si>
    <t>Others Liability Description 3</t>
  </si>
  <si>
    <t>Others Liability Description 4</t>
  </si>
  <si>
    <t>Others Liability Description 5</t>
  </si>
  <si>
    <t>Others Liability Description 6</t>
  </si>
  <si>
    <t>Income Type 1</t>
  </si>
  <si>
    <t>Income Type 2</t>
  </si>
  <si>
    <t>Income Type 3</t>
  </si>
  <si>
    <t>Income Frequency 1</t>
  </si>
  <si>
    <t>Income Frequency 2</t>
  </si>
  <si>
    <t>Income Frequency 3</t>
  </si>
  <si>
    <t>Other Income Description 1</t>
  </si>
  <si>
    <t>Other Income Description 2</t>
  </si>
  <si>
    <t>Other Income Description 3</t>
  </si>
  <si>
    <t>Monthly Passive Income Amount 1</t>
  </si>
  <si>
    <t>Monthly Passive Income Amount 2</t>
  </si>
  <si>
    <t>Monthly Passive Income Amount 3</t>
  </si>
  <si>
    <t>Annual Passive Income Amount 1</t>
  </si>
  <si>
    <t>Annual Passive Income Amount 2</t>
  </si>
  <si>
    <t>Annual Passive Income Amount 3</t>
  </si>
  <si>
    <t>Other Expense Description 1</t>
  </si>
  <si>
    <t>Other Expense Description 2</t>
  </si>
  <si>
    <t>Other Expense Description 3</t>
  </si>
  <si>
    <t>Other Expense Description 4</t>
  </si>
  <si>
    <t>Other Expense Description 5</t>
  </si>
  <si>
    <t>Frequency 1</t>
  </si>
  <si>
    <t>Frequency 2</t>
  </si>
  <si>
    <t>Frequency 3</t>
  </si>
  <si>
    <t>Frequency 4</t>
  </si>
  <si>
    <t>Frequency 5</t>
  </si>
  <si>
    <t>Annual Expense 1</t>
  </si>
  <si>
    <t>Annual Expense 2</t>
  </si>
  <si>
    <t>Annual Expense 3</t>
  </si>
  <si>
    <t>Annual Expense 4</t>
  </si>
  <si>
    <t>Annual Expense 5</t>
  </si>
  <si>
    <t>Monthly Expense 1</t>
  </si>
  <si>
    <t>Monthly Expense 2</t>
  </si>
  <si>
    <t>Monthly Expense 3</t>
  </si>
  <si>
    <t>Monthly Expense 4</t>
  </si>
  <si>
    <t>Monthly Expense 5</t>
  </si>
  <si>
    <t>Expense Type 1</t>
  </si>
  <si>
    <t>Expense Type 2</t>
  </si>
  <si>
    <t>Expense Type 3</t>
  </si>
  <si>
    <t>Expense Type 4</t>
  </si>
  <si>
    <t>Expense Type 5</t>
  </si>
  <si>
    <t>null</t>
  </si>
  <si>
    <t>Your declared education level is inconsistent with CKA Qn1</t>
  </si>
  <si>
    <t>Relationship 1</t>
  </si>
  <si>
    <t>Relationship 2</t>
  </si>
  <si>
    <t>Relationship 3</t>
  </si>
  <si>
    <t>Relationship 4</t>
  </si>
  <si>
    <t>Relationship 5</t>
  </si>
  <si>
    <t>Relationship 6</t>
  </si>
  <si>
    <t>Relationship 7</t>
  </si>
  <si>
    <t>Relationship 8</t>
  </si>
  <si>
    <t>Gender 1</t>
  </si>
  <si>
    <t>Gender 2</t>
  </si>
  <si>
    <t>Gender 3</t>
  </si>
  <si>
    <t>Gender 4</t>
  </si>
  <si>
    <t>Gender 5</t>
  </si>
  <si>
    <t>Gender 6</t>
  </si>
  <si>
    <t>Gender 7</t>
  </si>
  <si>
    <t>Gender 8</t>
  </si>
  <si>
    <t>Occupation 1</t>
  </si>
  <si>
    <t>Occupation 2</t>
  </si>
  <si>
    <t>Occupation 3</t>
  </si>
  <si>
    <t>Occupation 4</t>
  </si>
  <si>
    <t>Occupation 5</t>
  </si>
  <si>
    <t>Occupation 6</t>
  </si>
  <si>
    <t>Occupation 7</t>
  </si>
  <si>
    <t>Occupation 8</t>
  </si>
  <si>
    <t>If Others, please specify 1</t>
  </si>
  <si>
    <t>If Others, please specify 2</t>
  </si>
  <si>
    <t>If Others, please specify 3</t>
  </si>
  <si>
    <t>If Others, please specify 4</t>
  </si>
  <si>
    <t>If Others, please specify 5</t>
  </si>
  <si>
    <t>If Others, please specify 6</t>
  </si>
  <si>
    <t>If Others, please specify 7</t>
  </si>
  <si>
    <t>If Others, please specify 8</t>
  </si>
  <si>
    <t>DoB 1</t>
  </si>
  <si>
    <t>DoB 2</t>
  </si>
  <si>
    <t>DoB 3</t>
  </si>
  <si>
    <t>DoB 4</t>
  </si>
  <si>
    <t>DoB 5</t>
  </si>
  <si>
    <t>DoB 6</t>
  </si>
  <si>
    <t>DoB 7</t>
  </si>
  <si>
    <t>DoB 8</t>
  </si>
  <si>
    <t>Years to Support Required 1</t>
  </si>
  <si>
    <t>Years to Support Required 2</t>
  </si>
  <si>
    <t>Years to Support Required 3</t>
  </si>
  <si>
    <t>Years to Support Required 4</t>
  </si>
  <si>
    <t>Years to Support Required 5</t>
  </si>
  <si>
    <t>Years to Support Required 6</t>
  </si>
  <si>
    <t>Years to Support Required 7</t>
  </si>
  <si>
    <t>Years to Support Required 8</t>
  </si>
  <si>
    <t>Age 1</t>
  </si>
  <si>
    <t>Age 2</t>
  </si>
  <si>
    <t>Age 3</t>
  </si>
  <si>
    <t>Age 4</t>
  </si>
  <si>
    <t>Age 5</t>
  </si>
  <si>
    <t>Age 6</t>
  </si>
  <si>
    <t>Age 7</t>
  </si>
  <si>
    <t>Age 8</t>
  </si>
  <si>
    <t>FDT001</t>
  </si>
  <si>
    <t>FDT002</t>
  </si>
  <si>
    <t>FDT003</t>
  </si>
  <si>
    <t>FDT004</t>
  </si>
  <si>
    <t>FDT005</t>
  </si>
  <si>
    <t>FDT006</t>
  </si>
  <si>
    <t>FDT007</t>
  </si>
  <si>
    <t>FDT008</t>
  </si>
  <si>
    <t>FDT009</t>
  </si>
  <si>
    <t>FDT010</t>
  </si>
  <si>
    <t>FDT011</t>
  </si>
  <si>
    <t>FDT012</t>
  </si>
  <si>
    <t>FDT013</t>
  </si>
  <si>
    <t>FDT014</t>
  </si>
  <si>
    <t>FDT015</t>
  </si>
  <si>
    <t>FDT016</t>
  </si>
  <si>
    <t>FDT017</t>
  </si>
  <si>
    <t>FDT018</t>
  </si>
  <si>
    <t>FDT019</t>
  </si>
  <si>
    <t>FDT020</t>
  </si>
  <si>
    <t>FDT021</t>
  </si>
  <si>
    <t>FDT022</t>
  </si>
  <si>
    <t>FDT023</t>
  </si>
  <si>
    <t>FDT024</t>
  </si>
  <si>
    <t>FDT025</t>
  </si>
  <si>
    <t>FDT026</t>
  </si>
  <si>
    <t>FDT027</t>
  </si>
  <si>
    <t>FDT028</t>
  </si>
  <si>
    <t>FDT029</t>
  </si>
  <si>
    <t>FDT030</t>
  </si>
  <si>
    <t>FDT031</t>
  </si>
  <si>
    <t>FDT032</t>
  </si>
  <si>
    <t>FDT033</t>
  </si>
  <si>
    <t>FDT034</t>
  </si>
  <si>
    <t>FDT035</t>
  </si>
  <si>
    <t>FDT036</t>
  </si>
  <si>
    <t>FDT037</t>
  </si>
  <si>
    <t>FDT038</t>
  </si>
  <si>
    <t>FDT039</t>
  </si>
  <si>
    <t>FDT040</t>
  </si>
  <si>
    <t>FDT041</t>
  </si>
  <si>
    <t>FDT042</t>
  </si>
  <si>
    <t>FDT043</t>
  </si>
  <si>
    <t>FDT044</t>
  </si>
  <si>
    <t>FDT045</t>
  </si>
  <si>
    <t>FDT046</t>
  </si>
  <si>
    <t>FDT047</t>
  </si>
  <si>
    <t>FDT048</t>
  </si>
  <si>
    <t>FDT049</t>
  </si>
  <si>
    <t>FDT050</t>
  </si>
  <si>
    <t>FDT051</t>
  </si>
  <si>
    <t>FDT052</t>
  </si>
  <si>
    <t>FDT053</t>
  </si>
  <si>
    <t>FDT054</t>
  </si>
  <si>
    <t>FDT055</t>
  </si>
  <si>
    <t>FDT056</t>
  </si>
  <si>
    <t>FDT057</t>
  </si>
  <si>
    <t>FDT058</t>
  </si>
  <si>
    <t>FDT059</t>
  </si>
  <si>
    <t>FDT060</t>
  </si>
  <si>
    <t>FDT061</t>
  </si>
  <si>
    <t>FDT062</t>
  </si>
  <si>
    <t>FDT063</t>
  </si>
  <si>
    <t>FDT064</t>
  </si>
  <si>
    <t>FDT065</t>
  </si>
  <si>
    <t>FDT066</t>
  </si>
  <si>
    <t>FDT067</t>
  </si>
  <si>
    <t>FDT068</t>
  </si>
  <si>
    <t>FDT069</t>
  </si>
  <si>
    <t>FDT070</t>
  </si>
  <si>
    <t>FDT071</t>
  </si>
  <si>
    <t>FDT072</t>
  </si>
  <si>
    <t>FDT073</t>
  </si>
  <si>
    <t>FDT074</t>
  </si>
  <si>
    <t>FDT075</t>
  </si>
  <si>
    <t>FDT076</t>
  </si>
  <si>
    <t>FDT077</t>
  </si>
  <si>
    <t>FDT078</t>
  </si>
  <si>
    <t>FDT079</t>
  </si>
  <si>
    <t>FDT080</t>
  </si>
  <si>
    <t>FDT081</t>
  </si>
  <si>
    <t>FDT082</t>
  </si>
  <si>
    <t>FDT083</t>
  </si>
  <si>
    <t>FDT084</t>
  </si>
  <si>
    <t>FDT085</t>
  </si>
  <si>
    <t>FDT086</t>
  </si>
  <si>
    <t>FDT087</t>
  </si>
  <si>
    <t>FDT088</t>
  </si>
  <si>
    <t>FDT089</t>
  </si>
  <si>
    <t>FDT090</t>
  </si>
  <si>
    <t>FDT091</t>
  </si>
  <si>
    <t>FDT092</t>
  </si>
  <si>
    <t>FDT093</t>
  </si>
  <si>
    <t>FDT094</t>
  </si>
  <si>
    <t>FDT095</t>
  </si>
  <si>
    <t>FDT096</t>
  </si>
  <si>
    <t>FDT097</t>
  </si>
  <si>
    <t>FDT098</t>
  </si>
  <si>
    <t>FDT099</t>
  </si>
  <si>
    <t>FDT100</t>
  </si>
  <si>
    <t>FDT101</t>
  </si>
  <si>
    <t>FDT102</t>
  </si>
  <si>
    <t>FDT103</t>
  </si>
  <si>
    <t>FDT104</t>
  </si>
  <si>
    <t>FDT105</t>
  </si>
  <si>
    <t>FDT106</t>
  </si>
  <si>
    <t>FDT107</t>
  </si>
  <si>
    <t>FDT108</t>
  </si>
  <si>
    <t>FDT109</t>
  </si>
  <si>
    <t>FDT110</t>
  </si>
  <si>
    <t>FDT111</t>
  </si>
  <si>
    <t>FDT112</t>
  </si>
  <si>
    <t>FDT113</t>
  </si>
  <si>
    <t>FDT114</t>
  </si>
  <si>
    <t>FDT115</t>
  </si>
  <si>
    <t>FDT116</t>
  </si>
  <si>
    <t>FDT117</t>
  </si>
  <si>
    <t>FDT118</t>
  </si>
  <si>
    <t>FDT119</t>
  </si>
  <si>
    <t>FDT120</t>
  </si>
  <si>
    <t>FDT121</t>
  </si>
  <si>
    <t>FDT122</t>
  </si>
  <si>
    <t>FDT123</t>
  </si>
  <si>
    <t>FDT124</t>
  </si>
  <si>
    <t>FDT125</t>
  </si>
  <si>
    <t>FDT126</t>
  </si>
  <si>
    <t>FDT127</t>
  </si>
  <si>
    <t>FDT128</t>
  </si>
  <si>
    <t>FDT129</t>
  </si>
  <si>
    <t>FDT130</t>
  </si>
  <si>
    <t>FDT131</t>
  </si>
  <si>
    <t>FDT132</t>
  </si>
  <si>
    <t>FDT133</t>
  </si>
  <si>
    <t>DDT009</t>
  </si>
  <si>
    <t>DDT010</t>
  </si>
  <si>
    <t>DDT011</t>
  </si>
  <si>
    <t>DDT012</t>
  </si>
  <si>
    <t>DDT013</t>
  </si>
  <si>
    <t>DDT014</t>
  </si>
  <si>
    <t>DDT015</t>
  </si>
  <si>
    <t>DDT016</t>
  </si>
  <si>
    <t>DDT017</t>
  </si>
  <si>
    <t>DDT018</t>
  </si>
  <si>
    <t>DDT019</t>
  </si>
  <si>
    <t>DDT020</t>
  </si>
  <si>
    <t>DDT021</t>
  </si>
  <si>
    <t>DDT022</t>
  </si>
  <si>
    <t>DDT023</t>
  </si>
  <si>
    <t>DDT024</t>
  </si>
  <si>
    <t>DDT025</t>
  </si>
  <si>
    <t>DDT026</t>
  </si>
  <si>
    <t>DDT027</t>
  </si>
  <si>
    <t>DDT028</t>
  </si>
  <si>
    <t>DDT029</t>
  </si>
  <si>
    <t>DDT030</t>
  </si>
  <si>
    <t>DDT031</t>
  </si>
  <si>
    <t>DDT032</t>
  </si>
  <si>
    <t>DDT033</t>
  </si>
  <si>
    <t>DDT034</t>
  </si>
  <si>
    <t>DDT035</t>
  </si>
  <si>
    <t>DDT036</t>
  </si>
  <si>
    <t>DDT037</t>
  </si>
  <si>
    <t>DDT038</t>
  </si>
  <si>
    <t>DDT039</t>
  </si>
  <si>
    <t>DDT040</t>
  </si>
  <si>
    <t>DDT041</t>
  </si>
  <si>
    <t>DDT042</t>
  </si>
  <si>
    <t>DDT043</t>
  </si>
  <si>
    <t>DDT044</t>
  </si>
  <si>
    <t>DDT045</t>
  </si>
  <si>
    <t>DDT046</t>
  </si>
  <si>
    <t>DDT047</t>
  </si>
  <si>
    <t>DDT048</t>
  </si>
  <si>
    <t>DDT049</t>
  </si>
  <si>
    <t>DDT050</t>
  </si>
  <si>
    <t>DDT051</t>
  </si>
  <si>
    <t>DDT052</t>
  </si>
  <si>
    <t>DDT053</t>
  </si>
  <si>
    <t>DDT054</t>
  </si>
  <si>
    <t>DDT055</t>
  </si>
  <si>
    <t>DDT056</t>
  </si>
  <si>
    <t>DDT057</t>
  </si>
  <si>
    <t>DDT058</t>
  </si>
  <si>
    <t>DDT059</t>
  </si>
  <si>
    <t>DDT060</t>
  </si>
  <si>
    <t>Cross Validation 1</t>
  </si>
  <si>
    <t>Cross Validation 2</t>
  </si>
  <si>
    <t>Cross Validation 3</t>
  </si>
  <si>
    <t>Cross Validation 4</t>
  </si>
  <si>
    <t>RPQ010</t>
  </si>
  <si>
    <t>RPQ011</t>
  </si>
  <si>
    <t>RPQ012</t>
  </si>
  <si>
    <t>RPQ013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</si>
</sst>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_-;\-* #,##0_-;_-* &quot;-&quot;??_-;_-@_-"/>
    <numFmt numFmtId="167" formatCode="dd/mm/yyyy;@"/>
    <numFmt numFmtId="168" formatCode="_(* #,##0_);_(* \(#,##0\);_(* &quot;-&quot;??_);_(@_)"/>
  </numFmts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Roboto"/>
    </font>
    <font>
      <sz val="10"/>
      <color theme="1"/>
      <name val="Roboto"/>
    </font>
    <font>
      <sz val="8"/>
      <color theme="1"/>
      <name val="Calibri"/>
      <family val="2"/>
      <scheme val="minor"/>
    </font>
    <font>
      <sz val="11"/>
      <color theme="1"/>
      <name val="Roboto"/>
    </font>
    <font>
      <sz val="13"/>
      <color rgb="FF2F5496"/>
      <name val="Calibri Light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/>
    <xf numFmtId="0" fontId="15" fillId="0" borderId="0"/>
  </cellStyleXfs>
  <cellXfs count="1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7" fillId="0" borderId="1" xfId="0" applyFont="1" applyBorder="1" applyAlignment="1">
      <alignment horizontal="center"/>
    </xf>
    <xf numFmtId="0" fontId="0" fillId="0" borderId="2" xfId="0" applyBorder="1"/>
    <xf numFmtId="166" fontId="0" fillId="5" borderId="3" xfId="2" quotePrefix="1" applyNumberFormat="1" applyFont="1" applyFill="1" applyBorder="1"/>
    <xf numFmtId="0" fontId="0" fillId="0" borderId="4" xfId="0" applyBorder="1"/>
    <xf numFmtId="9" fontId="0" fillId="0" borderId="1" xfId="0" applyNumberFormat="1" applyBorder="1"/>
    <xf numFmtId="0" fontId="0" fillId="3" borderId="5" xfId="0" applyFill="1" applyBorder="1"/>
    <xf numFmtId="166" fontId="0" fillId="3" borderId="3" xfId="2" quotePrefix="1" applyNumberFormat="1" applyFont="1" applyFill="1" applyBorder="1"/>
    <xf numFmtId="10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center"/>
    </xf>
    <xf numFmtId="0" fontId="21" fillId="0" borderId="0" xfId="0" applyFont="1" applyAlignment="1">
      <alignment horizontal="justify" vertical="center"/>
    </xf>
    <xf numFmtId="0" fontId="22" fillId="0" borderId="0" xfId="0" applyFont="1" applyAlignment="1">
      <alignment horizontal="justify" vertical="center"/>
    </xf>
    <xf numFmtId="0" fontId="0" fillId="5" borderId="5" xfId="0" quotePrefix="1" applyFill="1" applyBorder="1" applyAlignment="1">
      <alignment horizontal="left"/>
    </xf>
    <xf numFmtId="0" fontId="0" fillId="3" borderId="5" xfId="0" quotePrefix="1" applyFill="1" applyBorder="1" applyAlignment="1">
      <alignment horizontal="left"/>
    </xf>
    <xf numFmtId="0" fontId="23" fillId="0" borderId="0" xfId="3"/>
    <xf numFmtId="0" fontId="25" fillId="0" borderId="1" xfId="0" applyFont="1" applyBorder="1"/>
    <xf numFmtId="0" fontId="24" fillId="0" borderId="1" xfId="0" applyFont="1" applyBorder="1"/>
    <xf numFmtId="0" fontId="0" fillId="2" borderId="1" xfId="1" applyNumberFormat="1" applyFont="1" applyFill="1" applyBorder="1"/>
    <xf numFmtId="164" fontId="0" fillId="6" borderId="1" xfId="1" applyFont="1" applyFill="1" applyBorder="1"/>
    <xf numFmtId="0" fontId="26" fillId="7" borderId="0" xfId="4" applyFill="1"/>
    <xf numFmtId="0" fontId="26" fillId="0" borderId="0" xfId="4"/>
    <xf numFmtId="0" fontId="26" fillId="8" borderId="0" xfId="4" applyFill="1"/>
    <xf numFmtId="0" fontId="26" fillId="5" borderId="0" xfId="4" applyFill="1"/>
    <xf numFmtId="0" fontId="17" fillId="0" borderId="0" xfId="4" applyFont="1"/>
    <xf numFmtId="0" fontId="26" fillId="0" borderId="8" xfId="4" applyBorder="1"/>
    <xf numFmtId="0" fontId="26" fillId="0" borderId="9" xfId="4" applyBorder="1"/>
    <xf numFmtId="0" fontId="26" fillId="0" borderId="10" xfId="4" applyBorder="1"/>
    <xf numFmtId="0" fontId="26" fillId="0" borderId="12" xfId="4" applyBorder="1"/>
    <xf numFmtId="0" fontId="27" fillId="0" borderId="8" xfId="4" applyFont="1" applyBorder="1"/>
    <xf numFmtId="0" fontId="27" fillId="0" borderId="12" xfId="4" applyFont="1" applyBorder="1"/>
    <xf numFmtId="0" fontId="15" fillId="0" borderId="0" xfId="5"/>
    <xf numFmtId="0" fontId="15" fillId="7" borderId="0" xfId="5" applyFill="1"/>
    <xf numFmtId="0" fontId="15" fillId="8" borderId="0" xfId="5" applyFill="1"/>
    <xf numFmtId="0" fontId="15" fillId="5" borderId="0" xfId="5" applyFill="1"/>
    <xf numFmtId="0" fontId="15" fillId="9" borderId="0" xfId="5" applyFill="1"/>
    <xf numFmtId="0" fontId="17" fillId="0" borderId="0" xfId="5" applyFont="1" applyAlignment="1">
      <alignment horizontal="center"/>
    </xf>
    <xf numFmtId="0" fontId="17" fillId="0" borderId="0" xfId="5" applyFont="1"/>
    <xf numFmtId="0" fontId="28" fillId="0" borderId="0" xfId="5" applyFont="1"/>
    <xf numFmtId="0" fontId="17" fillId="0" borderId="1" xfId="5" applyFont="1" applyBorder="1" applyAlignment="1">
      <alignment horizontal="center"/>
    </xf>
    <xf numFmtId="167" fontId="15" fillId="7" borderId="0" xfId="5" applyNumberFormat="1" applyFill="1"/>
    <xf numFmtId="0" fontId="15" fillId="0" borderId="1" xfId="5" applyBorder="1"/>
    <xf numFmtId="0" fontId="15" fillId="0" borderId="0" xfId="5" quotePrefix="1"/>
    <xf numFmtId="2" fontId="15" fillId="0" borderId="0" xfId="5" applyNumberFormat="1"/>
    <xf numFmtId="0" fontId="0" fillId="0" borderId="5" xfId="0" applyBorder="1"/>
    <xf numFmtId="0" fontId="0" fillId="10" borderId="1" xfId="0" applyFill="1" applyBorder="1"/>
    <xf numFmtId="0" fontId="14" fillId="0" borderId="0" xfId="5" applyFont="1"/>
    <xf numFmtId="0" fontId="14" fillId="9" borderId="0" xfId="5" applyFont="1" applyFill="1"/>
    <xf numFmtId="167" fontId="15" fillId="9" borderId="0" xfId="5" applyNumberFormat="1" applyFill="1"/>
    <xf numFmtId="0" fontId="14" fillId="0" borderId="0" xfId="4" applyFont="1"/>
    <xf numFmtId="0" fontId="26" fillId="9" borderId="0" xfId="4" applyFill="1"/>
    <xf numFmtId="0" fontId="26" fillId="9" borderId="9" xfId="4" applyFill="1" applyBorder="1"/>
    <xf numFmtId="0" fontId="26" fillId="9" borderId="13" xfId="4" applyFill="1" applyBorder="1"/>
    <xf numFmtId="0" fontId="26" fillId="9" borderId="11" xfId="4" applyFill="1" applyBorder="1"/>
    <xf numFmtId="0" fontId="27" fillId="9" borderId="9" xfId="4" applyFont="1" applyFill="1" applyBorder="1"/>
    <xf numFmtId="0" fontId="27" fillId="9" borderId="13" xfId="4" applyFont="1" applyFill="1" applyBorder="1"/>
    <xf numFmtId="14" fontId="26" fillId="9" borderId="9" xfId="4" applyNumberFormat="1" applyFill="1" applyBorder="1"/>
    <xf numFmtId="0" fontId="25" fillId="11" borderId="6" xfId="0" applyFont="1" applyFill="1" applyBorder="1"/>
    <xf numFmtId="2" fontId="0" fillId="0" borderId="1" xfId="0" applyNumberFormat="1" applyBorder="1"/>
    <xf numFmtId="0" fontId="13" fillId="0" borderId="1" xfId="5" applyFont="1" applyBorder="1"/>
    <xf numFmtId="0" fontId="26" fillId="0" borderId="1" xfId="4" applyBorder="1"/>
    <xf numFmtId="0" fontId="15" fillId="7" borderId="1" xfId="5" applyFill="1" applyBorder="1"/>
    <xf numFmtId="0" fontId="26" fillId="9" borderId="1" xfId="4" applyFill="1" applyBorder="1"/>
    <xf numFmtId="0" fontId="15" fillId="9" borderId="1" xfId="5" applyFill="1" applyBorder="1"/>
    <xf numFmtId="0" fontId="14" fillId="9" borderId="1" xfId="5" applyFont="1" applyFill="1" applyBorder="1"/>
    <xf numFmtId="0" fontId="25" fillId="0" borderId="0" xfId="0" applyFont="1"/>
    <xf numFmtId="0" fontId="11" fillId="9" borderId="0" xfId="5" applyFont="1" applyFill="1"/>
    <xf numFmtId="0" fontId="11" fillId="0" borderId="0" xfId="5" applyFont="1"/>
    <xf numFmtId="0" fontId="10" fillId="7" borderId="0" xfId="4" applyFont="1" applyFill="1" applyAlignment="1">
      <alignment horizontal="center"/>
    </xf>
    <xf numFmtId="0" fontId="9" fillId="0" borderId="8" xfId="4" applyFont="1" applyBorder="1"/>
    <xf numFmtId="0" fontId="12" fillId="0" borderId="12" xfId="4" applyFont="1" applyBorder="1"/>
    <xf numFmtId="0" fontId="17" fillId="0" borderId="8" xfId="4" applyFont="1" applyBorder="1" applyAlignment="1">
      <alignment horizontal="center"/>
    </xf>
    <xf numFmtId="0" fontId="17" fillId="0" borderId="9" xfId="4" applyFont="1" applyBorder="1" applyAlignment="1">
      <alignment horizontal="center"/>
    </xf>
    <xf numFmtId="0" fontId="9" fillId="9" borderId="9" xfId="4" applyFont="1" applyFill="1" applyBorder="1"/>
    <xf numFmtId="0" fontId="8" fillId="9" borderId="0" xfId="5" applyFont="1" applyFill="1"/>
    <xf numFmtId="0" fontId="17" fillId="0" borderId="0" xfId="5" applyFont="1" applyAlignment="1">
      <alignment horizontal="left"/>
    </xf>
    <xf numFmtId="0" fontId="15" fillId="0" borderId="0" xfId="5" applyAlignment="1">
      <alignment horizontal="left"/>
    </xf>
    <xf numFmtId="0" fontId="7" fillId="0" borderId="1" xfId="5" applyFont="1" applyBorder="1"/>
    <xf numFmtId="0" fontId="7" fillId="0" borderId="1" xfId="4" applyFont="1" applyBorder="1"/>
    <xf numFmtId="0" fontId="7" fillId="0" borderId="8" xfId="4" applyFont="1" applyBorder="1"/>
    <xf numFmtId="0" fontId="7" fillId="9" borderId="9" xfId="4" applyFont="1" applyFill="1" applyBorder="1"/>
    <xf numFmtId="0" fontId="15" fillId="0" borderId="2" xfId="5" applyBorder="1"/>
    <xf numFmtId="0" fontId="15" fillId="0" borderId="4" xfId="5" applyBorder="1"/>
    <xf numFmtId="0" fontId="26" fillId="0" borderId="2" xfId="4" applyBorder="1"/>
    <xf numFmtId="0" fontId="26" fillId="0" borderId="4" xfId="4" applyBorder="1"/>
    <xf numFmtId="0" fontId="0" fillId="12" borderId="0" xfId="0" applyFill="1"/>
    <xf numFmtId="0" fontId="6" fillId="0" borderId="1" xfId="4" applyFont="1" applyBorder="1"/>
    <xf numFmtId="0" fontId="16" fillId="0" borderId="1" xfId="5" applyFont="1" applyBorder="1"/>
    <xf numFmtId="0" fontId="5" fillId="0" borderId="1" xfId="5" applyFont="1" applyBorder="1"/>
    <xf numFmtId="0" fontId="4" fillId="0" borderId="1" xfId="5" applyFont="1" applyBorder="1"/>
    <xf numFmtId="0" fontId="9" fillId="0" borderId="10" xfId="4" applyFont="1" applyBorder="1" applyAlignment="1">
      <alignment horizontal="left"/>
    </xf>
    <xf numFmtId="168" fontId="9" fillId="9" borderId="11" xfId="2" applyNumberFormat="1" applyFont="1" applyFill="1" applyBorder="1" applyAlignment="1">
      <alignment horizontal="left" indent="2"/>
    </xf>
    <xf numFmtId="0" fontId="12" fillId="0" borderId="8" xfId="4" applyFont="1" applyBorder="1"/>
    <xf numFmtId="0" fontId="3" fillId="0" borderId="1" xfId="5" applyFont="1" applyBorder="1"/>
    <xf numFmtId="0" fontId="3" fillId="0" borderId="1" xfId="4" applyFont="1" applyBorder="1"/>
    <xf numFmtId="0" fontId="3" fillId="0" borderId="0" xfId="4" applyFont="1"/>
    <xf numFmtId="0" fontId="2" fillId="9" borderId="0" xfId="4" applyFont="1" applyFill="1"/>
    <xf numFmtId="0" fontId="2" fillId="9" borderId="9" xfId="4" applyFont="1" applyFill="1" applyBorder="1"/>
    <xf numFmtId="0" fontId="2" fillId="9" borderId="13" xfId="4" applyFont="1" applyFill="1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7" fillId="0" borderId="7" xfId="4" applyFont="1" applyBorder="1" applyAlignment="1">
      <alignment horizontal="center"/>
    </xf>
    <xf numFmtId="0" fontId="17" fillId="0" borderId="6" xfId="4" applyFont="1" applyBorder="1" applyAlignment="1">
      <alignment horizontal="center"/>
    </xf>
    <xf numFmtId="0" fontId="7" fillId="0" borderId="10" xfId="4" applyFont="1" applyBorder="1" applyAlignment="1">
      <alignment horizontal="center"/>
    </xf>
    <xf numFmtId="0" fontId="26" fillId="0" borderId="11" xfId="4" applyBorder="1" applyAlignment="1">
      <alignment horizontal="center"/>
    </xf>
    <xf numFmtId="0" fontId="26" fillId="0" borderId="8" xfId="4" applyBorder="1" applyAlignment="1">
      <alignment horizontal="center"/>
    </xf>
    <xf numFmtId="0" fontId="26" fillId="0" borderId="9" xfId="4" applyBorder="1" applyAlignment="1">
      <alignment horizontal="center"/>
    </xf>
    <xf numFmtId="0" fontId="17" fillId="0" borderId="10" xfId="4" applyFont="1" applyBorder="1" applyAlignment="1">
      <alignment horizontal="center"/>
    </xf>
    <xf numFmtId="0" fontId="17" fillId="0" borderId="11" xfId="4" applyFont="1" applyBorder="1" applyAlignment="1">
      <alignment horizontal="center"/>
    </xf>
    <xf numFmtId="0" fontId="1" fillId="0" borderId="1" xfId="5" applyFont="1" applyBorder="1"/>
    <xf numFmtId="0" fontId="1" fillId="9" borderId="0" xfId="5" applyFont="1" applyFill="1"/>
  </cellXfs>
  <cellStyles count="6">
    <cellStyle name="Comma" xfId="2" builtinId="3"/>
    <cellStyle name="Currency" xfId="1" builtinId="4"/>
    <cellStyle name="Hyperlink" xfId="3" builtinId="8"/>
    <cellStyle name="Normal" xfId="0" builtinId="0"/>
    <cellStyle name="Normal 2" xfId="4" xr:uid="{C81A3A9D-560A-1444-AD1A-BF5D3FB6312D}"/>
    <cellStyle name="Normal 2 2" xfId="5" xr:uid="{5D475A30-20B7-4142-A70B-7541EBE801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3F3B-604C-DE4D-B904-AECA11123423}">
  <dimension ref="A2:I22"/>
  <sheetViews>
    <sheetView zoomScale="90" zoomScaleNormal="90" workbookViewId="0">
      <selection activeCell="E4" sqref="E4"/>
    </sheetView>
  </sheetViews>
  <sheetFormatPr defaultColWidth="11.1640625" defaultRowHeight="15.5"/>
  <cols>
    <col min="1" max="1" width="13.1640625" customWidth="1"/>
    <col min="2" max="2" width="24.1640625" bestFit="1" customWidth="1"/>
    <col min="3" max="3" width="21.6640625" customWidth="1"/>
    <col min="5" max="5" width="15.4140625" bestFit="1" customWidth="1"/>
    <col min="6" max="6" width="15.1640625" bestFit="1" customWidth="1"/>
    <col min="7" max="7" width="12.1640625" customWidth="1"/>
    <col min="8" max="8" width="15.9140625" bestFit="1" customWidth="1"/>
  </cols>
  <sheetData>
    <row r="2" spans="1:9">
      <c r="A2" s="25" t="s">
        <v>43</v>
      </c>
      <c r="B2" s="25" t="s">
        <v>44</v>
      </c>
      <c r="C2" s="25" t="s">
        <v>250</v>
      </c>
      <c r="D2" s="25" t="s">
        <v>42</v>
      </c>
      <c r="E2" s="25" t="s">
        <v>1353</v>
      </c>
      <c r="F2" s="25" t="s">
        <v>1567</v>
      </c>
    </row>
    <row r="3" spans="1:9">
      <c r="A3" s="1" t="s">
        <v>1370</v>
      </c>
      <c r="B3" s="1" t="s">
        <v>1354</v>
      </c>
      <c r="C3" s="1" t="s">
        <v>218</v>
      </c>
      <c r="D3" s="2" t="b">
        <v>1</v>
      </c>
      <c r="E3" s="1" t="b">
        <f>output_NeedAnalysis_WealthProtectionNeed_DeathProtection_Validation</f>
        <v>1</v>
      </c>
      <c r="F3" s="1" t="b">
        <f>IF(OR(AND(D3=TRUE,E3=TRUE),AND(D3=FALSE,E3=TRUE)),TRUE,FALSE)</f>
        <v>1</v>
      </c>
    </row>
    <row r="4" spans="1:9">
      <c r="A4" s="1" t="s">
        <v>1371</v>
      </c>
      <c r="B4" s="1" t="s">
        <v>1355</v>
      </c>
      <c r="C4" s="1" t="s">
        <v>251</v>
      </c>
      <c r="D4" s="2" t="b">
        <v>0</v>
      </c>
      <c r="E4" s="1" t="b">
        <f>output_NeedAnalysis_WealthProtectionNeed_DependentDeathProtection_Validation</f>
        <v>1</v>
      </c>
      <c r="F4" s="1" t="b">
        <f t="shared" ref="F4:F22" si="0">IF(OR(AND(D4=TRUE,E4=TRUE),AND(D4=FALSE,E4=TRUE)),TRUE,FALSE)</f>
        <v>1</v>
      </c>
      <c r="H4" t="s">
        <v>1369</v>
      </c>
      <c r="I4" s="93" t="b">
        <f ca="1">IF(AND($F$3:$F$22,$E$3:$E$22)=TRUE,TRUE,FALSE)</f>
        <v>1</v>
      </c>
    </row>
    <row r="5" spans="1:9">
      <c r="A5" s="1" t="s">
        <v>1372</v>
      </c>
      <c r="B5" s="1" t="s">
        <v>1356</v>
      </c>
      <c r="C5" s="1" t="s">
        <v>252</v>
      </c>
      <c r="D5" s="2" t="b">
        <v>1</v>
      </c>
      <c r="E5" s="1" t="b">
        <f>output_NeedAnalysis_WealthProtectionNeed_CriticalIllnessProtection_Validation</f>
        <v>1</v>
      </c>
      <c r="F5" s="1" t="b">
        <f t="shared" si="0"/>
        <v>1</v>
      </c>
    </row>
    <row r="6" spans="1:9">
      <c r="A6" s="1" t="s">
        <v>1373</v>
      </c>
      <c r="B6" s="1" t="s">
        <v>55</v>
      </c>
      <c r="C6" s="1" t="s">
        <v>252</v>
      </c>
      <c r="D6" s="2" t="b">
        <v>1</v>
      </c>
      <c r="E6" s="1" t="b">
        <f>output_NeedAnalysis_WealthProtectionNeed_CriticalIllnessProtection_Validation</f>
        <v>1</v>
      </c>
      <c r="F6" s="1" t="b">
        <f t="shared" si="0"/>
        <v>1</v>
      </c>
    </row>
    <row r="7" spans="1:9">
      <c r="A7" s="1" t="s">
        <v>1374</v>
      </c>
      <c r="B7" s="1" t="s">
        <v>1362</v>
      </c>
      <c r="C7" s="1" t="s">
        <v>252</v>
      </c>
      <c r="D7" s="2" t="b">
        <v>1</v>
      </c>
      <c r="E7" s="1" t="b">
        <v>1</v>
      </c>
      <c r="F7" s="1" t="b">
        <f t="shared" si="0"/>
        <v>1</v>
      </c>
    </row>
    <row r="8" spans="1:9">
      <c r="A8" s="1" t="s">
        <v>1375</v>
      </c>
      <c r="B8" s="1" t="s">
        <v>59</v>
      </c>
      <c r="C8" s="1" t="s">
        <v>218</v>
      </c>
      <c r="D8" s="2" t="b">
        <v>1</v>
      </c>
      <c r="E8" s="1" t="b">
        <f>output_NeedAnalysis_WealthProtectionNeed_LongTermCareProtection_Validation</f>
        <v>1</v>
      </c>
      <c r="F8" s="1" t="b">
        <f t="shared" si="0"/>
        <v>1</v>
      </c>
    </row>
    <row r="9" spans="1:9">
      <c r="A9" s="1" t="s">
        <v>1376</v>
      </c>
      <c r="B9" s="1" t="s">
        <v>111</v>
      </c>
      <c r="C9" s="1" t="s">
        <v>252</v>
      </c>
      <c r="D9" s="2" t="b">
        <v>1</v>
      </c>
      <c r="E9" s="1" t="b">
        <f>output_NeedAnalysis_WealthProtectionNeed_PersonalAccidentProtection_Validation</f>
        <v>1</v>
      </c>
      <c r="F9" s="1" t="b">
        <f t="shared" si="0"/>
        <v>1</v>
      </c>
    </row>
    <row r="10" spans="1:9">
      <c r="A10" s="1" t="s">
        <v>1377</v>
      </c>
      <c r="B10" s="1" t="s">
        <v>1357</v>
      </c>
      <c r="C10" s="1" t="s">
        <v>252</v>
      </c>
      <c r="D10" s="2" t="b">
        <v>1</v>
      </c>
      <c r="E10" s="1" t="b">
        <f>output_NeedAnalysis_WealthProtectionNeed_FractureNeedProtection_Validation</f>
        <v>1</v>
      </c>
      <c r="F10" s="1" t="b">
        <f t="shared" si="0"/>
        <v>1</v>
      </c>
    </row>
    <row r="11" spans="1:9">
      <c r="A11" s="1" t="s">
        <v>1378</v>
      </c>
      <c r="B11" s="1" t="s">
        <v>1358</v>
      </c>
      <c r="C11" s="1" t="s">
        <v>252</v>
      </c>
      <c r="D11" s="2" t="b">
        <v>1</v>
      </c>
      <c r="E11" s="1" t="b">
        <f>output_NeedAnalysis_WealthProtectionNeed_LossOfIncomeProtection_Validation</f>
        <v>1</v>
      </c>
      <c r="F11" s="1" t="b">
        <f t="shared" si="0"/>
        <v>1</v>
      </c>
    </row>
    <row r="12" spans="1:9">
      <c r="A12" s="1" t="s">
        <v>1379</v>
      </c>
      <c r="B12" s="1" t="s">
        <v>1359</v>
      </c>
      <c r="C12" s="1" t="s">
        <v>252</v>
      </c>
      <c r="D12" s="2" t="b">
        <v>0</v>
      </c>
      <c r="E12" s="1" t="b">
        <f>output_NeedAnalysis_WealthProtectionNeed_GenderRelatedIllnessProtection_Validation</f>
        <v>1</v>
      </c>
      <c r="F12" s="1" t="b">
        <f t="shared" si="0"/>
        <v>1</v>
      </c>
    </row>
    <row r="13" spans="1:9">
      <c r="A13" s="1" t="s">
        <v>1380</v>
      </c>
      <c r="B13" s="1" t="s">
        <v>63</v>
      </c>
      <c r="C13" s="1" t="s">
        <v>218</v>
      </c>
      <c r="D13" s="2" t="b">
        <v>0</v>
      </c>
      <c r="E13" s="1" t="b">
        <f>output_NeedAnalysis_WealthAccumulationNeed_RetirementAccumulation_Validation</f>
        <v>1</v>
      </c>
      <c r="F13" s="1" t="b">
        <f t="shared" si="0"/>
        <v>1</v>
      </c>
    </row>
    <row r="14" spans="1:9">
      <c r="A14" s="1" t="s">
        <v>1381</v>
      </c>
      <c r="B14" s="1" t="s">
        <v>64</v>
      </c>
      <c r="C14" s="1" t="s">
        <v>218</v>
      </c>
      <c r="D14" s="2" t="b">
        <v>1</v>
      </c>
      <c r="E14" s="1" t="b">
        <f>output_NeedAnalysis_WealthAccumulationNeed_SavingsAccumulation_Validation</f>
        <v>1</v>
      </c>
      <c r="F14" s="1" t="b">
        <f t="shared" si="0"/>
        <v>1</v>
      </c>
    </row>
    <row r="15" spans="1:9">
      <c r="A15" s="1" t="s">
        <v>1382</v>
      </c>
      <c r="B15" s="1" t="s">
        <v>1360</v>
      </c>
      <c r="C15" s="1" t="s">
        <v>252</v>
      </c>
      <c r="D15" s="2" t="b">
        <v>1</v>
      </c>
      <c r="E15" s="1" t="b">
        <f>output_NeedAnalysis_WealthAccumulationNeed_ChildrenEducationSavings_Validation</f>
        <v>1</v>
      </c>
      <c r="F15" s="1" t="b">
        <f t="shared" si="0"/>
        <v>1</v>
      </c>
    </row>
    <row r="16" spans="1:9">
      <c r="A16" s="1" t="s">
        <v>1383</v>
      </c>
      <c r="B16" s="1" t="s">
        <v>1361</v>
      </c>
      <c r="C16" s="1" t="s">
        <v>252</v>
      </c>
      <c r="D16" s="2" t="b">
        <v>1</v>
      </c>
      <c r="E16" s="1" t="b">
        <f>output_NeedAnalysis_WealthAccumulationNeed_ChildrenSavings_Validation</f>
        <v>1</v>
      </c>
      <c r="F16" s="1" t="b">
        <f t="shared" si="0"/>
        <v>1</v>
      </c>
    </row>
    <row r="17" spans="1:6">
      <c r="A17" s="1" t="s">
        <v>1384</v>
      </c>
      <c r="B17" s="1" t="s">
        <v>136</v>
      </c>
      <c r="C17" s="1" t="s">
        <v>218</v>
      </c>
      <c r="D17" s="2" t="b">
        <v>0</v>
      </c>
      <c r="E17" s="1" t="b">
        <f>output_RPQ_Validation</f>
        <v>1</v>
      </c>
      <c r="F17" s="1" t="b">
        <f t="shared" si="0"/>
        <v>1</v>
      </c>
    </row>
    <row r="18" spans="1:6">
      <c r="A18" s="1" t="s">
        <v>1385</v>
      </c>
      <c r="B18" s="1" t="s">
        <v>137</v>
      </c>
      <c r="C18" s="1" t="s">
        <v>218</v>
      </c>
      <c r="D18" s="2" t="b">
        <v>0</v>
      </c>
      <c r="E18" s="1" t="b">
        <f>output_CKA_Validation</f>
        <v>1</v>
      </c>
      <c r="F18" s="1" t="b">
        <f t="shared" si="0"/>
        <v>1</v>
      </c>
    </row>
    <row r="19" spans="1:6">
      <c r="A19" s="1" t="s">
        <v>1386</v>
      </c>
      <c r="B19" s="1" t="s">
        <v>255</v>
      </c>
      <c r="C19" s="1" t="s">
        <v>251</v>
      </c>
      <c r="D19" s="2" t="b">
        <v>1</v>
      </c>
      <c r="E19" s="1" t="b">
        <f ca="1">output_Dependents_Dependents_Validation</f>
        <v>1</v>
      </c>
      <c r="F19" s="1" t="b">
        <f t="shared" ca="1" si="0"/>
        <v>1</v>
      </c>
    </row>
    <row r="20" spans="1:6">
      <c r="A20" s="1" t="s">
        <v>1387</v>
      </c>
      <c r="B20" s="1" t="s">
        <v>254</v>
      </c>
      <c r="C20" s="1" t="s">
        <v>218</v>
      </c>
      <c r="D20" s="2" t="b">
        <v>1</v>
      </c>
      <c r="E20" s="1" t="b">
        <v>1</v>
      </c>
      <c r="F20" s="1" t="b">
        <f t="shared" si="0"/>
        <v>1</v>
      </c>
    </row>
    <row r="21" spans="1:6">
      <c r="A21" s="1" t="s">
        <v>1388</v>
      </c>
      <c r="B21" s="1" t="s">
        <v>146</v>
      </c>
      <c r="C21" s="1" t="s">
        <v>218</v>
      </c>
      <c r="D21" s="2" t="b">
        <v>1</v>
      </c>
      <c r="E21" s="1" t="b">
        <f ca="1">output_PersonalDetails_PersonalDetails_Validation</f>
        <v>1</v>
      </c>
      <c r="F21" s="1" t="b">
        <f t="shared" ca="1" si="0"/>
        <v>1</v>
      </c>
    </row>
    <row r="22" spans="1:6">
      <c r="A22" s="1" t="s">
        <v>1389</v>
      </c>
      <c r="B22" s="1" t="s">
        <v>253</v>
      </c>
      <c r="C22" s="1" t="s">
        <v>218</v>
      </c>
      <c r="D22" s="2" t="b">
        <v>0</v>
      </c>
      <c r="E22" s="1" t="b">
        <f>output_FinancialDetail_FinancialDetails_Validation</f>
        <v>1</v>
      </c>
      <c r="F22" s="1" t="b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7C40-5780-0341-8A5A-4FF85500F50E}">
  <dimension ref="C1:L26"/>
  <sheetViews>
    <sheetView topLeftCell="B1" zoomScale="67" zoomScaleNormal="80" workbookViewId="0">
      <selection activeCell="D10" sqref="D10"/>
    </sheetView>
  </sheetViews>
  <sheetFormatPr defaultColWidth="11.1640625" defaultRowHeight="15.5"/>
  <cols>
    <col min="3" max="3" width="24.83203125" bestFit="1" customWidth="1"/>
    <col min="4" max="4" width="12.5" bestFit="1" customWidth="1"/>
    <col min="5" max="5" width="13" bestFit="1" customWidth="1"/>
    <col min="7" max="7" width="13.6640625" bestFit="1" customWidth="1"/>
    <col min="8" max="8" width="15.83203125" bestFit="1" customWidth="1"/>
    <col min="9" max="9" width="24.08203125" bestFit="1" customWidth="1"/>
    <col min="10" max="10" width="13.5" customWidth="1"/>
    <col min="11" max="11" width="67" bestFit="1" customWidth="1"/>
  </cols>
  <sheetData>
    <row r="1" spans="3:12">
      <c r="F1" s="1" t="s">
        <v>0</v>
      </c>
      <c r="G1" s="2"/>
    </row>
    <row r="2" spans="3:12">
      <c r="F2" s="1" t="s">
        <v>1</v>
      </c>
      <c r="G2" s="3"/>
    </row>
    <row r="3" spans="3:12">
      <c r="C3" s="24" t="s">
        <v>42</v>
      </c>
      <c r="D3" s="4" t="b">
        <f>'Validation Input Received'!$D$11</f>
        <v>1</v>
      </c>
      <c r="F3" s="1" t="s">
        <v>2</v>
      </c>
      <c r="G3" s="4"/>
    </row>
    <row r="4" spans="3:12">
      <c r="C4" s="1" t="s">
        <v>29</v>
      </c>
      <c r="D4" s="2">
        <v>200000</v>
      </c>
      <c r="I4" s="9" t="s">
        <v>15</v>
      </c>
      <c r="J4" s="9" t="s">
        <v>18</v>
      </c>
      <c r="K4" s="9" t="s">
        <v>19</v>
      </c>
      <c r="L4" s="9" t="s">
        <v>20</v>
      </c>
    </row>
    <row r="5" spans="3:12">
      <c r="C5" s="1" t="s">
        <v>23</v>
      </c>
      <c r="D5" s="2">
        <v>10000</v>
      </c>
      <c r="I5" s="1" t="s">
        <v>29</v>
      </c>
      <c r="J5" s="1">
        <f>input_NeedAnalysis_WealthProtectionNeed_LossOfIncomeProtection_AmountNeeded</f>
        <v>200000</v>
      </c>
      <c r="K5" s="1">
        <v>0</v>
      </c>
      <c r="L5" s="1">
        <v>999999999</v>
      </c>
    </row>
    <row r="6" spans="3:12">
      <c r="C6" s="1" t="s">
        <v>24</v>
      </c>
      <c r="D6" s="2">
        <v>20000</v>
      </c>
      <c r="I6" s="1" t="s">
        <v>23</v>
      </c>
      <c r="J6" s="1">
        <f>input_NeedAnalysis_WealthProtectionNeed_LossOfIncomeProtection_ResourceBreakdown_ExistingInsurance</f>
        <v>10000</v>
      </c>
      <c r="K6" s="1">
        <v>0</v>
      </c>
      <c r="L6" s="1">
        <v>999999999</v>
      </c>
    </row>
    <row r="7" spans="3:12">
      <c r="C7" s="1" t="s">
        <v>236</v>
      </c>
      <c r="D7" s="2">
        <v>200000</v>
      </c>
      <c r="I7" s="1" t="s">
        <v>24</v>
      </c>
      <c r="J7" s="1">
        <f>input_NeedAnalysis_WealthProtectionNeed_LossOfIncomeProtection_ResourceBreakdown_ExistingAssets</f>
        <v>20000</v>
      </c>
      <c r="K7" s="1">
        <v>0</v>
      </c>
      <c r="L7" s="1">
        <v>999999999</v>
      </c>
    </row>
    <row r="8" spans="3:12">
      <c r="C8" s="1" t="s">
        <v>11</v>
      </c>
      <c r="D8" s="2">
        <v>30000</v>
      </c>
      <c r="I8" s="1" t="s">
        <v>236</v>
      </c>
      <c r="J8" s="1">
        <f>input_NeedAnalysis_WealthProtectionNeed_LossOfIncomeProtection_CapitalSumRequired</f>
        <v>200000</v>
      </c>
      <c r="K8" s="1">
        <v>0</v>
      </c>
      <c r="L8" s="1">
        <v>999999999</v>
      </c>
    </row>
    <row r="9" spans="3:12" ht="16" thickBot="1">
      <c r="C9" s="1" t="s">
        <v>237</v>
      </c>
      <c r="D9" s="2">
        <v>170000</v>
      </c>
      <c r="I9" s="1" t="s">
        <v>11</v>
      </c>
      <c r="J9" s="1">
        <f>input_NeedAnalysis_WealthProtectionNeed_LossOfIncomeProtection_ExistingResources</f>
        <v>30000</v>
      </c>
      <c r="K9" s="1">
        <v>0</v>
      </c>
      <c r="L9" s="1">
        <v>999999999</v>
      </c>
    </row>
    <row r="10" spans="3:12">
      <c r="C10" s="1" t="s">
        <v>1295</v>
      </c>
      <c r="D10" s="26" t="b">
        <v>1</v>
      </c>
      <c r="F10" s="10" t="s">
        <v>22</v>
      </c>
      <c r="G10" s="15" t="b">
        <f>IF(NOT(D3),TRUE,IF(COUNTIF('Loss of Income'!K21:K26,FALSE)=0,TRUE,VLOOKUP(FALSE,'Loss of Income'!$K21:$L$26,2,0)))</f>
        <v>1</v>
      </c>
      <c r="I10" s="1" t="s">
        <v>237</v>
      </c>
      <c r="J10" s="1">
        <f>input_NeedAnalysis_WealthProtectionNeed_LossOfIncomeProtection_TotalShortfall</f>
        <v>170000</v>
      </c>
      <c r="K10" s="1">
        <v>-999999999</v>
      </c>
      <c r="L10" s="1">
        <v>999999999</v>
      </c>
    </row>
    <row r="11" spans="3:12" ht="16" thickBot="1">
      <c r="F11" s="12" t="s">
        <v>21</v>
      </c>
      <c r="G11" s="14" t="str">
        <f>IF(output_NeedAnalysis_WealthProtectionNeed_LossOfIncomeProtection_Validation=TRUE,"",VLOOKUP(output_NeedAnalysis_WealthProtectionNeed_LossOfIncomeProtection_Validation,'Loss of Income'!$J13:K18,2,0))</f>
        <v/>
      </c>
    </row>
    <row r="12" spans="3:12">
      <c r="I12" s="9" t="s">
        <v>15</v>
      </c>
      <c r="J12" s="9" t="s">
        <v>17</v>
      </c>
      <c r="K12" s="9" t="s">
        <v>21</v>
      </c>
    </row>
    <row r="13" spans="3:12">
      <c r="I13" s="1" t="s">
        <v>29</v>
      </c>
      <c r="J13" s="1" t="s">
        <v>1465</v>
      </c>
      <c r="K13" s="1" t="str">
        <f>CONCATENATE("Please enter ",I13," ","between ",'Loss of Income'!K5," and ",'Loss of Income'!L5,".")</f>
        <v>Please enter Amount Needed between 0 and 999999999.</v>
      </c>
    </row>
    <row r="14" spans="3:12">
      <c r="I14" s="1" t="s">
        <v>23</v>
      </c>
      <c r="J14" s="1" t="s">
        <v>1466</v>
      </c>
      <c r="K14" s="1" t="str">
        <f>CONCATENATE("Please enter ",I14," ","between ",'Loss of Income'!K6," and ",'Loss of Income'!L6,".")</f>
        <v>Please enter Existing Insurance between 0 and 999999999.</v>
      </c>
    </row>
    <row r="15" spans="3:12">
      <c r="I15" s="1" t="s">
        <v>24</v>
      </c>
      <c r="J15" s="1" t="s">
        <v>1467</v>
      </c>
      <c r="K15" s="1" t="str">
        <f>CONCATENATE("Please enter ",I15," ","between ",'Loss of Income'!K7," and ",'Loss of Income'!L7,".")</f>
        <v>Please enter Existing Assets between 0 and 999999999.</v>
      </c>
    </row>
    <row r="16" spans="3:12">
      <c r="I16" s="1" t="s">
        <v>236</v>
      </c>
      <c r="J16" s="1" t="s">
        <v>1468</v>
      </c>
      <c r="K16" s="1" t="str">
        <f>CONCATENATE("Please enter ",I16," ","between ",'Loss of Income'!K8," and ",'Loss of Income'!L8,".")</f>
        <v>Please enter Lump Sum Savings Needed between 0 and 999999999.</v>
      </c>
    </row>
    <row r="17" spans="9:12">
      <c r="I17" s="1" t="s">
        <v>11</v>
      </c>
      <c r="J17" s="1" t="s">
        <v>1469</v>
      </c>
      <c r="K17" s="1" t="str">
        <f>CONCATENATE("Please enter ",I17," ","between ",'Loss of Income'!K9," and ",'Loss of Income'!L9,".")</f>
        <v>Please enter Existing Resources between 0 and 999999999.</v>
      </c>
    </row>
    <row r="18" spans="9:12">
      <c r="I18" s="1" t="s">
        <v>237</v>
      </c>
      <c r="J18" s="1" t="s">
        <v>1470</v>
      </c>
      <c r="K18" s="1" t="str">
        <f>CONCATENATE("Please enter ",I18," ","between ",'Loss of Income'!K10," and ",'Loss of Income'!L10,".")</f>
        <v>Please enter Savings Gap (Total shortfall) between -999999999 and 999999999.</v>
      </c>
    </row>
    <row r="20" spans="9:12">
      <c r="I20" s="9" t="s">
        <v>15</v>
      </c>
      <c r="J20" s="9" t="s">
        <v>4</v>
      </c>
      <c r="K20" s="9" t="s">
        <v>16</v>
      </c>
      <c r="L20" s="9" t="s">
        <v>17</v>
      </c>
    </row>
    <row r="21" spans="9:12">
      <c r="I21" s="1" t="s">
        <v>29</v>
      </c>
      <c r="J21" s="1">
        <f>input_NeedAnalysis_WealthProtectionNeed_LossOfIncomeProtection_AmountNeeded</f>
        <v>200000</v>
      </c>
      <c r="K21" s="1" t="b">
        <f>IF(OR(J21&lt;'Loss of Income'!K5,J21&gt;'Loss of Income'!L5),FALSE,TRUE)</f>
        <v>1</v>
      </c>
      <c r="L21" s="53" t="str">
        <f>IF(K21=FALSE,VLOOKUP(I21,'Loss of Income'!$I$13:$J$18,2,0),"")</f>
        <v/>
      </c>
    </row>
    <row r="22" spans="9:12">
      <c r="I22" s="1" t="s">
        <v>23</v>
      </c>
      <c r="J22" s="1">
        <f>input_NeedAnalysis_WealthProtectionNeed_LossOfIncomeProtection_ResourceBreakdown_ExistingInsurance</f>
        <v>10000</v>
      </c>
      <c r="K22" s="1" t="b">
        <f>IF(OR(J22&lt;'Loss of Income'!K6,J22&gt;'Loss of Income'!L6),FALSE,TRUE)</f>
        <v>1</v>
      </c>
      <c r="L22" s="53" t="str">
        <f>IF(K22=FALSE,VLOOKUP(I22,'Loss of Income'!$I$13:$J$18,2,0),"")</f>
        <v/>
      </c>
    </row>
    <row r="23" spans="9:12">
      <c r="I23" s="1" t="s">
        <v>24</v>
      </c>
      <c r="J23" s="1">
        <f>input_NeedAnalysis_WealthProtectionNeed_LossOfIncomeProtection_ResourceBreakdown_ExistingAssets</f>
        <v>20000</v>
      </c>
      <c r="K23" s="1" t="b">
        <f>IF(OR(J23&lt;'Loss of Income'!K7,J23&gt;'Loss of Income'!L7),FALSE,TRUE)</f>
        <v>1</v>
      </c>
      <c r="L23" s="53" t="str">
        <f>IF(K23=FALSE,VLOOKUP(I23,'Loss of Income'!$I$13:$J$18,2,0),"")</f>
        <v/>
      </c>
    </row>
    <row r="24" spans="9:12">
      <c r="I24" s="1" t="s">
        <v>236</v>
      </c>
      <c r="J24" s="1">
        <f>input_NeedAnalysis_WealthProtectionNeed_LossOfIncomeProtection_CapitalSumRequired</f>
        <v>200000</v>
      </c>
      <c r="K24" s="1" t="b">
        <f>IF(OR(J24&lt;'Loss of Income'!K8,J24&gt;'Loss of Income'!L8),FALSE,TRUE)</f>
        <v>1</v>
      </c>
      <c r="L24" s="53" t="str">
        <f>IF(K24=FALSE,VLOOKUP(I24,'Loss of Income'!$I$13:$J$18,2,0),"")</f>
        <v/>
      </c>
    </row>
    <row r="25" spans="9:12">
      <c r="I25" s="1" t="s">
        <v>11</v>
      </c>
      <c r="J25" s="1">
        <f>input_NeedAnalysis_WealthProtectionNeed_LossOfIncomeProtection_ExistingResources</f>
        <v>30000</v>
      </c>
      <c r="K25" s="1" t="b">
        <f>IF(OR(J25&lt;'Loss of Income'!K9,J25&gt;'Loss of Income'!L9),FALSE,TRUE)</f>
        <v>1</v>
      </c>
      <c r="L25" s="53" t="str">
        <f>IF(K25=FALSE,VLOOKUP(I25,'Loss of Income'!$I$13:$J$18,2,0),"")</f>
        <v/>
      </c>
    </row>
    <row r="26" spans="9:12">
      <c r="I26" s="1" t="s">
        <v>237</v>
      </c>
      <c r="J26" s="1">
        <f>input_NeedAnalysis_WealthProtectionNeed_LossOfIncomeProtection_TotalShortfall</f>
        <v>170000</v>
      </c>
      <c r="K26" s="1" t="b">
        <f>IF(OR(J26&lt;'Loss of Income'!K10,J26&gt;'Loss of Income'!L10),FALSE,TRUE)</f>
        <v>1</v>
      </c>
      <c r="L26" s="53" t="str">
        <f>IF(K26=FALSE,VLOOKUP(I26,'Loss of Income'!$I$13:$J$18,2,0),"")</f>
        <v/>
      </c>
    </row>
  </sheetData>
  <phoneticPr fontId="2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2852A-57A9-794C-93B0-C0D6AAA56EE5}">
  <dimension ref="C1:K26"/>
  <sheetViews>
    <sheetView zoomScale="79" workbookViewId="0">
      <selection activeCell="D10" sqref="D10"/>
    </sheetView>
  </sheetViews>
  <sheetFormatPr defaultColWidth="11.1640625" defaultRowHeight="15.5"/>
  <cols>
    <col min="3" max="3" width="24.83203125" bestFit="1" customWidth="1"/>
    <col min="4" max="4" width="12.5" bestFit="1" customWidth="1"/>
    <col min="5" max="5" width="13" bestFit="1" customWidth="1"/>
    <col min="7" max="7" width="13.6640625" bestFit="1" customWidth="1"/>
    <col min="8" max="8" width="23.9140625" bestFit="1" customWidth="1"/>
    <col min="9" max="9" width="11" customWidth="1"/>
    <col min="10" max="10" width="67.25" bestFit="1" customWidth="1"/>
    <col min="11" max="11" width="13.83203125" bestFit="1" customWidth="1"/>
  </cols>
  <sheetData>
    <row r="1" spans="3:11">
      <c r="E1" s="1" t="s">
        <v>0</v>
      </c>
      <c r="F1" s="2"/>
    </row>
    <row r="2" spans="3:11">
      <c r="E2" s="1" t="s">
        <v>1</v>
      </c>
      <c r="F2" s="3"/>
    </row>
    <row r="3" spans="3:11">
      <c r="C3" s="24" t="s">
        <v>42</v>
      </c>
      <c r="D3" s="4" t="b">
        <f>'Validation Input Received'!$D$12</f>
        <v>0</v>
      </c>
      <c r="E3" s="1" t="s">
        <v>2</v>
      </c>
      <c r="F3" s="4"/>
    </row>
    <row r="4" spans="3:11">
      <c r="C4" s="1" t="s">
        <v>29</v>
      </c>
      <c r="D4" s="2">
        <v>200000</v>
      </c>
      <c r="H4" s="9" t="s">
        <v>15</v>
      </c>
      <c r="I4" s="9" t="s">
        <v>18</v>
      </c>
      <c r="J4" s="9" t="s">
        <v>19</v>
      </c>
      <c r="K4" s="9" t="s">
        <v>20</v>
      </c>
    </row>
    <row r="5" spans="3:11">
      <c r="C5" s="1" t="s">
        <v>23</v>
      </c>
      <c r="D5" s="2">
        <v>10000</v>
      </c>
      <c r="H5" s="1" t="s">
        <v>29</v>
      </c>
      <c r="I5" s="1">
        <f>input_NeedAnalysis_WealthProtectionNeed_GenderRelatedIllnessProtection_AmountNeeded</f>
        <v>200000</v>
      </c>
      <c r="J5" s="1">
        <v>0</v>
      </c>
      <c r="K5" s="1">
        <v>999999999</v>
      </c>
    </row>
    <row r="6" spans="3:11">
      <c r="C6" s="1" t="s">
        <v>24</v>
      </c>
      <c r="D6" s="2">
        <v>20000</v>
      </c>
      <c r="H6" s="1" t="s">
        <v>23</v>
      </c>
      <c r="I6" s="1">
        <f>input_NeedAnalysis_WealthProtectionNeed_GenderRelatedIllnessProtection_ResourceBreakdown_ExistingInsurance</f>
        <v>10000</v>
      </c>
      <c r="J6" s="1">
        <v>0</v>
      </c>
      <c r="K6" s="1">
        <v>999999999</v>
      </c>
    </row>
    <row r="7" spans="3:11">
      <c r="C7" s="1" t="s">
        <v>236</v>
      </c>
      <c r="D7" s="2">
        <v>200000</v>
      </c>
      <c r="H7" s="1" t="s">
        <v>24</v>
      </c>
      <c r="I7" s="1">
        <f>input_NeedAnalysis_WealthProtectionNeed_GenderRelatedIllnessProtection_ResourceBreakdown_ExistingAssets</f>
        <v>20000</v>
      </c>
      <c r="J7" s="1">
        <v>0</v>
      </c>
      <c r="K7" s="1">
        <v>999999999</v>
      </c>
    </row>
    <row r="8" spans="3:11">
      <c r="C8" s="1" t="s">
        <v>11</v>
      </c>
      <c r="D8" s="2">
        <v>30000</v>
      </c>
      <c r="H8" s="1" t="s">
        <v>236</v>
      </c>
      <c r="I8" s="1">
        <f>input_NeedAnalysis_WealthProtectionNeed_GenderRelatedIllnessProtection_CapitalSumRequired</f>
        <v>200000</v>
      </c>
      <c r="J8" s="1">
        <v>0</v>
      </c>
      <c r="K8" s="1">
        <v>999999999</v>
      </c>
    </row>
    <row r="9" spans="3:11" ht="16" thickBot="1">
      <c r="C9" s="1" t="s">
        <v>237</v>
      </c>
      <c r="D9" s="2">
        <v>170000</v>
      </c>
      <c r="H9" s="1" t="s">
        <v>11</v>
      </c>
      <c r="I9" s="1">
        <f>input_NeedAnalysis_WealthProtectionNeed_GenderRelatedIllnessProtection_ExistingResources</f>
        <v>30000</v>
      </c>
      <c r="J9" s="1">
        <v>0</v>
      </c>
      <c r="K9" s="1">
        <v>999999999</v>
      </c>
    </row>
    <row r="10" spans="3:11">
      <c r="C10" s="1" t="s">
        <v>1295</v>
      </c>
      <c r="D10" s="26" t="b">
        <v>1</v>
      </c>
      <c r="E10" s="10" t="s">
        <v>22</v>
      </c>
      <c r="F10" s="15" t="b">
        <f>IF(NOT(D3),TRUE,IF(COUNTIF('Gender Related Illness'!J21:J26,FALSE)=0,TRUE,VLOOKUP(FALSE,'Gender Related Illness'!$J21:$K$26,2,0)))</f>
        <v>1</v>
      </c>
      <c r="H10" s="1" t="s">
        <v>237</v>
      </c>
      <c r="I10" s="1">
        <f>input_NeedAnalysis_WealthProtectionNeed_GenderRelatedIllnessProtection_TotalShortfall</f>
        <v>170000</v>
      </c>
      <c r="J10" s="1">
        <v>-999999999</v>
      </c>
      <c r="K10" s="1">
        <v>999999999</v>
      </c>
    </row>
    <row r="11" spans="3:11" ht="16" thickBot="1">
      <c r="E11" s="12" t="s">
        <v>21</v>
      </c>
      <c r="F11" s="14" t="str">
        <f>IF(output_NeedAnalysis_WealthProtectionNeed_GenderRelatedIllnessProtection_Validation=TRUE,"",VLOOKUP(output_NeedAnalysis_WealthProtectionNeed_GenderRelatedIllnessProtection_Validation,'Gender Related Illness'!$I13:J18,2,0))</f>
        <v/>
      </c>
    </row>
    <row r="12" spans="3:11">
      <c r="H12" s="9" t="s">
        <v>15</v>
      </c>
      <c r="I12" s="9" t="s">
        <v>17</v>
      </c>
      <c r="J12" s="9" t="s">
        <v>21</v>
      </c>
    </row>
    <row r="13" spans="3:11">
      <c r="H13" s="1" t="s">
        <v>29</v>
      </c>
      <c r="I13" s="1" t="s">
        <v>1471</v>
      </c>
      <c r="J13" s="1" t="str">
        <f>CONCATENATE("Please enter ",H13," ","between ",'Gender Related Illness'!J5," and ",'Gender Related Illness'!K5,".")</f>
        <v>Please enter Amount Needed between 0 and 999999999.</v>
      </c>
    </row>
    <row r="14" spans="3:11">
      <c r="H14" s="1" t="s">
        <v>23</v>
      </c>
      <c r="I14" s="1" t="s">
        <v>1472</v>
      </c>
      <c r="J14" s="1" t="str">
        <f>CONCATENATE("Please enter ",H14," ","between ",'Gender Related Illness'!J6," and ",'Gender Related Illness'!K6,".")</f>
        <v>Please enter Existing Insurance between 0 and 999999999.</v>
      </c>
    </row>
    <row r="15" spans="3:11">
      <c r="H15" s="1" t="s">
        <v>24</v>
      </c>
      <c r="I15" s="1" t="s">
        <v>1473</v>
      </c>
      <c r="J15" s="1" t="str">
        <f>CONCATENATE("Please enter ",H15," ","between ",'Gender Related Illness'!J7," and ",'Gender Related Illness'!K7,".")</f>
        <v>Please enter Existing Assets between 0 and 999999999.</v>
      </c>
    </row>
    <row r="16" spans="3:11">
      <c r="H16" s="1" t="s">
        <v>236</v>
      </c>
      <c r="I16" s="1" t="s">
        <v>1474</v>
      </c>
      <c r="J16" s="1" t="str">
        <f>CONCATENATE("Please enter ",H16," ","between ",'Gender Related Illness'!J8," and ",'Gender Related Illness'!K8,".")</f>
        <v>Please enter Lump Sum Savings Needed between 0 and 999999999.</v>
      </c>
    </row>
    <row r="17" spans="8:11">
      <c r="H17" s="1" t="s">
        <v>11</v>
      </c>
      <c r="I17" s="1" t="s">
        <v>1475</v>
      </c>
      <c r="J17" s="1" t="str">
        <f>CONCATENATE("Please enter ",H17," ","between ",'Gender Related Illness'!J9," and ",'Gender Related Illness'!K9,".")</f>
        <v>Please enter Existing Resources between 0 and 999999999.</v>
      </c>
    </row>
    <row r="18" spans="8:11">
      <c r="H18" s="1" t="s">
        <v>237</v>
      </c>
      <c r="I18" s="1" t="s">
        <v>1476</v>
      </c>
      <c r="J18" s="1" t="str">
        <f>CONCATENATE("Please enter ",H18," ","between ",'Gender Related Illness'!J10," and ",'Gender Related Illness'!K10,".")</f>
        <v>Please enter Savings Gap (Total shortfall) between -999999999 and 999999999.</v>
      </c>
    </row>
    <row r="20" spans="8:11">
      <c r="H20" s="9" t="s">
        <v>15</v>
      </c>
      <c r="I20" s="9" t="s">
        <v>4</v>
      </c>
      <c r="J20" s="9" t="s">
        <v>16</v>
      </c>
      <c r="K20" s="9" t="s">
        <v>17</v>
      </c>
    </row>
    <row r="21" spans="8:11">
      <c r="H21" s="1" t="s">
        <v>29</v>
      </c>
      <c r="I21" s="1">
        <f>input_NeedAnalysis_WealthProtectionNeed_GenderRelatedIllnessProtection_AmountNeeded</f>
        <v>200000</v>
      </c>
      <c r="J21" s="1" t="b">
        <f>IF(OR(I21&lt;'Gender Related Illness'!J5,I21&gt;'Gender Related Illness'!K5),FALSE,TRUE)</f>
        <v>1</v>
      </c>
      <c r="K21" s="53" t="str">
        <f>IF(J21=FALSE,VLOOKUP(H21,'Gender Related Illness'!$H$13:$I$18,2,0),"")</f>
        <v/>
      </c>
    </row>
    <row r="22" spans="8:11">
      <c r="H22" s="1" t="s">
        <v>23</v>
      </c>
      <c r="I22" s="1">
        <f>input_NeedAnalysis_WealthProtectionNeed_GenderRelatedIllnessProtection_ResourceBreakdown_ExistingInsurance</f>
        <v>10000</v>
      </c>
      <c r="J22" s="1" t="b">
        <f>IF(OR(I22&lt;'Gender Related Illness'!J6,I22&gt;'Gender Related Illness'!K6),FALSE,TRUE)</f>
        <v>1</v>
      </c>
      <c r="K22" s="53" t="str">
        <f>IF(J22=FALSE,VLOOKUP(H22,'Gender Related Illness'!$H$13:$I$18,2,0),"")</f>
        <v/>
      </c>
    </row>
    <row r="23" spans="8:11">
      <c r="H23" s="1" t="s">
        <v>24</v>
      </c>
      <c r="I23" s="1">
        <f>input_NeedAnalysis_WealthProtectionNeed_GenderRelatedIllnessProtection_ResourceBreakdown_ExistingAssets</f>
        <v>20000</v>
      </c>
      <c r="J23" s="1" t="b">
        <f>IF(OR(I23&lt;'Gender Related Illness'!J7,I23&gt;'Gender Related Illness'!K7),FALSE,TRUE)</f>
        <v>1</v>
      </c>
      <c r="K23" s="53" t="str">
        <f>IF(J23=FALSE,VLOOKUP(H23,'Gender Related Illness'!$H$13:$I$18,2,0),"")</f>
        <v/>
      </c>
    </row>
    <row r="24" spans="8:11">
      <c r="H24" s="1" t="s">
        <v>236</v>
      </c>
      <c r="I24" s="1">
        <f>input_NeedAnalysis_WealthProtectionNeed_GenderRelatedIllnessProtection_CapitalSumRequired</f>
        <v>200000</v>
      </c>
      <c r="J24" s="1" t="b">
        <f>IF(OR(I24&lt;'Gender Related Illness'!J8,I24&gt;'Gender Related Illness'!K8),FALSE,TRUE)</f>
        <v>1</v>
      </c>
      <c r="K24" s="53" t="str">
        <f>IF(J24=FALSE,VLOOKUP(H24,'Gender Related Illness'!$H$13:$I$18,2,0),"")</f>
        <v/>
      </c>
    </row>
    <row r="25" spans="8:11">
      <c r="H25" s="1" t="s">
        <v>11</v>
      </c>
      <c r="I25" s="1">
        <f>input_NeedAnalysis_WealthProtectionNeed_GenderRelatedIllnessProtection_ExistingResources</f>
        <v>30000</v>
      </c>
      <c r="J25" s="1" t="b">
        <f>IF(OR(I25&lt;'Gender Related Illness'!J9,I25&gt;'Gender Related Illness'!K9),FALSE,TRUE)</f>
        <v>1</v>
      </c>
      <c r="K25" s="53" t="str">
        <f>IF(J25=FALSE,VLOOKUP(H25,'Gender Related Illness'!$H$13:$I$18,2,0),"")</f>
        <v/>
      </c>
    </row>
    <row r="26" spans="8:11">
      <c r="H26" s="1" t="s">
        <v>237</v>
      </c>
      <c r="I26" s="1">
        <f>input_NeedAnalysis_WealthProtectionNeed_GenderRelatedIllnessProtection_TotalShortfall</f>
        <v>170000</v>
      </c>
      <c r="J26" s="1" t="b">
        <f>IF(OR(I26&lt;'Gender Related Illness'!J10,I26&gt;'Gender Related Illness'!K10),FALSE,TRUE)</f>
        <v>1</v>
      </c>
      <c r="K26" s="53" t="str">
        <f>IF(J26=FALSE,VLOOKUP(H26,'Gender Related Illness'!$H$13:$I$18,2,0),"")</f>
        <v/>
      </c>
    </row>
  </sheetData>
  <phoneticPr fontId="2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8447-D03D-E24A-B822-56D277563FAE}">
  <dimension ref="A1:K55"/>
  <sheetViews>
    <sheetView zoomScale="80" zoomScaleNormal="80" workbookViewId="0">
      <selection activeCell="C24" sqref="C24"/>
    </sheetView>
  </sheetViews>
  <sheetFormatPr defaultColWidth="11.1640625" defaultRowHeight="15.5"/>
  <cols>
    <col min="1" max="1" width="10.83203125" customWidth="1"/>
    <col min="2" max="2" width="38" bestFit="1" customWidth="1"/>
    <col min="3" max="3" width="15" customWidth="1"/>
    <col min="5" max="5" width="13" bestFit="1" customWidth="1"/>
    <col min="6" max="6" width="10.83203125" customWidth="1"/>
    <col min="8" max="8" width="43.58203125" bestFit="1" customWidth="1"/>
    <col min="9" max="9" width="9.33203125" bestFit="1" customWidth="1"/>
    <col min="10" max="10" width="80.5" bestFit="1" customWidth="1"/>
    <col min="11" max="11" width="13.83203125" bestFit="1" customWidth="1"/>
  </cols>
  <sheetData>
    <row r="1" spans="1:11" ht="17">
      <c r="A1" s="20"/>
    </row>
    <row r="2" spans="1:11">
      <c r="A2" s="19"/>
    </row>
    <row r="3" spans="1:11">
      <c r="E3" s="1" t="s">
        <v>4</v>
      </c>
      <c r="F3" s="2"/>
      <c r="H3" s="9" t="s">
        <v>15</v>
      </c>
      <c r="I3" s="9" t="s">
        <v>18</v>
      </c>
      <c r="J3" s="9" t="s">
        <v>19</v>
      </c>
      <c r="K3" s="9" t="s">
        <v>20</v>
      </c>
    </row>
    <row r="4" spans="1:11">
      <c r="E4" s="1" t="s">
        <v>36</v>
      </c>
      <c r="F4" s="3"/>
      <c r="H4" s="1" t="s">
        <v>32</v>
      </c>
      <c r="I4" s="1">
        <f t="shared" ref="I4:I19" si="0">C8</f>
        <v>30</v>
      </c>
      <c r="J4" s="1">
        <v>0</v>
      </c>
      <c r="K4" s="1">
        <v>99</v>
      </c>
    </row>
    <row r="5" spans="1:11">
      <c r="E5" s="1" t="s">
        <v>35</v>
      </c>
      <c r="F5" s="4"/>
      <c r="H5" s="1" t="s">
        <v>28</v>
      </c>
      <c r="I5" s="1">
        <f t="shared" si="0"/>
        <v>62</v>
      </c>
      <c r="J5" s="1">
        <v>0</v>
      </c>
      <c r="K5" s="1">
        <v>99</v>
      </c>
    </row>
    <row r="6" spans="1:11">
      <c r="B6" s="24" t="s">
        <v>42</v>
      </c>
      <c r="C6" s="4" t="b">
        <f>'Validation Input Received'!$D$13</f>
        <v>0</v>
      </c>
      <c r="H6" s="1" t="s">
        <v>31</v>
      </c>
      <c r="I6" s="1">
        <f t="shared" si="0"/>
        <v>200000</v>
      </c>
      <c r="J6" s="1">
        <v>0</v>
      </c>
      <c r="K6" s="1">
        <v>9999999999</v>
      </c>
    </row>
    <row r="7" spans="1:11">
      <c r="B7" s="1" t="s">
        <v>259</v>
      </c>
      <c r="C7" s="2" t="s">
        <v>78</v>
      </c>
      <c r="H7" s="1" t="s">
        <v>30</v>
      </c>
      <c r="I7" s="1">
        <f t="shared" si="0"/>
        <v>20</v>
      </c>
      <c r="J7" s="1">
        <v>0</v>
      </c>
      <c r="K7" s="1">
        <v>99</v>
      </c>
    </row>
    <row r="8" spans="1:11">
      <c r="B8" s="1" t="s">
        <v>32</v>
      </c>
      <c r="C8" s="2">
        <v>30</v>
      </c>
      <c r="H8" s="1" t="s">
        <v>23</v>
      </c>
      <c r="I8" s="1">
        <f t="shared" si="0"/>
        <v>2000</v>
      </c>
      <c r="J8" s="1">
        <v>0</v>
      </c>
      <c r="K8" s="1">
        <v>9999999999</v>
      </c>
    </row>
    <row r="9" spans="1:11">
      <c r="B9" s="1" t="s">
        <v>28</v>
      </c>
      <c r="C9" s="2">
        <v>62</v>
      </c>
      <c r="H9" s="1" t="s">
        <v>24</v>
      </c>
      <c r="I9" s="1">
        <f t="shared" si="0"/>
        <v>1000</v>
      </c>
      <c r="J9" s="1">
        <v>0</v>
      </c>
      <c r="K9" s="1">
        <v>9999999999</v>
      </c>
    </row>
    <row r="10" spans="1:11">
      <c r="B10" s="1" t="s">
        <v>31</v>
      </c>
      <c r="C10" s="2">
        <v>200000</v>
      </c>
      <c r="H10" s="1" t="s">
        <v>133</v>
      </c>
      <c r="I10" s="1">
        <f t="shared" si="0"/>
        <v>0.02</v>
      </c>
      <c r="J10" s="1">
        <v>-0.2</v>
      </c>
      <c r="K10" s="1">
        <v>0.2</v>
      </c>
    </row>
    <row r="11" spans="1:11">
      <c r="B11" s="1" t="s">
        <v>30</v>
      </c>
      <c r="C11" s="2">
        <v>20</v>
      </c>
      <c r="H11" s="1" t="s">
        <v>233</v>
      </c>
      <c r="I11" s="1">
        <f t="shared" si="0"/>
        <v>32</v>
      </c>
      <c r="J11" s="1">
        <v>0</v>
      </c>
      <c r="K11" s="1">
        <v>99</v>
      </c>
    </row>
    <row r="12" spans="1:11">
      <c r="B12" s="1" t="s">
        <v>23</v>
      </c>
      <c r="C12" s="2">
        <v>2000</v>
      </c>
      <c r="H12" s="1" t="s">
        <v>257</v>
      </c>
      <c r="I12" s="1">
        <f t="shared" si="0"/>
        <v>376908.1184202258</v>
      </c>
      <c r="J12" s="1">
        <v>0</v>
      </c>
      <c r="K12" s="1">
        <v>9999999999</v>
      </c>
    </row>
    <row r="13" spans="1:11">
      <c r="B13" s="1" t="s">
        <v>24</v>
      </c>
      <c r="C13" s="26">
        <v>1000</v>
      </c>
      <c r="H13" s="1" t="s">
        <v>234</v>
      </c>
      <c r="I13" s="1">
        <f t="shared" si="0"/>
        <v>9022314.0394315179</v>
      </c>
      <c r="J13" s="1">
        <v>0</v>
      </c>
      <c r="K13" s="1">
        <v>9999999999</v>
      </c>
    </row>
    <row r="14" spans="1:11">
      <c r="B14" s="1" t="s">
        <v>133</v>
      </c>
      <c r="C14" s="2">
        <v>0.02</v>
      </c>
      <c r="H14" s="1" t="s">
        <v>11</v>
      </c>
      <c r="I14" s="1">
        <f t="shared" si="0"/>
        <v>3000</v>
      </c>
      <c r="J14" s="1">
        <v>0</v>
      </c>
      <c r="K14" s="1">
        <v>9999999999</v>
      </c>
    </row>
    <row r="15" spans="1:11">
      <c r="B15" s="1" t="s">
        <v>233</v>
      </c>
      <c r="C15" s="26">
        <v>32</v>
      </c>
      <c r="H15" s="1" t="s">
        <v>235</v>
      </c>
      <c r="I15" s="1">
        <f t="shared" si="0"/>
        <v>9019314.0394315179</v>
      </c>
      <c r="J15" s="1">
        <v>-999999999</v>
      </c>
      <c r="K15" s="1">
        <v>9999999999</v>
      </c>
    </row>
    <row r="16" spans="1:11">
      <c r="B16" s="1" t="s">
        <v>257</v>
      </c>
      <c r="C16" s="26">
        <v>376908.1184202258</v>
      </c>
      <c r="H16" s="1" t="s">
        <v>134</v>
      </c>
      <c r="I16" s="1">
        <f t="shared" si="0"/>
        <v>10000</v>
      </c>
      <c r="J16" s="1">
        <v>0</v>
      </c>
      <c r="K16" s="1">
        <v>9999999999</v>
      </c>
    </row>
    <row r="17" spans="2:11">
      <c r="B17" s="1" t="s">
        <v>234</v>
      </c>
      <c r="C17" s="26">
        <v>9022314.0394315179</v>
      </c>
      <c r="H17" s="1" t="s">
        <v>135</v>
      </c>
      <c r="I17" s="1">
        <f t="shared" si="0"/>
        <v>0.03</v>
      </c>
      <c r="J17" s="1">
        <v>-0.2</v>
      </c>
      <c r="K17" s="1">
        <v>0.2</v>
      </c>
    </row>
    <row r="18" spans="2:11">
      <c r="B18" s="1" t="s">
        <v>11</v>
      </c>
      <c r="C18" s="26">
        <v>3000</v>
      </c>
      <c r="H18" s="1" t="s">
        <v>256</v>
      </c>
      <c r="I18" s="1">
        <f t="shared" si="0"/>
        <v>10000</v>
      </c>
      <c r="J18" s="1">
        <v>0</v>
      </c>
      <c r="K18" s="1">
        <v>9999999999</v>
      </c>
    </row>
    <row r="19" spans="2:11">
      <c r="B19" s="1" t="s">
        <v>235</v>
      </c>
      <c r="C19" s="26">
        <v>9019314.0394315179</v>
      </c>
      <c r="H19" s="1" t="s">
        <v>258</v>
      </c>
      <c r="I19" s="1">
        <f t="shared" si="0"/>
        <v>376908.1184202258</v>
      </c>
      <c r="J19" s="1">
        <v>0</v>
      </c>
      <c r="K19" s="1">
        <v>9999999999</v>
      </c>
    </row>
    <row r="20" spans="2:11">
      <c r="B20" s="1" t="s">
        <v>134</v>
      </c>
      <c r="C20" s="2">
        <v>10000</v>
      </c>
      <c r="E20" s="107" t="s">
        <v>34</v>
      </c>
      <c r="F20" s="108"/>
    </row>
    <row r="21" spans="2:11">
      <c r="B21" s="1" t="s">
        <v>135</v>
      </c>
      <c r="C21" s="2">
        <v>0.03</v>
      </c>
      <c r="E21" s="1" t="s">
        <v>27</v>
      </c>
      <c r="F21" s="16">
        <v>0.01</v>
      </c>
      <c r="H21" s="9" t="s">
        <v>15</v>
      </c>
      <c r="I21" s="9" t="s">
        <v>17</v>
      </c>
      <c r="J21" s="9" t="s">
        <v>21</v>
      </c>
    </row>
    <row r="22" spans="2:11">
      <c r="B22" s="1" t="s">
        <v>256</v>
      </c>
      <c r="C22" s="2">
        <v>10000</v>
      </c>
      <c r="E22" s="1" t="s">
        <v>33</v>
      </c>
      <c r="F22" s="16">
        <v>2.52E-2</v>
      </c>
      <c r="H22" s="1" t="s">
        <v>32</v>
      </c>
      <c r="I22" s="18" t="s">
        <v>1477</v>
      </c>
      <c r="J22" s="17" t="str">
        <f>CONCATENATE("Please enter ",H22," ","between ",Retirement!J4," and ",Retirement!K4,".")</f>
        <v>Please enter Age at Next Birthday between 0 and 99.</v>
      </c>
    </row>
    <row r="23" spans="2:11">
      <c r="B23" s="1" t="s">
        <v>258</v>
      </c>
      <c r="C23" s="26">
        <v>376908.1184202258</v>
      </c>
      <c r="H23" s="1" t="s">
        <v>28</v>
      </c>
      <c r="I23" s="18" t="s">
        <v>1478</v>
      </c>
      <c r="J23" s="17" t="str">
        <f>CONCATENATE("Please enter ",H23," ","between ",Retirement!J5," and ",Retirement!K5,".")</f>
        <v>Please enter When do you need this fund? between 0 and 99.</v>
      </c>
    </row>
    <row r="24" spans="2:11">
      <c r="B24" s="1" t="s">
        <v>1295</v>
      </c>
      <c r="C24" s="26" t="b">
        <v>1</v>
      </c>
      <c r="H24" s="1" t="s">
        <v>31</v>
      </c>
      <c r="I24" s="18" t="s">
        <v>1479</v>
      </c>
      <c r="J24" s="17" t="str">
        <f>CONCATENATE("Please enter ",H24," ","between ",Retirement!J6," and ",Retirement!K6,".")</f>
        <v>Please enter Annual Retirement Expenses (Today's value) between 0 and 9999999999.</v>
      </c>
    </row>
    <row r="25" spans="2:11">
      <c r="E25" s="1" t="s">
        <v>22</v>
      </c>
      <c r="F25" s="3" t="b">
        <f>IF(NOT(C6),TRUE,IF(COUNTIF(Retirement!J40:J55,FALSE)=0,TRUE,VLOOKUP(FALSE,Retirement!$J$40:$K$55,2,0)))</f>
        <v>1</v>
      </c>
      <c r="H25" s="1" t="s">
        <v>30</v>
      </c>
      <c r="I25" s="18" t="s">
        <v>1480</v>
      </c>
      <c r="J25" s="17" t="str">
        <f>CONCATENATE("Please enter ",H25," ","between ",Retirement!J7," and ",Retirement!K7,".")</f>
        <v>Please enter Duration of Retirement between 0 and 99.</v>
      </c>
    </row>
    <row r="26" spans="2:11">
      <c r="E26" s="1" t="s">
        <v>21</v>
      </c>
      <c r="F26" s="3" t="str">
        <f>IF(output_NeedAnalysis_WealthAccumulationNeed_RetirementAccumulation_Validation=TRUE,"",VLOOKUP(output_NeedAnalysis_WealthAccumulationNeed_RetirementAccumulation_Validation,Retirement!$I22:J37,2,0))</f>
        <v/>
      </c>
      <c r="H26" s="1" t="s">
        <v>23</v>
      </c>
      <c r="I26" s="18" t="s">
        <v>1481</v>
      </c>
      <c r="J26" s="17" t="str">
        <f>CONCATENATE("Please enter ",H26," ","between ",Retirement!J8," and ",Retirement!K8,".")</f>
        <v>Please enter Existing Insurance between 0 and 9999999999.</v>
      </c>
    </row>
    <row r="27" spans="2:11">
      <c r="H27" s="1" t="s">
        <v>24</v>
      </c>
      <c r="I27" s="18" t="s">
        <v>1482</v>
      </c>
      <c r="J27" s="17" t="str">
        <f>CONCATENATE("Please enter ",H27," ","between ",Retirement!J9," and ",Retirement!K9,".")</f>
        <v>Please enter Existing Assets between 0 and 9999999999.</v>
      </c>
    </row>
    <row r="28" spans="2:11">
      <c r="H28" s="1" t="s">
        <v>133</v>
      </c>
      <c r="I28" s="18" t="s">
        <v>1483</v>
      </c>
      <c r="J28" s="17" t="str">
        <f>CONCATENATE("Please enter ",H28," ","between ",Retirement!J10," and ",Retirement!K10,".")</f>
        <v>Please enter Inflation Adjusted Rate of Return between -0.2 and 0.2.</v>
      </c>
    </row>
    <row r="29" spans="2:11">
      <c r="H29" s="1" t="s">
        <v>233</v>
      </c>
      <c r="I29" s="18" t="s">
        <v>1484</v>
      </c>
      <c r="J29" s="17" t="str">
        <f>CONCATENATE("Please enter ",H29," ","between ",Retirement!J11," and ",Retirement!K11,".")</f>
        <v>Please enter More Year to Retirement between 0 and 99.</v>
      </c>
    </row>
    <row r="30" spans="2:11">
      <c r="H30" s="1" t="s">
        <v>257</v>
      </c>
      <c r="I30" s="18" t="s">
        <v>1485</v>
      </c>
      <c r="J30" s="17" t="str">
        <f>CONCATENATE("Please enter ",H30," ","between ",Retirement!J12," and ",Retirement!K12,".")</f>
        <v>Please enter Annual Expense at Retirement Age between 0 and 9999999999.</v>
      </c>
    </row>
    <row r="31" spans="2:11">
      <c r="H31" s="1" t="s">
        <v>234</v>
      </c>
      <c r="I31" s="18" t="s">
        <v>1486</v>
      </c>
      <c r="J31" s="17" t="str">
        <f>CONCATENATE("Please enter ",H31," ","between ",Retirement!J13," and ",Retirement!K13,".")</f>
        <v>Please enter Lump Sum Retirement Expenses Needed between 0 and 9999999999.</v>
      </c>
    </row>
    <row r="32" spans="2:11">
      <c r="H32" s="1" t="s">
        <v>11</v>
      </c>
      <c r="I32" s="18" t="s">
        <v>1487</v>
      </c>
      <c r="J32" s="17" t="str">
        <f>CONCATENATE("Please enter ",H32," ","between ",Retirement!J14," and ",Retirement!K14,".")</f>
        <v>Please enter Existing Resources between 0 and 9999999999.</v>
      </c>
    </row>
    <row r="33" spans="8:11">
      <c r="H33" s="1" t="s">
        <v>235</v>
      </c>
      <c r="I33" s="18" t="s">
        <v>1488</v>
      </c>
      <c r="J33" s="17" t="str">
        <f>CONCATENATE("Please enter ",H33," ","between ",Retirement!J15," and ",Retirement!K15,".")</f>
        <v>Please enter Retirement Gap (Total Shortfall)  between -999999999 and 9999999999.</v>
      </c>
    </row>
    <row r="34" spans="8:11">
      <c r="H34" s="1" t="s">
        <v>134</v>
      </c>
      <c r="I34" s="18" t="s">
        <v>1489</v>
      </c>
      <c r="J34" s="17" t="str">
        <f>CONCATENATE("Please enter ",H34," ","between ",Retirement!J16," and ",Retirement!K16,".")</f>
        <v>Please enter Current Annual Income between 0 and 9999999999.</v>
      </c>
    </row>
    <row r="35" spans="8:11">
      <c r="H35" s="1" t="s">
        <v>135</v>
      </c>
      <c r="I35" s="18" t="s">
        <v>1490</v>
      </c>
      <c r="J35" s="17" t="str">
        <f>CONCATENATE("Please enter ",H35," ","between ",Retirement!J17," and ",Retirement!K17,".")</f>
        <v>Please enter Rate of Income Increment between -0.2 and 0.2.</v>
      </c>
    </row>
    <row r="36" spans="8:11">
      <c r="H36" s="1" t="s">
        <v>256</v>
      </c>
      <c r="I36" s="18" t="s">
        <v>1491</v>
      </c>
      <c r="J36" s="17" t="str">
        <f>CONCATENATE("Please enter ",H36," ","between ",Retirement!J18," and ",Retirement!K18,".")</f>
        <v>Please enter Projected Annual Income Required at Retirement between 0 and 9999999999.</v>
      </c>
    </row>
    <row r="37" spans="8:11">
      <c r="H37" s="1" t="s">
        <v>258</v>
      </c>
      <c r="I37" s="18" t="s">
        <v>1492</v>
      </c>
      <c r="J37" s="17" t="str">
        <f>CONCATENATE("Please enter ",H37," ","between ",Retirement!J19," and ",Retirement!K19,".")</f>
        <v>Please enter Annual Income at Retirement Age between 0 and 9999999999.</v>
      </c>
    </row>
    <row r="39" spans="8:11">
      <c r="H39" s="9" t="s">
        <v>15</v>
      </c>
      <c r="I39" s="9" t="s">
        <v>4</v>
      </c>
      <c r="J39" s="9" t="s">
        <v>16</v>
      </c>
      <c r="K39" s="9" t="s">
        <v>17</v>
      </c>
    </row>
    <row r="40" spans="8:11">
      <c r="H40" s="1" t="s">
        <v>32</v>
      </c>
      <c r="I40" s="1">
        <f t="shared" ref="I40:I55" si="1">C8</f>
        <v>30</v>
      </c>
      <c r="J40" s="1" t="b">
        <f>IF(OR(I40&lt;Retirement!J4,I40&gt;Retirement!K4),FALSE,TRUE)</f>
        <v>1</v>
      </c>
      <c r="K40" s="53" t="str">
        <f>IF(J40=FALSE,VLOOKUP(H40,Retirement!H$22:$I$37,2,0),"")</f>
        <v/>
      </c>
    </row>
    <row r="41" spans="8:11">
      <c r="H41" s="1" t="s">
        <v>28</v>
      </c>
      <c r="I41" s="1">
        <f t="shared" si="1"/>
        <v>62</v>
      </c>
      <c r="J41" s="1" t="b">
        <f>IF(OR(I41&lt;Retirement!J5,I41&gt;Retirement!K5),FALSE,TRUE)</f>
        <v>1</v>
      </c>
      <c r="K41" s="53" t="str">
        <f>IF(J41=FALSE,VLOOKUP(H41,Retirement!H$22:$I$37,2,0),"")</f>
        <v/>
      </c>
    </row>
    <row r="42" spans="8:11">
      <c r="H42" s="1" t="s">
        <v>31</v>
      </c>
      <c r="I42" s="1">
        <f t="shared" si="1"/>
        <v>200000</v>
      </c>
      <c r="J42" s="1" t="b">
        <f>IF(OR(I42&lt;Retirement!J6,I42&gt;Retirement!K6),FALSE,TRUE)</f>
        <v>1</v>
      </c>
      <c r="K42" s="53" t="str">
        <f>IF(J42=FALSE,VLOOKUP(H42,Retirement!H$22:$I$37,2,0),"")</f>
        <v/>
      </c>
    </row>
    <row r="43" spans="8:11">
      <c r="H43" s="1" t="s">
        <v>30</v>
      </c>
      <c r="I43" s="1">
        <f t="shared" si="1"/>
        <v>20</v>
      </c>
      <c r="J43" s="1" t="b">
        <f>IF(OR(I43&lt;Retirement!J7,I43&gt;Retirement!K7),FALSE,TRUE)</f>
        <v>1</v>
      </c>
      <c r="K43" s="53" t="str">
        <f>IF(J43=FALSE,VLOOKUP(H43,Retirement!H$22:$I$37,2,0),"")</f>
        <v/>
      </c>
    </row>
    <row r="44" spans="8:11">
      <c r="H44" s="1" t="s">
        <v>23</v>
      </c>
      <c r="I44" s="1">
        <f t="shared" si="1"/>
        <v>2000</v>
      </c>
      <c r="J44" s="1" t="b">
        <f>IF(OR(I44&lt;Retirement!J8,I44&gt;Retirement!K8),FALSE,TRUE)</f>
        <v>1</v>
      </c>
      <c r="K44" s="53" t="str">
        <f>IF(J44=FALSE,VLOOKUP(H44,Retirement!H$22:$I$37,2,0),"")</f>
        <v/>
      </c>
    </row>
    <row r="45" spans="8:11">
      <c r="H45" s="1" t="s">
        <v>24</v>
      </c>
      <c r="I45" s="1">
        <f t="shared" si="1"/>
        <v>1000</v>
      </c>
      <c r="J45" s="1" t="b">
        <f>IF(OR(I45&lt;Retirement!J9,I45&gt;Retirement!K9),FALSE,TRUE)</f>
        <v>1</v>
      </c>
      <c r="K45" s="53" t="str">
        <f>IF(J45=FALSE,VLOOKUP(H45,Retirement!H$22:$I$37,2,0),"")</f>
        <v/>
      </c>
    </row>
    <row r="46" spans="8:11">
      <c r="H46" s="1" t="s">
        <v>133</v>
      </c>
      <c r="I46" s="1">
        <f t="shared" si="1"/>
        <v>0.02</v>
      </c>
      <c r="J46" s="1" t="b">
        <f>IF(OR(I46&lt;Retirement!J10,I46&gt;Retirement!K10),FALSE,TRUE)</f>
        <v>1</v>
      </c>
      <c r="K46" s="53" t="str">
        <f>IF(J46=FALSE,VLOOKUP(H46,Retirement!H$22:$I$37,2,0),"")</f>
        <v/>
      </c>
    </row>
    <row r="47" spans="8:11">
      <c r="H47" s="1" t="s">
        <v>233</v>
      </c>
      <c r="I47" s="1">
        <f t="shared" si="1"/>
        <v>32</v>
      </c>
      <c r="J47" s="1" t="b">
        <f>IF(OR(I47&lt;Retirement!J11,I47&gt;Retirement!K11),FALSE,TRUE)</f>
        <v>1</v>
      </c>
      <c r="K47" s="53" t="str">
        <f>IF(J47=FALSE,VLOOKUP(H47,Retirement!H$22:$I$37,2,0),"")</f>
        <v/>
      </c>
    </row>
    <row r="48" spans="8:11">
      <c r="H48" s="1" t="s">
        <v>257</v>
      </c>
      <c r="I48" s="1">
        <f t="shared" si="1"/>
        <v>376908.1184202258</v>
      </c>
      <c r="J48" s="1" t="b">
        <f>IF(OR(I48&lt;Retirement!J12,I48&gt;Retirement!K12),FALSE,TRUE)</f>
        <v>1</v>
      </c>
      <c r="K48" s="53" t="str">
        <f>IF(J48=FALSE,VLOOKUP(H48,Retirement!H$22:$I$37,2,0),"")</f>
        <v/>
      </c>
    </row>
    <row r="49" spans="8:11">
      <c r="H49" s="1" t="s">
        <v>234</v>
      </c>
      <c r="I49" s="1">
        <f t="shared" si="1"/>
        <v>9022314.0394315179</v>
      </c>
      <c r="J49" s="1" t="b">
        <f>IF(OR(I49&lt;Retirement!J13,I49&gt;Retirement!K13),FALSE,TRUE)</f>
        <v>1</v>
      </c>
      <c r="K49" s="53" t="str">
        <f>IF(J49=FALSE,VLOOKUP(H49,Retirement!H$22:$I$37,2,0),"")</f>
        <v/>
      </c>
    </row>
    <row r="50" spans="8:11">
      <c r="H50" s="1" t="s">
        <v>11</v>
      </c>
      <c r="I50" s="1">
        <f t="shared" si="1"/>
        <v>3000</v>
      </c>
      <c r="J50" s="1" t="b">
        <f>IF(OR(I50&lt;Retirement!J14,I50&gt;Retirement!K14),FALSE,TRUE)</f>
        <v>1</v>
      </c>
      <c r="K50" s="53" t="str">
        <f>IF(J50=FALSE,VLOOKUP(H50,Retirement!H$22:$I$37,2,0),"")</f>
        <v/>
      </c>
    </row>
    <row r="51" spans="8:11">
      <c r="H51" s="1" t="s">
        <v>235</v>
      </c>
      <c r="I51" s="1">
        <f t="shared" si="1"/>
        <v>9019314.0394315179</v>
      </c>
      <c r="J51" s="1" t="b">
        <f>IF(OR(I51&lt;Retirement!J15,I51&gt;Retirement!K15),FALSE,TRUE)</f>
        <v>1</v>
      </c>
      <c r="K51" s="53" t="str">
        <f>IF(J51=FALSE,VLOOKUP(H51,Retirement!H$22:$I$37,2,0),"")</f>
        <v/>
      </c>
    </row>
    <row r="52" spans="8:11">
      <c r="H52" s="1" t="s">
        <v>134</v>
      </c>
      <c r="I52" s="1">
        <f t="shared" si="1"/>
        <v>10000</v>
      </c>
      <c r="J52" s="1" t="b">
        <f>IF(OR(I52&lt;Retirement!J16,I52&gt;Retirement!K16),FALSE,TRUE)</f>
        <v>1</v>
      </c>
      <c r="K52" s="53" t="str">
        <f>IF(J52=FALSE,VLOOKUP(H52,Retirement!H$22:$I$37,2,0),"")</f>
        <v/>
      </c>
    </row>
    <row r="53" spans="8:11">
      <c r="H53" s="1" t="s">
        <v>135</v>
      </c>
      <c r="I53" s="1">
        <f t="shared" si="1"/>
        <v>0.03</v>
      </c>
      <c r="J53" s="1" t="b">
        <f>IF(OR(I53&lt;Retirement!J17,I53&gt;Retirement!K17),FALSE,TRUE)</f>
        <v>1</v>
      </c>
      <c r="K53" s="53" t="str">
        <f>IF(J53=FALSE,VLOOKUP(H53,Retirement!H$22:$I$37,2,0),"")</f>
        <v/>
      </c>
    </row>
    <row r="54" spans="8:11">
      <c r="H54" s="1" t="s">
        <v>256</v>
      </c>
      <c r="I54" s="1">
        <f t="shared" si="1"/>
        <v>10000</v>
      </c>
      <c r="J54" s="1" t="b">
        <f>IF(OR(I54&lt;Retirement!J18,I54&gt;Retirement!K18),FALSE,TRUE)</f>
        <v>1</v>
      </c>
      <c r="K54" s="53" t="str">
        <f>IF(J54=FALSE,VLOOKUP(H54,Retirement!H$22:$I$37,2,0),"")</f>
        <v/>
      </c>
    </row>
    <row r="55" spans="8:11">
      <c r="H55" s="1" t="s">
        <v>258</v>
      </c>
      <c r="I55" s="1">
        <f t="shared" si="1"/>
        <v>376908.1184202258</v>
      </c>
      <c r="J55" s="1" t="b">
        <f>IF(OR(I55&lt;Retirement!J19,I55&gt;Retirement!K19),FALSE,TRUE)</f>
        <v>1</v>
      </c>
      <c r="K55" s="53" t="str">
        <f>IF(J55=FALSE,VLOOKUP(H55,Retirement!H$22:$I$37,2,0),"")</f>
        <v/>
      </c>
    </row>
  </sheetData>
  <mergeCells count="1">
    <mergeCell ref="E20:F20"/>
  </mergeCells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AF9D-8323-FB46-AB76-5447F001A8DE}">
  <dimension ref="C1:K28"/>
  <sheetViews>
    <sheetView topLeftCell="B1" zoomScale="90" zoomScaleNormal="90" workbookViewId="0">
      <selection activeCell="D11" sqref="D11"/>
    </sheetView>
  </sheetViews>
  <sheetFormatPr defaultColWidth="11.1640625" defaultRowHeight="15.5"/>
  <cols>
    <col min="3" max="3" width="24.83203125" bestFit="1" customWidth="1"/>
    <col min="4" max="4" width="12.5" bestFit="1" customWidth="1"/>
    <col min="5" max="5" width="13" bestFit="1" customWidth="1"/>
    <col min="7" max="7" width="13.6640625" bestFit="1" customWidth="1"/>
    <col min="8" max="8" width="26.1640625" bestFit="1" customWidth="1"/>
    <col min="9" max="9" width="11" customWidth="1"/>
    <col min="10" max="10" width="68.58203125" bestFit="1" customWidth="1"/>
    <col min="11" max="11" width="13.83203125" bestFit="1" customWidth="1"/>
  </cols>
  <sheetData>
    <row r="1" spans="3:11">
      <c r="E1" s="1" t="s">
        <v>0</v>
      </c>
      <c r="F1" s="2"/>
    </row>
    <row r="2" spans="3:11">
      <c r="E2" s="1" t="s">
        <v>1</v>
      </c>
      <c r="F2" s="3"/>
    </row>
    <row r="3" spans="3:11">
      <c r="C3" s="24" t="s">
        <v>42</v>
      </c>
      <c r="D3" s="4" t="b">
        <f>'Validation Input Received'!$D$14</f>
        <v>1</v>
      </c>
      <c r="E3" s="1" t="s">
        <v>2</v>
      </c>
      <c r="F3" s="4"/>
      <c r="H3" s="9" t="s">
        <v>15</v>
      </c>
      <c r="I3" s="9" t="s">
        <v>18</v>
      </c>
      <c r="J3" s="9" t="s">
        <v>19</v>
      </c>
      <c r="K3" s="9" t="s">
        <v>20</v>
      </c>
    </row>
    <row r="4" spans="3:11">
      <c r="C4" s="1" t="s">
        <v>29</v>
      </c>
      <c r="D4" s="2">
        <v>200000</v>
      </c>
      <c r="H4" s="1" t="s">
        <v>29</v>
      </c>
      <c r="I4" s="1">
        <f>input_NeedAnalysis_WealthAccumulationNeed_SavingsAccumulation_AmountNeeded</f>
        <v>200000</v>
      </c>
      <c r="J4" s="1">
        <v>0</v>
      </c>
      <c r="K4" s="1">
        <v>999999999</v>
      </c>
    </row>
    <row r="5" spans="3:11">
      <c r="C5" s="1" t="s">
        <v>23</v>
      </c>
      <c r="D5" s="2">
        <v>10000</v>
      </c>
      <c r="H5" s="1" t="s">
        <v>23</v>
      </c>
      <c r="I5" s="1">
        <f>input_NeedAnalysis_WealthAccumulationNeed_SavingsAccumulation_ResourceBreakdown_ExistingInsurance</f>
        <v>10000</v>
      </c>
      <c r="J5" s="1">
        <v>0</v>
      </c>
      <c r="K5" s="1">
        <v>999999999</v>
      </c>
    </row>
    <row r="6" spans="3:11">
      <c r="C6" s="1" t="s">
        <v>24</v>
      </c>
      <c r="D6" s="2">
        <v>20000</v>
      </c>
      <c r="H6" s="1" t="s">
        <v>24</v>
      </c>
      <c r="I6" s="1">
        <f>input_NeedAnalysis_WealthAccumulationNeed_SavingsAccumulation_ResourceBreakdown_ExistingAssets</f>
        <v>20000</v>
      </c>
      <c r="J6" s="1">
        <v>0</v>
      </c>
      <c r="K6" s="1">
        <v>999999999</v>
      </c>
    </row>
    <row r="7" spans="3:11">
      <c r="C7" s="1" t="s">
        <v>236</v>
      </c>
      <c r="D7" s="2">
        <v>200000</v>
      </c>
      <c r="H7" s="1" t="s">
        <v>236</v>
      </c>
      <c r="I7" s="1">
        <f>input_NeedAnalysis_WealthAccumulationNeed_SavingsAccumulation_CapitalSumRequired</f>
        <v>200000</v>
      </c>
      <c r="J7" s="1">
        <v>0</v>
      </c>
      <c r="K7" s="1">
        <v>999999999</v>
      </c>
    </row>
    <row r="8" spans="3:11">
      <c r="C8" s="1" t="s">
        <v>11</v>
      </c>
      <c r="D8" s="2">
        <v>30000</v>
      </c>
      <c r="H8" s="1" t="s">
        <v>11</v>
      </c>
      <c r="I8" s="1">
        <f>input_NeedAnalysis_WealthAccumulationNeed_SavingsAccumulation_ExistingResources</f>
        <v>30000</v>
      </c>
      <c r="J8" s="1">
        <v>0</v>
      </c>
      <c r="K8" s="1">
        <v>999999999</v>
      </c>
    </row>
    <row r="9" spans="3:11">
      <c r="C9" s="1" t="s">
        <v>237</v>
      </c>
      <c r="D9" s="2">
        <v>170000</v>
      </c>
      <c r="H9" s="1" t="s">
        <v>237</v>
      </c>
      <c r="I9" s="1">
        <f>input_NeedAnalysis_WealthAccumulationNeed_SavingsAccumulation_TotalShortfall</f>
        <v>170000</v>
      </c>
      <c r="J9" s="1">
        <v>-999999999</v>
      </c>
      <c r="K9" s="1">
        <v>999999999</v>
      </c>
    </row>
    <row r="10" spans="3:11">
      <c r="C10" s="1" t="s">
        <v>28</v>
      </c>
      <c r="D10" s="65">
        <v>20</v>
      </c>
      <c r="H10" s="1" t="s">
        <v>28</v>
      </c>
      <c r="I10" s="1">
        <f>input_NeedAnalysis_WealthAccumulationNeed_SavingsAccumulation_YearsToGoal</f>
        <v>20</v>
      </c>
      <c r="J10" s="1">
        <v>0</v>
      </c>
      <c r="K10" s="1">
        <v>99</v>
      </c>
    </row>
    <row r="11" spans="3:11">
      <c r="C11" s="1" t="s">
        <v>1295</v>
      </c>
      <c r="D11" s="26" t="b">
        <v>1</v>
      </c>
    </row>
    <row r="12" spans="3:11" ht="16" thickBot="1">
      <c r="H12" s="9" t="s">
        <v>15</v>
      </c>
      <c r="I12" s="9" t="s">
        <v>17</v>
      </c>
      <c r="J12" s="9" t="s">
        <v>21</v>
      </c>
    </row>
    <row r="13" spans="3:11">
      <c r="E13" s="10" t="s">
        <v>22</v>
      </c>
      <c r="F13" s="15" t="b">
        <f>IF(NOT(D3),TRUE,IF(COUNTIF(Savings!J22:J28,FALSE)=0,TRUE,VLOOKUP(FALSE,Savings!$J22:$K$28,2,0)))</f>
        <v>1</v>
      </c>
      <c r="H13" s="1" t="s">
        <v>29</v>
      </c>
      <c r="I13" s="1" t="s">
        <v>1493</v>
      </c>
      <c r="J13" s="1" t="str">
        <f>CONCATENATE("Please enter ",H13," ","between ",Savings!J4," and ",Savings!K4,".")</f>
        <v>Please enter Amount Needed between 0 and 999999999.</v>
      </c>
    </row>
    <row r="14" spans="3:11" ht="16" thickBot="1">
      <c r="E14" s="12" t="s">
        <v>21</v>
      </c>
      <c r="F14" s="14" t="str">
        <f>IF(output_NeedAnalysis_WealthAccumulationNeed_SavingsAccumulation_Validation=TRUE,"",VLOOKUP(output_NeedAnalysis_WealthAccumulationNeed_SavingsAccumulation_Validation,Savings!$I13:J19,2,0))</f>
        <v/>
      </c>
      <c r="H14" s="1" t="s">
        <v>23</v>
      </c>
      <c r="I14" s="1" t="s">
        <v>1494</v>
      </c>
      <c r="J14" s="1" t="str">
        <f>CONCATENATE("Please enter ",H14," ","between ",Savings!J5," and ",Savings!K5,".")</f>
        <v>Please enter Existing Insurance between 0 and 999999999.</v>
      </c>
    </row>
    <row r="15" spans="3:11">
      <c r="H15" s="1" t="s">
        <v>24</v>
      </c>
      <c r="I15" s="1" t="s">
        <v>1495</v>
      </c>
      <c r="J15" s="1" t="str">
        <f>CONCATENATE("Please enter ",H15," ","between ",Savings!J6," and ",Savings!K6,".")</f>
        <v>Please enter Existing Assets between 0 and 999999999.</v>
      </c>
    </row>
    <row r="16" spans="3:11">
      <c r="H16" s="1" t="s">
        <v>236</v>
      </c>
      <c r="I16" s="1" t="s">
        <v>1496</v>
      </c>
      <c r="J16" s="1" t="str">
        <f>CONCATENATE("Please enter ",H16," ","between ",Savings!J7," and ",Savings!K7,".")</f>
        <v>Please enter Lump Sum Savings Needed between 0 and 999999999.</v>
      </c>
    </row>
    <row r="17" spans="8:11">
      <c r="H17" s="1" t="s">
        <v>11</v>
      </c>
      <c r="I17" s="1" t="s">
        <v>1497</v>
      </c>
      <c r="J17" s="1" t="str">
        <f>CONCATENATE("Please enter ",H17," ","between ",Savings!J8," and ",Savings!K8,".")</f>
        <v>Please enter Existing Resources between 0 and 999999999.</v>
      </c>
    </row>
    <row r="18" spans="8:11">
      <c r="H18" s="1" t="s">
        <v>237</v>
      </c>
      <c r="I18" s="1" t="s">
        <v>1498</v>
      </c>
      <c r="J18" s="1" t="str">
        <f>CONCATENATE("Please enter ",H18," ","between ",Savings!J9," and ",Savings!K9,".")</f>
        <v>Please enter Savings Gap (Total shortfall) between -999999999 and 999999999.</v>
      </c>
    </row>
    <row r="19" spans="8:11">
      <c r="H19" s="1" t="s">
        <v>28</v>
      </c>
      <c r="I19" s="1" t="s">
        <v>1499</v>
      </c>
      <c r="J19" s="1" t="str">
        <f>CONCATENATE("Please enter ",H19," ","between ",Savings!J10," and ",Savings!K10,".")</f>
        <v>Please enter When do you need this fund? between 0 and 99.</v>
      </c>
    </row>
    <row r="21" spans="8:11">
      <c r="H21" s="9" t="s">
        <v>15</v>
      </c>
      <c r="I21" s="9" t="s">
        <v>4</v>
      </c>
      <c r="J21" s="9" t="s">
        <v>16</v>
      </c>
      <c r="K21" s="9" t="s">
        <v>17</v>
      </c>
    </row>
    <row r="22" spans="8:11">
      <c r="H22" s="1" t="s">
        <v>29</v>
      </c>
      <c r="I22" s="1">
        <f>input_NeedAnalysis_WealthAccumulationNeed_SavingsAccumulation_AmountNeeded</f>
        <v>200000</v>
      </c>
      <c r="J22" s="1" t="b">
        <f>IF(OR(I22&lt;Savings!J4,I22&gt;Savings!K4),FALSE,TRUE)</f>
        <v>1</v>
      </c>
      <c r="K22" s="53" t="str">
        <f>IF(J22=FALSE,VLOOKUP(H22,Savings!$H$13:$I$19,2,0),"")</f>
        <v/>
      </c>
    </row>
    <row r="23" spans="8:11">
      <c r="H23" s="1" t="s">
        <v>23</v>
      </c>
      <c r="I23" s="1">
        <f>input_NeedAnalysis_WealthAccumulationNeed_SavingsAccumulation_ResourceBreakdown_ExistingInsurance</f>
        <v>10000</v>
      </c>
      <c r="J23" s="1" t="b">
        <f>IF(OR(I23&lt;Savings!J5,I23&gt;Savings!K5),FALSE,TRUE)</f>
        <v>1</v>
      </c>
      <c r="K23" s="53" t="str">
        <f>IF(J23=FALSE,VLOOKUP(H23,Savings!$H$13:$I$19,2,0),"")</f>
        <v/>
      </c>
    </row>
    <row r="24" spans="8:11">
      <c r="H24" s="1" t="s">
        <v>24</v>
      </c>
      <c r="I24" s="1">
        <f>input_NeedAnalysis_WealthAccumulationNeed_SavingsAccumulation_ResourceBreakdown_ExistingAssets</f>
        <v>20000</v>
      </c>
      <c r="J24" s="1" t="b">
        <f>IF(OR(I24&lt;Savings!J6,I24&gt;Savings!K6),FALSE,TRUE)</f>
        <v>1</v>
      </c>
      <c r="K24" s="53" t="str">
        <f>IF(J24=FALSE,VLOOKUP(H24,Savings!$H$13:$I$19,2,0),"")</f>
        <v/>
      </c>
    </row>
    <row r="25" spans="8:11">
      <c r="H25" s="1" t="s">
        <v>236</v>
      </c>
      <c r="I25" s="1">
        <f>input_NeedAnalysis_WealthAccumulationNeed_SavingsAccumulation_CapitalSumRequired</f>
        <v>200000</v>
      </c>
      <c r="J25" s="1" t="b">
        <f>IF(OR(I25&lt;Savings!J7,I25&gt;Savings!K7),FALSE,TRUE)</f>
        <v>1</v>
      </c>
      <c r="K25" s="53" t="str">
        <f>IF(J25=FALSE,VLOOKUP(H25,Savings!$H$13:$I$19,2,0),"")</f>
        <v/>
      </c>
    </row>
    <row r="26" spans="8:11">
      <c r="H26" s="1" t="s">
        <v>11</v>
      </c>
      <c r="I26" s="1">
        <f>input_NeedAnalysis_WealthAccumulationNeed_SavingsAccumulation_ExistingResources</f>
        <v>30000</v>
      </c>
      <c r="J26" s="1" t="b">
        <f>IF(OR(I26&lt;Savings!J8,I26&gt;Savings!K8),FALSE,TRUE)</f>
        <v>1</v>
      </c>
      <c r="K26" s="53" t="str">
        <f>IF(J26=FALSE,VLOOKUP(H26,Savings!$H$13:$I$19,2,0),"")</f>
        <v/>
      </c>
    </row>
    <row r="27" spans="8:11">
      <c r="H27" s="1" t="s">
        <v>237</v>
      </c>
      <c r="I27" s="1">
        <f>input_NeedAnalysis_WealthAccumulationNeed_SavingsAccumulation_TotalShortfall</f>
        <v>170000</v>
      </c>
      <c r="J27" s="1" t="b">
        <f>IF(OR(I27&lt;Savings!J9,I27&gt;Savings!K9),FALSE,TRUE)</f>
        <v>1</v>
      </c>
      <c r="K27" s="53" t="str">
        <f>IF(J27=FALSE,VLOOKUP(H27,Savings!$H$13:$I$19,2,0),"")</f>
        <v/>
      </c>
    </row>
    <row r="28" spans="8:11">
      <c r="H28" s="1" t="s">
        <v>28</v>
      </c>
      <c r="I28" s="1">
        <f>input_NeedAnalysis_WealthAccumulationNeed_SavingsAccumulation_YearsToGoal</f>
        <v>20</v>
      </c>
      <c r="J28" s="1" t="b">
        <f>IF(OR(I28&lt;Savings!J10,I28&gt;Savings!K10),FALSE,TRUE)</f>
        <v>1</v>
      </c>
      <c r="K28" s="53" t="str">
        <f>IF(J28=FALSE,VLOOKUP(H28,Savings!$H$13:$I$19,2,0),"")</f>
        <v/>
      </c>
    </row>
  </sheetData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A8BA-FCD5-1143-AD6D-0C2216BC346F}">
  <dimension ref="C1:K32"/>
  <sheetViews>
    <sheetView zoomScale="70" zoomScaleNormal="70" workbookViewId="0">
      <selection activeCell="D13" sqref="D13"/>
    </sheetView>
  </sheetViews>
  <sheetFormatPr defaultColWidth="11.1640625" defaultRowHeight="15.5"/>
  <cols>
    <col min="3" max="3" width="33.5" bestFit="1" customWidth="1"/>
    <col min="4" max="4" width="11.1640625" bestFit="1" customWidth="1"/>
    <col min="5" max="5" width="13" bestFit="1" customWidth="1"/>
    <col min="7" max="7" width="13.83203125" customWidth="1"/>
    <col min="8" max="8" width="33.6640625" bestFit="1" customWidth="1"/>
    <col min="10" max="10" width="73.1640625" bestFit="1" customWidth="1"/>
    <col min="11" max="11" width="13.83203125" bestFit="1" customWidth="1"/>
  </cols>
  <sheetData>
    <row r="1" spans="3:11">
      <c r="E1" s="1" t="s">
        <v>0</v>
      </c>
      <c r="F1" s="2"/>
    </row>
    <row r="2" spans="3:11">
      <c r="E2" s="1" t="s">
        <v>1</v>
      </c>
      <c r="F2" s="3"/>
    </row>
    <row r="3" spans="3:11">
      <c r="C3" s="1" t="s">
        <v>42</v>
      </c>
      <c r="D3" s="4" t="b">
        <f>'Validation Input Received'!$D$15</f>
        <v>1</v>
      </c>
      <c r="E3" s="1" t="s">
        <v>2</v>
      </c>
      <c r="F3" s="4"/>
    </row>
    <row r="4" spans="3:11">
      <c r="C4" s="1" t="s">
        <v>50</v>
      </c>
      <c r="D4" s="26" t="s">
        <v>45</v>
      </c>
      <c r="H4" s="9" t="s">
        <v>15</v>
      </c>
      <c r="I4" s="9" t="s">
        <v>18</v>
      </c>
      <c r="J4" s="9" t="s">
        <v>19</v>
      </c>
      <c r="K4" s="9" t="s">
        <v>20</v>
      </c>
    </row>
    <row r="5" spans="3:11">
      <c r="C5" s="1" t="s">
        <v>27</v>
      </c>
      <c r="D5" s="2">
        <v>0.03</v>
      </c>
      <c r="H5" s="1" t="s">
        <v>27</v>
      </c>
      <c r="I5" s="66">
        <f>input_NeedAnalysis_WealthAccumulationNeed_ChildrenEducationSavings_InflationRate</f>
        <v>0.03</v>
      </c>
      <c r="J5" s="1">
        <v>-0.2</v>
      </c>
      <c r="K5" s="1">
        <v>0.2</v>
      </c>
    </row>
    <row r="6" spans="3:11">
      <c r="C6" s="1" t="s">
        <v>28</v>
      </c>
      <c r="D6" s="2">
        <v>10</v>
      </c>
      <c r="H6" s="1" t="s">
        <v>26</v>
      </c>
      <c r="I6" s="1">
        <f>input_NeedAnalysis_WealthAccumulationNeed_ChildrenEducationSavings_YearsToGoal</f>
        <v>10</v>
      </c>
      <c r="J6" s="1">
        <v>0</v>
      </c>
      <c r="K6" s="1">
        <v>99</v>
      </c>
    </row>
    <row r="7" spans="3:11">
      <c r="C7" s="1" t="s">
        <v>25</v>
      </c>
      <c r="D7" s="2">
        <v>300000</v>
      </c>
      <c r="H7" s="1" t="s">
        <v>25</v>
      </c>
      <c r="I7" s="1">
        <f>input_NeedAnalysis_WealthAccumulationNeed_ChildrenEducationSavings_AmountNeeded</f>
        <v>300000</v>
      </c>
      <c r="J7" s="1">
        <v>0</v>
      </c>
      <c r="K7" s="1">
        <v>9999999999</v>
      </c>
    </row>
    <row r="8" spans="3:11">
      <c r="C8" s="1" t="s">
        <v>23</v>
      </c>
      <c r="D8" s="2">
        <v>10000</v>
      </c>
      <c r="H8" s="1" t="s">
        <v>23</v>
      </c>
      <c r="I8" s="1">
        <f>input_NeedAnalysis_WealthAccumulationNeed_ChildrenEducationSavings_ResourceBreakdown_ExistingInsurance</f>
        <v>10000</v>
      </c>
      <c r="J8" s="1">
        <v>0</v>
      </c>
      <c r="K8" s="1">
        <v>9999999999</v>
      </c>
    </row>
    <row r="9" spans="3:11">
      <c r="C9" s="1" t="s">
        <v>24</v>
      </c>
      <c r="D9" s="2">
        <v>20000</v>
      </c>
      <c r="H9" s="1" t="s">
        <v>24</v>
      </c>
      <c r="I9" s="1">
        <f>input_NeedAnalysis_WealthAccumulationNeed_ChildrenEducationSavings_ResourceBreakdown_ExistingAssets</f>
        <v>20000</v>
      </c>
      <c r="J9" s="1">
        <v>0</v>
      </c>
      <c r="K9" s="1">
        <v>9999999999</v>
      </c>
    </row>
    <row r="10" spans="3:11">
      <c r="C10" s="1" t="s">
        <v>231</v>
      </c>
      <c r="D10" s="2">
        <v>403174.91380323656</v>
      </c>
      <c r="H10" s="1" t="s">
        <v>231</v>
      </c>
      <c r="I10" s="1">
        <f>input_NeedAnalysis_WealthAccumulationNeed_ChildrenEducationSavings_CapitalSumRequired</f>
        <v>403174.91380323656</v>
      </c>
      <c r="J10" s="1">
        <v>0</v>
      </c>
      <c r="K10" s="1">
        <v>9999999999</v>
      </c>
    </row>
    <row r="11" spans="3:11">
      <c r="C11" s="1" t="s">
        <v>11</v>
      </c>
      <c r="D11" s="2">
        <v>30000</v>
      </c>
      <c r="H11" s="1" t="s">
        <v>11</v>
      </c>
      <c r="I11" s="1">
        <f>input_NeedAnalysis_WealthAccumulationNeed_ChildrenEducationSavings_ExistingResources</f>
        <v>30000</v>
      </c>
      <c r="J11" s="1">
        <v>0</v>
      </c>
      <c r="K11" s="1">
        <v>9999999999</v>
      </c>
    </row>
    <row r="12" spans="3:11">
      <c r="C12" s="1" t="s">
        <v>232</v>
      </c>
      <c r="D12" s="2">
        <v>373174.91380323656</v>
      </c>
      <c r="H12" s="1" t="s">
        <v>232</v>
      </c>
      <c r="I12" s="1">
        <f>input_NeedAnalysis_WealthAccumulationNeed_ChildrenEducationSavings_TotalShortfall</f>
        <v>373174.91380323656</v>
      </c>
      <c r="J12" s="1">
        <v>-9999999999</v>
      </c>
      <c r="K12" s="1">
        <v>9999999999</v>
      </c>
    </row>
    <row r="13" spans="3:11">
      <c r="C13" s="1" t="s">
        <v>1295</v>
      </c>
      <c r="D13" s="26" t="b">
        <v>1</v>
      </c>
    </row>
    <row r="14" spans="3:11">
      <c r="H14" s="9" t="s">
        <v>15</v>
      </c>
      <c r="I14" s="9" t="s">
        <v>17</v>
      </c>
      <c r="J14" s="9" t="s">
        <v>21</v>
      </c>
    </row>
    <row r="15" spans="3:11">
      <c r="H15" s="1" t="s">
        <v>27</v>
      </c>
      <c r="I15" s="1" t="s">
        <v>1500</v>
      </c>
      <c r="J15" s="1" t="str">
        <f>CONCATENATE("Please enter ",H15," ","between ",J5," and ",K5,".")</f>
        <v>Please enter Inflation Rate between -0.2 and 0.2.</v>
      </c>
    </row>
    <row r="16" spans="3:11">
      <c r="H16" s="1" t="s">
        <v>26</v>
      </c>
      <c r="I16" s="1" t="s">
        <v>1501</v>
      </c>
      <c r="J16" s="1" t="str">
        <f>CONCATENATE("Please enter ",H16," ","between ",J6," and ",K6,".")</f>
        <v>Please enter Target Year between 0 and 99.</v>
      </c>
    </row>
    <row r="17" spans="3:11" ht="16" thickBot="1">
      <c r="H17" s="1" t="s">
        <v>25</v>
      </c>
      <c r="I17" s="1" t="s">
        <v>1502</v>
      </c>
      <c r="J17" s="1" t="str">
        <f>CONCATENATE("Please enter ",H17," ","between ",J7," and ",K7,".")</f>
        <v>Please enter Amount Needed  between 0 and 9999999999.</v>
      </c>
    </row>
    <row r="18" spans="3:11">
      <c r="C18" s="10" t="s">
        <v>22</v>
      </c>
      <c r="D18" s="15" t="b">
        <f>IF(NOT(D3),TRUE,IF(COUNTIF('Children Education'!J25:J32,FALSE)=0,TRUE,VLOOKUP(FALSE,'Children Education'!$J25:$K$32,2,0)))</f>
        <v>1</v>
      </c>
      <c r="E18" s="25" t="s">
        <v>49</v>
      </c>
      <c r="F18" s="25" t="s">
        <v>27</v>
      </c>
      <c r="H18" s="1" t="s">
        <v>23</v>
      </c>
      <c r="I18" s="1" t="s">
        <v>1503</v>
      </c>
      <c r="J18" s="1" t="str">
        <f>CONCATENATE("Please enter ",H18," ","between ",J8," and ",K8,".")</f>
        <v>Please enter Existing Insurance between 0 and 9999999999.</v>
      </c>
    </row>
    <row r="19" spans="3:11" ht="16" thickBot="1">
      <c r="C19" s="12" t="s">
        <v>21</v>
      </c>
      <c r="D19" s="14" t="str">
        <f>IF(output_NeedAnalysis_WealthAccumulationNeed_ChildrenEducationSavings_Validation=TRUE,"",VLOOKUP(output_NeedAnalysis_WealthAccumulationNeed_ChildrenEducationSavings_Validation,'Children Education'!$I15:J22,2,0))</f>
        <v/>
      </c>
      <c r="E19" s="1" t="s">
        <v>45</v>
      </c>
      <c r="F19" s="1">
        <v>0.03</v>
      </c>
      <c r="H19" s="1" t="s">
        <v>24</v>
      </c>
      <c r="I19" s="1" t="s">
        <v>1504</v>
      </c>
      <c r="J19" s="1" t="str">
        <f>CONCATENATE("Please enter ",H19," ","between ",J9," and ",K9,".")</f>
        <v>Please enter Existing Assets between 0 and 9999999999.</v>
      </c>
    </row>
    <row r="20" spans="3:11">
      <c r="E20" s="1" t="s">
        <v>46</v>
      </c>
      <c r="F20" s="1">
        <v>0.05</v>
      </c>
      <c r="H20" s="1" t="s">
        <v>231</v>
      </c>
      <c r="I20" s="1" t="s">
        <v>1505</v>
      </c>
      <c r="J20" s="1" t="str">
        <f t="shared" ref="J20:J22" si="0">CONCATENATE("Please enter ",H20," ","between ",J10," and ",K10,".")</f>
        <v>Please enter Lump Sum Education Expenses needed between 0 and 9999999999.</v>
      </c>
    </row>
    <row r="21" spans="3:11">
      <c r="E21" s="1" t="s">
        <v>47</v>
      </c>
      <c r="F21" s="1">
        <v>0.04</v>
      </c>
      <c r="H21" s="1" t="s">
        <v>11</v>
      </c>
      <c r="I21" s="1" t="s">
        <v>1506</v>
      </c>
      <c r="J21" s="1" t="str">
        <f t="shared" si="0"/>
        <v>Please enter Existing Resources between 0 and 9999999999.</v>
      </c>
    </row>
    <row r="22" spans="3:11">
      <c r="E22" s="1" t="s">
        <v>48</v>
      </c>
      <c r="F22" s="1">
        <v>0.03</v>
      </c>
      <c r="H22" s="1" t="s">
        <v>232</v>
      </c>
      <c r="I22" s="1" t="s">
        <v>1507</v>
      </c>
      <c r="J22" s="1" t="str">
        <f t="shared" si="0"/>
        <v>Please enter Education Gap (Total shortfall) between -9999999999 and 9999999999.</v>
      </c>
    </row>
    <row r="23" spans="3:11">
      <c r="E23" s="1" t="s">
        <v>10</v>
      </c>
      <c r="F23" s="1"/>
    </row>
    <row r="24" spans="3:11">
      <c r="H24" s="9" t="s">
        <v>15</v>
      </c>
      <c r="I24" s="9" t="s">
        <v>4</v>
      </c>
      <c r="J24" s="9" t="s">
        <v>16</v>
      </c>
      <c r="K24" s="9" t="s">
        <v>17</v>
      </c>
    </row>
    <row r="25" spans="3:11">
      <c r="H25" s="1" t="s">
        <v>27</v>
      </c>
      <c r="I25" s="13">
        <f>'Children Education'!D5</f>
        <v>0.03</v>
      </c>
      <c r="J25" s="1" t="b">
        <f>IF(OR(I25&lt;'Children Education'!J5,I25&gt;'Children Education'!K5),FALSE,TRUE)</f>
        <v>1</v>
      </c>
      <c r="K25" s="53" t="str">
        <f>IF(J25=FALSE,VLOOKUP(H25,'Children Education'!$H$15:$I$22,2,0),"")</f>
        <v/>
      </c>
    </row>
    <row r="26" spans="3:11">
      <c r="H26" s="1" t="s">
        <v>26</v>
      </c>
      <c r="I26" s="1">
        <f>input_NeedAnalysis_WealthAccumulationNeed_ChildrenEducationSavings_YearsToGoal</f>
        <v>10</v>
      </c>
      <c r="J26" s="1" t="b">
        <f>IF(OR(I26&lt;'Children Education'!J6,I26&gt;'Children Education'!K6),FALSE,TRUE)</f>
        <v>1</v>
      </c>
      <c r="K26" s="53" t="str">
        <f>IF(J26=FALSE,VLOOKUP(H26,'Children Education'!$H$15:$I$22,2,0),"")</f>
        <v/>
      </c>
    </row>
    <row r="27" spans="3:11">
      <c r="H27" s="1" t="s">
        <v>25</v>
      </c>
      <c r="I27" s="1">
        <f>input_NeedAnalysis_WealthAccumulationNeed_ChildrenEducationSavings_AmountNeeded</f>
        <v>300000</v>
      </c>
      <c r="J27" s="1" t="b">
        <f>IF(OR(I27&lt;'Children Education'!J7,I27&gt;'Children Education'!K7),FALSE,TRUE)</f>
        <v>1</v>
      </c>
      <c r="K27" s="53" t="str">
        <f>IF(J27=FALSE,VLOOKUP(H27,'Children Education'!$H$15:$I$22,2,0),"")</f>
        <v/>
      </c>
    </row>
    <row r="28" spans="3:11">
      <c r="H28" s="1" t="s">
        <v>23</v>
      </c>
      <c r="I28" s="1">
        <f>input_NeedAnalysis_WealthAccumulationNeed_ChildrenEducationSavings_ResourceBreakdown_ExistingInsurance</f>
        <v>10000</v>
      </c>
      <c r="J28" s="1" t="b">
        <f>IF(OR(I28&lt;'Children Education'!J8,I28&gt;'Children Education'!K8),FALSE,TRUE)</f>
        <v>1</v>
      </c>
      <c r="K28" s="53" t="str">
        <f>IF(J28=FALSE,VLOOKUP(H28,'Children Education'!$H$15:$I$22,2,0),"")</f>
        <v/>
      </c>
    </row>
    <row r="29" spans="3:11">
      <c r="H29" s="1" t="s">
        <v>24</v>
      </c>
      <c r="I29" s="1">
        <f>input_NeedAnalysis_WealthAccumulationNeed_ChildrenEducationSavings_ResourceBreakdown_ExistingAssets</f>
        <v>20000</v>
      </c>
      <c r="J29" s="1" t="b">
        <f>IF(OR(I29&lt;'Children Education'!J9,I29&gt;'Children Education'!K9),FALSE,TRUE)</f>
        <v>1</v>
      </c>
      <c r="K29" s="53" t="str">
        <f>IF(J29=FALSE,VLOOKUP(H29,'Children Education'!$H$15:$I$22,2,0),"")</f>
        <v/>
      </c>
    </row>
    <row r="30" spans="3:11">
      <c r="H30" s="1" t="s">
        <v>231</v>
      </c>
      <c r="I30" s="1">
        <f>input_NeedAnalysis_WealthAccumulationNeed_ChildrenEducationSavings_CapitalSumRequired</f>
        <v>403174.91380323656</v>
      </c>
      <c r="J30" s="1" t="b">
        <f>IF(OR(I30&lt;'Children Education'!J10,I30&gt;'Children Education'!K10),FALSE,TRUE)</f>
        <v>1</v>
      </c>
      <c r="K30" s="53" t="str">
        <f>IF(J30=FALSE,VLOOKUP(H30,'Children Education'!$H$15:$I$22,2,0),"")</f>
        <v/>
      </c>
    </row>
    <row r="31" spans="3:11">
      <c r="H31" s="1" t="s">
        <v>11</v>
      </c>
      <c r="I31" s="1">
        <f>input_NeedAnalysis_WealthAccumulationNeed_ChildrenEducationSavings_ExistingResources</f>
        <v>30000</v>
      </c>
      <c r="J31" s="1" t="b">
        <f>IF(OR(I31&lt;'Children Education'!J11,I31&gt;'Children Education'!K11),FALSE,TRUE)</f>
        <v>1</v>
      </c>
      <c r="K31" s="53" t="str">
        <f>IF(J31=FALSE,VLOOKUP(H31,'Children Education'!$H$15:$I$22,2,0),"")</f>
        <v/>
      </c>
    </row>
    <row r="32" spans="3:11">
      <c r="H32" s="1" t="s">
        <v>232</v>
      </c>
      <c r="I32" s="1">
        <f>input_NeedAnalysis_WealthAccumulationNeed_ChildrenEducationSavings_TotalShortfall</f>
        <v>373174.91380323656</v>
      </c>
      <c r="J32" s="1" t="b">
        <f>IF(OR(I32&lt;'Children Education'!J12,I32&gt;'Children Education'!K12),FALSE,TRUE)</f>
        <v>1</v>
      </c>
      <c r="K32" s="53" t="str">
        <f>IF(J32=FALSE,VLOOKUP(H32,'Children Education'!$H$15:$I$22,2,0),"")</f>
        <v/>
      </c>
    </row>
  </sheetData>
  <phoneticPr fontId="29" type="noConversion"/>
  <dataValidations count="1">
    <dataValidation type="list" allowBlank="1" showInputMessage="1" showErrorMessage="1" sqref="D4" xr:uid="{CAFB4E18-4B32-A846-A148-27D5341E2E16}">
      <formula1>$E$19:$E$23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F32D-5E58-4AD8-BBBF-A6A2B4097419}">
  <dimension ref="C1:K28"/>
  <sheetViews>
    <sheetView zoomScale="80" zoomScaleNormal="80" workbookViewId="0">
      <selection activeCell="F13" sqref="F13"/>
    </sheetView>
  </sheetViews>
  <sheetFormatPr defaultColWidth="11.1640625" defaultRowHeight="15.5"/>
  <cols>
    <col min="3" max="3" width="26.33203125" bestFit="1" customWidth="1"/>
    <col min="4" max="4" width="12.5" bestFit="1" customWidth="1"/>
    <col min="5" max="5" width="13" bestFit="1" customWidth="1"/>
    <col min="7" max="7" width="13.6640625" bestFit="1" customWidth="1"/>
    <col min="8" max="8" width="26.33203125" bestFit="1" customWidth="1"/>
    <col min="9" max="9" width="11" customWidth="1"/>
    <col min="10" max="10" width="66.5" bestFit="1" customWidth="1"/>
    <col min="11" max="11" width="13.83203125" bestFit="1" customWidth="1"/>
  </cols>
  <sheetData>
    <row r="1" spans="3:11">
      <c r="E1" s="1" t="s">
        <v>0</v>
      </c>
      <c r="F1" s="2"/>
    </row>
    <row r="2" spans="3:11">
      <c r="E2" s="1" t="s">
        <v>1</v>
      </c>
      <c r="F2" s="3"/>
    </row>
    <row r="3" spans="3:11">
      <c r="C3" s="24" t="s">
        <v>42</v>
      </c>
      <c r="D3" s="4" t="b">
        <f>'Validation Input Received'!$D$16</f>
        <v>1</v>
      </c>
      <c r="E3" s="4" t="s">
        <v>2</v>
      </c>
      <c r="F3" s="4"/>
      <c r="H3" s="9" t="s">
        <v>15</v>
      </c>
      <c r="I3" s="9" t="s">
        <v>18</v>
      </c>
      <c r="J3" s="9" t="s">
        <v>19</v>
      </c>
      <c r="K3" s="9" t="s">
        <v>20</v>
      </c>
    </row>
    <row r="4" spans="3:11">
      <c r="C4" s="1" t="s">
        <v>29</v>
      </c>
      <c r="D4" s="2">
        <v>200000</v>
      </c>
      <c r="H4" s="1" t="s">
        <v>29</v>
      </c>
      <c r="I4" s="1">
        <v>200000</v>
      </c>
      <c r="J4" s="1">
        <v>0</v>
      </c>
      <c r="K4" s="1">
        <v>999999999</v>
      </c>
    </row>
    <row r="5" spans="3:11">
      <c r="C5" s="1" t="s">
        <v>23</v>
      </c>
      <c r="D5" s="2">
        <v>10000</v>
      </c>
      <c r="H5" s="1" t="s">
        <v>23</v>
      </c>
      <c r="I5" s="1">
        <v>10000</v>
      </c>
      <c r="J5" s="1">
        <v>0</v>
      </c>
      <c r="K5" s="1">
        <v>999999999</v>
      </c>
    </row>
    <row r="6" spans="3:11">
      <c r="C6" s="1" t="s">
        <v>24</v>
      </c>
      <c r="D6" s="2">
        <v>20000</v>
      </c>
      <c r="H6" s="1" t="s">
        <v>24</v>
      </c>
      <c r="I6" s="1">
        <v>20000</v>
      </c>
      <c r="J6" s="1">
        <v>0</v>
      </c>
      <c r="K6" s="1">
        <v>999999999</v>
      </c>
    </row>
    <row r="7" spans="3:11">
      <c r="C7" s="1" t="s">
        <v>236</v>
      </c>
      <c r="D7" s="2">
        <v>200000</v>
      </c>
      <c r="H7" s="1" t="s">
        <v>236</v>
      </c>
      <c r="I7" s="1">
        <f>input_NeedAnalysis_WealthAccumulationNeed_ChildrenSavings_CapitalSumRequired</f>
        <v>200000</v>
      </c>
      <c r="J7" s="1">
        <v>0</v>
      </c>
      <c r="K7" s="1">
        <v>999999999</v>
      </c>
    </row>
    <row r="8" spans="3:11">
      <c r="C8" s="1" t="s">
        <v>11</v>
      </c>
      <c r="D8" s="2">
        <v>30000</v>
      </c>
      <c r="H8" s="1" t="s">
        <v>11</v>
      </c>
      <c r="I8" s="1">
        <f>input_NeedAnalysis_WealthAccumulationNeed_ChildrenSavings_ExistingResources</f>
        <v>30000</v>
      </c>
      <c r="J8" s="1">
        <v>0</v>
      </c>
      <c r="K8" s="1">
        <v>999999999</v>
      </c>
    </row>
    <row r="9" spans="3:11">
      <c r="C9" s="1" t="s">
        <v>237</v>
      </c>
      <c r="D9" s="2">
        <v>170000</v>
      </c>
      <c r="H9" s="1" t="s">
        <v>237</v>
      </c>
      <c r="I9" s="1">
        <f>input_NeedAnalysis_WealthAccumulationNeed_ChildrenSavings_TotalShortfall</f>
        <v>170000</v>
      </c>
      <c r="J9" s="1">
        <v>-999999999</v>
      </c>
      <c r="K9" s="1">
        <v>999999999</v>
      </c>
    </row>
    <row r="10" spans="3:11">
      <c r="C10" s="1" t="s">
        <v>28</v>
      </c>
      <c r="D10" s="65">
        <v>20</v>
      </c>
      <c r="H10" s="1" t="s">
        <v>28</v>
      </c>
      <c r="I10" s="1">
        <f>input_NeedAnalysis_WealthAccumulationNeed_ChildrenSavings_YearsToGoal</f>
        <v>20</v>
      </c>
      <c r="J10" s="1">
        <v>0</v>
      </c>
      <c r="K10" s="1">
        <v>99</v>
      </c>
    </row>
    <row r="11" spans="3:11">
      <c r="C11" s="1" t="s">
        <v>1295</v>
      </c>
      <c r="D11" s="26" t="b">
        <v>1</v>
      </c>
    </row>
    <row r="12" spans="3:11" ht="16" thickBot="1">
      <c r="H12" s="9" t="s">
        <v>15</v>
      </c>
      <c r="I12" s="9" t="s">
        <v>17</v>
      </c>
      <c r="J12" s="9" t="s">
        <v>21</v>
      </c>
    </row>
    <row r="13" spans="3:11">
      <c r="E13" s="10" t="s">
        <v>22</v>
      </c>
      <c r="F13" s="15" t="b">
        <f>IF(NOT(D3),TRUE,IF(COUNTIF(J22:J28,FALSE)=0,TRUE,VLOOKUP(FALSE,J22:K28,2,0)))</f>
        <v>1</v>
      </c>
      <c r="H13" s="1" t="s">
        <v>29</v>
      </c>
      <c r="I13" s="1" t="s">
        <v>1508</v>
      </c>
      <c r="J13" s="1" t="str">
        <f>CONCATENATE("Please enter ",H13," ","between ",J4," and ",K4,".")</f>
        <v>Please enter Amount Needed between 0 and 999999999.</v>
      </c>
    </row>
    <row r="14" spans="3:11" ht="16" thickBot="1">
      <c r="E14" s="12" t="s">
        <v>21</v>
      </c>
      <c r="F14" s="14" t="str">
        <f>IF(F13=TRUE,"",VLOOKUP(F13,I13:J19,2,0))</f>
        <v/>
      </c>
      <c r="H14" s="1" t="s">
        <v>23</v>
      </c>
      <c r="I14" s="1" t="s">
        <v>1509</v>
      </c>
      <c r="J14" s="1" t="str">
        <f t="shared" ref="J14:J19" si="0">CONCATENATE("Please enter ",H14," ","between ",J5," and ",K5,".")</f>
        <v>Please enter Existing Insurance between 0 and 999999999.</v>
      </c>
    </row>
    <row r="15" spans="3:11">
      <c r="H15" s="1" t="s">
        <v>24</v>
      </c>
      <c r="I15" s="1" t="s">
        <v>1510</v>
      </c>
      <c r="J15" s="1" t="str">
        <f t="shared" si="0"/>
        <v>Please enter Existing Assets between 0 and 999999999.</v>
      </c>
    </row>
    <row r="16" spans="3:11">
      <c r="H16" s="1" t="s">
        <v>236</v>
      </c>
      <c r="I16" s="1" t="s">
        <v>1511</v>
      </c>
      <c r="J16" s="1" t="str">
        <f t="shared" si="0"/>
        <v>Please enter Lump Sum Savings Needed between 0 and 999999999.</v>
      </c>
    </row>
    <row r="17" spans="8:11">
      <c r="H17" s="1" t="s">
        <v>11</v>
      </c>
      <c r="I17" s="1" t="s">
        <v>1512</v>
      </c>
      <c r="J17" s="1" t="str">
        <f t="shared" si="0"/>
        <v>Please enter Existing Resources between 0 and 999999999.</v>
      </c>
    </row>
    <row r="18" spans="8:11">
      <c r="H18" s="1" t="s">
        <v>237</v>
      </c>
      <c r="I18" s="1" t="s">
        <v>1513</v>
      </c>
      <c r="J18" s="1" t="str">
        <f t="shared" si="0"/>
        <v>Please enter Savings Gap (Total shortfall) between -999999999 and 999999999.</v>
      </c>
    </row>
    <row r="19" spans="8:11">
      <c r="H19" s="1" t="s">
        <v>28</v>
      </c>
      <c r="I19" s="1" t="s">
        <v>1514</v>
      </c>
      <c r="J19" s="1" t="str">
        <f t="shared" si="0"/>
        <v>Please enter When do you need this fund? between 0 and 99.</v>
      </c>
    </row>
    <row r="21" spans="8:11">
      <c r="H21" s="9" t="s">
        <v>15</v>
      </c>
      <c r="I21" s="9" t="s">
        <v>4</v>
      </c>
      <c r="J21" s="9" t="s">
        <v>16</v>
      </c>
      <c r="K21" s="9" t="s">
        <v>17</v>
      </c>
    </row>
    <row r="22" spans="8:11">
      <c r="H22" s="1" t="s">
        <v>29</v>
      </c>
      <c r="I22" s="1">
        <v>200000</v>
      </c>
      <c r="J22" s="1" t="b">
        <v>1</v>
      </c>
      <c r="K22" s="53" t="str">
        <f>IF(J22=FALSE,VLOOKUP(H22,$H$13:$I$19,2,0),"")</f>
        <v/>
      </c>
    </row>
    <row r="23" spans="8:11">
      <c r="H23" s="1" t="s">
        <v>23</v>
      </c>
      <c r="I23" s="1">
        <v>10000</v>
      </c>
      <c r="J23" s="1" t="b">
        <v>1</v>
      </c>
      <c r="K23" s="53" t="str">
        <f t="shared" ref="K23:K28" si="1">IF(J23=FALSE,VLOOKUP(H23,$H$13:$I$19,2,0),"")</f>
        <v/>
      </c>
    </row>
    <row r="24" spans="8:11">
      <c r="H24" s="1" t="s">
        <v>24</v>
      </c>
      <c r="I24" s="1">
        <v>20000</v>
      </c>
      <c r="J24" s="1" t="b">
        <v>1</v>
      </c>
      <c r="K24" s="53" t="str">
        <f t="shared" si="1"/>
        <v/>
      </c>
    </row>
    <row r="25" spans="8:11">
      <c r="H25" s="1" t="s">
        <v>236</v>
      </c>
      <c r="I25" s="1">
        <f>input_NeedAnalysis_WealthAccumulationNeed_ChildrenSavings_CapitalSumRequired</f>
        <v>200000</v>
      </c>
      <c r="J25" s="1" t="b">
        <v>1</v>
      </c>
      <c r="K25" s="53" t="str">
        <f t="shared" si="1"/>
        <v/>
      </c>
    </row>
    <row r="26" spans="8:11">
      <c r="H26" s="1" t="s">
        <v>11</v>
      </c>
      <c r="I26" s="1">
        <f>input_NeedAnalysis_WealthAccumulationNeed_ChildrenSavings_ExistingResources</f>
        <v>30000</v>
      </c>
      <c r="J26" s="1" t="b">
        <v>1</v>
      </c>
      <c r="K26" s="53" t="str">
        <f t="shared" si="1"/>
        <v/>
      </c>
    </row>
    <row r="27" spans="8:11">
      <c r="H27" s="1" t="s">
        <v>237</v>
      </c>
      <c r="I27" s="1">
        <f>input_NeedAnalysis_WealthAccumulationNeed_ChildrenSavings_TotalShortfall</f>
        <v>170000</v>
      </c>
      <c r="J27" s="1" t="b">
        <v>1</v>
      </c>
      <c r="K27" s="53" t="str">
        <f t="shared" si="1"/>
        <v/>
      </c>
    </row>
    <row r="28" spans="8:11">
      <c r="H28" s="1" t="s">
        <v>28</v>
      </c>
      <c r="I28" s="1">
        <f>input_NeedAnalysis_WealthAccumulationNeed_ChildrenSavings_YearsToGoal</f>
        <v>20</v>
      </c>
      <c r="J28" s="1" t="b">
        <v>1</v>
      </c>
      <c r="K28" s="53" t="str">
        <f t="shared" si="1"/>
        <v/>
      </c>
    </row>
  </sheetData>
  <phoneticPr fontId="2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5ADF-23F5-144A-B9EC-8BC695703F5D}">
  <dimension ref="A1:W423"/>
  <sheetViews>
    <sheetView tabSelected="1" zoomScale="79" zoomScaleNormal="90" workbookViewId="0">
      <selection activeCell="G2" sqref="G2"/>
    </sheetView>
  </sheetViews>
  <sheetFormatPr defaultColWidth="8.6640625" defaultRowHeight="14.5"/>
  <cols>
    <col min="1" max="1" width="8.6640625" style="39"/>
    <col min="2" max="2" width="41.1640625" style="39" bestFit="1" customWidth="1"/>
    <col min="3" max="3" width="26.33203125" style="39" bestFit="1" customWidth="1"/>
    <col min="4" max="4" width="8.6640625" style="39"/>
    <col min="5" max="5" width="9.1640625" style="39" customWidth="1"/>
    <col min="6" max="6" width="25.6640625" style="39" bestFit="1" customWidth="1"/>
    <col min="7" max="7" width="9" style="39" bestFit="1" customWidth="1"/>
    <col min="8" max="8" width="49.5" style="39" bestFit="1" customWidth="1"/>
    <col min="9" max="10" width="8.6640625" style="39"/>
    <col min="11" max="11" width="6.83203125" style="39" bestFit="1" customWidth="1"/>
    <col min="12" max="12" width="6.83203125" style="39" customWidth="1"/>
    <col min="13" max="13" width="10.25" style="39" bestFit="1" customWidth="1"/>
    <col min="14" max="14" width="12.25" style="39" bestFit="1" customWidth="1"/>
    <col min="15" max="15" width="12.6640625" style="39" bestFit="1" customWidth="1"/>
    <col min="16" max="16" width="10" style="39" bestFit="1" customWidth="1"/>
    <col min="17" max="17" width="11.25" style="39" bestFit="1" customWidth="1"/>
    <col min="18" max="18" width="16.5" style="39" bestFit="1" customWidth="1"/>
    <col min="19" max="19" width="17.25" style="39" bestFit="1" customWidth="1"/>
    <col min="20" max="20" width="12.58203125" style="39" bestFit="1" customWidth="1"/>
    <col min="21" max="21" width="18.83203125" style="39" bestFit="1" customWidth="1"/>
    <col min="22" max="22" width="15.25" style="39" bestFit="1" customWidth="1"/>
    <col min="23" max="23" width="14.58203125" style="39" bestFit="1" customWidth="1"/>
    <col min="24" max="16384" width="8.6640625" style="39"/>
  </cols>
  <sheetData>
    <row r="1" spans="1:23" ht="15" thickBot="1">
      <c r="C1" s="40" t="s">
        <v>4</v>
      </c>
    </row>
    <row r="2" spans="1:23" ht="15.5">
      <c r="C2" s="41" t="s">
        <v>2</v>
      </c>
      <c r="F2" s="89" t="s">
        <v>52</v>
      </c>
      <c r="G2" s="15" t="b">
        <f ca="1">IF(NOT(C7),TRUE,IF(COUNTIF($G$8:$G$27,FALSE)=0,TRUE,VLOOKUP(FALSE,$G$8:$H$27,2,0)))</f>
        <v>1</v>
      </c>
      <c r="J2" s="83" t="s">
        <v>138</v>
      </c>
      <c r="K2" s="83" t="s">
        <v>139</v>
      </c>
      <c r="L2" s="83" t="s">
        <v>1303</v>
      </c>
      <c r="M2" s="83" t="s">
        <v>140</v>
      </c>
      <c r="N2" s="83" t="s">
        <v>141</v>
      </c>
      <c r="O2" s="83" t="s">
        <v>142</v>
      </c>
      <c r="P2" s="83" t="s">
        <v>143</v>
      </c>
      <c r="Q2" s="83" t="s">
        <v>144</v>
      </c>
      <c r="R2" s="83" t="s">
        <v>145</v>
      </c>
      <c r="S2" s="83" t="s">
        <v>287</v>
      </c>
      <c r="T2" s="83" t="s">
        <v>515</v>
      </c>
      <c r="U2" s="84" t="s">
        <v>518</v>
      </c>
      <c r="V2" s="84" t="s">
        <v>619</v>
      </c>
      <c r="W2" s="84" t="s">
        <v>843</v>
      </c>
    </row>
    <row r="3" spans="1:23" ht="16" thickBot="1">
      <c r="C3" s="42" t="s">
        <v>36</v>
      </c>
      <c r="F3" s="90" t="s">
        <v>53</v>
      </c>
      <c r="G3" s="14" t="str">
        <f ca="1">IF(G2=TRUE,"",VLOOKUP(G2,$G$34:$H$53,2,0))</f>
        <v/>
      </c>
      <c r="J3" s="39" t="s">
        <v>288</v>
      </c>
      <c r="K3" s="75" t="s">
        <v>260</v>
      </c>
      <c r="L3" s="75" t="s">
        <v>1304</v>
      </c>
      <c r="M3" s="39" t="s">
        <v>312</v>
      </c>
      <c r="N3" s="39" t="s">
        <v>856</v>
      </c>
      <c r="O3" s="39" t="s">
        <v>261</v>
      </c>
      <c r="P3" s="39" t="s">
        <v>1279</v>
      </c>
      <c r="Q3" s="39" t="s">
        <v>861</v>
      </c>
      <c r="R3" s="75" t="s">
        <v>516</v>
      </c>
      <c r="S3" s="39" t="s">
        <v>268</v>
      </c>
      <c r="T3" s="39" t="s">
        <v>296</v>
      </c>
      <c r="U3" s="39" t="s">
        <v>297</v>
      </c>
      <c r="V3" s="39" t="s">
        <v>620</v>
      </c>
      <c r="W3" s="39" t="s">
        <v>296</v>
      </c>
    </row>
    <row r="4" spans="1:23">
      <c r="J4" s="39" t="s">
        <v>289</v>
      </c>
      <c r="K4" s="75" t="s">
        <v>263</v>
      </c>
      <c r="L4" s="75" t="s">
        <v>855</v>
      </c>
      <c r="M4" s="39" t="s">
        <v>296</v>
      </c>
      <c r="N4" s="39" t="s">
        <v>857</v>
      </c>
      <c r="O4" s="39" t="s">
        <v>260</v>
      </c>
      <c r="P4" s="39" t="s">
        <v>453</v>
      </c>
      <c r="Q4" s="39" t="s">
        <v>862</v>
      </c>
      <c r="R4" s="75" t="s">
        <v>263</v>
      </c>
      <c r="S4" s="39" t="s">
        <v>269</v>
      </c>
      <c r="T4" s="39" t="s">
        <v>297</v>
      </c>
      <c r="U4" s="39" t="s">
        <v>519</v>
      </c>
      <c r="V4" s="39" t="s">
        <v>621</v>
      </c>
      <c r="W4" s="39" t="s">
        <v>520</v>
      </c>
    </row>
    <row r="5" spans="1:23">
      <c r="J5" s="39" t="s">
        <v>290</v>
      </c>
      <c r="K5" s="75" t="s">
        <v>264</v>
      </c>
      <c r="L5" s="75" t="s">
        <v>1305</v>
      </c>
      <c r="M5" s="39" t="s">
        <v>297</v>
      </c>
      <c r="N5" s="39" t="s">
        <v>858</v>
      </c>
      <c r="O5" s="39" t="s">
        <v>122</v>
      </c>
      <c r="P5" s="39" t="s">
        <v>1280</v>
      </c>
      <c r="Q5" s="39" t="s">
        <v>863</v>
      </c>
      <c r="R5" s="75" t="s">
        <v>262</v>
      </c>
      <c r="S5" s="39" t="s">
        <v>270</v>
      </c>
      <c r="T5" s="39" t="s">
        <v>298</v>
      </c>
      <c r="U5" s="39" t="s">
        <v>298</v>
      </c>
      <c r="V5" s="39" t="s">
        <v>622</v>
      </c>
      <c r="W5" s="39" t="s">
        <v>844</v>
      </c>
    </row>
    <row r="6" spans="1:23">
      <c r="B6" s="45" t="s">
        <v>146</v>
      </c>
      <c r="J6" s="39" t="s">
        <v>291</v>
      </c>
      <c r="L6" s="39" t="s">
        <v>442</v>
      </c>
      <c r="M6" s="39" t="s">
        <v>298</v>
      </c>
      <c r="N6" s="39" t="s">
        <v>859</v>
      </c>
      <c r="O6" s="39" t="s">
        <v>265</v>
      </c>
      <c r="P6" s="39" t="s">
        <v>1281</v>
      </c>
      <c r="Q6" s="39" t="s">
        <v>864</v>
      </c>
      <c r="R6" s="75" t="s">
        <v>517</v>
      </c>
      <c r="S6" s="39" t="s">
        <v>271</v>
      </c>
      <c r="T6" s="39" t="s">
        <v>299</v>
      </c>
      <c r="U6" s="39" t="s">
        <v>520</v>
      </c>
      <c r="V6" s="39" t="s">
        <v>623</v>
      </c>
      <c r="W6" s="39" t="s">
        <v>300</v>
      </c>
    </row>
    <row r="7" spans="1:23" ht="15.5">
      <c r="B7" s="73" t="s">
        <v>42</v>
      </c>
      <c r="C7" s="4" t="b">
        <f>'Validation Input Received'!$D$21</f>
        <v>1</v>
      </c>
      <c r="F7" s="47" t="s">
        <v>15</v>
      </c>
      <c r="G7" s="47" t="s">
        <v>52</v>
      </c>
      <c r="H7" s="9" t="s">
        <v>17</v>
      </c>
      <c r="J7" s="39" t="s">
        <v>292</v>
      </c>
      <c r="M7" s="39" t="s">
        <v>299</v>
      </c>
      <c r="N7" s="39" t="s">
        <v>860</v>
      </c>
      <c r="O7" s="39" t="s">
        <v>266</v>
      </c>
      <c r="P7" s="39" t="s">
        <v>1282</v>
      </c>
      <c r="Q7" s="39" t="s">
        <v>865</v>
      </c>
      <c r="S7" s="39" t="s">
        <v>272</v>
      </c>
      <c r="T7" s="39" t="s">
        <v>300</v>
      </c>
      <c r="U7" s="39" t="s">
        <v>521</v>
      </c>
      <c r="V7" s="39" t="s">
        <v>624</v>
      </c>
      <c r="W7" s="39" t="s">
        <v>304</v>
      </c>
    </row>
    <row r="8" spans="1:23" ht="15.5">
      <c r="A8" s="46"/>
      <c r="B8" s="39" t="s">
        <v>138</v>
      </c>
      <c r="C8" s="43" t="s">
        <v>288</v>
      </c>
      <c r="F8" s="49" t="s">
        <v>154</v>
      </c>
      <c r="G8" s="49" t="b">
        <f ca="1">IF(AND(input_PersonalDetails_Dob&lt;=TODAY(),input_PersonalDetails_Dob&lt;&gt;""),TRUE,FALSE)</f>
        <v>1</v>
      </c>
      <c r="H8" s="53" t="str">
        <f ca="1">IF(G8=FALSE,VLOOKUP(F8,$F$34:$G$55,2,0),"")</f>
        <v/>
      </c>
      <c r="J8" s="39" t="s">
        <v>293</v>
      </c>
      <c r="M8" s="39" t="s">
        <v>300</v>
      </c>
      <c r="N8" s="39" t="s">
        <v>595</v>
      </c>
      <c r="O8" s="39" t="s">
        <v>267</v>
      </c>
      <c r="Q8" s="39" t="s">
        <v>866</v>
      </c>
      <c r="S8" s="39" t="s">
        <v>273</v>
      </c>
      <c r="T8" s="39" t="s">
        <v>301</v>
      </c>
      <c r="U8" s="39" t="s">
        <v>300</v>
      </c>
      <c r="V8" s="39" t="s">
        <v>625</v>
      </c>
      <c r="W8" s="39" t="s">
        <v>307</v>
      </c>
    </row>
    <row r="9" spans="1:23" ht="15.5">
      <c r="B9" s="39" t="s">
        <v>147</v>
      </c>
      <c r="C9" s="39" t="s">
        <v>148</v>
      </c>
      <c r="F9" s="49" t="s">
        <v>141</v>
      </c>
      <c r="G9" s="49" t="b">
        <f>OR(input_PersonalDetails_TypeOfPass="",NOT(ISERROR(VLOOKUP(input_PersonalDetails_TypeOfPass,N3:N9,1,0))))</f>
        <v>1</v>
      </c>
      <c r="H9" s="53" t="str">
        <f t="shared" ref="H9:H29" si="0">IF(G9=FALSE,VLOOKUP(F9,$F$34:$G$55,2,0),"")</f>
        <v/>
      </c>
      <c r="J9" s="39" t="s">
        <v>294</v>
      </c>
      <c r="M9" s="39" t="s">
        <v>301</v>
      </c>
      <c r="N9" s="39" t="s">
        <v>280</v>
      </c>
      <c r="O9" s="39" t="s">
        <v>267</v>
      </c>
      <c r="Q9" s="39" t="s">
        <v>867</v>
      </c>
      <c r="S9" s="39" t="s">
        <v>274</v>
      </c>
      <c r="T9" s="39" t="s">
        <v>302</v>
      </c>
      <c r="U9" s="39" t="s">
        <v>522</v>
      </c>
      <c r="V9" s="39" t="s">
        <v>626</v>
      </c>
      <c r="W9" s="39" t="s">
        <v>308</v>
      </c>
    </row>
    <row r="10" spans="1:23" ht="15.5">
      <c r="A10" s="46"/>
      <c r="B10" s="39" t="s">
        <v>149</v>
      </c>
      <c r="C10" s="39" t="s">
        <v>150</v>
      </c>
      <c r="F10" s="49" t="s">
        <v>142</v>
      </c>
      <c r="G10" s="49" t="b">
        <f>OR(input_PersonalDetails_MaritalStatus="",NOT(ISERROR(VLOOKUP(input_PersonalDetails_MaritalStatus,O3:O7,1,0))))</f>
        <v>1</v>
      </c>
      <c r="H10" s="53" t="str">
        <f t="shared" si="0"/>
        <v/>
      </c>
      <c r="J10" s="39" t="s">
        <v>295</v>
      </c>
      <c r="M10" s="39" t="s">
        <v>302</v>
      </c>
      <c r="O10" s="39" t="s">
        <v>267</v>
      </c>
      <c r="Q10" s="39" t="s">
        <v>868</v>
      </c>
      <c r="S10" s="39" t="s">
        <v>275</v>
      </c>
      <c r="T10" s="39" t="s">
        <v>303</v>
      </c>
      <c r="U10" s="39" t="s">
        <v>302</v>
      </c>
      <c r="V10" s="39" t="s">
        <v>627</v>
      </c>
      <c r="W10" s="39" t="s">
        <v>525</v>
      </c>
    </row>
    <row r="11" spans="1:23" ht="15.5">
      <c r="A11" s="46"/>
      <c r="B11" s="39" t="s">
        <v>151</v>
      </c>
      <c r="C11" s="39" t="s">
        <v>152</v>
      </c>
      <c r="F11" s="49" t="s">
        <v>160</v>
      </c>
      <c r="G11" s="49" t="b">
        <f>IF(AND(input_PersonalDetails_Smoker&lt;&gt;"",OR(input_PersonalDetails_Smoker=TRUE,input_PersonalDetails_Smoker=FALSE)),TRUE,FALSE)</f>
        <v>1</v>
      </c>
      <c r="H11" s="53" t="str">
        <f t="shared" si="0"/>
        <v/>
      </c>
      <c r="J11" s="39" t="s">
        <v>153</v>
      </c>
      <c r="M11" s="39" t="s">
        <v>303</v>
      </c>
      <c r="O11" s="39" t="s">
        <v>267</v>
      </c>
      <c r="Q11" s="39" t="s">
        <v>869</v>
      </c>
      <c r="S11" s="39" t="s">
        <v>276</v>
      </c>
      <c r="T11" s="39" t="s">
        <v>304</v>
      </c>
      <c r="U11" s="39" t="s">
        <v>523</v>
      </c>
      <c r="V11" s="39" t="s">
        <v>628</v>
      </c>
      <c r="W11" s="39" t="s">
        <v>526</v>
      </c>
    </row>
    <row r="12" spans="1:23" ht="15.5">
      <c r="A12" s="46"/>
      <c r="B12" s="39" t="s">
        <v>154</v>
      </c>
      <c r="C12" s="48">
        <v>33972</v>
      </c>
      <c r="F12" s="49" t="s">
        <v>166</v>
      </c>
      <c r="G12" s="49" t="b">
        <f>IF(AND(input_PersonalDetails_EnglishProficiency&lt;&gt;"",OR(input_PersonalDetails_EnglishProficiency=TRUE,input_PersonalDetails_EnglishProficiency=FALSE)),TRUE,FALSE)</f>
        <v>1</v>
      </c>
      <c r="H12" s="53" t="str">
        <f t="shared" si="0"/>
        <v/>
      </c>
      <c r="M12" s="39" t="s">
        <v>304</v>
      </c>
      <c r="O12" s="39" t="s">
        <v>267</v>
      </c>
      <c r="Q12" s="39" t="s">
        <v>870</v>
      </c>
      <c r="S12" s="39" t="s">
        <v>277</v>
      </c>
      <c r="T12" s="39" t="s">
        <v>305</v>
      </c>
      <c r="U12" s="39" t="s">
        <v>524</v>
      </c>
      <c r="V12" s="39" t="s">
        <v>629</v>
      </c>
      <c r="W12" s="39" t="s">
        <v>315</v>
      </c>
    </row>
    <row r="13" spans="1:23" ht="15.5">
      <c r="A13" s="46"/>
      <c r="B13" s="39" t="s">
        <v>156</v>
      </c>
      <c r="C13" s="43">
        <f ca="1">1+DATEDIF(input_PersonalDetails_Dob,TODAY(),"Y")</f>
        <v>31</v>
      </c>
      <c r="F13" s="49" t="s">
        <v>143</v>
      </c>
      <c r="G13" s="49" t="b">
        <f>IF(AND(input_PersonalDetails_EducationCode&lt;&gt;"",OR(input_PersonalDetails_EducationCode="",NOT(ISERROR(VLOOKUP(input_PersonalDetails_EducationCode,P3:P7,1,0))))),TRUE,FALSE)</f>
        <v>1</v>
      </c>
      <c r="H13" s="53" t="str">
        <f t="shared" si="0"/>
        <v/>
      </c>
      <c r="M13" s="39" t="s">
        <v>305</v>
      </c>
      <c r="O13" s="39" t="s">
        <v>267</v>
      </c>
      <c r="Q13" s="39" t="s">
        <v>871</v>
      </c>
      <c r="S13" s="39" t="s">
        <v>278</v>
      </c>
      <c r="T13" s="39" t="s">
        <v>306</v>
      </c>
      <c r="U13" s="39" t="s">
        <v>304</v>
      </c>
      <c r="V13" s="39" t="s">
        <v>630</v>
      </c>
      <c r="W13" s="39" t="s">
        <v>316</v>
      </c>
    </row>
    <row r="14" spans="1:23" ht="15.5">
      <c r="B14" s="39" t="s">
        <v>139</v>
      </c>
      <c r="C14" s="74" t="s">
        <v>260</v>
      </c>
      <c r="F14" s="49" t="s">
        <v>145</v>
      </c>
      <c r="G14" s="49" t="b">
        <f>OR(input_PersonalDetails_EmploymentType="",NOT(ISERROR(VLOOKUP(input_PersonalDetails_EmploymentType,R3:R6,1,0))))</f>
        <v>1</v>
      </c>
      <c r="H14" s="53" t="str">
        <f t="shared" si="0"/>
        <v/>
      </c>
      <c r="M14" s="39" t="s">
        <v>306</v>
      </c>
      <c r="O14" s="39" t="s">
        <v>267</v>
      </c>
      <c r="Q14" s="39" t="s">
        <v>872</v>
      </c>
      <c r="S14" s="39" t="s">
        <v>279</v>
      </c>
      <c r="T14" s="39" t="s">
        <v>307</v>
      </c>
      <c r="U14" s="39" t="s">
        <v>305</v>
      </c>
      <c r="V14" s="39" t="s">
        <v>631</v>
      </c>
      <c r="W14" s="39" t="s">
        <v>529</v>
      </c>
    </row>
    <row r="15" spans="1:23" ht="15.5">
      <c r="B15" s="39" t="s">
        <v>140</v>
      </c>
      <c r="C15" s="43" t="s">
        <v>1304</v>
      </c>
      <c r="F15" s="49" t="s">
        <v>175</v>
      </c>
      <c r="G15" s="49" t="b">
        <f>IF(AND(input_PersonalDetails_SelfEmployed&lt;&gt;"",OR(input_PersonalDetails_SelfEmployed=TRUE,input_PersonalDetails_SelfEmployed=FALSE)),TRUE,FALSE)</f>
        <v>1</v>
      </c>
      <c r="H15" s="53" t="str">
        <f t="shared" si="0"/>
        <v/>
      </c>
      <c r="M15" s="39" t="s">
        <v>307</v>
      </c>
      <c r="O15" s="39" t="s">
        <v>267</v>
      </c>
      <c r="Q15" s="39" t="s">
        <v>873</v>
      </c>
      <c r="S15" s="39" t="s">
        <v>280</v>
      </c>
      <c r="T15" s="39" t="s">
        <v>308</v>
      </c>
      <c r="U15" s="39" t="s">
        <v>306</v>
      </c>
      <c r="V15" s="39" t="s">
        <v>632</v>
      </c>
      <c r="W15" s="39" t="s">
        <v>323</v>
      </c>
    </row>
    <row r="16" spans="1:23" ht="15.5">
      <c r="A16" s="46"/>
      <c r="B16" s="39" t="s">
        <v>159</v>
      </c>
      <c r="C16" s="82" t="s">
        <v>312</v>
      </c>
      <c r="F16" s="49" t="s">
        <v>177</v>
      </c>
      <c r="G16" s="49" t="b">
        <f>IF(AND(input_PersonalDetails_TrustedIndividual_Accompanied&lt;&gt;"",OR(input_PersonalDetails_TrustedIndividual_Accompanied=TRUE,input_PersonalDetails_TrustedIndividual_Accompanied=FALSE)),TRUE,FALSE)</f>
        <v>1</v>
      </c>
      <c r="H16" s="53" t="str">
        <f t="shared" si="0"/>
        <v/>
      </c>
      <c r="M16" s="39" t="s">
        <v>308</v>
      </c>
      <c r="O16" s="39" t="s">
        <v>267</v>
      </c>
      <c r="Q16" s="39" t="s">
        <v>874</v>
      </c>
      <c r="S16" s="39" t="s">
        <v>281</v>
      </c>
      <c r="T16" s="39" t="s">
        <v>309</v>
      </c>
      <c r="U16" s="39" t="s">
        <v>307</v>
      </c>
      <c r="V16" s="39" t="s">
        <v>633</v>
      </c>
      <c r="W16" s="39" t="s">
        <v>324</v>
      </c>
    </row>
    <row r="17" spans="1:23" ht="15.5">
      <c r="A17" s="46"/>
      <c r="B17" s="39" t="s">
        <v>141</v>
      </c>
      <c r="C17" s="43" t="s">
        <v>858</v>
      </c>
      <c r="F17" s="49" t="s">
        <v>180</v>
      </c>
      <c r="G17" s="49" t="b">
        <f>IF(AND(input_PersonalDetails_TrustedIndividual_Accompanied=TRUE,input_PersonalDetails_TrustedIndividual_TrusteeRelationship&lt;&gt;"",LEN(input_PersonalDetails_TrustedIndividual_TrusteeRelationship)&lt;300),TRUE,FALSE)</f>
        <v>1</v>
      </c>
      <c r="H17" s="53" t="str">
        <f t="shared" si="0"/>
        <v/>
      </c>
      <c r="M17" s="39" t="s">
        <v>309</v>
      </c>
      <c r="O17" s="39" t="s">
        <v>267</v>
      </c>
      <c r="Q17" s="39" t="s">
        <v>875</v>
      </c>
      <c r="S17" s="39" t="s">
        <v>282</v>
      </c>
      <c r="T17" s="39" t="s">
        <v>310</v>
      </c>
      <c r="U17" s="39" t="s">
        <v>308</v>
      </c>
      <c r="V17" s="39" t="s">
        <v>634</v>
      </c>
      <c r="W17" s="39" t="s">
        <v>535</v>
      </c>
    </row>
    <row r="18" spans="1:23" ht="15.5">
      <c r="A18" s="46"/>
      <c r="B18" s="39" t="s">
        <v>163</v>
      </c>
      <c r="C18" s="39" t="s">
        <v>164</v>
      </c>
      <c r="F18" s="49" t="s">
        <v>138</v>
      </c>
      <c r="G18" s="49" t="b">
        <f>OR(input_PersonalDetails_Title="",NOT(ISERROR(VLOOKUP(input_PersonalDetails_Title,J3:J11,1,0))))</f>
        <v>1</v>
      </c>
      <c r="H18" s="53" t="str">
        <f t="shared" si="0"/>
        <v/>
      </c>
      <c r="M18" s="39" t="s">
        <v>310</v>
      </c>
      <c r="O18" s="39" t="s">
        <v>267</v>
      </c>
      <c r="Q18" s="39" t="s">
        <v>876</v>
      </c>
      <c r="S18" s="39" t="s">
        <v>283</v>
      </c>
      <c r="T18" s="39" t="s">
        <v>311</v>
      </c>
      <c r="U18" s="39" t="s">
        <v>309</v>
      </c>
      <c r="V18" s="39" t="s">
        <v>635</v>
      </c>
      <c r="W18" s="39" t="s">
        <v>328</v>
      </c>
    </row>
    <row r="19" spans="1:23" ht="15.5">
      <c r="A19" s="46"/>
      <c r="B19" s="39" t="s">
        <v>142</v>
      </c>
      <c r="C19" s="43" t="s">
        <v>260</v>
      </c>
      <c r="F19" s="49" t="s">
        <v>156</v>
      </c>
      <c r="G19" s="49" t="b">
        <f ca="1">IF(OR(input_PersonalDetails_AgeNextBirthday&gt;0,input_PersonalDetails_AgeNextBirthday&lt;99),TRUE,FALSE)</f>
        <v>1</v>
      </c>
      <c r="H19" s="53" t="str">
        <f t="shared" ca="1" si="0"/>
        <v/>
      </c>
      <c r="M19" s="39" t="s">
        <v>311</v>
      </c>
      <c r="O19" s="39" t="s">
        <v>267</v>
      </c>
      <c r="Q19" s="39" t="s">
        <v>877</v>
      </c>
      <c r="S19" s="39" t="s">
        <v>284</v>
      </c>
      <c r="T19" s="39" t="s">
        <v>312</v>
      </c>
      <c r="U19" s="39" t="s">
        <v>525</v>
      </c>
      <c r="V19" s="39" t="s">
        <v>636</v>
      </c>
      <c r="W19" s="39" t="s">
        <v>330</v>
      </c>
    </row>
    <row r="20" spans="1:23" ht="15.5">
      <c r="B20" s="39" t="s">
        <v>168</v>
      </c>
      <c r="C20" s="43" t="s">
        <v>296</v>
      </c>
      <c r="F20" s="49" t="s">
        <v>139</v>
      </c>
      <c r="G20" s="49" t="b">
        <f>IF(AND(OR(input_PersonalDetails_Gender="",NOT(ISERROR(VLOOKUP(input_PersonalDetails_Gender,K3:K5,1,0)))),OR(AND(OR(input_PersonalDetails_Title="MR",input_PersonalDetails_Title="SIR"),input_PersonalDetails_Gender="M"),AND(OR(input_PersonalDetails_Title="MS",input_PersonalDetails_Title="MRS",input_PersonalDetails_Title="MDM",input_PersonalDetails_Title="MISS"),input_PersonalDetails_Gender="F"))),TRUE,FALSE)</f>
        <v>1</v>
      </c>
      <c r="H20" s="53" t="str">
        <f t="shared" si="0"/>
        <v/>
      </c>
      <c r="M20" s="39" t="s">
        <v>313</v>
      </c>
      <c r="O20" s="39" t="s">
        <v>267</v>
      </c>
      <c r="Q20" s="39" t="s">
        <v>878</v>
      </c>
      <c r="S20" s="39" t="s">
        <v>285</v>
      </c>
      <c r="T20" s="39" t="s">
        <v>313</v>
      </c>
      <c r="U20" s="39" t="s">
        <v>526</v>
      </c>
      <c r="V20" s="39" t="s">
        <v>637</v>
      </c>
      <c r="W20" s="39" t="s">
        <v>845</v>
      </c>
    </row>
    <row r="21" spans="1:23" ht="15.5">
      <c r="B21" s="39" t="s">
        <v>160</v>
      </c>
      <c r="C21" s="43" t="b">
        <v>1</v>
      </c>
      <c r="F21" s="49" t="s">
        <v>140</v>
      </c>
      <c r="G21" s="49" t="b">
        <f>IF(AND(input_PersonalDetails_Nationality&lt;&gt;"",OR(input_PersonalDetails_Nationality="",NOT(ISERROR(VLOOKUP(input_PersonalDetails_Nationality,L3:L6,1,0))))),TRUE,FALSE)</f>
        <v>1</v>
      </c>
      <c r="H21" s="53" t="str">
        <f t="shared" si="0"/>
        <v/>
      </c>
      <c r="M21" s="39" t="s">
        <v>314</v>
      </c>
      <c r="O21" s="39" t="s">
        <v>267</v>
      </c>
      <c r="Q21" s="39" t="s">
        <v>879</v>
      </c>
      <c r="S21" s="39" t="s">
        <v>286</v>
      </c>
      <c r="T21" s="39" t="s">
        <v>314</v>
      </c>
      <c r="U21" s="39" t="s">
        <v>527</v>
      </c>
      <c r="V21" s="39" t="s">
        <v>638</v>
      </c>
      <c r="W21" s="39" t="s">
        <v>539</v>
      </c>
    </row>
    <row r="22" spans="1:23" ht="15.5">
      <c r="A22" s="46"/>
      <c r="F22" s="49" t="s">
        <v>159</v>
      </c>
      <c r="G22" s="49" t="b">
        <f>OR(input_PersonalDetails_PrNationality="",NOT(ISERROR(VLOOKUP(input_PersonalDetails_PrNationality,M3:M224,1,0))))</f>
        <v>1</v>
      </c>
      <c r="H22" s="53" t="str">
        <f t="shared" si="0"/>
        <v/>
      </c>
      <c r="M22" s="39" t="s">
        <v>315</v>
      </c>
      <c r="Q22" s="39" t="s">
        <v>880</v>
      </c>
      <c r="T22" s="39" t="s">
        <v>315</v>
      </c>
      <c r="U22" s="39" t="s">
        <v>313</v>
      </c>
      <c r="V22" s="39" t="s">
        <v>639</v>
      </c>
      <c r="W22" s="39" t="s">
        <v>336</v>
      </c>
    </row>
    <row r="23" spans="1:23" ht="15.5">
      <c r="A23" s="46"/>
      <c r="B23" s="39" t="s">
        <v>171</v>
      </c>
      <c r="C23" s="39" t="s">
        <v>172</v>
      </c>
      <c r="F23" s="49" t="s">
        <v>168</v>
      </c>
      <c r="G23" s="49" t="b">
        <f>OR(input_PersonalDetails_CountryOfBirth="",NOT(ISERROR(VLOOKUP(input_PersonalDetails_CountryOfBirth,T3:T222,1,0))))</f>
        <v>1</v>
      </c>
      <c r="H23" s="53" t="str">
        <f t="shared" si="0"/>
        <v/>
      </c>
      <c r="M23" s="39" t="s">
        <v>316</v>
      </c>
      <c r="Q23" s="39" t="s">
        <v>881</v>
      </c>
      <c r="T23" s="39" t="s">
        <v>316</v>
      </c>
      <c r="U23" s="39" t="s">
        <v>528</v>
      </c>
      <c r="V23" s="39" t="s">
        <v>640</v>
      </c>
      <c r="W23" s="39" t="s">
        <v>335</v>
      </c>
    </row>
    <row r="24" spans="1:23" ht="15.5">
      <c r="B24" s="39" t="s">
        <v>162</v>
      </c>
      <c r="C24" s="50" t="s">
        <v>174</v>
      </c>
      <c r="F24" s="49" t="s">
        <v>144</v>
      </c>
      <c r="G24" s="49" t="b">
        <f>IF(AND(input_PersonalDetails_OccupationCode&lt;&gt;"",OR(input_PersonalDetails_OccupationCode="",NOT(ISERROR(VLOOKUP(input_PersonalDetails_OccupationCode,Q3:Q423,1,0))))),TRUE,FALSE)</f>
        <v>1</v>
      </c>
      <c r="H24" s="53" t="str">
        <f t="shared" si="0"/>
        <v/>
      </c>
      <c r="M24" s="39" t="s">
        <v>317</v>
      </c>
      <c r="Q24" s="39" t="s">
        <v>882</v>
      </c>
      <c r="T24" s="39" t="s">
        <v>317</v>
      </c>
      <c r="U24" s="39" t="s">
        <v>314</v>
      </c>
      <c r="V24" s="39" t="s">
        <v>641</v>
      </c>
      <c r="W24" s="39" t="s">
        <v>846</v>
      </c>
    </row>
    <row r="25" spans="1:23" ht="15.5">
      <c r="B25" s="39" t="s">
        <v>165</v>
      </c>
      <c r="C25" s="39">
        <v>90162435</v>
      </c>
      <c r="F25" s="49" t="s">
        <v>203</v>
      </c>
      <c r="G25" s="49" t="b">
        <f>IF(AND(input_PersonalDetails_MedicalConditionDisclosure_MedicalCondition&lt;&gt;"",OR(input_PersonalDetails_MedicalConditionDisclosure_MedicalCondition=TRUE,input_PersonalDetails_MedicalConditionDisclosure_MedicalCondition=FALSE)),TRUE,FALSE)</f>
        <v>1</v>
      </c>
      <c r="H25" s="53" t="str">
        <f t="shared" si="0"/>
        <v/>
      </c>
      <c r="M25" s="39" t="s">
        <v>318</v>
      </c>
      <c r="Q25" s="39" t="s">
        <v>883</v>
      </c>
      <c r="T25" s="39" t="s">
        <v>318</v>
      </c>
      <c r="U25" s="39" t="s">
        <v>316</v>
      </c>
      <c r="V25" s="39" t="s">
        <v>642</v>
      </c>
      <c r="W25" s="39" t="s">
        <v>847</v>
      </c>
    </row>
    <row r="26" spans="1:23" ht="15.5">
      <c r="B26" s="39" t="s">
        <v>179</v>
      </c>
      <c r="C26" s="50" t="s">
        <v>174</v>
      </c>
      <c r="F26" s="49" t="s">
        <v>204</v>
      </c>
      <c r="G26" s="49" t="b">
        <f>IF(AND(input_PersonalDetails_MedicalConditionDisclosure_MedicalCondition=TRUE,input_PersonalDetails_MedicalConditionDisclosure_MedicalConditionInfo="",LEN(input_PersonalDetails_MedicalConditionDisclosure_MedicalConditionInfo)&gt;300),FALSE,TRUE)</f>
        <v>1</v>
      </c>
      <c r="H26" s="53" t="str">
        <f t="shared" si="0"/>
        <v/>
      </c>
      <c r="M26" s="39" t="s">
        <v>319</v>
      </c>
      <c r="Q26" s="39" t="s">
        <v>884</v>
      </c>
      <c r="T26" s="39" t="s">
        <v>319</v>
      </c>
      <c r="U26" s="39" t="s">
        <v>317</v>
      </c>
      <c r="V26" s="39" t="s">
        <v>643</v>
      </c>
      <c r="W26" s="39" t="s">
        <v>848</v>
      </c>
    </row>
    <row r="27" spans="1:23" ht="15.5">
      <c r="B27" s="39" t="s">
        <v>182</v>
      </c>
      <c r="C27" s="39">
        <v>12345678</v>
      </c>
      <c r="F27" s="85" t="s">
        <v>1334</v>
      </c>
      <c r="G27" s="49" t="b">
        <f>IF(AND(input_PersonalDetails_OccupationCode="OTHERS",input_PersonalDetails_OtherOccupation="",LEN(input_PersonalDetails_OtherOccupation)&gt;100),FALSE,TRUE)</f>
        <v>1</v>
      </c>
      <c r="H27" s="53" t="str">
        <f t="shared" si="0"/>
        <v/>
      </c>
      <c r="M27" s="39" t="s">
        <v>320</v>
      </c>
      <c r="Q27" s="39" t="s">
        <v>885</v>
      </c>
      <c r="T27" s="39" t="s">
        <v>320</v>
      </c>
      <c r="U27" s="39" t="s">
        <v>529</v>
      </c>
      <c r="V27" s="39" t="s">
        <v>644</v>
      </c>
      <c r="W27" s="39" t="s">
        <v>344</v>
      </c>
    </row>
    <row r="28" spans="1:23" ht="15.5">
      <c r="B28" s="39" t="s">
        <v>183</v>
      </c>
      <c r="C28" s="50" t="s">
        <v>174</v>
      </c>
      <c r="F28" s="96" t="s">
        <v>1559</v>
      </c>
      <c r="G28" s="49" t="b">
        <f>IF(AND(input_PersonalDetails_OccupationCode="RETR",OR(input_RPQ_YearsToRetire=2,input_RPQ_YearsToRetire=3,input_RPQ_YearsToRetire=4)),FALSE,TRUE)</f>
        <v>1</v>
      </c>
      <c r="H28" s="53" t="str">
        <f t="shared" si="0"/>
        <v/>
      </c>
      <c r="M28" s="39" t="s">
        <v>321</v>
      </c>
      <c r="Q28" s="39" t="s">
        <v>886</v>
      </c>
      <c r="T28" s="39" t="s">
        <v>321</v>
      </c>
      <c r="U28" s="39" t="s">
        <v>530</v>
      </c>
      <c r="V28" s="39" t="s">
        <v>645</v>
      </c>
      <c r="W28" s="39" t="s">
        <v>345</v>
      </c>
    </row>
    <row r="29" spans="1:23" ht="15.5">
      <c r="B29" s="39" t="s">
        <v>184</v>
      </c>
      <c r="C29" s="39">
        <v>87654321</v>
      </c>
      <c r="F29" s="96" t="s">
        <v>1560</v>
      </c>
      <c r="G29" s="96" t="b">
        <f>IF(AND(input_PersonalDetails_EducationCode&lt;&gt;"TER",input_CKA_EducationQualification_IsSelected=TRUE),TRUE,FALSE)</f>
        <v>1</v>
      </c>
      <c r="H29" s="53" t="str">
        <f t="shared" si="0"/>
        <v/>
      </c>
      <c r="M29" s="39" t="s">
        <v>532</v>
      </c>
      <c r="Q29" s="39" t="s">
        <v>887</v>
      </c>
      <c r="T29" s="39" t="s">
        <v>322</v>
      </c>
      <c r="U29" s="39" t="s">
        <v>320</v>
      </c>
      <c r="V29" s="39" t="s">
        <v>646</v>
      </c>
      <c r="W29" s="39" t="s">
        <v>346</v>
      </c>
    </row>
    <row r="30" spans="1:23">
      <c r="M30" s="39" t="s">
        <v>323</v>
      </c>
      <c r="Q30" s="39" t="s">
        <v>888</v>
      </c>
      <c r="T30" s="39" t="s">
        <v>323</v>
      </c>
      <c r="U30" s="39" t="s">
        <v>531</v>
      </c>
      <c r="V30" s="39" t="s">
        <v>647</v>
      </c>
      <c r="W30" s="39" t="s">
        <v>348</v>
      </c>
    </row>
    <row r="31" spans="1:23">
      <c r="B31" s="39" t="s">
        <v>185</v>
      </c>
      <c r="C31" s="39">
        <v>823123</v>
      </c>
      <c r="M31" s="39" t="s">
        <v>324</v>
      </c>
      <c r="Q31" s="39" t="s">
        <v>889</v>
      </c>
      <c r="T31" s="39" t="s">
        <v>324</v>
      </c>
      <c r="U31" s="39" t="s">
        <v>532</v>
      </c>
      <c r="V31" s="39" t="s">
        <v>648</v>
      </c>
      <c r="W31" s="39" t="s">
        <v>349</v>
      </c>
    </row>
    <row r="32" spans="1:23">
      <c r="B32" s="39" t="s">
        <v>186</v>
      </c>
      <c r="C32" s="39">
        <v>789</v>
      </c>
      <c r="M32" s="39" t="s">
        <v>325</v>
      </c>
      <c r="Q32" s="39" t="s">
        <v>890</v>
      </c>
      <c r="T32" s="39" t="s">
        <v>325</v>
      </c>
      <c r="U32" s="39" t="s">
        <v>323</v>
      </c>
      <c r="V32" s="39" t="s">
        <v>649</v>
      </c>
      <c r="W32" s="39" t="s">
        <v>351</v>
      </c>
    </row>
    <row r="33" spans="1:23">
      <c r="B33" s="39" t="s">
        <v>187</v>
      </c>
      <c r="C33" s="39" t="s">
        <v>188</v>
      </c>
      <c r="F33" s="47" t="s">
        <v>15</v>
      </c>
      <c r="G33" s="9" t="s">
        <v>17</v>
      </c>
      <c r="H33" s="47" t="s">
        <v>53</v>
      </c>
      <c r="M33" s="39" t="s">
        <v>326</v>
      </c>
      <c r="Q33" s="39" t="s">
        <v>891</v>
      </c>
      <c r="T33" s="39" t="s">
        <v>326</v>
      </c>
      <c r="U33" s="39" t="s">
        <v>533</v>
      </c>
      <c r="V33" s="39" t="s">
        <v>650</v>
      </c>
      <c r="W33" s="39" t="s">
        <v>356</v>
      </c>
    </row>
    <row r="34" spans="1:23" ht="15.5">
      <c r="B34" s="39" t="s">
        <v>189</v>
      </c>
      <c r="C34" s="39" t="s">
        <v>190</v>
      </c>
      <c r="F34" s="49" t="s">
        <v>154</v>
      </c>
      <c r="G34" s="1" t="s">
        <v>1539</v>
      </c>
      <c r="H34" s="49" t="s">
        <v>155</v>
      </c>
      <c r="M34" s="39" t="s">
        <v>327</v>
      </c>
      <c r="Q34" s="39" t="s">
        <v>892</v>
      </c>
      <c r="T34" s="39" t="s">
        <v>327</v>
      </c>
      <c r="U34" s="39" t="s">
        <v>534</v>
      </c>
      <c r="V34" s="39" t="s">
        <v>651</v>
      </c>
      <c r="W34" s="39" t="s">
        <v>548</v>
      </c>
    </row>
    <row r="35" spans="1:23" ht="15.5">
      <c r="B35" s="39" t="s">
        <v>191</v>
      </c>
      <c r="C35" s="39" t="s">
        <v>192</v>
      </c>
      <c r="F35" s="49" t="s">
        <v>141</v>
      </c>
      <c r="G35" s="1" t="s">
        <v>1540</v>
      </c>
      <c r="H35" s="49" t="s">
        <v>157</v>
      </c>
      <c r="M35" s="39" t="s">
        <v>328</v>
      </c>
      <c r="Q35" s="39" t="s">
        <v>893</v>
      </c>
      <c r="T35" s="39" t="s">
        <v>328</v>
      </c>
      <c r="U35" s="39" t="s">
        <v>535</v>
      </c>
      <c r="V35" s="39" t="s">
        <v>652</v>
      </c>
      <c r="W35" s="39" t="s">
        <v>361</v>
      </c>
    </row>
    <row r="36" spans="1:23" ht="15.5">
      <c r="A36" s="46"/>
      <c r="B36" s="39" t="s">
        <v>193</v>
      </c>
      <c r="C36" s="39" t="s">
        <v>45</v>
      </c>
      <c r="F36" s="49" t="s">
        <v>142</v>
      </c>
      <c r="G36" s="1" t="s">
        <v>1541</v>
      </c>
      <c r="H36" s="49" t="s">
        <v>158</v>
      </c>
      <c r="M36" s="39" t="s">
        <v>329</v>
      </c>
      <c r="Q36" s="39" t="s">
        <v>894</v>
      </c>
      <c r="T36" s="39" t="s">
        <v>329</v>
      </c>
      <c r="U36" s="39" t="s">
        <v>326</v>
      </c>
      <c r="V36" s="39" t="s">
        <v>653</v>
      </c>
      <c r="W36" s="39" t="s">
        <v>362</v>
      </c>
    </row>
    <row r="37" spans="1:23" ht="15.5">
      <c r="B37" s="39" t="s">
        <v>194</v>
      </c>
      <c r="C37" s="39" t="s">
        <v>45</v>
      </c>
      <c r="F37" s="49" t="s">
        <v>160</v>
      </c>
      <c r="G37" s="1" t="s">
        <v>1542</v>
      </c>
      <c r="H37" s="49" t="s">
        <v>161</v>
      </c>
      <c r="M37" s="39" t="s">
        <v>330</v>
      </c>
      <c r="Q37" s="39" t="s">
        <v>895</v>
      </c>
      <c r="T37" s="39" t="s">
        <v>330</v>
      </c>
      <c r="U37" s="39" t="s">
        <v>536</v>
      </c>
      <c r="V37" s="39" t="s">
        <v>654</v>
      </c>
      <c r="W37" s="39" t="s">
        <v>366</v>
      </c>
    </row>
    <row r="38" spans="1:23" ht="15.5">
      <c r="A38" s="46"/>
      <c r="B38" s="39" t="s">
        <v>49</v>
      </c>
      <c r="C38" s="39" t="s">
        <v>45</v>
      </c>
      <c r="F38" s="49" t="s">
        <v>166</v>
      </c>
      <c r="G38" s="1" t="s">
        <v>1543</v>
      </c>
      <c r="H38" s="49" t="s">
        <v>167</v>
      </c>
      <c r="M38" s="39" t="s">
        <v>331</v>
      </c>
      <c r="Q38" s="39" t="s">
        <v>896</v>
      </c>
      <c r="T38" s="39" t="s">
        <v>331</v>
      </c>
      <c r="U38" s="39" t="s">
        <v>537</v>
      </c>
      <c r="V38" s="39" t="s">
        <v>655</v>
      </c>
      <c r="W38" s="39" t="s">
        <v>367</v>
      </c>
    </row>
    <row r="39" spans="1:23" ht="15.5">
      <c r="A39" s="46"/>
      <c r="F39" s="49" t="s">
        <v>143</v>
      </c>
      <c r="G39" s="1" t="s">
        <v>1544</v>
      </c>
      <c r="H39" s="49" t="s">
        <v>169</v>
      </c>
      <c r="M39" s="39" t="s">
        <v>539</v>
      </c>
      <c r="Q39" s="39" t="s">
        <v>897</v>
      </c>
      <c r="T39" s="39" t="s">
        <v>332</v>
      </c>
      <c r="U39" s="39" t="s">
        <v>538</v>
      </c>
      <c r="V39" s="39" t="s">
        <v>656</v>
      </c>
      <c r="W39" s="39" t="s">
        <v>369</v>
      </c>
    </row>
    <row r="40" spans="1:23" ht="15.5">
      <c r="A40" s="46"/>
      <c r="B40" s="39" t="s">
        <v>195</v>
      </c>
      <c r="C40" s="43" t="b">
        <v>1</v>
      </c>
      <c r="F40" s="49" t="s">
        <v>145</v>
      </c>
      <c r="G40" s="1" t="s">
        <v>1545</v>
      </c>
      <c r="H40" s="49" t="s">
        <v>173</v>
      </c>
      <c r="M40" s="39" t="s">
        <v>333</v>
      </c>
      <c r="Q40" s="39" t="s">
        <v>898</v>
      </c>
      <c r="T40" s="39" t="s">
        <v>333</v>
      </c>
      <c r="U40" s="39" t="s">
        <v>329</v>
      </c>
      <c r="V40" s="39" t="s">
        <v>657</v>
      </c>
      <c r="W40" s="39" t="s">
        <v>370</v>
      </c>
    </row>
    <row r="41" spans="1:23" ht="15.5">
      <c r="A41" s="46"/>
      <c r="B41" s="39" t="s">
        <v>143</v>
      </c>
      <c r="C41" s="43" t="s">
        <v>1280</v>
      </c>
      <c r="F41" s="49" t="s">
        <v>175</v>
      </c>
      <c r="G41" s="1" t="s">
        <v>1546</v>
      </c>
      <c r="H41" s="49" t="s">
        <v>176</v>
      </c>
      <c r="M41" s="39" t="s">
        <v>334</v>
      </c>
      <c r="Q41" s="39" t="s">
        <v>899</v>
      </c>
      <c r="T41" s="39" t="s">
        <v>334</v>
      </c>
      <c r="U41" s="39" t="s">
        <v>330</v>
      </c>
      <c r="V41" s="39" t="s">
        <v>658</v>
      </c>
      <c r="W41" s="39" t="s">
        <v>374</v>
      </c>
    </row>
    <row r="42" spans="1:23" ht="15.5">
      <c r="B42" s="39" t="s">
        <v>144</v>
      </c>
      <c r="C42" s="43" t="s">
        <v>863</v>
      </c>
      <c r="F42" s="49" t="s">
        <v>177</v>
      </c>
      <c r="G42" s="1" t="s">
        <v>1547</v>
      </c>
      <c r="H42" s="49" t="s">
        <v>178</v>
      </c>
      <c r="M42" s="39" t="s">
        <v>335</v>
      </c>
      <c r="Q42" s="39" t="s">
        <v>900</v>
      </c>
      <c r="T42" s="39" t="s">
        <v>335</v>
      </c>
      <c r="U42" s="39" t="s">
        <v>331</v>
      </c>
      <c r="V42" s="39" t="s">
        <v>659</v>
      </c>
      <c r="W42" s="39" t="s">
        <v>379</v>
      </c>
    </row>
    <row r="43" spans="1:23" ht="15.5">
      <c r="B43" s="39" t="s">
        <v>170</v>
      </c>
      <c r="C43" s="43" t="s">
        <v>196</v>
      </c>
      <c r="F43" s="49" t="s">
        <v>180</v>
      </c>
      <c r="G43" s="1" t="s">
        <v>1548</v>
      </c>
      <c r="H43" s="49" t="s">
        <v>181</v>
      </c>
      <c r="M43" s="39" t="s">
        <v>336</v>
      </c>
      <c r="Q43" s="39" t="s">
        <v>901</v>
      </c>
      <c r="T43" s="39" t="s">
        <v>336</v>
      </c>
      <c r="U43" s="39" t="s">
        <v>539</v>
      </c>
      <c r="V43" s="39" t="s">
        <v>660</v>
      </c>
      <c r="W43" s="39" t="s">
        <v>380</v>
      </c>
    </row>
    <row r="44" spans="1:23" ht="15.5">
      <c r="B44" s="39" t="s">
        <v>197</v>
      </c>
      <c r="C44" s="39" t="s">
        <v>198</v>
      </c>
      <c r="F44" s="49" t="s">
        <v>138</v>
      </c>
      <c r="G44" s="1" t="s">
        <v>1549</v>
      </c>
      <c r="H44" s="67" t="str">
        <f>_xlfn.CONCAT("Please enter a valid ",F44,".")</f>
        <v>Please enter a valid Title.</v>
      </c>
      <c r="M44" s="39" t="s">
        <v>153</v>
      </c>
      <c r="Q44" s="39" t="s">
        <v>902</v>
      </c>
      <c r="T44" s="39" t="s">
        <v>153</v>
      </c>
      <c r="U44" s="39" t="s">
        <v>540</v>
      </c>
      <c r="V44" s="39" t="s">
        <v>661</v>
      </c>
      <c r="W44" s="39" t="s">
        <v>381</v>
      </c>
    </row>
    <row r="45" spans="1:23" ht="15.5">
      <c r="B45" s="39" t="s">
        <v>145</v>
      </c>
      <c r="C45" s="43" t="s">
        <v>263</v>
      </c>
      <c r="F45" s="49" t="s">
        <v>156</v>
      </c>
      <c r="G45" s="1" t="s">
        <v>1550</v>
      </c>
      <c r="H45" s="67" t="str">
        <f>_xlfn.CONCAT("Please enter a valid ",F45,".")</f>
        <v>Please enter a valid Age, at next birthday.</v>
      </c>
      <c r="M45" s="39" t="s">
        <v>337</v>
      </c>
      <c r="Q45" s="39" t="s">
        <v>903</v>
      </c>
      <c r="T45" s="39" t="s">
        <v>337</v>
      </c>
      <c r="U45" s="39" t="s">
        <v>334</v>
      </c>
      <c r="V45" s="39" t="s">
        <v>662</v>
      </c>
      <c r="W45" s="39" t="s">
        <v>382</v>
      </c>
    </row>
    <row r="46" spans="1:23" ht="15.5">
      <c r="A46" s="46"/>
      <c r="B46" s="39" t="s">
        <v>175</v>
      </c>
      <c r="C46" s="43" t="b">
        <v>1</v>
      </c>
      <c r="F46" s="49" t="s">
        <v>139</v>
      </c>
      <c r="G46" s="1" t="s">
        <v>1551</v>
      </c>
      <c r="H46" s="67" t="str">
        <f>_xlfn.CONCAT("Please enter a valid ",F46,".")</f>
        <v>Please enter a valid Gender.</v>
      </c>
      <c r="M46" s="39" t="s">
        <v>338</v>
      </c>
      <c r="Q46" s="39" t="s">
        <v>904</v>
      </c>
      <c r="T46" s="39" t="s">
        <v>338</v>
      </c>
      <c r="U46" s="39" t="s">
        <v>336</v>
      </c>
      <c r="V46" s="39" t="s">
        <v>663</v>
      </c>
      <c r="W46" s="39" t="s">
        <v>383</v>
      </c>
    </row>
    <row r="47" spans="1:23" ht="15.5">
      <c r="A47" s="46"/>
      <c r="F47" s="49" t="s">
        <v>140</v>
      </c>
      <c r="G47" s="1" t="s">
        <v>1552</v>
      </c>
      <c r="H47" s="67" t="str">
        <f t="shared" ref="H47:H53" si="1">_xlfn.CONCAT("Please enter a valid ",F47,".")</f>
        <v>Please enter a valid Nationality.</v>
      </c>
      <c r="M47" s="39" t="s">
        <v>339</v>
      </c>
      <c r="Q47" s="39" t="s">
        <v>905</v>
      </c>
      <c r="T47" s="39" t="s">
        <v>339</v>
      </c>
      <c r="U47" s="39" t="s">
        <v>541</v>
      </c>
      <c r="V47" s="39" t="s">
        <v>664</v>
      </c>
      <c r="W47" s="39" t="s">
        <v>384</v>
      </c>
    </row>
    <row r="48" spans="1:23" ht="15.5">
      <c r="A48" s="46"/>
      <c r="B48" s="39" t="s">
        <v>177</v>
      </c>
      <c r="C48" s="43" t="b">
        <v>1</v>
      </c>
      <c r="F48" s="49" t="s">
        <v>159</v>
      </c>
      <c r="G48" s="1" t="s">
        <v>1553</v>
      </c>
      <c r="H48" s="67" t="str">
        <f t="shared" si="1"/>
        <v>Please enter a valid Nationality of Singapore PR.</v>
      </c>
      <c r="M48" s="39" t="s">
        <v>340</v>
      </c>
      <c r="Q48" s="39" t="s">
        <v>906</v>
      </c>
      <c r="T48" s="39" t="s">
        <v>340</v>
      </c>
      <c r="U48" s="39" t="s">
        <v>542</v>
      </c>
      <c r="V48" s="39" t="s">
        <v>633</v>
      </c>
      <c r="W48" s="39" t="s">
        <v>849</v>
      </c>
    </row>
    <row r="49" spans="1:23" ht="15.5">
      <c r="A49" s="46"/>
      <c r="B49" s="39" t="s">
        <v>199</v>
      </c>
      <c r="C49" s="39" t="s">
        <v>200</v>
      </c>
      <c r="F49" s="49" t="s">
        <v>168</v>
      </c>
      <c r="G49" s="1" t="s">
        <v>1554</v>
      </c>
      <c r="H49" s="67" t="str">
        <f t="shared" si="1"/>
        <v>Please enter a valid Country of Birth.</v>
      </c>
      <c r="M49" s="39" t="s">
        <v>341</v>
      </c>
      <c r="Q49" s="39" t="s">
        <v>907</v>
      </c>
      <c r="T49" s="39" t="s">
        <v>341</v>
      </c>
      <c r="U49" s="39" t="s">
        <v>543</v>
      </c>
      <c r="V49" s="39" t="s">
        <v>633</v>
      </c>
      <c r="W49" s="39" t="s">
        <v>850</v>
      </c>
    </row>
    <row r="50" spans="1:23" ht="15.5">
      <c r="B50" s="39" t="s">
        <v>201</v>
      </c>
      <c r="C50" s="39" t="s">
        <v>202</v>
      </c>
      <c r="F50" s="49" t="s">
        <v>144</v>
      </c>
      <c r="G50" s="1" t="s">
        <v>1555</v>
      </c>
      <c r="H50" s="67" t="str">
        <f t="shared" si="1"/>
        <v>Please enter a valid Occupation.</v>
      </c>
      <c r="M50" s="39" t="s">
        <v>342</v>
      </c>
      <c r="Q50" s="39" t="s">
        <v>908</v>
      </c>
      <c r="T50" s="39" t="s">
        <v>342</v>
      </c>
      <c r="U50" s="39" t="s">
        <v>153</v>
      </c>
      <c r="V50" s="39" t="s">
        <v>665</v>
      </c>
      <c r="W50" s="39" t="s">
        <v>386</v>
      </c>
    </row>
    <row r="51" spans="1:23" ht="15.5">
      <c r="B51" s="39" t="s">
        <v>180</v>
      </c>
      <c r="C51" s="43" t="s">
        <v>282</v>
      </c>
      <c r="F51" s="49" t="s">
        <v>203</v>
      </c>
      <c r="G51" s="1" t="s">
        <v>1556</v>
      </c>
      <c r="H51" s="67" t="str">
        <f t="shared" si="1"/>
        <v>Please enter a valid Medical Condition.</v>
      </c>
      <c r="M51" s="39" t="s">
        <v>343</v>
      </c>
      <c r="Q51" s="39" t="s">
        <v>909</v>
      </c>
      <c r="T51" s="39" t="s">
        <v>343</v>
      </c>
      <c r="U51" s="39" t="s">
        <v>337</v>
      </c>
      <c r="V51" s="39" t="s">
        <v>666</v>
      </c>
      <c r="W51" s="39" t="s">
        <v>389</v>
      </c>
    </row>
    <row r="52" spans="1:23" ht="15.5">
      <c r="F52" s="49" t="s">
        <v>204</v>
      </c>
      <c r="G52" s="1" t="s">
        <v>1557</v>
      </c>
      <c r="H52" s="67" t="str">
        <f t="shared" si="1"/>
        <v>Please enter a valid Medical Condition Description.</v>
      </c>
      <c r="M52" s="39" t="s">
        <v>344</v>
      </c>
      <c r="Q52" s="39" t="s">
        <v>910</v>
      </c>
      <c r="T52" s="39" t="s">
        <v>344</v>
      </c>
      <c r="U52" s="39" t="s">
        <v>339</v>
      </c>
      <c r="V52" s="39" t="s">
        <v>667</v>
      </c>
      <c r="W52" s="39" t="s">
        <v>390</v>
      </c>
    </row>
    <row r="53" spans="1:23" ht="15.5">
      <c r="F53" s="85" t="s">
        <v>1334</v>
      </c>
      <c r="G53" s="1" t="s">
        <v>1558</v>
      </c>
      <c r="H53" s="49" t="str">
        <f t="shared" si="1"/>
        <v>Please enter a valid Other Occupation.</v>
      </c>
      <c r="M53" s="39" t="s">
        <v>345</v>
      </c>
      <c r="Q53" s="39" t="s">
        <v>911</v>
      </c>
      <c r="T53" s="39" t="s">
        <v>345</v>
      </c>
      <c r="U53" s="39" t="s">
        <v>544</v>
      </c>
      <c r="V53" s="39" t="s">
        <v>668</v>
      </c>
      <c r="W53" s="39" t="s">
        <v>391</v>
      </c>
    </row>
    <row r="54" spans="1:23" ht="15.5">
      <c r="B54" s="39" t="s">
        <v>203</v>
      </c>
      <c r="C54" s="43" t="b">
        <v>1</v>
      </c>
      <c r="F54" s="96" t="s">
        <v>1559</v>
      </c>
      <c r="G54" s="1" t="s">
        <v>1561</v>
      </c>
      <c r="H54" s="96" t="s">
        <v>1563</v>
      </c>
      <c r="M54" s="39" t="s">
        <v>346</v>
      </c>
      <c r="Q54" s="39" t="s">
        <v>912</v>
      </c>
      <c r="T54" s="39" t="s">
        <v>346</v>
      </c>
      <c r="U54" s="39" t="s">
        <v>545</v>
      </c>
      <c r="V54" s="39" t="s">
        <v>669</v>
      </c>
      <c r="W54" s="39" t="s">
        <v>392</v>
      </c>
    </row>
    <row r="55" spans="1:23" ht="15.5">
      <c r="B55" s="39" t="s">
        <v>204</v>
      </c>
      <c r="C55" s="43" t="s">
        <v>205</v>
      </c>
      <c r="F55" s="96" t="s">
        <v>1560</v>
      </c>
      <c r="G55" s="1" t="s">
        <v>1562</v>
      </c>
      <c r="H55" s="117" t="s">
        <v>1675</v>
      </c>
      <c r="M55" s="39" t="s">
        <v>347</v>
      </c>
      <c r="Q55" s="39" t="s">
        <v>913</v>
      </c>
      <c r="T55" s="39" t="s">
        <v>347</v>
      </c>
      <c r="U55" s="39" t="s">
        <v>343</v>
      </c>
      <c r="V55" s="39" t="s">
        <v>670</v>
      </c>
      <c r="W55" s="39" t="s">
        <v>393</v>
      </c>
    </row>
    <row r="56" spans="1:23">
      <c r="M56" s="39" t="s">
        <v>348</v>
      </c>
      <c r="Q56" s="39" t="s">
        <v>914</v>
      </c>
      <c r="T56" s="39" t="s">
        <v>348</v>
      </c>
      <c r="U56" s="39" t="s">
        <v>344</v>
      </c>
      <c r="V56" s="39" t="s">
        <v>671</v>
      </c>
      <c r="W56" s="39" t="s">
        <v>395</v>
      </c>
    </row>
    <row r="57" spans="1:23">
      <c r="M57" s="39" t="s">
        <v>349</v>
      </c>
      <c r="Q57" s="39" t="s">
        <v>915</v>
      </c>
      <c r="T57" s="39" t="s">
        <v>349</v>
      </c>
      <c r="U57" s="39" t="s">
        <v>345</v>
      </c>
      <c r="V57" s="39" t="s">
        <v>672</v>
      </c>
      <c r="W57" s="39" t="s">
        <v>562</v>
      </c>
    </row>
    <row r="58" spans="1:23">
      <c r="M58" s="39" t="s">
        <v>350</v>
      </c>
      <c r="Q58" s="39" t="s">
        <v>916</v>
      </c>
      <c r="T58" s="39" t="s">
        <v>350</v>
      </c>
      <c r="U58" s="39" t="s">
        <v>546</v>
      </c>
      <c r="V58" s="39" t="s">
        <v>673</v>
      </c>
      <c r="W58" s="39" t="s">
        <v>399</v>
      </c>
    </row>
    <row r="59" spans="1:23">
      <c r="M59" s="39" t="s">
        <v>351</v>
      </c>
      <c r="Q59" s="39" t="s">
        <v>917</v>
      </c>
      <c r="T59" s="39" t="s">
        <v>351</v>
      </c>
      <c r="U59" s="39" t="s">
        <v>547</v>
      </c>
      <c r="V59" s="39" t="s">
        <v>674</v>
      </c>
      <c r="W59" s="39" t="s">
        <v>400</v>
      </c>
    </row>
    <row r="60" spans="1:23">
      <c r="M60" s="39" t="s">
        <v>352</v>
      </c>
      <c r="Q60" s="39" t="s">
        <v>918</v>
      </c>
      <c r="T60" s="39" t="s">
        <v>352</v>
      </c>
      <c r="U60" s="39" t="s">
        <v>347</v>
      </c>
      <c r="V60" s="39" t="s">
        <v>675</v>
      </c>
      <c r="W60" s="39" t="s">
        <v>564</v>
      </c>
    </row>
    <row r="61" spans="1:23">
      <c r="M61" s="39" t="s">
        <v>353</v>
      </c>
      <c r="Q61" s="39" t="s">
        <v>919</v>
      </c>
      <c r="T61" s="39" t="s">
        <v>353</v>
      </c>
      <c r="U61" s="39" t="s">
        <v>348</v>
      </c>
      <c r="V61" s="39" t="s">
        <v>676</v>
      </c>
      <c r="W61" s="39" t="s">
        <v>851</v>
      </c>
    </row>
    <row r="62" spans="1:23">
      <c r="M62" s="39" t="s">
        <v>354</v>
      </c>
      <c r="Q62" s="39" t="s">
        <v>920</v>
      </c>
      <c r="T62" s="39" t="s">
        <v>354</v>
      </c>
      <c r="U62" s="39" t="s">
        <v>349</v>
      </c>
      <c r="V62" s="39" t="s">
        <v>677</v>
      </c>
      <c r="W62" s="39" t="s">
        <v>567</v>
      </c>
    </row>
    <row r="63" spans="1:23">
      <c r="M63" s="39" t="s">
        <v>355</v>
      </c>
      <c r="Q63" s="39" t="s">
        <v>921</v>
      </c>
      <c r="T63" s="39" t="s">
        <v>355</v>
      </c>
      <c r="U63" s="39" t="s">
        <v>351</v>
      </c>
      <c r="V63" s="39" t="s">
        <v>678</v>
      </c>
      <c r="W63" s="39" t="s">
        <v>407</v>
      </c>
    </row>
    <row r="64" spans="1:23">
      <c r="M64" s="39" t="s">
        <v>356</v>
      </c>
      <c r="Q64" s="39" t="s">
        <v>922</v>
      </c>
      <c r="T64" s="39" t="s">
        <v>356</v>
      </c>
      <c r="U64" s="39" t="s">
        <v>352</v>
      </c>
      <c r="V64" s="39" t="s">
        <v>679</v>
      </c>
      <c r="W64" s="39" t="s">
        <v>408</v>
      </c>
    </row>
    <row r="65" spans="13:23">
      <c r="M65" s="39" t="s">
        <v>357</v>
      </c>
      <c r="Q65" s="39" t="s">
        <v>923</v>
      </c>
      <c r="T65" s="39" t="s">
        <v>357</v>
      </c>
      <c r="U65" s="39" t="s">
        <v>353</v>
      </c>
      <c r="V65" s="39" t="s">
        <v>680</v>
      </c>
      <c r="W65" s="39" t="s">
        <v>411</v>
      </c>
    </row>
    <row r="66" spans="13:23">
      <c r="M66" s="39" t="s">
        <v>358</v>
      </c>
      <c r="Q66" s="39" t="s">
        <v>924</v>
      </c>
      <c r="T66" s="39" t="s">
        <v>358</v>
      </c>
      <c r="U66" s="39" t="s">
        <v>354</v>
      </c>
      <c r="V66" s="39" t="s">
        <v>681</v>
      </c>
      <c r="W66" s="39" t="s">
        <v>412</v>
      </c>
    </row>
    <row r="67" spans="13:23">
      <c r="M67" s="39" t="s">
        <v>359</v>
      </c>
      <c r="Q67" s="39" t="s">
        <v>925</v>
      </c>
      <c r="T67" s="39" t="s">
        <v>359</v>
      </c>
      <c r="U67" s="39" t="s">
        <v>355</v>
      </c>
      <c r="V67" s="39" t="s">
        <v>682</v>
      </c>
      <c r="W67" s="39" t="s">
        <v>571</v>
      </c>
    </row>
    <row r="68" spans="13:23">
      <c r="M68" s="39" t="s">
        <v>360</v>
      </c>
      <c r="Q68" s="39" t="s">
        <v>926</v>
      </c>
      <c r="T68" s="39" t="s">
        <v>360</v>
      </c>
      <c r="U68" s="39" t="s">
        <v>356</v>
      </c>
      <c r="V68" s="39" t="s">
        <v>683</v>
      </c>
      <c r="W68" s="39" t="s">
        <v>852</v>
      </c>
    </row>
    <row r="69" spans="13:23">
      <c r="M69" s="39" t="s">
        <v>361</v>
      </c>
      <c r="Q69" s="39" t="s">
        <v>927</v>
      </c>
      <c r="T69" s="39" t="s">
        <v>361</v>
      </c>
      <c r="U69" s="39" t="s">
        <v>357</v>
      </c>
      <c r="V69" s="39" t="s">
        <v>684</v>
      </c>
      <c r="W69" s="39" t="s">
        <v>417</v>
      </c>
    </row>
    <row r="70" spans="13:23">
      <c r="M70" s="39" t="s">
        <v>362</v>
      </c>
      <c r="Q70" s="39" t="s">
        <v>928</v>
      </c>
      <c r="T70" s="39" t="s">
        <v>362</v>
      </c>
      <c r="U70" s="39" t="s">
        <v>359</v>
      </c>
      <c r="V70" s="39" t="s">
        <v>685</v>
      </c>
      <c r="W70" s="39" t="s">
        <v>418</v>
      </c>
    </row>
    <row r="71" spans="13:23">
      <c r="M71" s="39" t="s">
        <v>363</v>
      </c>
      <c r="Q71" s="39" t="s">
        <v>929</v>
      </c>
      <c r="T71" s="39" t="s">
        <v>363</v>
      </c>
      <c r="U71" s="39" t="s">
        <v>358</v>
      </c>
      <c r="V71" s="39" t="s">
        <v>686</v>
      </c>
      <c r="W71" s="39" t="s">
        <v>419</v>
      </c>
    </row>
    <row r="72" spans="13:23">
      <c r="M72" s="39" t="s">
        <v>364</v>
      </c>
      <c r="Q72" s="39" t="s">
        <v>930</v>
      </c>
      <c r="T72" s="39" t="s">
        <v>364</v>
      </c>
      <c r="U72" s="39" t="s">
        <v>548</v>
      </c>
      <c r="V72" s="39" t="s">
        <v>687</v>
      </c>
      <c r="W72" s="39" t="s">
        <v>574</v>
      </c>
    </row>
    <row r="73" spans="13:23">
      <c r="M73" s="39" t="s">
        <v>365</v>
      </c>
      <c r="Q73" s="39" t="s">
        <v>931</v>
      </c>
      <c r="T73" s="39" t="s">
        <v>365</v>
      </c>
      <c r="U73" s="39" t="s">
        <v>361</v>
      </c>
      <c r="V73" s="39" t="s">
        <v>688</v>
      </c>
      <c r="W73" s="39" t="s">
        <v>425</v>
      </c>
    </row>
    <row r="74" spans="13:23">
      <c r="M74" s="39" t="s">
        <v>366</v>
      </c>
      <c r="Q74" s="39" t="s">
        <v>932</v>
      </c>
      <c r="T74" s="39" t="s">
        <v>366</v>
      </c>
      <c r="U74" s="39" t="s">
        <v>362</v>
      </c>
      <c r="V74" s="39" t="s">
        <v>689</v>
      </c>
      <c r="W74" s="39" t="s">
        <v>426</v>
      </c>
    </row>
    <row r="75" spans="13:23">
      <c r="M75" s="39" t="s">
        <v>367</v>
      </c>
      <c r="Q75" s="39" t="s">
        <v>933</v>
      </c>
      <c r="T75" s="39" t="s">
        <v>367</v>
      </c>
      <c r="U75" s="39" t="s">
        <v>549</v>
      </c>
      <c r="V75" s="39" t="s">
        <v>690</v>
      </c>
      <c r="W75" s="39" t="s">
        <v>428</v>
      </c>
    </row>
    <row r="76" spans="13:23">
      <c r="M76" s="39" t="s">
        <v>368</v>
      </c>
      <c r="Q76" s="39" t="s">
        <v>934</v>
      </c>
      <c r="T76" s="39" t="s">
        <v>368</v>
      </c>
      <c r="U76" s="39" t="s">
        <v>363</v>
      </c>
      <c r="V76" s="39" t="s">
        <v>691</v>
      </c>
      <c r="W76" s="39" t="s">
        <v>432</v>
      </c>
    </row>
    <row r="77" spans="13:23">
      <c r="M77" s="39" t="s">
        <v>369</v>
      </c>
      <c r="Q77" s="39" t="s">
        <v>935</v>
      </c>
      <c r="T77" s="39" t="s">
        <v>369</v>
      </c>
      <c r="U77" s="39" t="s">
        <v>364</v>
      </c>
      <c r="V77" s="39" t="s">
        <v>692</v>
      </c>
      <c r="W77" s="39" t="s">
        <v>433</v>
      </c>
    </row>
    <row r="78" spans="13:23">
      <c r="M78" s="39" t="s">
        <v>370</v>
      </c>
      <c r="Q78" s="39" t="s">
        <v>936</v>
      </c>
      <c r="T78" s="39" t="s">
        <v>370</v>
      </c>
      <c r="U78" s="39" t="s">
        <v>365</v>
      </c>
      <c r="V78" s="39" t="s">
        <v>693</v>
      </c>
      <c r="W78" s="39" t="s">
        <v>434</v>
      </c>
    </row>
    <row r="79" spans="13:23">
      <c r="M79" s="39" t="s">
        <v>552</v>
      </c>
      <c r="Q79" s="39" t="s">
        <v>937</v>
      </c>
      <c r="T79" s="39" t="s">
        <v>371</v>
      </c>
      <c r="U79" s="39" t="s">
        <v>550</v>
      </c>
      <c r="V79" s="39" t="s">
        <v>694</v>
      </c>
      <c r="W79" s="39" t="s">
        <v>580</v>
      </c>
    </row>
    <row r="80" spans="13:23">
      <c r="M80" s="39" t="s">
        <v>371</v>
      </c>
      <c r="Q80" s="39" t="s">
        <v>938</v>
      </c>
      <c r="T80" s="39" t="s">
        <v>372</v>
      </c>
      <c r="U80" s="39" t="s">
        <v>367</v>
      </c>
      <c r="V80" s="39" t="s">
        <v>695</v>
      </c>
      <c r="W80" s="39" t="s">
        <v>438</v>
      </c>
    </row>
    <row r="81" spans="13:23">
      <c r="M81" s="39" t="s">
        <v>373</v>
      </c>
      <c r="Q81" s="39" t="s">
        <v>939</v>
      </c>
      <c r="T81" s="39" t="s">
        <v>373</v>
      </c>
      <c r="U81" s="39" t="s">
        <v>368</v>
      </c>
      <c r="V81" s="39" t="s">
        <v>696</v>
      </c>
      <c r="W81" s="39" t="s">
        <v>440</v>
      </c>
    </row>
    <row r="82" spans="13:23">
      <c r="M82" s="39" t="s">
        <v>374</v>
      </c>
      <c r="Q82" s="39" t="s">
        <v>940</v>
      </c>
      <c r="T82" s="39" t="s">
        <v>374</v>
      </c>
      <c r="U82" s="39" t="s">
        <v>551</v>
      </c>
      <c r="V82" s="39" t="s">
        <v>697</v>
      </c>
      <c r="W82" s="39" t="s">
        <v>584</v>
      </c>
    </row>
    <row r="83" spans="13:23">
      <c r="M83" s="39" t="s">
        <v>375</v>
      </c>
      <c r="Q83" s="39" t="s">
        <v>941</v>
      </c>
      <c r="T83" s="39" t="s">
        <v>375</v>
      </c>
      <c r="U83" s="39" t="s">
        <v>370</v>
      </c>
      <c r="V83" s="39" t="s">
        <v>698</v>
      </c>
      <c r="W83" s="39" t="s">
        <v>443</v>
      </c>
    </row>
    <row r="84" spans="13:23">
      <c r="M84" s="39" t="s">
        <v>376</v>
      </c>
      <c r="Q84" s="39" t="s">
        <v>942</v>
      </c>
      <c r="T84" s="39" t="s">
        <v>376</v>
      </c>
      <c r="U84" s="39" t="s">
        <v>552</v>
      </c>
      <c r="V84" s="39" t="s">
        <v>699</v>
      </c>
      <c r="W84" s="39" t="s">
        <v>446</v>
      </c>
    </row>
    <row r="85" spans="13:23">
      <c r="M85" s="39" t="s">
        <v>377</v>
      </c>
      <c r="Q85" s="39" t="s">
        <v>943</v>
      </c>
      <c r="T85" s="39" t="s">
        <v>377</v>
      </c>
      <c r="U85" s="39" t="s">
        <v>553</v>
      </c>
      <c r="V85" s="39" t="s">
        <v>700</v>
      </c>
      <c r="W85" s="39" t="s">
        <v>585</v>
      </c>
    </row>
    <row r="86" spans="13:23">
      <c r="M86" s="39" t="s">
        <v>378</v>
      </c>
      <c r="Q86" s="39" t="s">
        <v>944</v>
      </c>
      <c r="T86" s="39" t="s">
        <v>378</v>
      </c>
      <c r="U86" s="39" t="s">
        <v>374</v>
      </c>
      <c r="V86" s="39" t="s">
        <v>701</v>
      </c>
      <c r="W86" s="39" t="s">
        <v>449</v>
      </c>
    </row>
    <row r="87" spans="13:23">
      <c r="M87" s="39" t="s">
        <v>379</v>
      </c>
      <c r="Q87" s="39" t="s">
        <v>945</v>
      </c>
      <c r="T87" s="39" t="s">
        <v>379</v>
      </c>
      <c r="U87" s="39" t="s">
        <v>375</v>
      </c>
      <c r="V87" s="39" t="s">
        <v>702</v>
      </c>
      <c r="W87" s="39" t="s">
        <v>450</v>
      </c>
    </row>
    <row r="88" spans="13:23">
      <c r="M88" s="39" t="s">
        <v>380</v>
      </c>
      <c r="Q88" s="39" t="s">
        <v>946</v>
      </c>
      <c r="T88" s="39" t="s">
        <v>380</v>
      </c>
      <c r="U88" s="39" t="s">
        <v>376</v>
      </c>
      <c r="V88" s="39" t="s">
        <v>703</v>
      </c>
      <c r="W88" s="39" t="s">
        <v>451</v>
      </c>
    </row>
    <row r="89" spans="13:23">
      <c r="M89" s="39" t="s">
        <v>381</v>
      </c>
      <c r="Q89" s="39" t="s">
        <v>947</v>
      </c>
      <c r="T89" s="39" t="s">
        <v>381</v>
      </c>
      <c r="U89" s="39" t="s">
        <v>377</v>
      </c>
      <c r="V89" s="39" t="s">
        <v>704</v>
      </c>
      <c r="W89" s="39" t="s">
        <v>452</v>
      </c>
    </row>
    <row r="90" spans="13:23">
      <c r="M90" s="39" t="s">
        <v>382</v>
      </c>
      <c r="Q90" s="39" t="s">
        <v>948</v>
      </c>
      <c r="T90" s="39" t="s">
        <v>382</v>
      </c>
      <c r="U90" s="39" t="s">
        <v>554</v>
      </c>
      <c r="V90" s="39" t="s">
        <v>705</v>
      </c>
      <c r="W90" s="39" t="s">
        <v>453</v>
      </c>
    </row>
    <row r="91" spans="13:23">
      <c r="M91" s="39" t="s">
        <v>383</v>
      </c>
      <c r="Q91" s="39" t="s">
        <v>949</v>
      </c>
      <c r="T91" s="39" t="s">
        <v>383</v>
      </c>
      <c r="U91" s="39" t="s">
        <v>507</v>
      </c>
      <c r="V91" s="39" t="s">
        <v>706</v>
      </c>
      <c r="W91" s="39" t="s">
        <v>454</v>
      </c>
    </row>
    <row r="92" spans="13:23">
      <c r="M92" s="39" t="s">
        <v>384</v>
      </c>
      <c r="Q92" s="39" t="s">
        <v>950</v>
      </c>
      <c r="T92" s="39" t="s">
        <v>384</v>
      </c>
      <c r="U92" s="39" t="s">
        <v>379</v>
      </c>
      <c r="V92" s="39" t="s">
        <v>707</v>
      </c>
      <c r="W92" s="39" t="s">
        <v>456</v>
      </c>
    </row>
    <row r="93" spans="13:23">
      <c r="M93" s="39" t="s">
        <v>385</v>
      </c>
      <c r="Q93" s="39" t="s">
        <v>337</v>
      </c>
      <c r="T93" s="39" t="s">
        <v>385</v>
      </c>
      <c r="U93" s="39" t="s">
        <v>555</v>
      </c>
      <c r="V93" s="39" t="s">
        <v>708</v>
      </c>
      <c r="W93" s="39" t="s">
        <v>457</v>
      </c>
    </row>
    <row r="94" spans="13:23">
      <c r="M94" s="39" t="s">
        <v>386</v>
      </c>
      <c r="Q94" s="39" t="s">
        <v>951</v>
      </c>
      <c r="T94" s="39" t="s">
        <v>386</v>
      </c>
      <c r="U94" s="39" t="s">
        <v>381</v>
      </c>
      <c r="V94" s="39" t="s">
        <v>709</v>
      </c>
      <c r="W94" s="39" t="s">
        <v>458</v>
      </c>
    </row>
    <row r="95" spans="13:23">
      <c r="M95" s="39" t="s">
        <v>387</v>
      </c>
      <c r="Q95" s="39" t="s">
        <v>952</v>
      </c>
      <c r="T95" s="39" t="s">
        <v>387</v>
      </c>
      <c r="U95" s="39" t="s">
        <v>556</v>
      </c>
      <c r="V95" s="39" t="s">
        <v>710</v>
      </c>
      <c r="W95" s="39" t="s">
        <v>460</v>
      </c>
    </row>
    <row r="96" spans="13:23">
      <c r="M96" s="39" t="s">
        <v>388</v>
      </c>
      <c r="Q96" s="39" t="s">
        <v>953</v>
      </c>
      <c r="T96" s="39" t="s">
        <v>388</v>
      </c>
      <c r="U96" s="39" t="s">
        <v>384</v>
      </c>
      <c r="V96" s="39" t="s">
        <v>711</v>
      </c>
      <c r="W96" s="39" t="s">
        <v>463</v>
      </c>
    </row>
    <row r="97" spans="13:23">
      <c r="M97" s="39" t="s">
        <v>389</v>
      </c>
      <c r="Q97" s="39" t="s">
        <v>954</v>
      </c>
      <c r="T97" s="39" t="s">
        <v>389</v>
      </c>
      <c r="U97" s="39" t="s">
        <v>557</v>
      </c>
      <c r="V97" s="39" t="s">
        <v>712</v>
      </c>
      <c r="W97" s="39" t="s">
        <v>596</v>
      </c>
    </row>
    <row r="98" spans="13:23">
      <c r="M98" s="39" t="s">
        <v>390</v>
      </c>
      <c r="Q98" s="39" t="s">
        <v>955</v>
      </c>
      <c r="T98" s="39" t="s">
        <v>390</v>
      </c>
      <c r="U98" s="39" t="s">
        <v>387</v>
      </c>
      <c r="V98" s="39" t="s">
        <v>713</v>
      </c>
      <c r="W98" s="39" t="s">
        <v>599</v>
      </c>
    </row>
    <row r="99" spans="13:23">
      <c r="M99" s="39" t="s">
        <v>391</v>
      </c>
      <c r="Q99" s="39" t="s">
        <v>956</v>
      </c>
      <c r="T99" s="39" t="s">
        <v>391</v>
      </c>
      <c r="U99" s="39" t="s">
        <v>385</v>
      </c>
      <c r="V99" s="39" t="s">
        <v>714</v>
      </c>
      <c r="W99" s="39" t="s">
        <v>600</v>
      </c>
    </row>
    <row r="100" spans="13:23">
      <c r="M100" s="39" t="s">
        <v>392</v>
      </c>
      <c r="Q100" s="39" t="s">
        <v>957</v>
      </c>
      <c r="T100" s="39" t="s">
        <v>392</v>
      </c>
      <c r="U100" s="39" t="s">
        <v>558</v>
      </c>
      <c r="V100" s="39" t="s">
        <v>715</v>
      </c>
      <c r="W100" s="39" t="s">
        <v>601</v>
      </c>
    </row>
    <row r="101" spans="13:23">
      <c r="M101" s="39" t="s">
        <v>393</v>
      </c>
      <c r="Q101" s="39" t="s">
        <v>958</v>
      </c>
      <c r="T101" s="39" t="s">
        <v>393</v>
      </c>
      <c r="U101" s="39" t="s">
        <v>388</v>
      </c>
      <c r="V101" s="39" t="s">
        <v>716</v>
      </c>
      <c r="W101" s="39" t="s">
        <v>474</v>
      </c>
    </row>
    <row r="102" spans="13:23">
      <c r="M102" s="39" t="s">
        <v>394</v>
      </c>
      <c r="Q102" s="39" t="s">
        <v>959</v>
      </c>
      <c r="T102" s="39" t="s">
        <v>394</v>
      </c>
      <c r="U102" s="39" t="s">
        <v>389</v>
      </c>
      <c r="V102" s="39" t="s">
        <v>717</v>
      </c>
      <c r="W102" s="39" t="s">
        <v>475</v>
      </c>
    </row>
    <row r="103" spans="13:23">
      <c r="M103" s="39" t="s">
        <v>395</v>
      </c>
      <c r="Q103" s="39" t="s">
        <v>960</v>
      </c>
      <c r="T103" s="39" t="s">
        <v>395</v>
      </c>
      <c r="U103" s="39" t="s">
        <v>390</v>
      </c>
      <c r="V103" s="39" t="s">
        <v>706</v>
      </c>
      <c r="W103" s="39" t="s">
        <v>477</v>
      </c>
    </row>
    <row r="104" spans="13:23">
      <c r="M104" s="39" t="s">
        <v>396</v>
      </c>
      <c r="Q104" s="39" t="s">
        <v>961</v>
      </c>
      <c r="T104" s="39" t="s">
        <v>396</v>
      </c>
      <c r="U104" s="39" t="s">
        <v>559</v>
      </c>
      <c r="V104" s="39" t="s">
        <v>718</v>
      </c>
      <c r="W104" s="39" t="s">
        <v>605</v>
      </c>
    </row>
    <row r="105" spans="13:23">
      <c r="M105" s="39" t="s">
        <v>397</v>
      </c>
      <c r="Q105" s="39" t="s">
        <v>962</v>
      </c>
      <c r="T105" s="39" t="s">
        <v>397</v>
      </c>
      <c r="U105" s="39" t="s">
        <v>391</v>
      </c>
      <c r="V105" s="39" t="s">
        <v>719</v>
      </c>
      <c r="W105" s="39" t="s">
        <v>592</v>
      </c>
    </row>
    <row r="106" spans="13:23">
      <c r="M106" s="39" t="s">
        <v>398</v>
      </c>
      <c r="Q106" s="39" t="s">
        <v>963</v>
      </c>
      <c r="T106" s="39" t="s">
        <v>398</v>
      </c>
      <c r="U106" s="39" t="s">
        <v>560</v>
      </c>
      <c r="V106" s="39" t="s">
        <v>720</v>
      </c>
      <c r="W106" s="39" t="s">
        <v>461</v>
      </c>
    </row>
    <row r="107" spans="13:23">
      <c r="M107" s="39" t="s">
        <v>399</v>
      </c>
      <c r="Q107" s="39" t="s">
        <v>964</v>
      </c>
      <c r="T107" s="39" t="s">
        <v>399</v>
      </c>
      <c r="U107" s="39" t="s">
        <v>561</v>
      </c>
      <c r="V107" s="39" t="s">
        <v>716</v>
      </c>
      <c r="W107" s="39" t="s">
        <v>484</v>
      </c>
    </row>
    <row r="108" spans="13:23">
      <c r="M108" s="39" t="s">
        <v>400</v>
      </c>
      <c r="Q108" s="39" t="s">
        <v>965</v>
      </c>
      <c r="T108" s="39" t="s">
        <v>400</v>
      </c>
      <c r="U108" s="39" t="s">
        <v>393</v>
      </c>
      <c r="V108" s="39" t="s">
        <v>721</v>
      </c>
      <c r="W108" s="39" t="s">
        <v>485</v>
      </c>
    </row>
    <row r="109" spans="13:23">
      <c r="M109" s="39" t="s">
        <v>401</v>
      </c>
      <c r="Q109" s="39" t="s">
        <v>966</v>
      </c>
      <c r="T109" s="39" t="s">
        <v>401</v>
      </c>
      <c r="U109" s="39" t="s">
        <v>394</v>
      </c>
      <c r="V109" s="39" t="s">
        <v>722</v>
      </c>
      <c r="W109" s="39" t="s">
        <v>487</v>
      </c>
    </row>
    <row r="110" spans="13:23">
      <c r="M110" s="39" t="s">
        <v>402</v>
      </c>
      <c r="Q110" s="39" t="s">
        <v>967</v>
      </c>
      <c r="T110" s="39" t="s">
        <v>402</v>
      </c>
      <c r="U110" s="39" t="s">
        <v>395</v>
      </c>
      <c r="V110" s="39" t="s">
        <v>723</v>
      </c>
      <c r="W110" s="39" t="s">
        <v>489</v>
      </c>
    </row>
    <row r="111" spans="13:23">
      <c r="M111" s="39" t="s">
        <v>565</v>
      </c>
      <c r="Q111" s="39" t="s">
        <v>968</v>
      </c>
      <c r="T111" s="39" t="s">
        <v>403</v>
      </c>
      <c r="U111" s="39" t="s">
        <v>396</v>
      </c>
      <c r="V111" s="39" t="s">
        <v>724</v>
      </c>
      <c r="W111" s="39" t="s">
        <v>490</v>
      </c>
    </row>
    <row r="112" spans="13:23">
      <c r="M112" s="39" t="s">
        <v>404</v>
      </c>
      <c r="Q112" s="39" t="s">
        <v>969</v>
      </c>
      <c r="T112" s="39" t="s">
        <v>404</v>
      </c>
      <c r="U112" s="39" t="s">
        <v>562</v>
      </c>
      <c r="V112" s="39" t="s">
        <v>725</v>
      </c>
      <c r="W112" s="39" t="s">
        <v>853</v>
      </c>
    </row>
    <row r="113" spans="13:23">
      <c r="M113" s="39" t="s">
        <v>403</v>
      </c>
      <c r="Q113" s="39" t="s">
        <v>970</v>
      </c>
      <c r="T113" s="39" t="s">
        <v>405</v>
      </c>
      <c r="U113" s="39" t="s">
        <v>563</v>
      </c>
      <c r="V113" s="39" t="s">
        <v>726</v>
      </c>
      <c r="W113" s="39" t="s">
        <v>493</v>
      </c>
    </row>
    <row r="114" spans="13:23">
      <c r="M114" s="39" t="s">
        <v>406</v>
      </c>
      <c r="Q114" s="39" t="s">
        <v>971</v>
      </c>
      <c r="T114" s="39" t="s">
        <v>406</v>
      </c>
      <c r="U114" s="39" t="s">
        <v>399</v>
      </c>
      <c r="V114" s="39" t="s">
        <v>727</v>
      </c>
      <c r="W114" s="39" t="s">
        <v>494</v>
      </c>
    </row>
    <row r="115" spans="13:23">
      <c r="M115" s="39" t="s">
        <v>407</v>
      </c>
      <c r="Q115" s="39" t="s">
        <v>972</v>
      </c>
      <c r="T115" s="39" t="s">
        <v>407</v>
      </c>
      <c r="U115" s="39" t="s">
        <v>400</v>
      </c>
      <c r="V115" s="39" t="s">
        <v>728</v>
      </c>
      <c r="W115" s="39" t="s">
        <v>495</v>
      </c>
    </row>
    <row r="116" spans="13:23">
      <c r="M116" s="39" t="s">
        <v>408</v>
      </c>
      <c r="Q116" s="39" t="s">
        <v>973</v>
      </c>
      <c r="T116" s="39" t="s">
        <v>408</v>
      </c>
      <c r="U116" s="39" t="s">
        <v>564</v>
      </c>
      <c r="V116" s="39" t="s">
        <v>729</v>
      </c>
      <c r="W116" s="39" t="s">
        <v>496</v>
      </c>
    </row>
    <row r="117" spans="13:23">
      <c r="M117" s="39" t="s">
        <v>854</v>
      </c>
      <c r="Q117" s="39" t="s">
        <v>974</v>
      </c>
      <c r="T117" s="39" t="s">
        <v>409</v>
      </c>
      <c r="U117" s="39" t="s">
        <v>402</v>
      </c>
      <c r="V117" s="39" t="s">
        <v>730</v>
      </c>
      <c r="W117" s="39" t="s">
        <v>610</v>
      </c>
    </row>
    <row r="118" spans="13:23">
      <c r="M118" s="39" t="s">
        <v>409</v>
      </c>
      <c r="Q118" s="39" t="s">
        <v>975</v>
      </c>
      <c r="T118" s="39" t="s">
        <v>410</v>
      </c>
      <c r="U118" s="39" t="s">
        <v>565</v>
      </c>
      <c r="V118" s="39" t="s">
        <v>731</v>
      </c>
      <c r="W118" s="39" t="s">
        <v>499</v>
      </c>
    </row>
    <row r="119" spans="13:23">
      <c r="M119" s="39" t="s">
        <v>410</v>
      </c>
      <c r="Q119" s="39" t="s">
        <v>976</v>
      </c>
      <c r="T119" s="39" t="s">
        <v>411</v>
      </c>
      <c r="U119" s="39" t="s">
        <v>566</v>
      </c>
      <c r="V119" s="39" t="s">
        <v>732</v>
      </c>
      <c r="W119" s="39" t="s">
        <v>501</v>
      </c>
    </row>
    <row r="120" spans="13:23">
      <c r="M120" s="39" t="s">
        <v>411</v>
      </c>
      <c r="Q120" s="39" t="s">
        <v>977</v>
      </c>
      <c r="T120" s="39" t="s">
        <v>412</v>
      </c>
      <c r="U120" s="39" t="s">
        <v>403</v>
      </c>
      <c r="V120" s="39" t="s">
        <v>733</v>
      </c>
      <c r="W120" s="39" t="s">
        <v>502</v>
      </c>
    </row>
    <row r="121" spans="13:23">
      <c r="M121" s="39" t="s">
        <v>412</v>
      </c>
      <c r="Q121" s="39" t="s">
        <v>978</v>
      </c>
      <c r="T121" s="39" t="s">
        <v>413</v>
      </c>
      <c r="U121" s="39" t="s">
        <v>567</v>
      </c>
      <c r="V121" s="39" t="s">
        <v>734</v>
      </c>
      <c r="W121" s="39" t="s">
        <v>503</v>
      </c>
    </row>
    <row r="122" spans="13:23">
      <c r="M122" s="39" t="s">
        <v>413</v>
      </c>
      <c r="Q122" s="39" t="s">
        <v>979</v>
      </c>
      <c r="T122" s="39" t="s">
        <v>414</v>
      </c>
      <c r="U122" s="39" t="s">
        <v>407</v>
      </c>
      <c r="V122" s="39" t="s">
        <v>735</v>
      </c>
      <c r="W122" s="39" t="s">
        <v>504</v>
      </c>
    </row>
    <row r="123" spans="13:23">
      <c r="M123" s="39" t="s">
        <v>414</v>
      </c>
      <c r="Q123" s="39" t="s">
        <v>980</v>
      </c>
      <c r="T123" s="39" t="s">
        <v>415</v>
      </c>
      <c r="U123" s="39" t="s">
        <v>408</v>
      </c>
      <c r="V123" s="39" t="s">
        <v>736</v>
      </c>
      <c r="W123" s="39" t="s">
        <v>507</v>
      </c>
    </row>
    <row r="124" spans="13:23">
      <c r="M124" s="39" t="s">
        <v>415</v>
      </c>
      <c r="Q124" s="39" t="s">
        <v>981</v>
      </c>
      <c r="T124" s="39" t="s">
        <v>416</v>
      </c>
      <c r="U124" s="39" t="s">
        <v>568</v>
      </c>
      <c r="V124" s="39" t="s">
        <v>737</v>
      </c>
      <c r="W124" s="39" t="s">
        <v>508</v>
      </c>
    </row>
    <row r="125" spans="13:23">
      <c r="M125" s="39" t="s">
        <v>416</v>
      </c>
      <c r="Q125" s="39" t="s">
        <v>982</v>
      </c>
      <c r="T125" s="39" t="s">
        <v>417</v>
      </c>
      <c r="U125" s="39" t="s">
        <v>409</v>
      </c>
      <c r="V125" s="39" t="s">
        <v>738</v>
      </c>
      <c r="W125" s="39" t="s">
        <v>509</v>
      </c>
    </row>
    <row r="126" spans="13:23">
      <c r="M126" s="39" t="s">
        <v>417</v>
      </c>
      <c r="Q126" s="39" t="s">
        <v>983</v>
      </c>
      <c r="T126" s="39" t="s">
        <v>418</v>
      </c>
      <c r="U126" s="39" t="s">
        <v>410</v>
      </c>
      <c r="V126" s="39" t="s">
        <v>739</v>
      </c>
      <c r="W126" s="39" t="s">
        <v>533</v>
      </c>
    </row>
    <row r="127" spans="13:23">
      <c r="M127" s="39" t="s">
        <v>418</v>
      </c>
      <c r="Q127" s="39" t="s">
        <v>984</v>
      </c>
      <c r="T127" s="39" t="s">
        <v>419</v>
      </c>
      <c r="U127" s="39" t="s">
        <v>569</v>
      </c>
      <c r="V127" s="39" t="s">
        <v>740</v>
      </c>
    </row>
    <row r="128" spans="13:23">
      <c r="M128" s="39" t="s">
        <v>419</v>
      </c>
      <c r="Q128" s="39" t="s">
        <v>985</v>
      </c>
      <c r="T128" s="39" t="s">
        <v>420</v>
      </c>
      <c r="U128" s="39" t="s">
        <v>570</v>
      </c>
      <c r="V128" s="39" t="s">
        <v>741</v>
      </c>
    </row>
    <row r="129" spans="13:22">
      <c r="M129" s="39" t="s">
        <v>420</v>
      </c>
      <c r="Q129" s="39" t="s">
        <v>986</v>
      </c>
      <c r="T129" s="39" t="s">
        <v>421</v>
      </c>
      <c r="U129" s="39" t="s">
        <v>413</v>
      </c>
      <c r="V129" s="39" t="s">
        <v>742</v>
      </c>
    </row>
    <row r="130" spans="13:22">
      <c r="M130" s="39" t="s">
        <v>421</v>
      </c>
      <c r="Q130" s="39" t="s">
        <v>987</v>
      </c>
      <c r="T130" s="39" t="s">
        <v>422</v>
      </c>
      <c r="U130" s="39" t="s">
        <v>571</v>
      </c>
      <c r="V130" s="39" t="s">
        <v>743</v>
      </c>
    </row>
    <row r="131" spans="13:22">
      <c r="M131" s="39" t="s">
        <v>422</v>
      </c>
      <c r="Q131" s="39" t="s">
        <v>988</v>
      </c>
      <c r="T131" s="39" t="s">
        <v>423</v>
      </c>
      <c r="U131" s="39" t="s">
        <v>415</v>
      </c>
      <c r="V131" s="39" t="s">
        <v>744</v>
      </c>
    </row>
    <row r="132" spans="13:22">
      <c r="M132" s="39" t="s">
        <v>423</v>
      </c>
      <c r="Q132" s="39" t="s">
        <v>989</v>
      </c>
      <c r="T132" s="39" t="s">
        <v>424</v>
      </c>
      <c r="U132" s="39" t="s">
        <v>417</v>
      </c>
      <c r="V132" s="39" t="s">
        <v>745</v>
      </c>
    </row>
    <row r="133" spans="13:22">
      <c r="M133" s="39" t="s">
        <v>424</v>
      </c>
      <c r="Q133" s="39" t="s">
        <v>990</v>
      </c>
      <c r="T133" s="39" t="s">
        <v>425</v>
      </c>
      <c r="U133" s="39" t="s">
        <v>572</v>
      </c>
      <c r="V133" s="39" t="s">
        <v>746</v>
      </c>
    </row>
    <row r="134" spans="13:22">
      <c r="M134" s="39" t="s">
        <v>425</v>
      </c>
      <c r="Q134" s="39" t="s">
        <v>991</v>
      </c>
      <c r="T134" s="39" t="s">
        <v>426</v>
      </c>
      <c r="U134" s="39" t="s">
        <v>573</v>
      </c>
      <c r="V134" s="39" t="s">
        <v>747</v>
      </c>
    </row>
    <row r="135" spans="13:22">
      <c r="M135" s="39" t="s">
        <v>426</v>
      </c>
      <c r="Q135" s="39" t="s">
        <v>992</v>
      </c>
      <c r="T135" s="39" t="s">
        <v>427</v>
      </c>
      <c r="U135" s="39" t="s">
        <v>419</v>
      </c>
      <c r="V135" s="39" t="s">
        <v>748</v>
      </c>
    </row>
    <row r="136" spans="13:22">
      <c r="M136" s="39" t="s">
        <v>427</v>
      </c>
      <c r="Q136" s="39" t="s">
        <v>993</v>
      </c>
      <c r="T136" s="39" t="s">
        <v>428</v>
      </c>
      <c r="U136" s="39" t="s">
        <v>420</v>
      </c>
      <c r="V136" s="39" t="s">
        <v>749</v>
      </c>
    </row>
    <row r="137" spans="13:22">
      <c r="M137" s="39" t="s">
        <v>428</v>
      </c>
      <c r="Q137" s="39" t="s">
        <v>994</v>
      </c>
      <c r="T137" s="39" t="s">
        <v>429</v>
      </c>
      <c r="U137" s="39" t="s">
        <v>421</v>
      </c>
      <c r="V137" s="39" t="s">
        <v>750</v>
      </c>
    </row>
    <row r="138" spans="13:22">
      <c r="M138" s="39" t="s">
        <v>429</v>
      </c>
      <c r="Q138" s="39" t="s">
        <v>995</v>
      </c>
      <c r="T138" s="39" t="s">
        <v>430</v>
      </c>
      <c r="U138" s="39" t="s">
        <v>574</v>
      </c>
      <c r="V138" s="39" t="s">
        <v>751</v>
      </c>
    </row>
    <row r="139" spans="13:22">
      <c r="M139" s="39" t="s">
        <v>430</v>
      </c>
      <c r="Q139" s="39" t="s">
        <v>996</v>
      </c>
      <c r="T139" s="39" t="s">
        <v>431</v>
      </c>
      <c r="U139" s="39" t="s">
        <v>575</v>
      </c>
      <c r="V139" s="39" t="s">
        <v>752</v>
      </c>
    </row>
    <row r="140" spans="13:22">
      <c r="M140" s="39" t="s">
        <v>431</v>
      </c>
      <c r="Q140" s="39" t="s">
        <v>997</v>
      </c>
      <c r="T140" s="39" t="s">
        <v>432</v>
      </c>
      <c r="U140" s="39" t="s">
        <v>576</v>
      </c>
      <c r="V140" s="39" t="s">
        <v>753</v>
      </c>
    </row>
    <row r="141" spans="13:22">
      <c r="M141" s="39" t="s">
        <v>432</v>
      </c>
      <c r="Q141" s="39" t="s">
        <v>998</v>
      </c>
      <c r="T141" s="39" t="s">
        <v>433</v>
      </c>
      <c r="U141" s="39" t="s">
        <v>425</v>
      </c>
      <c r="V141" s="39" t="s">
        <v>754</v>
      </c>
    </row>
    <row r="142" spans="13:22">
      <c r="M142" s="39" t="s">
        <v>433</v>
      </c>
      <c r="Q142" s="39" t="s">
        <v>999</v>
      </c>
      <c r="T142" s="39" t="s">
        <v>434</v>
      </c>
      <c r="U142" s="39" t="s">
        <v>426</v>
      </c>
      <c r="V142" s="39" t="s">
        <v>755</v>
      </c>
    </row>
    <row r="143" spans="13:22">
      <c r="M143" s="39" t="s">
        <v>434</v>
      </c>
      <c r="Q143" s="39" t="s">
        <v>1000</v>
      </c>
      <c r="T143" s="39" t="s">
        <v>435</v>
      </c>
      <c r="U143" s="39" t="s">
        <v>427</v>
      </c>
      <c r="V143" s="39" t="s">
        <v>756</v>
      </c>
    </row>
    <row r="144" spans="13:22">
      <c r="M144" s="39" t="s">
        <v>435</v>
      </c>
      <c r="Q144" s="39" t="s">
        <v>1001</v>
      </c>
      <c r="T144" s="39" t="s">
        <v>436</v>
      </c>
      <c r="U144" s="39" t="s">
        <v>429</v>
      </c>
      <c r="V144" s="39" t="s">
        <v>757</v>
      </c>
    </row>
    <row r="145" spans="13:22">
      <c r="M145" s="39" t="s">
        <v>436</v>
      </c>
      <c r="Q145" s="39" t="s">
        <v>1002</v>
      </c>
      <c r="T145" s="39" t="s">
        <v>437</v>
      </c>
      <c r="U145" s="39" t="s">
        <v>430</v>
      </c>
      <c r="V145" s="39" t="s">
        <v>758</v>
      </c>
    </row>
    <row r="146" spans="13:22">
      <c r="M146" s="39" t="s">
        <v>437</v>
      </c>
      <c r="Q146" s="39" t="s">
        <v>1003</v>
      </c>
      <c r="T146" s="39" t="s">
        <v>438</v>
      </c>
      <c r="U146" s="39" t="s">
        <v>577</v>
      </c>
      <c r="V146" s="39" t="s">
        <v>759</v>
      </c>
    </row>
    <row r="147" spans="13:22">
      <c r="M147" s="39" t="s">
        <v>438</v>
      </c>
      <c r="Q147" s="39" t="s">
        <v>1004</v>
      </c>
      <c r="T147" s="39" t="s">
        <v>439</v>
      </c>
      <c r="U147" s="39" t="s">
        <v>578</v>
      </c>
      <c r="V147" s="39" t="s">
        <v>760</v>
      </c>
    </row>
    <row r="148" spans="13:22">
      <c r="M148" s="39" t="s">
        <v>439</v>
      </c>
      <c r="Q148" s="39" t="s">
        <v>1005</v>
      </c>
      <c r="T148" s="39" t="s">
        <v>440</v>
      </c>
      <c r="U148" s="39" t="s">
        <v>303</v>
      </c>
      <c r="V148" s="39" t="s">
        <v>761</v>
      </c>
    </row>
    <row r="149" spans="13:22">
      <c r="M149" s="39" t="s">
        <v>440</v>
      </c>
      <c r="Q149" s="39" t="s">
        <v>1006</v>
      </c>
      <c r="T149" s="39" t="s">
        <v>441</v>
      </c>
      <c r="U149" s="39" t="s">
        <v>433</v>
      </c>
      <c r="V149" s="39" t="s">
        <v>762</v>
      </c>
    </row>
    <row r="150" spans="13:22">
      <c r="M150" s="39" t="s">
        <v>441</v>
      </c>
      <c r="Q150" s="39" t="s">
        <v>1007</v>
      </c>
      <c r="T150" s="39" t="s">
        <v>442</v>
      </c>
      <c r="U150" s="39" t="s">
        <v>579</v>
      </c>
      <c r="V150" s="39" t="s">
        <v>763</v>
      </c>
    </row>
    <row r="151" spans="13:22">
      <c r="M151" s="39" t="s">
        <v>442</v>
      </c>
      <c r="Q151" s="39" t="s">
        <v>1008</v>
      </c>
      <c r="T151" s="39" t="s">
        <v>443</v>
      </c>
      <c r="U151" s="39" t="s">
        <v>435</v>
      </c>
      <c r="V151" s="39" t="s">
        <v>764</v>
      </c>
    </row>
    <row r="152" spans="13:22">
      <c r="M152" s="39" t="s">
        <v>443</v>
      </c>
      <c r="Q152" s="39" t="s">
        <v>1009</v>
      </c>
      <c r="T152" s="39" t="s">
        <v>444</v>
      </c>
      <c r="U152" s="39" t="s">
        <v>436</v>
      </c>
      <c r="V152" s="39" t="s">
        <v>765</v>
      </c>
    </row>
    <row r="153" spans="13:22">
      <c r="M153" s="39" t="s">
        <v>444</v>
      </c>
      <c r="Q153" s="39" t="s">
        <v>1010</v>
      </c>
      <c r="T153" s="39" t="s">
        <v>445</v>
      </c>
      <c r="U153" s="39" t="s">
        <v>580</v>
      </c>
      <c r="V153" s="39" t="s">
        <v>766</v>
      </c>
    </row>
    <row r="154" spans="13:22">
      <c r="M154" s="39" t="s">
        <v>445</v>
      </c>
      <c r="Q154" s="39" t="s">
        <v>1011</v>
      </c>
      <c r="T154" s="39" t="s">
        <v>446</v>
      </c>
      <c r="U154" s="39" t="s">
        <v>581</v>
      </c>
      <c r="V154" s="39" t="s">
        <v>767</v>
      </c>
    </row>
    <row r="155" spans="13:22">
      <c r="M155" s="39" t="s">
        <v>446</v>
      </c>
      <c r="Q155" s="39" t="s">
        <v>1012</v>
      </c>
      <c r="T155" s="39" t="s">
        <v>447</v>
      </c>
      <c r="U155" s="39" t="s">
        <v>582</v>
      </c>
      <c r="V155" s="39" t="s">
        <v>628</v>
      </c>
    </row>
    <row r="156" spans="13:22">
      <c r="M156" s="39" t="s">
        <v>447</v>
      </c>
      <c r="Q156" s="39" t="s">
        <v>1013</v>
      </c>
      <c r="T156" s="39" t="s">
        <v>448</v>
      </c>
      <c r="U156" s="39" t="s">
        <v>583</v>
      </c>
      <c r="V156" s="39" t="s">
        <v>768</v>
      </c>
    </row>
    <row r="157" spans="13:22">
      <c r="M157" s="39" t="s">
        <v>448</v>
      </c>
      <c r="Q157" s="39" t="s">
        <v>1014</v>
      </c>
      <c r="T157" s="39" t="s">
        <v>449</v>
      </c>
      <c r="U157" s="39" t="s">
        <v>438</v>
      </c>
      <c r="V157" s="39" t="s">
        <v>769</v>
      </c>
    </row>
    <row r="158" spans="13:22">
      <c r="M158" s="39" t="s">
        <v>449</v>
      </c>
      <c r="Q158" s="39" t="s">
        <v>1015</v>
      </c>
      <c r="T158" s="39" t="s">
        <v>450</v>
      </c>
      <c r="U158" s="39" t="s">
        <v>440</v>
      </c>
      <c r="V158" s="39" t="s">
        <v>770</v>
      </c>
    </row>
    <row r="159" spans="13:22">
      <c r="M159" s="39" t="s">
        <v>450</v>
      </c>
      <c r="Q159" s="39" t="s">
        <v>1016</v>
      </c>
      <c r="T159" s="39" t="s">
        <v>451</v>
      </c>
      <c r="U159" s="39" t="s">
        <v>584</v>
      </c>
      <c r="V159" s="39" t="s">
        <v>771</v>
      </c>
    </row>
    <row r="160" spans="13:22">
      <c r="M160" s="39" t="s">
        <v>451</v>
      </c>
      <c r="Q160" s="39" t="s">
        <v>1017</v>
      </c>
      <c r="T160" s="39" t="s">
        <v>452</v>
      </c>
      <c r="U160" s="39" t="s">
        <v>443</v>
      </c>
      <c r="V160" s="39" t="s">
        <v>772</v>
      </c>
    </row>
    <row r="161" spans="13:22">
      <c r="M161" s="39" t="s">
        <v>452</v>
      </c>
      <c r="Q161" s="39" t="s">
        <v>1018</v>
      </c>
      <c r="T161" s="39" t="s">
        <v>453</v>
      </c>
      <c r="U161" s="39" t="s">
        <v>444</v>
      </c>
      <c r="V161" s="39" t="s">
        <v>773</v>
      </c>
    </row>
    <row r="162" spans="13:22">
      <c r="M162" s="39" t="s">
        <v>453</v>
      </c>
      <c r="Q162" s="39" t="s">
        <v>1019</v>
      </c>
      <c r="T162" s="39" t="s">
        <v>454</v>
      </c>
      <c r="U162" s="39" t="s">
        <v>445</v>
      </c>
      <c r="V162" s="39" t="s">
        <v>774</v>
      </c>
    </row>
    <row r="163" spans="13:22">
      <c r="M163" s="39" t="s">
        <v>454</v>
      </c>
      <c r="Q163" s="39" t="s">
        <v>1020</v>
      </c>
      <c r="T163" s="39" t="s">
        <v>455</v>
      </c>
      <c r="U163" s="39" t="s">
        <v>446</v>
      </c>
      <c r="V163" s="39" t="s">
        <v>775</v>
      </c>
    </row>
    <row r="164" spans="13:22">
      <c r="M164" s="39" t="s">
        <v>455</v>
      </c>
      <c r="Q164" s="39" t="s">
        <v>1021</v>
      </c>
      <c r="T164" s="39" t="s">
        <v>456</v>
      </c>
      <c r="U164" s="39" t="s">
        <v>447</v>
      </c>
      <c r="V164" s="39" t="s">
        <v>776</v>
      </c>
    </row>
    <row r="165" spans="13:22">
      <c r="M165" s="39" t="s">
        <v>456</v>
      </c>
      <c r="Q165" s="39" t="s">
        <v>1022</v>
      </c>
      <c r="T165" s="39" t="s">
        <v>457</v>
      </c>
      <c r="U165" s="39" t="s">
        <v>585</v>
      </c>
      <c r="V165" s="39" t="s">
        <v>777</v>
      </c>
    </row>
    <row r="166" spans="13:22">
      <c r="M166" s="39" t="s">
        <v>457</v>
      </c>
      <c r="Q166" s="39" t="s">
        <v>1023</v>
      </c>
      <c r="T166" s="39" t="s">
        <v>458</v>
      </c>
      <c r="U166" s="39" t="s">
        <v>449</v>
      </c>
      <c r="V166" s="39" t="s">
        <v>778</v>
      </c>
    </row>
    <row r="167" spans="13:22">
      <c r="M167" s="39" t="s">
        <v>458</v>
      </c>
      <c r="Q167" s="39" t="s">
        <v>1024</v>
      </c>
      <c r="T167" s="39" t="s">
        <v>459</v>
      </c>
      <c r="U167" s="39" t="s">
        <v>586</v>
      </c>
      <c r="V167" s="39" t="s">
        <v>779</v>
      </c>
    </row>
    <row r="168" spans="13:22">
      <c r="M168" s="39" t="s">
        <v>459</v>
      </c>
      <c r="Q168" s="39" t="s">
        <v>1025</v>
      </c>
      <c r="T168" s="39" t="s">
        <v>460</v>
      </c>
      <c r="U168" s="39" t="s">
        <v>587</v>
      </c>
      <c r="V168" s="39" t="s">
        <v>780</v>
      </c>
    </row>
    <row r="169" spans="13:22">
      <c r="M169" s="39" t="s">
        <v>460</v>
      </c>
      <c r="Q169" s="39" t="s">
        <v>1026</v>
      </c>
      <c r="T169" s="39" t="s">
        <v>461</v>
      </c>
      <c r="U169" s="39" t="s">
        <v>451</v>
      </c>
      <c r="V169" s="39" t="s">
        <v>781</v>
      </c>
    </row>
    <row r="170" spans="13:22">
      <c r="M170" s="39" t="s">
        <v>461</v>
      </c>
      <c r="Q170" s="39" t="s">
        <v>1027</v>
      </c>
      <c r="T170" s="39" t="s">
        <v>462</v>
      </c>
      <c r="U170" s="39" t="s">
        <v>588</v>
      </c>
      <c r="V170" s="39" t="s">
        <v>782</v>
      </c>
    </row>
    <row r="171" spans="13:22">
      <c r="M171" s="39" t="s">
        <v>594</v>
      </c>
      <c r="Q171" s="39" t="s">
        <v>1028</v>
      </c>
      <c r="T171" s="39" t="s">
        <v>463</v>
      </c>
      <c r="U171" s="39" t="s">
        <v>453</v>
      </c>
      <c r="V171" s="39" t="s">
        <v>658</v>
      </c>
    </row>
    <row r="172" spans="13:22">
      <c r="M172" s="39" t="s">
        <v>463</v>
      </c>
      <c r="Q172" s="39" t="s">
        <v>1029</v>
      </c>
      <c r="T172" s="39" t="s">
        <v>464</v>
      </c>
      <c r="U172" s="39" t="s">
        <v>454</v>
      </c>
      <c r="V172" s="39" t="s">
        <v>783</v>
      </c>
    </row>
    <row r="173" spans="13:22">
      <c r="M173" s="39" t="s">
        <v>595</v>
      </c>
      <c r="Q173" s="39" t="s">
        <v>1030</v>
      </c>
      <c r="T173" s="39" t="s">
        <v>465</v>
      </c>
      <c r="U173" s="39" t="s">
        <v>589</v>
      </c>
      <c r="V173" s="39" t="s">
        <v>784</v>
      </c>
    </row>
    <row r="174" spans="13:22">
      <c r="M174" s="39" t="s">
        <v>465</v>
      </c>
      <c r="Q174" s="39" t="s">
        <v>1031</v>
      </c>
      <c r="T174" s="39" t="s">
        <v>466</v>
      </c>
      <c r="U174" s="39" t="s">
        <v>590</v>
      </c>
      <c r="V174" s="39" t="s">
        <v>785</v>
      </c>
    </row>
    <row r="175" spans="13:22">
      <c r="M175" s="39" t="s">
        <v>466</v>
      </c>
      <c r="Q175" s="39" t="s">
        <v>1032</v>
      </c>
      <c r="T175" s="39" t="s">
        <v>467</v>
      </c>
      <c r="U175" s="39" t="s">
        <v>457</v>
      </c>
      <c r="V175" s="39" t="s">
        <v>722</v>
      </c>
    </row>
    <row r="176" spans="13:22">
      <c r="M176" s="39" t="s">
        <v>467</v>
      </c>
      <c r="Q176" s="39" t="s">
        <v>1033</v>
      </c>
      <c r="T176" s="39" t="s">
        <v>468</v>
      </c>
      <c r="U176" s="39" t="s">
        <v>458</v>
      </c>
      <c r="V176" s="39" t="s">
        <v>786</v>
      </c>
    </row>
    <row r="177" spans="13:22">
      <c r="M177" s="39" t="s">
        <v>468</v>
      </c>
      <c r="Q177" s="39" t="s">
        <v>1034</v>
      </c>
      <c r="T177" s="39" t="s">
        <v>469</v>
      </c>
      <c r="U177" s="39" t="s">
        <v>591</v>
      </c>
      <c r="V177" s="39" t="s">
        <v>787</v>
      </c>
    </row>
    <row r="178" spans="13:22">
      <c r="M178" s="39" t="s">
        <v>469</v>
      </c>
      <c r="Q178" s="39" t="s">
        <v>1035</v>
      </c>
      <c r="T178" s="39" t="s">
        <v>470</v>
      </c>
      <c r="U178" s="39" t="s">
        <v>479</v>
      </c>
      <c r="V178" s="39" t="s">
        <v>788</v>
      </c>
    </row>
    <row r="179" spans="13:22">
      <c r="M179" s="39" t="s">
        <v>855</v>
      </c>
      <c r="Q179" s="39" t="s">
        <v>1036</v>
      </c>
      <c r="T179" s="39" t="s">
        <v>471</v>
      </c>
      <c r="U179" s="39" t="s">
        <v>592</v>
      </c>
      <c r="V179" s="39" t="s">
        <v>789</v>
      </c>
    </row>
    <row r="180" spans="13:22">
      <c r="M180" s="39" t="s">
        <v>470</v>
      </c>
      <c r="Q180" s="39" t="s">
        <v>1037</v>
      </c>
      <c r="T180" s="39" t="s">
        <v>472</v>
      </c>
      <c r="U180" s="39" t="s">
        <v>460</v>
      </c>
      <c r="V180" s="39" t="s">
        <v>790</v>
      </c>
    </row>
    <row r="181" spans="13:22">
      <c r="M181" s="39" t="s">
        <v>471</v>
      </c>
      <c r="Q181" s="39" t="s">
        <v>1038</v>
      </c>
      <c r="T181" s="39" t="s">
        <v>473</v>
      </c>
      <c r="U181" s="39" t="s">
        <v>593</v>
      </c>
      <c r="V181" s="39" t="s">
        <v>791</v>
      </c>
    </row>
    <row r="182" spans="13:22">
      <c r="M182" s="39" t="s">
        <v>472</v>
      </c>
      <c r="Q182" s="39" t="s">
        <v>1039</v>
      </c>
      <c r="T182" s="39" t="s">
        <v>474</v>
      </c>
      <c r="U182" s="39" t="s">
        <v>480</v>
      </c>
      <c r="V182" s="39" t="s">
        <v>792</v>
      </c>
    </row>
    <row r="183" spans="13:22">
      <c r="M183" s="39" t="s">
        <v>473</v>
      </c>
      <c r="Q183" s="39" t="s">
        <v>1040</v>
      </c>
      <c r="T183" s="39" t="s">
        <v>475</v>
      </c>
      <c r="U183" s="39" t="s">
        <v>461</v>
      </c>
      <c r="V183" s="39" t="s">
        <v>793</v>
      </c>
    </row>
    <row r="184" spans="13:22">
      <c r="M184" s="39" t="s">
        <v>474</v>
      </c>
      <c r="Q184" s="39" t="s">
        <v>1041</v>
      </c>
      <c r="T184" s="39" t="s">
        <v>476</v>
      </c>
      <c r="U184" s="39" t="s">
        <v>594</v>
      </c>
      <c r="V184" s="39" t="s">
        <v>794</v>
      </c>
    </row>
    <row r="185" spans="13:22">
      <c r="M185" s="39" t="s">
        <v>475</v>
      </c>
      <c r="Q185" s="39" t="s">
        <v>1042</v>
      </c>
      <c r="T185" s="39" t="s">
        <v>477</v>
      </c>
      <c r="U185" s="39" t="s">
        <v>463</v>
      </c>
      <c r="V185" s="39" t="s">
        <v>795</v>
      </c>
    </row>
    <row r="186" spans="13:22">
      <c r="M186" s="39" t="s">
        <v>476</v>
      </c>
      <c r="Q186" s="39" t="s">
        <v>1043</v>
      </c>
      <c r="T186" s="39" t="s">
        <v>478</v>
      </c>
      <c r="U186" s="39" t="s">
        <v>595</v>
      </c>
      <c r="V186" s="39" t="s">
        <v>796</v>
      </c>
    </row>
    <row r="187" spans="13:22">
      <c r="M187" s="39" t="s">
        <v>477</v>
      </c>
      <c r="Q187" s="39" t="s">
        <v>1044</v>
      </c>
      <c r="T187" s="39" t="s">
        <v>479</v>
      </c>
      <c r="U187" s="39" t="s">
        <v>596</v>
      </c>
      <c r="V187" s="39" t="s">
        <v>797</v>
      </c>
    </row>
    <row r="188" spans="13:22">
      <c r="M188" s="39" t="s">
        <v>478</v>
      </c>
      <c r="Q188" s="39" t="s">
        <v>1045</v>
      </c>
      <c r="T188" s="39" t="s">
        <v>480</v>
      </c>
      <c r="U188" s="39" t="s">
        <v>466</v>
      </c>
      <c r="V188" s="39" t="s">
        <v>798</v>
      </c>
    </row>
    <row r="189" spans="13:22">
      <c r="M189" s="39" t="s">
        <v>479</v>
      </c>
      <c r="Q189" s="39" t="s">
        <v>1046</v>
      </c>
      <c r="T189" s="39" t="s">
        <v>481</v>
      </c>
      <c r="U189" s="39" t="s">
        <v>597</v>
      </c>
      <c r="V189" s="39" t="s">
        <v>799</v>
      </c>
    </row>
    <row r="190" spans="13:22">
      <c r="M190" s="39" t="s">
        <v>480</v>
      </c>
      <c r="Q190" s="39" t="s">
        <v>1047</v>
      </c>
      <c r="T190" s="39" t="s">
        <v>482</v>
      </c>
      <c r="U190" s="39" t="s">
        <v>467</v>
      </c>
      <c r="V190" s="39" t="s">
        <v>800</v>
      </c>
    </row>
    <row r="191" spans="13:22">
      <c r="M191" s="39" t="s">
        <v>481</v>
      </c>
      <c r="Q191" s="39" t="s">
        <v>1048</v>
      </c>
      <c r="T191" s="39" t="s">
        <v>483</v>
      </c>
      <c r="U191" s="39" t="s">
        <v>598</v>
      </c>
      <c r="V191" s="39" t="s">
        <v>801</v>
      </c>
    </row>
    <row r="192" spans="13:22">
      <c r="M192" s="39" t="s">
        <v>482</v>
      </c>
      <c r="Q192" s="39" t="s">
        <v>1049</v>
      </c>
      <c r="T192" s="39" t="s">
        <v>484</v>
      </c>
      <c r="U192" s="39" t="s">
        <v>599</v>
      </c>
      <c r="V192" s="39" t="s">
        <v>802</v>
      </c>
    </row>
    <row r="193" spans="13:22">
      <c r="M193" s="39" t="s">
        <v>483</v>
      </c>
      <c r="Q193" s="39" t="s">
        <v>1050</v>
      </c>
      <c r="T193" s="39" t="s">
        <v>485</v>
      </c>
      <c r="U193" s="39" t="s">
        <v>600</v>
      </c>
      <c r="V193" s="39" t="s">
        <v>803</v>
      </c>
    </row>
    <row r="194" spans="13:22">
      <c r="M194" s="39" t="s">
        <v>484</v>
      </c>
      <c r="Q194" s="39" t="s">
        <v>1051</v>
      </c>
      <c r="T194" s="39" t="s">
        <v>486</v>
      </c>
      <c r="U194" s="39" t="s">
        <v>601</v>
      </c>
      <c r="V194" s="39" t="s">
        <v>804</v>
      </c>
    </row>
    <row r="195" spans="13:22">
      <c r="M195" s="39" t="s">
        <v>485</v>
      </c>
      <c r="Q195" s="39" t="s">
        <v>1052</v>
      </c>
      <c r="T195" s="39" t="s">
        <v>487</v>
      </c>
      <c r="U195" s="39" t="s">
        <v>473</v>
      </c>
      <c r="V195" s="39" t="s">
        <v>805</v>
      </c>
    </row>
    <row r="196" spans="13:22">
      <c r="M196" s="39" t="s">
        <v>486</v>
      </c>
      <c r="Q196" s="39" t="s">
        <v>1053</v>
      </c>
      <c r="T196" s="39" t="s">
        <v>488</v>
      </c>
      <c r="U196" s="39" t="s">
        <v>602</v>
      </c>
      <c r="V196" s="39" t="s">
        <v>806</v>
      </c>
    </row>
    <row r="197" spans="13:22">
      <c r="M197" s="39" t="s">
        <v>487</v>
      </c>
      <c r="Q197" s="39" t="s">
        <v>1054</v>
      </c>
      <c r="T197" s="39" t="s">
        <v>489</v>
      </c>
      <c r="U197" s="39" t="s">
        <v>603</v>
      </c>
      <c r="V197" s="39" t="s">
        <v>807</v>
      </c>
    </row>
    <row r="198" spans="13:22">
      <c r="M198" s="39" t="s">
        <v>488</v>
      </c>
      <c r="Q198" s="39" t="s">
        <v>1055</v>
      </c>
      <c r="T198" s="39" t="s">
        <v>490</v>
      </c>
      <c r="U198" s="39" t="s">
        <v>604</v>
      </c>
      <c r="V198" s="39" t="s">
        <v>808</v>
      </c>
    </row>
    <row r="199" spans="13:22">
      <c r="M199" s="39" t="s">
        <v>489</v>
      </c>
      <c r="Q199" s="39" t="s">
        <v>1056</v>
      </c>
      <c r="T199" s="39" t="s">
        <v>491</v>
      </c>
      <c r="U199" s="39" t="s">
        <v>605</v>
      </c>
      <c r="V199" s="39" t="s">
        <v>809</v>
      </c>
    </row>
    <row r="200" spans="13:22">
      <c r="M200" s="39" t="s">
        <v>490</v>
      </c>
      <c r="Q200" s="39" t="s">
        <v>1057</v>
      </c>
      <c r="T200" s="39" t="s">
        <v>492</v>
      </c>
      <c r="U200" s="39" t="s">
        <v>606</v>
      </c>
      <c r="V200" s="39" t="s">
        <v>810</v>
      </c>
    </row>
    <row r="201" spans="13:22">
      <c r="M201" s="39" t="s">
        <v>491</v>
      </c>
      <c r="Q201" s="39" t="s">
        <v>1058</v>
      </c>
      <c r="T201" s="39" t="s">
        <v>493</v>
      </c>
      <c r="U201" s="39" t="s">
        <v>482</v>
      </c>
      <c r="V201" s="39" t="s">
        <v>811</v>
      </c>
    </row>
    <row r="202" spans="13:22">
      <c r="M202" s="39" t="s">
        <v>492</v>
      </c>
      <c r="Q202" s="39" t="s">
        <v>1059</v>
      </c>
      <c r="T202" s="39" t="s">
        <v>494</v>
      </c>
      <c r="U202" s="39" t="s">
        <v>607</v>
      </c>
      <c r="V202" s="39" t="s">
        <v>770</v>
      </c>
    </row>
    <row r="203" spans="13:22">
      <c r="M203" s="39" t="s">
        <v>493</v>
      </c>
      <c r="Q203" s="39" t="s">
        <v>1060</v>
      </c>
      <c r="T203" s="39" t="s">
        <v>495</v>
      </c>
      <c r="U203" s="39" t="s">
        <v>483</v>
      </c>
      <c r="V203" s="39" t="s">
        <v>812</v>
      </c>
    </row>
    <row r="204" spans="13:22">
      <c r="M204" s="39" t="s">
        <v>494</v>
      </c>
      <c r="Q204" s="39" t="s">
        <v>1061</v>
      </c>
      <c r="T204" s="39" t="s">
        <v>496</v>
      </c>
      <c r="U204" s="39" t="s">
        <v>484</v>
      </c>
      <c r="V204" s="39" t="s">
        <v>813</v>
      </c>
    </row>
    <row r="205" spans="13:22">
      <c r="M205" s="39" t="s">
        <v>495</v>
      </c>
      <c r="Q205" s="39" t="s">
        <v>1062</v>
      </c>
      <c r="T205" s="39" t="s">
        <v>497</v>
      </c>
      <c r="U205" s="39" t="s">
        <v>608</v>
      </c>
      <c r="V205" s="39" t="s">
        <v>814</v>
      </c>
    </row>
    <row r="206" spans="13:22">
      <c r="M206" s="39" t="s">
        <v>496</v>
      </c>
      <c r="Q206" s="39" t="s">
        <v>1063</v>
      </c>
      <c r="T206" s="39" t="s">
        <v>498</v>
      </c>
      <c r="U206" s="39" t="s">
        <v>486</v>
      </c>
      <c r="V206" s="39" t="s">
        <v>815</v>
      </c>
    </row>
    <row r="207" spans="13:22">
      <c r="M207" s="39" t="s">
        <v>497</v>
      </c>
      <c r="Q207" s="39" t="s">
        <v>1064</v>
      </c>
      <c r="T207" s="39" t="s">
        <v>499</v>
      </c>
      <c r="U207" s="39" t="s">
        <v>609</v>
      </c>
      <c r="V207" s="39" t="s">
        <v>816</v>
      </c>
    </row>
    <row r="208" spans="13:22">
      <c r="M208" s="39" t="s">
        <v>498</v>
      </c>
      <c r="Q208" s="39" t="s">
        <v>1065</v>
      </c>
      <c r="T208" s="39" t="s">
        <v>500</v>
      </c>
      <c r="U208" s="39" t="s">
        <v>488</v>
      </c>
      <c r="V208" s="39" t="s">
        <v>817</v>
      </c>
    </row>
    <row r="209" spans="13:22">
      <c r="M209" s="39" t="s">
        <v>499</v>
      </c>
      <c r="Q209" s="39" t="s">
        <v>1066</v>
      </c>
      <c r="T209" s="39" t="s">
        <v>501</v>
      </c>
      <c r="U209" s="39" t="s">
        <v>489</v>
      </c>
      <c r="V209" s="39" t="s">
        <v>818</v>
      </c>
    </row>
    <row r="210" spans="13:22">
      <c r="M210" s="39" t="s">
        <v>500</v>
      </c>
      <c r="Q210" s="39" t="s">
        <v>1067</v>
      </c>
      <c r="T210" s="39" t="s">
        <v>502</v>
      </c>
      <c r="U210" s="39" t="s">
        <v>490</v>
      </c>
      <c r="V210" s="39" t="s">
        <v>819</v>
      </c>
    </row>
    <row r="211" spans="13:22">
      <c r="M211" s="39" t="s">
        <v>501</v>
      </c>
      <c r="Q211" s="39" t="s">
        <v>1068</v>
      </c>
      <c r="T211" s="39" t="s">
        <v>503</v>
      </c>
      <c r="U211" s="39" t="s">
        <v>350</v>
      </c>
      <c r="V211" s="39" t="s">
        <v>820</v>
      </c>
    </row>
    <row r="212" spans="13:22">
      <c r="M212" s="39" t="s">
        <v>502</v>
      </c>
      <c r="Q212" s="39" t="s">
        <v>1069</v>
      </c>
      <c r="T212" s="39" t="s">
        <v>504</v>
      </c>
      <c r="U212" s="39" t="s">
        <v>491</v>
      </c>
      <c r="V212" s="39" t="s">
        <v>821</v>
      </c>
    </row>
    <row r="213" spans="13:22">
      <c r="M213" s="39" t="s">
        <v>503</v>
      </c>
      <c r="Q213" s="39" t="s">
        <v>1070</v>
      </c>
      <c r="T213" s="39" t="s">
        <v>505</v>
      </c>
      <c r="U213" s="39" t="s">
        <v>492</v>
      </c>
      <c r="V213" s="39" t="s">
        <v>822</v>
      </c>
    </row>
    <row r="214" spans="13:22">
      <c r="M214" s="39" t="s">
        <v>504</v>
      </c>
      <c r="Q214" s="39" t="s">
        <v>1071</v>
      </c>
      <c r="T214" s="39" t="s">
        <v>506</v>
      </c>
      <c r="U214" s="39" t="s">
        <v>493</v>
      </c>
      <c r="V214" s="39" t="s">
        <v>823</v>
      </c>
    </row>
    <row r="215" spans="13:22">
      <c r="M215" s="39" t="s">
        <v>505</v>
      </c>
      <c r="Q215" s="39" t="s">
        <v>1072</v>
      </c>
      <c r="T215" s="39" t="s">
        <v>507</v>
      </c>
      <c r="U215" s="39" t="s">
        <v>494</v>
      </c>
      <c r="V215" s="39" t="s">
        <v>824</v>
      </c>
    </row>
    <row r="216" spans="13:22">
      <c r="M216" s="39" t="s">
        <v>506</v>
      </c>
      <c r="Q216" s="39" t="s">
        <v>1073</v>
      </c>
      <c r="T216" s="39" t="s">
        <v>508</v>
      </c>
      <c r="U216" s="39" t="s">
        <v>495</v>
      </c>
      <c r="V216" s="39" t="s">
        <v>825</v>
      </c>
    </row>
    <row r="217" spans="13:22">
      <c r="M217" s="39" t="s">
        <v>507</v>
      </c>
      <c r="Q217" s="39" t="s">
        <v>1074</v>
      </c>
      <c r="T217" s="39" t="s">
        <v>509</v>
      </c>
      <c r="U217" s="39" t="s">
        <v>496</v>
      </c>
      <c r="V217" s="39" t="s">
        <v>826</v>
      </c>
    </row>
    <row r="218" spans="13:22">
      <c r="M218" s="39" t="s">
        <v>508</v>
      </c>
      <c r="Q218" s="39" t="s">
        <v>1075</v>
      </c>
      <c r="T218" s="39" t="s">
        <v>510</v>
      </c>
      <c r="U218" s="39" t="s">
        <v>497</v>
      </c>
      <c r="V218" s="39" t="s">
        <v>827</v>
      </c>
    </row>
    <row r="219" spans="13:22">
      <c r="M219" s="39" t="s">
        <v>509</v>
      </c>
      <c r="Q219" s="39" t="s">
        <v>1076</v>
      </c>
      <c r="T219" s="39" t="s">
        <v>511</v>
      </c>
      <c r="U219" s="39" t="s">
        <v>610</v>
      </c>
      <c r="V219" s="39" t="s">
        <v>828</v>
      </c>
    </row>
    <row r="220" spans="13:22">
      <c r="M220" s="39" t="s">
        <v>510</v>
      </c>
      <c r="Q220" s="39" t="s">
        <v>1077</v>
      </c>
      <c r="T220" s="39" t="s">
        <v>512</v>
      </c>
      <c r="U220" s="39" t="s">
        <v>498</v>
      </c>
      <c r="V220" s="39" t="s">
        <v>829</v>
      </c>
    </row>
    <row r="221" spans="13:22">
      <c r="M221" s="39" t="s">
        <v>511</v>
      </c>
      <c r="Q221" s="39" t="s">
        <v>1078</v>
      </c>
      <c r="T221" s="39" t="s">
        <v>513</v>
      </c>
      <c r="U221" s="39" t="s">
        <v>499</v>
      </c>
      <c r="V221" s="39" t="s">
        <v>830</v>
      </c>
    </row>
    <row r="222" spans="13:22">
      <c r="M222" s="39" t="s">
        <v>512</v>
      </c>
      <c r="Q222" s="39" t="s">
        <v>1079</v>
      </c>
      <c r="T222" s="39" t="s">
        <v>514</v>
      </c>
      <c r="U222" s="39" t="s">
        <v>500</v>
      </c>
      <c r="V222" s="39" t="s">
        <v>831</v>
      </c>
    </row>
    <row r="223" spans="13:22">
      <c r="M223" s="39" t="s">
        <v>513</v>
      </c>
      <c r="Q223" s="39" t="s">
        <v>1080</v>
      </c>
      <c r="U223" s="39" t="s">
        <v>611</v>
      </c>
      <c r="V223" s="39" t="s">
        <v>832</v>
      </c>
    </row>
    <row r="224" spans="13:22">
      <c r="M224" s="39" t="s">
        <v>514</v>
      </c>
      <c r="Q224" s="39" t="s">
        <v>1081</v>
      </c>
      <c r="U224" s="39" t="s">
        <v>612</v>
      </c>
      <c r="V224" s="39" t="s">
        <v>716</v>
      </c>
    </row>
    <row r="225" spans="17:22">
      <c r="Q225" s="39" t="s">
        <v>1082</v>
      </c>
      <c r="U225" s="39" t="s">
        <v>503</v>
      </c>
      <c r="V225" s="39" t="s">
        <v>658</v>
      </c>
    </row>
    <row r="226" spans="17:22">
      <c r="Q226" s="39" t="s">
        <v>1083</v>
      </c>
      <c r="U226" s="39" t="s">
        <v>504</v>
      </c>
      <c r="V226" s="39" t="s">
        <v>833</v>
      </c>
    </row>
    <row r="227" spans="17:22">
      <c r="Q227" s="39" t="s">
        <v>1084</v>
      </c>
      <c r="U227" s="39" t="s">
        <v>613</v>
      </c>
      <c r="V227" s="39" t="s">
        <v>834</v>
      </c>
    </row>
    <row r="228" spans="17:22">
      <c r="Q228" s="39" t="s">
        <v>1085</v>
      </c>
      <c r="U228" s="39" t="s">
        <v>505</v>
      </c>
      <c r="V228" s="39" t="s">
        <v>835</v>
      </c>
    </row>
    <row r="229" spans="17:22">
      <c r="Q229" s="39" t="s">
        <v>1086</v>
      </c>
      <c r="U229" s="39" t="s">
        <v>506</v>
      </c>
      <c r="V229" s="39" t="s">
        <v>836</v>
      </c>
    </row>
    <row r="230" spans="17:22">
      <c r="Q230" s="39" t="s">
        <v>1087</v>
      </c>
      <c r="U230" s="39" t="s">
        <v>508</v>
      </c>
      <c r="V230" s="39" t="s">
        <v>837</v>
      </c>
    </row>
    <row r="231" spans="17:22">
      <c r="Q231" s="39" t="s">
        <v>1088</v>
      </c>
      <c r="U231" s="39" t="s">
        <v>614</v>
      </c>
      <c r="V231" s="39" t="s">
        <v>838</v>
      </c>
    </row>
    <row r="232" spans="17:22">
      <c r="Q232" s="39" t="s">
        <v>1089</v>
      </c>
      <c r="U232" s="39" t="s">
        <v>615</v>
      </c>
      <c r="V232" s="39" t="s">
        <v>839</v>
      </c>
    </row>
    <row r="233" spans="17:22">
      <c r="Q233" s="39" t="s">
        <v>1090</v>
      </c>
      <c r="U233" s="39" t="s">
        <v>616</v>
      </c>
      <c r="V233" s="39" t="s">
        <v>755</v>
      </c>
    </row>
    <row r="234" spans="17:22">
      <c r="Q234" s="39" t="s">
        <v>1091</v>
      </c>
      <c r="U234" s="39" t="s">
        <v>510</v>
      </c>
      <c r="V234" s="39" t="s">
        <v>840</v>
      </c>
    </row>
    <row r="235" spans="17:22">
      <c r="Q235" s="39" t="s">
        <v>1092</v>
      </c>
      <c r="U235" s="39" t="s">
        <v>617</v>
      </c>
      <c r="V235" s="39" t="s">
        <v>841</v>
      </c>
    </row>
    <row r="236" spans="17:22">
      <c r="Q236" s="39" t="s">
        <v>1093</v>
      </c>
      <c r="U236" s="39" t="s">
        <v>618</v>
      </c>
      <c r="V236" s="39" t="s">
        <v>842</v>
      </c>
    </row>
    <row r="237" spans="17:22">
      <c r="Q237" s="39" t="s">
        <v>1094</v>
      </c>
    </row>
    <row r="238" spans="17:22">
      <c r="Q238" s="39" t="s">
        <v>1095</v>
      </c>
    </row>
    <row r="239" spans="17:22">
      <c r="Q239" s="39" t="s">
        <v>1096</v>
      </c>
    </row>
    <row r="240" spans="17:22">
      <c r="Q240" s="39" t="s">
        <v>1097</v>
      </c>
    </row>
    <row r="241" spans="17:17">
      <c r="Q241" s="39" t="s">
        <v>1098</v>
      </c>
    </row>
    <row r="242" spans="17:17">
      <c r="Q242" s="39" t="s">
        <v>1099</v>
      </c>
    </row>
    <row r="243" spans="17:17">
      <c r="Q243" s="39" t="s">
        <v>1100</v>
      </c>
    </row>
    <row r="244" spans="17:17">
      <c r="Q244" s="39" t="s">
        <v>1101</v>
      </c>
    </row>
    <row r="245" spans="17:17">
      <c r="Q245" s="39" t="s">
        <v>1102</v>
      </c>
    </row>
    <row r="246" spans="17:17">
      <c r="Q246" s="39" t="s">
        <v>1103</v>
      </c>
    </row>
    <row r="247" spans="17:17">
      <c r="Q247" s="39" t="s">
        <v>1104</v>
      </c>
    </row>
    <row r="248" spans="17:17">
      <c r="Q248" s="39" t="s">
        <v>1105</v>
      </c>
    </row>
    <row r="249" spans="17:17">
      <c r="Q249" s="39" t="s">
        <v>1106</v>
      </c>
    </row>
    <row r="250" spans="17:17">
      <c r="Q250" s="39" t="s">
        <v>1107</v>
      </c>
    </row>
    <row r="251" spans="17:17">
      <c r="Q251" s="39" t="s">
        <v>1108</v>
      </c>
    </row>
    <row r="252" spans="17:17">
      <c r="Q252" s="39" t="s">
        <v>1109</v>
      </c>
    </row>
    <row r="253" spans="17:17">
      <c r="Q253" s="39" t="s">
        <v>1110</v>
      </c>
    </row>
    <row r="254" spans="17:17">
      <c r="Q254" s="39" t="s">
        <v>1111</v>
      </c>
    </row>
    <row r="255" spans="17:17">
      <c r="Q255" s="39" t="s">
        <v>1112</v>
      </c>
    </row>
    <row r="256" spans="17:17">
      <c r="Q256" s="39" t="s">
        <v>1113</v>
      </c>
    </row>
    <row r="257" spans="17:17">
      <c r="Q257" s="39" t="s">
        <v>1114</v>
      </c>
    </row>
    <row r="258" spans="17:17">
      <c r="Q258" s="39" t="s">
        <v>1115</v>
      </c>
    </row>
    <row r="259" spans="17:17">
      <c r="Q259" s="39" t="s">
        <v>1116</v>
      </c>
    </row>
    <row r="260" spans="17:17">
      <c r="Q260" s="39" t="s">
        <v>293</v>
      </c>
    </row>
    <row r="261" spans="17:17">
      <c r="Q261" s="39" t="s">
        <v>1117</v>
      </c>
    </row>
    <row r="262" spans="17:17">
      <c r="Q262" s="39" t="s">
        <v>1118</v>
      </c>
    </row>
    <row r="263" spans="17:17">
      <c r="Q263" s="39" t="s">
        <v>1119</v>
      </c>
    </row>
    <row r="264" spans="17:17">
      <c r="Q264" s="39" t="s">
        <v>1120</v>
      </c>
    </row>
    <row r="265" spans="17:17">
      <c r="Q265" s="39" t="s">
        <v>1121</v>
      </c>
    </row>
    <row r="266" spans="17:17">
      <c r="Q266" s="39" t="s">
        <v>1122</v>
      </c>
    </row>
    <row r="267" spans="17:17">
      <c r="Q267" s="39" t="s">
        <v>1123</v>
      </c>
    </row>
    <row r="268" spans="17:17">
      <c r="Q268" s="39" t="s">
        <v>1124</v>
      </c>
    </row>
    <row r="269" spans="17:17">
      <c r="Q269" s="39" t="s">
        <v>1125</v>
      </c>
    </row>
    <row r="270" spans="17:17">
      <c r="Q270" s="39" t="s">
        <v>1126</v>
      </c>
    </row>
    <row r="271" spans="17:17">
      <c r="Q271" s="39" t="s">
        <v>1127</v>
      </c>
    </row>
    <row r="272" spans="17:17">
      <c r="Q272" s="39" t="s">
        <v>1128</v>
      </c>
    </row>
    <row r="273" spans="17:17">
      <c r="Q273" s="39" t="s">
        <v>1129</v>
      </c>
    </row>
    <row r="274" spans="17:17">
      <c r="Q274" s="39" t="s">
        <v>1130</v>
      </c>
    </row>
    <row r="275" spans="17:17">
      <c r="Q275" s="39" t="s">
        <v>1131</v>
      </c>
    </row>
    <row r="276" spans="17:17">
      <c r="Q276" s="39" t="s">
        <v>1132</v>
      </c>
    </row>
    <row r="277" spans="17:17">
      <c r="Q277" s="39" t="s">
        <v>1133</v>
      </c>
    </row>
    <row r="278" spans="17:17">
      <c r="Q278" s="39" t="s">
        <v>1134</v>
      </c>
    </row>
    <row r="279" spans="17:17">
      <c r="Q279" s="39" t="s">
        <v>1135</v>
      </c>
    </row>
    <row r="280" spans="17:17">
      <c r="Q280" s="39" t="s">
        <v>1136</v>
      </c>
    </row>
    <row r="281" spans="17:17">
      <c r="Q281" s="39" t="s">
        <v>1137</v>
      </c>
    </row>
    <row r="282" spans="17:17">
      <c r="Q282" s="39" t="s">
        <v>1138</v>
      </c>
    </row>
    <row r="283" spans="17:17">
      <c r="Q283" s="39" t="s">
        <v>1139</v>
      </c>
    </row>
    <row r="284" spans="17:17">
      <c r="Q284" s="39" t="s">
        <v>1140</v>
      </c>
    </row>
    <row r="285" spans="17:17">
      <c r="Q285" s="39" t="s">
        <v>1141</v>
      </c>
    </row>
    <row r="286" spans="17:17">
      <c r="Q286" s="39" t="s">
        <v>1142</v>
      </c>
    </row>
    <row r="287" spans="17:17">
      <c r="Q287" s="39" t="s">
        <v>1143</v>
      </c>
    </row>
    <row r="288" spans="17:17">
      <c r="Q288" s="39" t="s">
        <v>1144</v>
      </c>
    </row>
    <row r="289" spans="17:17">
      <c r="Q289" s="39" t="s">
        <v>1145</v>
      </c>
    </row>
    <row r="290" spans="17:17">
      <c r="Q290" s="39" t="s">
        <v>1146</v>
      </c>
    </row>
    <row r="291" spans="17:17">
      <c r="Q291" s="39" t="s">
        <v>1147</v>
      </c>
    </row>
    <row r="292" spans="17:17">
      <c r="Q292" s="39" t="s">
        <v>1148</v>
      </c>
    </row>
    <row r="293" spans="17:17">
      <c r="Q293" s="39" t="s">
        <v>1149</v>
      </c>
    </row>
    <row r="294" spans="17:17">
      <c r="Q294" s="39" t="s">
        <v>1150</v>
      </c>
    </row>
    <row r="295" spans="17:17">
      <c r="Q295" s="39" t="s">
        <v>1151</v>
      </c>
    </row>
    <row r="296" spans="17:17">
      <c r="Q296" s="39" t="s">
        <v>1152</v>
      </c>
    </row>
    <row r="297" spans="17:17">
      <c r="Q297" s="39" t="s">
        <v>1153</v>
      </c>
    </row>
    <row r="298" spans="17:17">
      <c r="Q298" s="39" t="s">
        <v>1154</v>
      </c>
    </row>
    <row r="299" spans="17:17">
      <c r="Q299" s="39" t="s">
        <v>1155</v>
      </c>
    </row>
    <row r="300" spans="17:17">
      <c r="Q300" s="39" t="s">
        <v>1156</v>
      </c>
    </row>
    <row r="301" spans="17:17">
      <c r="Q301" s="39" t="s">
        <v>1157</v>
      </c>
    </row>
    <row r="302" spans="17:17">
      <c r="Q302" s="39" t="s">
        <v>1158</v>
      </c>
    </row>
    <row r="303" spans="17:17">
      <c r="Q303" s="39" t="s">
        <v>1159</v>
      </c>
    </row>
    <row r="304" spans="17:17">
      <c r="Q304" s="39" t="s">
        <v>1160</v>
      </c>
    </row>
    <row r="305" spans="17:17">
      <c r="Q305" s="39" t="s">
        <v>1161</v>
      </c>
    </row>
    <row r="306" spans="17:17">
      <c r="Q306" s="39" t="s">
        <v>1162</v>
      </c>
    </row>
    <row r="307" spans="17:17">
      <c r="Q307" s="39" t="s">
        <v>1163</v>
      </c>
    </row>
    <row r="308" spans="17:17">
      <c r="Q308" s="39" t="s">
        <v>1164</v>
      </c>
    </row>
    <row r="309" spans="17:17">
      <c r="Q309" s="39" t="s">
        <v>1165</v>
      </c>
    </row>
    <row r="310" spans="17:17">
      <c r="Q310" s="39" t="s">
        <v>1166</v>
      </c>
    </row>
    <row r="311" spans="17:17">
      <c r="Q311" s="39" t="s">
        <v>1167</v>
      </c>
    </row>
    <row r="312" spans="17:17">
      <c r="Q312" s="39" t="s">
        <v>1168</v>
      </c>
    </row>
    <row r="313" spans="17:17">
      <c r="Q313" s="39" t="s">
        <v>1169</v>
      </c>
    </row>
    <row r="314" spans="17:17">
      <c r="Q314" s="39" t="s">
        <v>1170</v>
      </c>
    </row>
    <row r="315" spans="17:17">
      <c r="Q315" s="39" t="s">
        <v>1171</v>
      </c>
    </row>
    <row r="316" spans="17:17">
      <c r="Q316" s="39" t="s">
        <v>1172</v>
      </c>
    </row>
    <row r="317" spans="17:17">
      <c r="Q317" s="39" t="s">
        <v>1173</v>
      </c>
    </row>
    <row r="318" spans="17:17">
      <c r="Q318" s="39" t="s">
        <v>1174</v>
      </c>
    </row>
    <row r="319" spans="17:17">
      <c r="Q319" s="39" t="s">
        <v>1175</v>
      </c>
    </row>
    <row r="320" spans="17:17">
      <c r="Q320" s="39" t="s">
        <v>1176</v>
      </c>
    </row>
    <row r="321" spans="17:17">
      <c r="Q321" s="39" t="s">
        <v>1177</v>
      </c>
    </row>
    <row r="322" spans="17:17">
      <c r="Q322" s="39" t="s">
        <v>295</v>
      </c>
    </row>
    <row r="323" spans="17:17">
      <c r="Q323" s="39" t="s">
        <v>1178</v>
      </c>
    </row>
    <row r="324" spans="17:17">
      <c r="Q324" s="39" t="s">
        <v>1179</v>
      </c>
    </row>
    <row r="325" spans="17:17">
      <c r="Q325" s="39" t="s">
        <v>1180</v>
      </c>
    </row>
    <row r="326" spans="17:17">
      <c r="Q326" s="39" t="s">
        <v>1181</v>
      </c>
    </row>
    <row r="327" spans="17:17">
      <c r="Q327" s="39" t="s">
        <v>1182</v>
      </c>
    </row>
    <row r="328" spans="17:17">
      <c r="Q328" s="39" t="s">
        <v>1183</v>
      </c>
    </row>
    <row r="329" spans="17:17">
      <c r="Q329" s="39" t="s">
        <v>1184</v>
      </c>
    </row>
    <row r="330" spans="17:17">
      <c r="Q330" s="39" t="s">
        <v>1185</v>
      </c>
    </row>
    <row r="331" spans="17:17">
      <c r="Q331" s="39" t="s">
        <v>1186</v>
      </c>
    </row>
    <row r="332" spans="17:17">
      <c r="Q332" s="39" t="s">
        <v>1187</v>
      </c>
    </row>
    <row r="333" spans="17:17">
      <c r="Q333" s="39" t="s">
        <v>1188</v>
      </c>
    </row>
    <row r="334" spans="17:17">
      <c r="Q334" s="39" t="s">
        <v>1189</v>
      </c>
    </row>
    <row r="335" spans="17:17">
      <c r="Q335" s="39" t="s">
        <v>1190</v>
      </c>
    </row>
    <row r="336" spans="17:17">
      <c r="Q336" s="39" t="s">
        <v>1191</v>
      </c>
    </row>
    <row r="337" spans="17:17">
      <c r="Q337" s="39" t="s">
        <v>1192</v>
      </c>
    </row>
    <row r="338" spans="17:17">
      <c r="Q338" s="39" t="s">
        <v>1193</v>
      </c>
    </row>
    <row r="339" spans="17:17">
      <c r="Q339" s="39" t="s">
        <v>1194</v>
      </c>
    </row>
    <row r="340" spans="17:17">
      <c r="Q340" s="39" t="s">
        <v>1195</v>
      </c>
    </row>
    <row r="341" spans="17:17">
      <c r="Q341" s="39" t="s">
        <v>1196</v>
      </c>
    </row>
    <row r="342" spans="17:17">
      <c r="Q342" s="39" t="s">
        <v>1197</v>
      </c>
    </row>
    <row r="343" spans="17:17">
      <c r="Q343" s="39" t="s">
        <v>1198</v>
      </c>
    </row>
    <row r="344" spans="17:17">
      <c r="Q344" s="39" t="s">
        <v>1199</v>
      </c>
    </row>
    <row r="345" spans="17:17">
      <c r="Q345" s="39" t="s">
        <v>1200</v>
      </c>
    </row>
    <row r="346" spans="17:17">
      <c r="Q346" s="39" t="s">
        <v>1201</v>
      </c>
    </row>
    <row r="347" spans="17:17">
      <c r="Q347" s="39" t="s">
        <v>1202</v>
      </c>
    </row>
    <row r="348" spans="17:17">
      <c r="Q348" s="39" t="s">
        <v>1203</v>
      </c>
    </row>
    <row r="349" spans="17:17">
      <c r="Q349" s="39" t="s">
        <v>1204</v>
      </c>
    </row>
    <row r="350" spans="17:17">
      <c r="Q350" s="39" t="s">
        <v>1205</v>
      </c>
    </row>
    <row r="351" spans="17:17">
      <c r="Q351" s="39" t="s">
        <v>1206</v>
      </c>
    </row>
    <row r="352" spans="17:17">
      <c r="Q352" s="39" t="s">
        <v>1207</v>
      </c>
    </row>
    <row r="353" spans="17:17">
      <c r="Q353" s="39" t="s">
        <v>1208</v>
      </c>
    </row>
    <row r="354" spans="17:17">
      <c r="Q354" s="39" t="s">
        <v>1209</v>
      </c>
    </row>
    <row r="355" spans="17:17">
      <c r="Q355" s="39" t="s">
        <v>1210</v>
      </c>
    </row>
    <row r="356" spans="17:17">
      <c r="Q356" s="39" t="s">
        <v>1211</v>
      </c>
    </row>
    <row r="357" spans="17:17">
      <c r="Q357" s="39" t="s">
        <v>1212</v>
      </c>
    </row>
    <row r="358" spans="17:17">
      <c r="Q358" s="39" t="s">
        <v>1213</v>
      </c>
    </row>
    <row r="359" spans="17:17">
      <c r="Q359" s="39" t="s">
        <v>1214</v>
      </c>
    </row>
    <row r="360" spans="17:17">
      <c r="Q360" s="39" t="s">
        <v>1215</v>
      </c>
    </row>
    <row r="361" spans="17:17">
      <c r="Q361" s="39" t="s">
        <v>1216</v>
      </c>
    </row>
    <row r="362" spans="17:17">
      <c r="Q362" s="39" t="s">
        <v>1217</v>
      </c>
    </row>
    <row r="363" spans="17:17">
      <c r="Q363" s="39" t="s">
        <v>1218</v>
      </c>
    </row>
    <row r="364" spans="17:17">
      <c r="Q364" s="39" t="s">
        <v>1219</v>
      </c>
    </row>
    <row r="365" spans="17:17">
      <c r="Q365" s="39" t="s">
        <v>1220</v>
      </c>
    </row>
    <row r="366" spans="17:17">
      <c r="Q366" s="39" t="s">
        <v>1221</v>
      </c>
    </row>
    <row r="367" spans="17:17">
      <c r="Q367" s="39" t="s">
        <v>1222</v>
      </c>
    </row>
    <row r="368" spans="17:17">
      <c r="Q368" s="39" t="s">
        <v>1223</v>
      </c>
    </row>
    <row r="369" spans="17:17">
      <c r="Q369" s="39" t="s">
        <v>1224</v>
      </c>
    </row>
    <row r="370" spans="17:17">
      <c r="Q370" s="39" t="s">
        <v>1225</v>
      </c>
    </row>
    <row r="371" spans="17:17">
      <c r="Q371" s="39" t="s">
        <v>1226</v>
      </c>
    </row>
    <row r="372" spans="17:17">
      <c r="Q372" s="39" t="s">
        <v>1227</v>
      </c>
    </row>
    <row r="373" spans="17:17">
      <c r="Q373" s="39" t="s">
        <v>1228</v>
      </c>
    </row>
    <row r="374" spans="17:17">
      <c r="Q374" s="39" t="s">
        <v>1229</v>
      </c>
    </row>
    <row r="375" spans="17:17">
      <c r="Q375" s="39" t="s">
        <v>1230</v>
      </c>
    </row>
    <row r="376" spans="17:17">
      <c r="Q376" s="39" t="s">
        <v>1231</v>
      </c>
    </row>
    <row r="377" spans="17:17">
      <c r="Q377" s="39" t="s">
        <v>1232</v>
      </c>
    </row>
    <row r="378" spans="17:17">
      <c r="Q378" s="39" t="s">
        <v>1233</v>
      </c>
    </row>
    <row r="379" spans="17:17">
      <c r="Q379" s="39" t="s">
        <v>1234</v>
      </c>
    </row>
    <row r="380" spans="17:17">
      <c r="Q380" s="39" t="s">
        <v>1235</v>
      </c>
    </row>
    <row r="381" spans="17:17">
      <c r="Q381" s="39" t="s">
        <v>1236</v>
      </c>
    </row>
    <row r="382" spans="17:17">
      <c r="Q382" s="39" t="s">
        <v>1237</v>
      </c>
    </row>
    <row r="383" spans="17:17">
      <c r="Q383" s="39" t="s">
        <v>1238</v>
      </c>
    </row>
    <row r="384" spans="17:17">
      <c r="Q384" s="39" t="s">
        <v>1239</v>
      </c>
    </row>
    <row r="385" spans="17:17">
      <c r="Q385" s="39" t="s">
        <v>1240</v>
      </c>
    </row>
    <row r="386" spans="17:17">
      <c r="Q386" s="39" t="s">
        <v>1241</v>
      </c>
    </row>
    <row r="387" spans="17:17">
      <c r="Q387" s="39" t="s">
        <v>1242</v>
      </c>
    </row>
    <row r="388" spans="17:17">
      <c r="Q388" s="39" t="s">
        <v>1243</v>
      </c>
    </row>
    <row r="389" spans="17:17">
      <c r="Q389" s="39" t="s">
        <v>1244</v>
      </c>
    </row>
    <row r="390" spans="17:17">
      <c r="Q390" s="39" t="s">
        <v>1245</v>
      </c>
    </row>
    <row r="391" spans="17:17">
      <c r="Q391" s="39" t="s">
        <v>1246</v>
      </c>
    </row>
    <row r="392" spans="17:17">
      <c r="Q392" s="39" t="s">
        <v>1247</v>
      </c>
    </row>
    <row r="393" spans="17:17">
      <c r="Q393" s="39" t="s">
        <v>1248</v>
      </c>
    </row>
    <row r="394" spans="17:17">
      <c r="Q394" s="39" t="s">
        <v>1249</v>
      </c>
    </row>
    <row r="395" spans="17:17">
      <c r="Q395" s="39" t="s">
        <v>1250</v>
      </c>
    </row>
    <row r="396" spans="17:17">
      <c r="Q396" s="39" t="s">
        <v>1251</v>
      </c>
    </row>
    <row r="397" spans="17:17">
      <c r="Q397" s="39" t="s">
        <v>1252</v>
      </c>
    </row>
    <row r="398" spans="17:17">
      <c r="Q398" s="39" t="s">
        <v>1253</v>
      </c>
    </row>
    <row r="399" spans="17:17">
      <c r="Q399" s="39" t="s">
        <v>1254</v>
      </c>
    </row>
    <row r="400" spans="17:17">
      <c r="Q400" s="39" t="s">
        <v>1255</v>
      </c>
    </row>
    <row r="401" spans="17:17">
      <c r="Q401" s="39" t="s">
        <v>1256</v>
      </c>
    </row>
    <row r="402" spans="17:17">
      <c r="Q402" s="39" t="s">
        <v>1257</v>
      </c>
    </row>
    <row r="403" spans="17:17">
      <c r="Q403" s="39" t="s">
        <v>1258</v>
      </c>
    </row>
    <row r="404" spans="17:17">
      <c r="Q404" s="39" t="s">
        <v>1259</v>
      </c>
    </row>
    <row r="405" spans="17:17">
      <c r="Q405" s="39" t="s">
        <v>1260</v>
      </c>
    </row>
    <row r="406" spans="17:17">
      <c r="Q406" s="39" t="s">
        <v>1261</v>
      </c>
    </row>
    <row r="407" spans="17:17">
      <c r="Q407" s="39" t="s">
        <v>1262</v>
      </c>
    </row>
    <row r="408" spans="17:17">
      <c r="Q408" s="39" t="s">
        <v>1263</v>
      </c>
    </row>
    <row r="409" spans="17:17">
      <c r="Q409" s="39" t="s">
        <v>1264</v>
      </c>
    </row>
    <row r="410" spans="17:17">
      <c r="Q410" s="39" t="s">
        <v>1265</v>
      </c>
    </row>
    <row r="411" spans="17:17">
      <c r="Q411" s="39" t="s">
        <v>1266</v>
      </c>
    </row>
    <row r="412" spans="17:17">
      <c r="Q412" s="39" t="s">
        <v>1267</v>
      </c>
    </row>
    <row r="413" spans="17:17">
      <c r="Q413" s="39" t="s">
        <v>1268</v>
      </c>
    </row>
    <row r="414" spans="17:17">
      <c r="Q414" s="39" t="s">
        <v>1269</v>
      </c>
    </row>
    <row r="415" spans="17:17">
      <c r="Q415" s="39" t="s">
        <v>1270</v>
      </c>
    </row>
    <row r="416" spans="17:17">
      <c r="Q416" s="39" t="s">
        <v>1271</v>
      </c>
    </row>
    <row r="417" spans="17:17">
      <c r="Q417" s="39" t="s">
        <v>1272</v>
      </c>
    </row>
    <row r="418" spans="17:17">
      <c r="Q418" s="39" t="s">
        <v>1273</v>
      </c>
    </row>
    <row r="419" spans="17:17">
      <c r="Q419" s="39" t="s">
        <v>1274</v>
      </c>
    </row>
    <row r="420" spans="17:17">
      <c r="Q420" s="39" t="s">
        <v>1275</v>
      </c>
    </row>
    <row r="421" spans="17:17">
      <c r="Q421" s="39" t="s">
        <v>1276</v>
      </c>
    </row>
    <row r="422" spans="17:17">
      <c r="Q422" s="39" t="s">
        <v>1277</v>
      </c>
    </row>
    <row r="423" spans="17:17">
      <c r="Q423" s="39" t="s">
        <v>1278</v>
      </c>
    </row>
  </sheetData>
  <phoneticPr fontId="29" type="noConversion"/>
  <dataValidations disablePrompts="1" count="12">
    <dataValidation type="list" allowBlank="1" showInputMessage="1" showErrorMessage="1" sqref="C54 C48 C21 C40 C46" xr:uid="{C7FFFA2B-5F2E-2248-BE2C-7526CEF1650A}">
      <formula1>"TRUE,FALSE"</formula1>
    </dataValidation>
    <dataValidation type="list" allowBlank="1" showInputMessage="1" showErrorMessage="1" sqref="C8" xr:uid="{A52CC319-20E1-4A56-BAFD-97F0DC88FA50}">
      <formula1>$J$3:$J$11</formula1>
    </dataValidation>
    <dataValidation type="list" allowBlank="1" showInputMessage="1" showErrorMessage="1" sqref="C14" xr:uid="{8A57655A-5B80-430F-BB7D-F3F67EAE76B2}">
      <formula1>$K$3:$K$5</formula1>
    </dataValidation>
    <dataValidation type="list" allowBlank="1" showInputMessage="1" showErrorMessage="1" sqref="C19" xr:uid="{4748C0B2-9E63-4111-897C-D304B30E2E9F}">
      <formula1>$O$3:$O$7</formula1>
    </dataValidation>
    <dataValidation type="list" allowBlank="1" showInputMessage="1" showErrorMessage="1" sqref="C51" xr:uid="{60E08AED-F6B6-4CDF-8046-FF9925642BE3}">
      <formula1>$S$3:$S$21</formula1>
    </dataValidation>
    <dataValidation type="list" allowBlank="1" showInputMessage="1" showErrorMessage="1" sqref="C20" xr:uid="{270B0817-D753-4E19-ACD4-BC588E9B4F8E}">
      <formula1>$T$3:$T$222</formula1>
    </dataValidation>
    <dataValidation type="list" allowBlank="1" showInputMessage="1" showErrorMessage="1" sqref="C17" xr:uid="{F9B4B16A-F9EE-4CE9-986B-84852DE46690}">
      <formula1>$N$3:$N$9</formula1>
    </dataValidation>
    <dataValidation type="list" allowBlank="1" showInputMessage="1" showErrorMessage="1" sqref="C41" xr:uid="{FBFDCC04-AE2F-4971-8D8E-85A8BD0FA1A1}">
      <formula1>$P$3:$P$7</formula1>
    </dataValidation>
    <dataValidation type="list" allowBlank="1" showInputMessage="1" showErrorMessage="1" sqref="C42" xr:uid="{95FE2A8E-9CFC-4CA4-B666-0ADCBCAC0439}">
      <formula1>$Q$3:$Q$423</formula1>
    </dataValidation>
    <dataValidation type="list" allowBlank="1" showInputMessage="1" showErrorMessage="1" sqref="C45" xr:uid="{FFD65B94-F227-4EAE-9957-AB269DA65A07}">
      <formula1>$R$3:$R$6</formula1>
    </dataValidation>
    <dataValidation type="list" allowBlank="1" showInputMessage="1" showErrorMessage="1" sqref="C16" xr:uid="{3C010C8C-4D72-4317-817C-FB6B3551FB83}">
      <formula1>$M$3:$M$224</formula1>
    </dataValidation>
    <dataValidation type="list" allowBlank="1" showInputMessage="1" showErrorMessage="1" sqref="C15" xr:uid="{3C1DCC7D-215D-4A86-A55F-A1C1F0FEE342}">
      <formula1>$L$3:$L$6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21BA-BCD8-3F4F-B842-A6F15E88F59B}">
  <dimension ref="B1:AG273"/>
  <sheetViews>
    <sheetView zoomScale="90" zoomScaleNormal="90" workbookViewId="0">
      <selection activeCell="F3" sqref="F3"/>
    </sheetView>
  </sheetViews>
  <sheetFormatPr defaultColWidth="8.6640625" defaultRowHeight="14.5"/>
  <cols>
    <col min="1" max="1" width="8.6640625" style="29"/>
    <col min="2" max="2" width="29.58203125" style="29" bestFit="1" customWidth="1"/>
    <col min="3" max="3" width="20.83203125" style="29" bestFit="1" customWidth="1"/>
    <col min="4" max="4" width="8.6640625" style="29" customWidth="1"/>
    <col min="5" max="5" width="18" style="29" bestFit="1" customWidth="1"/>
    <col min="6" max="6" width="18.33203125" style="29" customWidth="1"/>
    <col min="7" max="7" width="8.6640625" style="29" customWidth="1"/>
    <col min="8" max="8" width="38.58203125" style="29" bestFit="1" customWidth="1"/>
    <col min="9" max="9" width="22.33203125" style="29" customWidth="1"/>
    <col min="10" max="10" width="8.6640625" style="29" customWidth="1"/>
    <col min="11" max="11" width="24" style="29" bestFit="1" customWidth="1"/>
    <col min="12" max="12" width="17.33203125" style="29" bestFit="1" customWidth="1"/>
    <col min="13" max="13" width="8.6640625" style="29" customWidth="1"/>
    <col min="14" max="14" width="10.6640625" style="29" customWidth="1"/>
    <col min="15" max="15" width="11" style="29" customWidth="1"/>
    <col min="16" max="16" width="8.6640625" style="29" customWidth="1"/>
    <col min="17" max="17" width="23.6640625" style="29" customWidth="1"/>
    <col min="18" max="18" width="20.33203125" style="29" customWidth="1"/>
    <col min="19" max="20" width="8.6640625" style="29" customWidth="1"/>
    <col min="21" max="21" width="46.75" style="29" bestFit="1" customWidth="1"/>
    <col min="22" max="22" width="8.6640625" style="29" customWidth="1"/>
    <col min="23" max="23" width="51.08203125" style="29" bestFit="1" customWidth="1"/>
    <col min="24" max="24" width="8.6640625" style="29"/>
    <col min="25" max="25" width="24.4140625" style="29" bestFit="1" customWidth="1"/>
    <col min="26" max="26" width="22.5" style="29" bestFit="1" customWidth="1"/>
    <col min="27" max="27" width="29.5" style="29" bestFit="1" customWidth="1"/>
    <col min="28" max="28" width="22.75" style="29" bestFit="1" customWidth="1"/>
    <col min="29" max="29" width="19.58203125" style="29" bestFit="1" customWidth="1"/>
    <col min="30" max="30" width="25" style="29" bestFit="1" customWidth="1"/>
    <col min="31" max="31" width="23.83203125" style="29" bestFit="1" customWidth="1"/>
    <col min="32" max="32" width="18" style="29" bestFit="1" customWidth="1"/>
    <col min="33" max="33" width="22.83203125" style="29" bestFit="1" customWidth="1"/>
    <col min="34" max="16384" width="8.6640625" style="29"/>
  </cols>
  <sheetData>
    <row r="1" spans="2:33" ht="15" thickBot="1">
      <c r="B1" s="28" t="s">
        <v>4</v>
      </c>
      <c r="Y1" s="29" t="s">
        <v>1363</v>
      </c>
      <c r="Z1" s="29" t="s">
        <v>1306</v>
      </c>
      <c r="AA1" s="29" t="s">
        <v>1316</v>
      </c>
      <c r="AB1" s="29" t="s">
        <v>1320</v>
      </c>
      <c r="AC1" s="29" t="s">
        <v>1321</v>
      </c>
      <c r="AD1" s="29" t="s">
        <v>1326</v>
      </c>
      <c r="AE1" s="29" t="s">
        <v>1335</v>
      </c>
      <c r="AF1" s="29" t="s">
        <v>1338</v>
      </c>
      <c r="AG1" s="29" t="s">
        <v>1365</v>
      </c>
    </row>
    <row r="2" spans="2:33" ht="15.5">
      <c r="B2" s="30" t="s">
        <v>2</v>
      </c>
      <c r="E2" s="91" t="s">
        <v>52</v>
      </c>
      <c r="F2" s="15" t="b">
        <f>IF(NOT(F5),TRUE,IF(COUNTIF($V$6:$V$138,FALSE)=0,TRUE,VLOOKUP(FALSE,$V$6:$W$138,2,0)))</f>
        <v>1</v>
      </c>
      <c r="Y2" s="29" t="s">
        <v>1314</v>
      </c>
      <c r="Z2" s="29" t="s">
        <v>1307</v>
      </c>
      <c r="AA2" s="29" t="s">
        <v>1317</v>
      </c>
      <c r="AB2" s="29" t="s">
        <v>930</v>
      </c>
      <c r="AC2" s="29" t="s">
        <v>1322</v>
      </c>
      <c r="AD2" s="29" t="s">
        <v>1327</v>
      </c>
      <c r="AE2" s="29" t="s">
        <v>1336</v>
      </c>
      <c r="AF2" s="29" t="s">
        <v>1339</v>
      </c>
      <c r="AG2" s="29" t="s">
        <v>1366</v>
      </c>
    </row>
    <row r="3" spans="2:33" ht="16" thickBot="1">
      <c r="B3" s="31" t="s">
        <v>36</v>
      </c>
      <c r="E3" s="92" t="s">
        <v>53</v>
      </c>
      <c r="F3" s="14" t="str">
        <f>IF(F2=TRUE,"",VLOOKUP(F2,$V$141:$W$273,2,0))</f>
        <v/>
      </c>
      <c r="Y3" s="29" t="s">
        <v>1364</v>
      </c>
      <c r="Z3" s="29" t="s">
        <v>1308</v>
      </c>
      <c r="AA3" s="29" t="s">
        <v>1318</v>
      </c>
      <c r="AB3" s="29" t="s">
        <v>1310</v>
      </c>
      <c r="AC3" s="29" t="s">
        <v>1323</v>
      </c>
      <c r="AD3" s="29" t="s">
        <v>1328</v>
      </c>
      <c r="AE3" s="29" t="s">
        <v>1337</v>
      </c>
      <c r="AF3" s="29" t="s">
        <v>1340</v>
      </c>
      <c r="AG3" s="29" t="s">
        <v>1367</v>
      </c>
    </row>
    <row r="4" spans="2:33">
      <c r="Z4" s="29" t="s">
        <v>1309</v>
      </c>
      <c r="AA4" s="29" t="s">
        <v>1319</v>
      </c>
      <c r="AB4" s="29" t="s">
        <v>1311</v>
      </c>
      <c r="AC4" s="29" t="s">
        <v>1324</v>
      </c>
      <c r="AD4" s="29" t="s">
        <v>1329</v>
      </c>
      <c r="AE4" s="29" t="s">
        <v>1314</v>
      </c>
      <c r="AF4" s="29" t="s">
        <v>1341</v>
      </c>
      <c r="AG4" s="29" t="s">
        <v>1368</v>
      </c>
    </row>
    <row r="5" spans="2:33" ht="15.5">
      <c r="E5" s="73" t="s">
        <v>42</v>
      </c>
      <c r="F5" s="4" t="b">
        <f>'Validation Input Received'!$D$22</f>
        <v>0</v>
      </c>
      <c r="Q5" s="29" t="s">
        <v>67</v>
      </c>
      <c r="R5" s="58" t="b">
        <v>1</v>
      </c>
      <c r="U5" s="47" t="s">
        <v>15</v>
      </c>
      <c r="V5" s="47" t="s">
        <v>52</v>
      </c>
      <c r="W5" s="9" t="s">
        <v>17</v>
      </c>
      <c r="Z5" s="29" t="s">
        <v>1310</v>
      </c>
      <c r="AA5" s="29" t="s">
        <v>1314</v>
      </c>
      <c r="AB5" s="29" t="s">
        <v>98</v>
      </c>
      <c r="AC5" s="29" t="s">
        <v>1325</v>
      </c>
      <c r="AD5" s="29" t="s">
        <v>1314</v>
      </c>
      <c r="AF5" s="29" t="s">
        <v>1342</v>
      </c>
    </row>
    <row r="6" spans="2:33" ht="15.5">
      <c r="B6" s="29" t="s">
        <v>68</v>
      </c>
      <c r="C6" s="58" t="b">
        <v>1</v>
      </c>
      <c r="H6" s="29" t="s">
        <v>68</v>
      </c>
      <c r="I6" s="58" t="b">
        <v>1</v>
      </c>
      <c r="Q6" s="29" t="s">
        <v>69</v>
      </c>
      <c r="R6" s="58" t="b">
        <v>1</v>
      </c>
      <c r="U6" s="101" t="s">
        <v>1568</v>
      </c>
      <c r="V6" s="49" t="b">
        <f>NOT(ISERROR(VLOOKUP(input_FinancialDetail_AssetAndLiability_Assets_1_AssetType,$Z$2:$Z$11,1,0)))</f>
        <v>1</v>
      </c>
      <c r="W6" s="53" t="str">
        <f>IF(V6=TRUE,"",VLOOKUP(U6,$U$141:$V$273,2,FALSE))</f>
        <v/>
      </c>
      <c r="Z6" s="29" t="s">
        <v>1311</v>
      </c>
      <c r="AF6" s="29" t="s">
        <v>1314</v>
      </c>
    </row>
    <row r="7" spans="2:33" ht="15.5">
      <c r="B7" s="29" t="s">
        <v>70</v>
      </c>
      <c r="C7" s="104" t="s">
        <v>1674</v>
      </c>
      <c r="H7" s="29" t="s">
        <v>70</v>
      </c>
      <c r="I7" s="58" t="s">
        <v>71</v>
      </c>
      <c r="Q7" s="29" t="s">
        <v>72</v>
      </c>
      <c r="R7" s="58" t="s">
        <v>71</v>
      </c>
      <c r="U7" s="101" t="s">
        <v>1569</v>
      </c>
      <c r="V7" s="49" t="b">
        <f>NOT(ISERROR(VLOOKUP(input_FinancialDetail_AssetAndLiability_Assets_2_AssetType,$Z$2:$Z$11,1,0)))</f>
        <v>1</v>
      </c>
      <c r="W7" s="53" t="str">
        <f t="shared" ref="W7:W70" si="0">IF(V7=TRUE,"",VLOOKUP(U7,$U$141:$V$273,2,FALSE))</f>
        <v/>
      </c>
      <c r="Z7" s="29" t="s">
        <v>1312</v>
      </c>
    </row>
    <row r="8" spans="2:33" ht="15.5">
      <c r="B8" s="29" t="s">
        <v>73</v>
      </c>
      <c r="C8" s="58" t="b">
        <v>1</v>
      </c>
      <c r="H8" s="29" t="s">
        <v>73</v>
      </c>
      <c r="I8" s="58" t="b">
        <v>1</v>
      </c>
      <c r="Q8" s="29" t="s">
        <v>73</v>
      </c>
      <c r="R8" s="58" t="b">
        <v>1</v>
      </c>
      <c r="U8" s="101" t="s">
        <v>1570</v>
      </c>
      <c r="V8" s="49" t="b">
        <f>NOT(ISERROR(VLOOKUP(input_FinancialDetail_AssetAndLiability_Assets_3_AssetType,$Z$2:$Z$11,1,0)))</f>
        <v>1</v>
      </c>
      <c r="W8" s="53" t="str">
        <f t="shared" si="0"/>
        <v/>
      </c>
      <c r="Z8" s="29" t="s">
        <v>98</v>
      </c>
    </row>
    <row r="9" spans="2:33" ht="15.5">
      <c r="B9" s="29" t="s">
        <v>74</v>
      </c>
      <c r="C9" s="58" t="s">
        <v>1314</v>
      </c>
      <c r="H9" s="29" t="s">
        <v>74</v>
      </c>
      <c r="I9" s="58" t="s">
        <v>1314</v>
      </c>
      <c r="Q9" s="29" t="s">
        <v>74</v>
      </c>
      <c r="R9" s="58" t="s">
        <v>1314</v>
      </c>
      <c r="U9" s="101" t="s">
        <v>1571</v>
      </c>
      <c r="V9" s="49" t="b">
        <f>NOT(ISERROR(VLOOKUP(input_FinancialDetail_AssetAndLiability_Assets_4_AssetType,$Z$2:$Z$11,1,0)))</f>
        <v>1</v>
      </c>
      <c r="W9" s="53" t="str">
        <f t="shared" si="0"/>
        <v/>
      </c>
      <c r="Z9" s="29" t="s">
        <v>1313</v>
      </c>
    </row>
    <row r="10" spans="2:33" ht="15.5">
      <c r="B10" s="29" t="s">
        <v>75</v>
      </c>
      <c r="C10" s="104" t="s">
        <v>1674</v>
      </c>
      <c r="H10" s="29" t="s">
        <v>75</v>
      </c>
      <c r="I10" s="58" t="s">
        <v>71</v>
      </c>
      <c r="L10" s="103"/>
      <c r="Q10" s="29" t="s">
        <v>75</v>
      </c>
      <c r="R10" s="58" t="s">
        <v>71</v>
      </c>
      <c r="U10" s="101" t="s">
        <v>1572</v>
      </c>
      <c r="V10" s="49" t="b">
        <f>NOT(ISERROR(VLOOKUP(input_FinancialDetail_AssetAndLiability_Assets_5_AssetType,$Z$2:$Z$11,1,0)))</f>
        <v>1</v>
      </c>
      <c r="W10" s="53" t="str">
        <f t="shared" si="0"/>
        <v/>
      </c>
      <c r="Z10" s="29" t="s">
        <v>1314</v>
      </c>
    </row>
    <row r="11" spans="2:33" ht="15.5">
      <c r="U11" s="101" t="s">
        <v>1573</v>
      </c>
      <c r="V11" s="49" t="b">
        <f>NOT(ISERROR(VLOOKUP(input_FinancialDetail_AssetAndLiability_Assets_6_AssetType,$Z$2:$Z$11,1,0)))</f>
        <v>1</v>
      </c>
      <c r="W11" s="53" t="str">
        <f t="shared" si="0"/>
        <v/>
      </c>
      <c r="Z11" s="29" t="s">
        <v>1315</v>
      </c>
    </row>
    <row r="12" spans="2:33" ht="15.5">
      <c r="B12" s="109" t="s">
        <v>76</v>
      </c>
      <c r="C12" s="110"/>
      <c r="E12" s="109" t="s">
        <v>77</v>
      </c>
      <c r="F12" s="110"/>
      <c r="H12" s="115" t="s">
        <v>78</v>
      </c>
      <c r="I12" s="116"/>
      <c r="K12" s="115" t="s">
        <v>79</v>
      </c>
      <c r="L12" s="116"/>
      <c r="N12" s="109" t="s">
        <v>80</v>
      </c>
      <c r="O12" s="110"/>
      <c r="Q12" s="109" t="s">
        <v>81</v>
      </c>
      <c r="R12" s="110"/>
      <c r="U12" s="101" t="s">
        <v>1574</v>
      </c>
      <c r="V12" s="49" t="b">
        <f>NOT(ISERROR(VLOOKUP(input_FinancialDetail_AssetAndLiability_Assets_7_AssetType,$Z$2:$Z$11,1,0)))</f>
        <v>1</v>
      </c>
      <c r="W12" s="53" t="str">
        <f t="shared" si="0"/>
        <v/>
      </c>
    </row>
    <row r="13" spans="2:33" ht="15.5">
      <c r="B13" s="33" t="s">
        <v>82</v>
      </c>
      <c r="C13" s="59" t="s">
        <v>1307</v>
      </c>
      <c r="E13" s="33" t="s">
        <v>83</v>
      </c>
      <c r="F13" s="59" t="s">
        <v>1327</v>
      </c>
      <c r="H13" s="35" t="s">
        <v>84</v>
      </c>
      <c r="I13" s="61">
        <v>7000</v>
      </c>
      <c r="K13" s="98" t="s">
        <v>1288</v>
      </c>
      <c r="L13" s="99">
        <v>50000</v>
      </c>
      <c r="N13" s="111" t="s">
        <v>1286</v>
      </c>
      <c r="O13" s="112"/>
      <c r="Q13" s="33" t="s">
        <v>88</v>
      </c>
      <c r="R13" s="59" t="s">
        <v>89</v>
      </c>
      <c r="S13" s="103"/>
      <c r="U13" s="101" t="s">
        <v>1575</v>
      </c>
      <c r="V13" s="49" t="b">
        <f>NOT(ISERROR(VLOOKUP(input_FinancialDetail_AssetAndLiability_Assets_8_AssetType,$Z$2:$Z$11,1,0)))</f>
        <v>1</v>
      </c>
      <c r="W13" s="53" t="str">
        <f t="shared" si="0"/>
        <v/>
      </c>
    </row>
    <row r="14" spans="2:33" ht="15.5">
      <c r="B14" s="33" t="s">
        <v>85</v>
      </c>
      <c r="C14" s="59">
        <v>0</v>
      </c>
      <c r="E14" s="33" t="s">
        <v>85</v>
      </c>
      <c r="F14" s="59">
        <v>0</v>
      </c>
      <c r="H14" s="33" t="s">
        <v>86</v>
      </c>
      <c r="I14" s="59">
        <v>84000</v>
      </c>
      <c r="K14" s="79"/>
      <c r="L14" s="80"/>
      <c r="N14" s="33" t="s">
        <v>87</v>
      </c>
      <c r="O14" s="59">
        <v>0</v>
      </c>
      <c r="Q14" s="33" t="s">
        <v>93</v>
      </c>
      <c r="R14" s="59" t="s">
        <v>94</v>
      </c>
      <c r="U14" s="101" t="s">
        <v>1576</v>
      </c>
      <c r="V14" s="49" t="b">
        <f>NOT(ISERROR(VLOOKUP(input_FinancialDetail_AssetAndLiability_Assets_9_AssetType,$Z$2:$Z$11,1,0)))</f>
        <v>1</v>
      </c>
      <c r="W14" s="53" t="str">
        <f t="shared" si="0"/>
        <v/>
      </c>
    </row>
    <row r="15" spans="2:33" ht="15.5">
      <c r="B15" s="33" t="s">
        <v>90</v>
      </c>
      <c r="C15" s="59">
        <v>0</v>
      </c>
      <c r="E15" s="33" t="s">
        <v>112</v>
      </c>
      <c r="F15" s="59" t="s">
        <v>71</v>
      </c>
      <c r="H15" s="33" t="s">
        <v>222</v>
      </c>
      <c r="I15" s="59">
        <v>17120</v>
      </c>
      <c r="K15" s="33" t="s">
        <v>226</v>
      </c>
      <c r="L15" s="59" t="s">
        <v>1339</v>
      </c>
      <c r="N15" s="33" t="s">
        <v>91</v>
      </c>
      <c r="O15" s="59">
        <v>0</v>
      </c>
      <c r="Q15" s="33" t="s">
        <v>96</v>
      </c>
      <c r="R15" s="59" t="s">
        <v>97</v>
      </c>
      <c r="U15" s="101" t="s">
        <v>1577</v>
      </c>
      <c r="V15" s="49" t="b">
        <f>NOT(ISERROR(VLOOKUP(input_FinancialDetail_AssetAndLiability_Assets_10_AssetType,$Z$2:$Z$11,1,0)))</f>
        <v>1</v>
      </c>
      <c r="W15" s="53" t="str">
        <f t="shared" si="0"/>
        <v/>
      </c>
    </row>
    <row r="16" spans="2:33" ht="15.5">
      <c r="B16" s="33" t="s">
        <v>112</v>
      </c>
      <c r="C16" s="105" t="s">
        <v>1674</v>
      </c>
      <c r="E16" s="33"/>
      <c r="F16" s="34"/>
      <c r="H16" s="33" t="s">
        <v>223</v>
      </c>
      <c r="I16" s="59">
        <v>66880</v>
      </c>
      <c r="K16" s="33" t="s">
        <v>225</v>
      </c>
      <c r="L16" s="59">
        <v>2000</v>
      </c>
      <c r="N16" s="33" t="s">
        <v>92</v>
      </c>
      <c r="O16" s="59">
        <v>0</v>
      </c>
      <c r="Q16" s="33" t="s">
        <v>99</v>
      </c>
      <c r="R16" s="59" t="s">
        <v>100</v>
      </c>
      <c r="U16" s="101" t="s">
        <v>1578</v>
      </c>
      <c r="V16" s="49" t="b">
        <f>NOT(ISERROR(VLOOKUP(input_FinancialDetail_AssetAndLiability_Assets_11_AssetType,$Z$2:$Z$11,1,0)))</f>
        <v>1</v>
      </c>
      <c r="W16" s="53" t="str">
        <f t="shared" si="0"/>
        <v/>
      </c>
    </row>
    <row r="17" spans="2:23" ht="15.5">
      <c r="B17" s="33"/>
      <c r="C17" s="34"/>
      <c r="E17" s="33" t="s">
        <v>83</v>
      </c>
      <c r="F17" s="59" t="s">
        <v>1327</v>
      </c>
      <c r="H17" s="33" t="s">
        <v>224</v>
      </c>
      <c r="I17" s="59">
        <v>76880</v>
      </c>
      <c r="K17" s="33" t="s">
        <v>227</v>
      </c>
      <c r="L17" s="59">
        <v>12000</v>
      </c>
      <c r="N17" s="33" t="s">
        <v>95</v>
      </c>
      <c r="O17" s="59">
        <v>0</v>
      </c>
      <c r="Q17" s="33" t="s">
        <v>102</v>
      </c>
      <c r="R17" s="59" t="s">
        <v>103</v>
      </c>
      <c r="U17" s="101" t="s">
        <v>1579</v>
      </c>
      <c r="V17" s="49" t="b">
        <f>NOT(ISERROR(VLOOKUP(input_FinancialDetail_AssetAndLiability_Assets_12_AssetType,$Z$2:$Z$11,1,0)))</f>
        <v>1</v>
      </c>
      <c r="W17" s="53" t="str">
        <f t="shared" si="0"/>
        <v/>
      </c>
    </row>
    <row r="18" spans="2:23" ht="15.5">
      <c r="B18" s="33" t="s">
        <v>82</v>
      </c>
      <c r="C18" s="59" t="s">
        <v>1307</v>
      </c>
      <c r="E18" s="33" t="s">
        <v>85</v>
      </c>
      <c r="F18" s="59">
        <v>0</v>
      </c>
      <c r="H18" s="77" t="s">
        <v>1285</v>
      </c>
      <c r="I18" s="59">
        <v>0</v>
      </c>
      <c r="K18" s="87" t="s">
        <v>123</v>
      </c>
      <c r="L18" s="88" t="s">
        <v>1322</v>
      </c>
      <c r="N18" s="33" t="s">
        <v>98</v>
      </c>
      <c r="O18" s="59">
        <v>0</v>
      </c>
      <c r="Q18" s="33" t="s">
        <v>106</v>
      </c>
      <c r="R18" s="59">
        <v>500000</v>
      </c>
      <c r="U18" s="101" t="s">
        <v>1580</v>
      </c>
      <c r="V18" s="49" t="b">
        <f>IF(AND(input_FinancialDetail_AssetAndLiability_Assets_1_AssetValue&lt;=9999999999,input_FinancialDetail_AssetAndLiability_Assets_1_AssetValue&gt;=0),TRUE,FALSE)</f>
        <v>1</v>
      </c>
      <c r="W18" s="53" t="str">
        <f t="shared" si="0"/>
        <v/>
      </c>
    </row>
    <row r="19" spans="2:23" ht="15.5">
      <c r="B19" s="33" t="s">
        <v>85</v>
      </c>
      <c r="C19" s="59">
        <v>500000</v>
      </c>
      <c r="E19" s="33" t="s">
        <v>112</v>
      </c>
      <c r="F19" s="59" t="s">
        <v>71</v>
      </c>
      <c r="H19" s="33"/>
      <c r="I19" s="34"/>
      <c r="K19" s="100" t="s">
        <v>246</v>
      </c>
      <c r="L19" s="62" t="s">
        <v>71</v>
      </c>
      <c r="N19" s="33"/>
      <c r="O19" s="34"/>
      <c r="Q19" s="33" t="s">
        <v>107</v>
      </c>
      <c r="R19" s="59">
        <v>0</v>
      </c>
      <c r="U19" s="101" t="s">
        <v>1581</v>
      </c>
      <c r="V19" s="49" t="b">
        <f>IF(AND(input_FinancialDetail_AssetAndLiability_Assets_2_AssetValue&lt;=9999999999,input_FinancialDetail_AssetAndLiability_Assets_2_AssetValue&gt;=0),TRUE,FALSE)</f>
        <v>1</v>
      </c>
      <c r="W19" s="53" t="str">
        <f t="shared" si="0"/>
        <v/>
      </c>
    </row>
    <row r="20" spans="2:23" ht="15.5">
      <c r="B20" s="33" t="s">
        <v>90</v>
      </c>
      <c r="C20" s="59">
        <v>0.01</v>
      </c>
      <c r="E20" s="33"/>
      <c r="F20" s="34"/>
      <c r="H20" s="33" t="s">
        <v>101</v>
      </c>
      <c r="I20" s="59" t="s">
        <v>1336</v>
      </c>
      <c r="K20" s="33"/>
      <c r="L20" s="34"/>
      <c r="N20" s="113" t="s">
        <v>105</v>
      </c>
      <c r="O20" s="114"/>
      <c r="Q20" s="33" t="s">
        <v>55</v>
      </c>
      <c r="R20" s="59">
        <v>0</v>
      </c>
      <c r="U20" s="101" t="s">
        <v>1582</v>
      </c>
      <c r="V20" s="49" t="b">
        <f>IF(AND(input_FinancialDetail_AssetAndLiability_Assets_3_AssetValue&lt;=9999999999,input_FinancialDetail_AssetAndLiability_Assets_3_AssetValue&gt;=0),TRUE,FALSE)</f>
        <v>1</v>
      </c>
      <c r="W20" s="53" t="str">
        <f t="shared" si="0"/>
        <v/>
      </c>
    </row>
    <row r="21" spans="2:23" ht="15.5">
      <c r="B21" s="33" t="s">
        <v>112</v>
      </c>
      <c r="C21" s="105" t="s">
        <v>1674</v>
      </c>
      <c r="E21" s="33" t="s">
        <v>83</v>
      </c>
      <c r="F21" s="59" t="s">
        <v>1327</v>
      </c>
      <c r="H21" s="33" t="s">
        <v>104</v>
      </c>
      <c r="I21" s="59" t="s">
        <v>1322</v>
      </c>
      <c r="K21" s="33" t="s">
        <v>226</v>
      </c>
      <c r="L21" s="59" t="s">
        <v>1339</v>
      </c>
      <c r="N21" s="33" t="s">
        <v>87</v>
      </c>
      <c r="O21" s="59">
        <v>0</v>
      </c>
      <c r="Q21" s="77" t="s">
        <v>1292</v>
      </c>
      <c r="R21" s="59"/>
      <c r="U21" s="101" t="s">
        <v>1583</v>
      </c>
      <c r="V21" s="49" t="b">
        <f>IF(AND(input_FinancialDetail_AssetAndLiability_Assets_4_AssetValue&lt;=9999999999,input_FinancialDetail_AssetAndLiability_Assets_4_AssetValue&gt;=0),TRUE,FALSE)</f>
        <v>1</v>
      </c>
      <c r="W21" s="53" t="str">
        <f t="shared" si="0"/>
        <v/>
      </c>
    </row>
    <row r="22" spans="2:23" ht="15.5">
      <c r="B22" s="33"/>
      <c r="C22" s="34"/>
      <c r="E22" s="33" t="s">
        <v>85</v>
      </c>
      <c r="F22" s="59">
        <v>0</v>
      </c>
      <c r="H22" s="37" t="s">
        <v>1284</v>
      </c>
      <c r="I22" s="62" t="s">
        <v>71</v>
      </c>
      <c r="K22" s="33" t="s">
        <v>225</v>
      </c>
      <c r="L22" s="59">
        <v>2000</v>
      </c>
      <c r="N22" s="33" t="s">
        <v>91</v>
      </c>
      <c r="O22" s="59">
        <v>0</v>
      </c>
      <c r="Q22" s="77" t="s">
        <v>1291</v>
      </c>
      <c r="R22" s="59" t="s">
        <v>108</v>
      </c>
      <c r="U22" s="101" t="s">
        <v>1584</v>
      </c>
      <c r="V22" s="49" t="b">
        <f>IF(AND(input_FinancialDetail_AssetAndLiability_Assets_5_AssetValue&lt;=9999999999,input_FinancialDetail_AssetAndLiability_Assets_5_AssetValue&gt;=0),TRUE,FALSE)</f>
        <v>1</v>
      </c>
      <c r="W22" s="53" t="str">
        <f t="shared" si="0"/>
        <v/>
      </c>
    </row>
    <row r="23" spans="2:23" ht="15.5">
      <c r="B23" s="33" t="s">
        <v>82</v>
      </c>
      <c r="C23" s="59" t="s">
        <v>1307</v>
      </c>
      <c r="E23" s="33" t="s">
        <v>112</v>
      </c>
      <c r="F23" s="59" t="s">
        <v>71</v>
      </c>
      <c r="H23" s="37" t="s">
        <v>1287</v>
      </c>
      <c r="I23" s="62">
        <v>10000</v>
      </c>
      <c r="K23" s="33" t="s">
        <v>227</v>
      </c>
      <c r="L23" s="59">
        <v>12000</v>
      </c>
      <c r="N23" s="33" t="s">
        <v>92</v>
      </c>
      <c r="O23" s="59">
        <v>0</v>
      </c>
      <c r="Q23" s="33" t="s">
        <v>109</v>
      </c>
      <c r="R23" s="59" t="b">
        <v>0</v>
      </c>
      <c r="U23" s="101" t="s">
        <v>1585</v>
      </c>
      <c r="V23" s="49" t="b">
        <f>IF(AND(input_FinancialDetail_AssetAndLiability_Assets_6_AssetValue&lt;=9999999999,input_FinancialDetail_AssetAndLiability_Assets_6_AssetValue&gt;=0),TRUE,FALSE)</f>
        <v>1</v>
      </c>
      <c r="W23" s="53" t="str">
        <f t="shared" si="0"/>
        <v/>
      </c>
    </row>
    <row r="24" spans="2:23" ht="15.5">
      <c r="B24" s="33" t="s">
        <v>85</v>
      </c>
      <c r="C24" s="59">
        <v>500000</v>
      </c>
      <c r="E24" s="33"/>
      <c r="F24" s="34"/>
      <c r="H24" s="37" t="s">
        <v>1286</v>
      </c>
      <c r="I24" s="62">
        <v>120000</v>
      </c>
      <c r="K24" s="87" t="s">
        <v>123</v>
      </c>
      <c r="L24" s="88" t="s">
        <v>1322</v>
      </c>
      <c r="N24" s="33" t="s">
        <v>95</v>
      </c>
      <c r="O24" s="59">
        <v>0</v>
      </c>
      <c r="Q24" s="33" t="s">
        <v>110</v>
      </c>
      <c r="R24" s="59">
        <v>0</v>
      </c>
      <c r="U24" s="101" t="s">
        <v>1586</v>
      </c>
      <c r="V24" s="49" t="b">
        <f>IF(AND(input_FinancialDetail_AssetAndLiability_Assets_7_AssetValue&lt;=9999999999,input_FinancialDetail_AssetAndLiability_Assets_7_AssetValue&gt;=0),TRUE,FALSE)</f>
        <v>1</v>
      </c>
      <c r="W24" s="53" t="str">
        <f t="shared" si="0"/>
        <v/>
      </c>
    </row>
    <row r="25" spans="2:23" ht="15.5">
      <c r="B25" s="33" t="s">
        <v>90</v>
      </c>
      <c r="C25" s="59">
        <v>0.01</v>
      </c>
      <c r="E25" s="33" t="s">
        <v>83</v>
      </c>
      <c r="F25" s="59" t="s">
        <v>1327</v>
      </c>
      <c r="H25" s="33"/>
      <c r="I25" s="34"/>
      <c r="K25" s="100" t="s">
        <v>246</v>
      </c>
      <c r="L25" s="62" t="s">
        <v>71</v>
      </c>
      <c r="N25" s="36" t="s">
        <v>98</v>
      </c>
      <c r="O25" s="60">
        <v>0</v>
      </c>
      <c r="Q25" s="33" t="s">
        <v>111</v>
      </c>
      <c r="R25" s="59">
        <v>0</v>
      </c>
      <c r="U25" s="101" t="s">
        <v>1587</v>
      </c>
      <c r="V25" s="49" t="b">
        <f>IF(AND(input_FinancialDetail_AssetAndLiability_Assets_8_AssetValue&lt;=9999999999,input_FinancialDetail_AssetAndLiability_Assets_8_AssetValue&gt;=0),TRUE,FALSE)</f>
        <v>1</v>
      </c>
      <c r="W25" s="53" t="str">
        <f t="shared" si="0"/>
        <v/>
      </c>
    </row>
    <row r="26" spans="2:23" ht="15.5">
      <c r="B26" s="33" t="s">
        <v>112</v>
      </c>
      <c r="C26" s="105" t="s">
        <v>1674</v>
      </c>
      <c r="E26" s="33" t="s">
        <v>85</v>
      </c>
      <c r="F26" s="59">
        <v>0</v>
      </c>
      <c r="H26" s="33" t="s">
        <v>101</v>
      </c>
      <c r="I26" s="59" t="s">
        <v>1336</v>
      </c>
      <c r="K26" s="33"/>
      <c r="L26" s="34"/>
      <c r="Q26" s="33" t="s">
        <v>113</v>
      </c>
      <c r="R26" s="59">
        <v>0</v>
      </c>
      <c r="U26" s="101" t="s">
        <v>1588</v>
      </c>
      <c r="V26" s="49" t="b">
        <f>IF(AND(input_FinancialDetail_AssetAndLiability_Assets_9_AssetValue&lt;=9999999999,input_FinancialDetail_AssetAndLiability_Assets_9_AssetValue&gt;=0),TRUE,FALSE)</f>
        <v>1</v>
      </c>
      <c r="W26" s="53" t="str">
        <f t="shared" si="0"/>
        <v/>
      </c>
    </row>
    <row r="27" spans="2:23" ht="15.5">
      <c r="B27" s="33"/>
      <c r="C27" s="34"/>
      <c r="E27" s="33" t="s">
        <v>112</v>
      </c>
      <c r="F27" s="59" t="s">
        <v>71</v>
      </c>
      <c r="H27" s="33" t="s">
        <v>104</v>
      </c>
      <c r="I27" s="59" t="s">
        <v>1322</v>
      </c>
      <c r="K27" s="33" t="s">
        <v>226</v>
      </c>
      <c r="L27" s="59" t="s">
        <v>1339</v>
      </c>
      <c r="Q27" s="33" t="s">
        <v>114</v>
      </c>
      <c r="R27" s="59">
        <v>0</v>
      </c>
      <c r="U27" s="101" t="s">
        <v>1589</v>
      </c>
      <c r="V27" s="49" t="b">
        <f>IF(AND(input_FinancialDetail_AssetAndLiability_Assets_10_AssetValue&lt;=9999999999,input_FinancialDetail_AssetAndLiability_Assets_10_AssetValue&gt;=0),TRUE,FALSE)</f>
        <v>1</v>
      </c>
      <c r="W27" s="53" t="str">
        <f t="shared" si="0"/>
        <v/>
      </c>
    </row>
    <row r="28" spans="2:23" ht="15.5">
      <c r="B28" s="33" t="s">
        <v>82</v>
      </c>
      <c r="C28" s="59" t="s">
        <v>1307</v>
      </c>
      <c r="E28" s="33"/>
      <c r="F28" s="34"/>
      <c r="H28" s="37" t="s">
        <v>1284</v>
      </c>
      <c r="I28" s="62" t="s">
        <v>71</v>
      </c>
      <c r="K28" s="33" t="s">
        <v>225</v>
      </c>
      <c r="L28" s="59">
        <v>2000</v>
      </c>
      <c r="Q28" s="33" t="s">
        <v>115</v>
      </c>
      <c r="R28" s="59">
        <v>0</v>
      </c>
      <c r="U28" s="101" t="s">
        <v>1590</v>
      </c>
      <c r="V28" s="49" t="b">
        <f>IF(AND(input_FinancialDetail_AssetAndLiability_Assets_11_AssetValue&lt;=9999999999,input_FinancialDetail_AssetAndLiability_Assets_11_AssetValue&gt;=0),TRUE,FALSE)</f>
        <v>1</v>
      </c>
      <c r="W28" s="53" t="str">
        <f t="shared" si="0"/>
        <v/>
      </c>
    </row>
    <row r="29" spans="2:23" ht="15.5">
      <c r="B29" s="33" t="s">
        <v>85</v>
      </c>
      <c r="C29" s="59">
        <v>500000</v>
      </c>
      <c r="E29" s="33" t="s">
        <v>83</v>
      </c>
      <c r="F29" s="59" t="s">
        <v>1327</v>
      </c>
      <c r="H29" s="37" t="s">
        <v>1287</v>
      </c>
      <c r="I29" s="62">
        <v>10000</v>
      </c>
      <c r="K29" s="33" t="s">
        <v>227</v>
      </c>
      <c r="L29" s="59">
        <v>12000</v>
      </c>
      <c r="Q29" s="33" t="s">
        <v>116</v>
      </c>
      <c r="R29" s="59">
        <v>0</v>
      </c>
      <c r="U29" s="101" t="s">
        <v>1591</v>
      </c>
      <c r="V29" s="49" t="b">
        <f>IF(AND(input_FinancialDetail_AssetAndLiability_Assets_12_AssetValue&lt;=9999999999,input_FinancialDetail_AssetAndLiability_Assets_12_AssetValue&gt;=0),TRUE,FALSE)</f>
        <v>1</v>
      </c>
      <c r="W29" s="53" t="str">
        <f t="shared" si="0"/>
        <v/>
      </c>
    </row>
    <row r="30" spans="2:23" ht="15.5">
      <c r="B30" s="33" t="s">
        <v>90</v>
      </c>
      <c r="C30" s="59">
        <v>0.01</v>
      </c>
      <c r="E30" s="33" t="s">
        <v>85</v>
      </c>
      <c r="F30" s="59">
        <v>0</v>
      </c>
      <c r="H30" s="37" t="s">
        <v>1286</v>
      </c>
      <c r="I30" s="62">
        <v>120000</v>
      </c>
      <c r="K30" s="87" t="s">
        <v>123</v>
      </c>
      <c r="L30" s="88" t="s">
        <v>1322</v>
      </c>
      <c r="Q30" s="33" t="s">
        <v>117</v>
      </c>
      <c r="R30" s="64">
        <v>51136</v>
      </c>
      <c r="U30" s="101" t="s">
        <v>1592</v>
      </c>
      <c r="V30" s="49" t="b">
        <f>IF(AND(input_FinancialDetail_AssetAndLiability_Assets_1_Roi&lt;=0.2,input_FinancialDetail_AssetAndLiability_Assets_1_Roi&gt;=-0.2),TRUE,FALSE)</f>
        <v>1</v>
      </c>
      <c r="W30" s="53" t="str">
        <f t="shared" si="0"/>
        <v/>
      </c>
    </row>
    <row r="31" spans="2:23" ht="15.5">
      <c r="B31" s="33" t="s">
        <v>112</v>
      </c>
      <c r="C31" s="105" t="s">
        <v>1674</v>
      </c>
      <c r="E31" s="33" t="s">
        <v>112</v>
      </c>
      <c r="F31" s="59" t="s">
        <v>71</v>
      </c>
      <c r="H31" s="33"/>
      <c r="I31" s="34"/>
      <c r="K31" s="100" t="s">
        <v>246</v>
      </c>
      <c r="L31" s="62" t="s">
        <v>71</v>
      </c>
      <c r="Q31" s="33" t="s">
        <v>118</v>
      </c>
      <c r="R31" s="59">
        <v>20000</v>
      </c>
      <c r="U31" s="101" t="s">
        <v>1593</v>
      </c>
      <c r="V31" s="49" t="b">
        <f>IF(AND(input_FinancialDetail_AssetAndLiability_Assets_2_Roi&lt;=0.2,input_FinancialDetail_AssetAndLiability_Assets_2_Roi&gt;=-0.2),TRUE,FALSE)</f>
        <v>1</v>
      </c>
      <c r="W31" s="53" t="str">
        <f t="shared" si="0"/>
        <v/>
      </c>
    </row>
    <row r="32" spans="2:23" ht="15.5">
      <c r="B32" s="33"/>
      <c r="C32" s="34"/>
      <c r="E32" s="33"/>
      <c r="F32" s="34"/>
      <c r="H32" s="33" t="s">
        <v>101</v>
      </c>
      <c r="I32" s="59" t="s">
        <v>1336</v>
      </c>
      <c r="K32" s="33"/>
      <c r="L32" s="34"/>
      <c r="Q32" s="33" t="s">
        <v>119</v>
      </c>
      <c r="R32" s="59">
        <v>1000</v>
      </c>
      <c r="U32" s="101" t="s">
        <v>1594</v>
      </c>
      <c r="V32" s="49" t="b">
        <f>IF(AND(input_FinancialDetail_AssetAndLiability_Assets_3_Roi&lt;=0.2,input_FinancialDetail_AssetAndLiability_Assets_3_Roi&gt;=-0.2),TRUE,FALSE)</f>
        <v>1</v>
      </c>
      <c r="W32" s="53" t="str">
        <f t="shared" si="0"/>
        <v/>
      </c>
    </row>
    <row r="33" spans="2:23" ht="15.5">
      <c r="B33" s="33" t="s">
        <v>82</v>
      </c>
      <c r="C33" s="59" t="s">
        <v>1307</v>
      </c>
      <c r="E33" s="33" t="s">
        <v>83</v>
      </c>
      <c r="F33" s="59" t="s">
        <v>1327</v>
      </c>
      <c r="H33" s="33" t="s">
        <v>104</v>
      </c>
      <c r="I33" s="59" t="s">
        <v>1322</v>
      </c>
      <c r="K33" s="33" t="s">
        <v>226</v>
      </c>
      <c r="L33" s="59" t="s">
        <v>1339</v>
      </c>
      <c r="Q33" s="33" t="s">
        <v>120</v>
      </c>
      <c r="R33" s="59">
        <v>500000</v>
      </c>
      <c r="U33" s="101" t="s">
        <v>1595</v>
      </c>
      <c r="V33" s="49" t="b">
        <f>IF(AND(input_FinancialDetail_AssetAndLiability_Assets_4_Roi&lt;=0.2,input_FinancialDetail_AssetAndLiability_Assets_4_Roi&gt;=-0.2),TRUE,FALSE)</f>
        <v>1</v>
      </c>
      <c r="W33" s="53" t="str">
        <f t="shared" si="0"/>
        <v/>
      </c>
    </row>
    <row r="34" spans="2:23" ht="15.5">
      <c r="B34" s="33" t="s">
        <v>85</v>
      </c>
      <c r="C34" s="59">
        <v>500000</v>
      </c>
      <c r="E34" s="33" t="s">
        <v>85</v>
      </c>
      <c r="F34" s="59">
        <v>0</v>
      </c>
      <c r="H34" s="37" t="s">
        <v>1284</v>
      </c>
      <c r="I34" s="62" t="s">
        <v>71</v>
      </c>
      <c r="K34" s="33" t="s">
        <v>225</v>
      </c>
      <c r="L34" s="59">
        <v>2000</v>
      </c>
      <c r="Q34" s="33" t="s">
        <v>121</v>
      </c>
      <c r="R34" s="59">
        <v>100000</v>
      </c>
      <c r="U34" s="101" t="s">
        <v>1596</v>
      </c>
      <c r="V34" s="49" t="b">
        <f>IF(AND(input_FinancialDetail_AssetAndLiability_Assets_5_Roi&lt;=0.2,input_FinancialDetail_AssetAndLiability_Assets_5_Roi&gt;=-0.2),TRUE,FALSE)</f>
        <v>1</v>
      </c>
      <c r="W34" s="53" t="str">
        <f t="shared" si="0"/>
        <v/>
      </c>
    </row>
    <row r="35" spans="2:23" ht="15.5">
      <c r="B35" s="33" t="s">
        <v>90</v>
      </c>
      <c r="C35" s="59">
        <v>0.01</v>
      </c>
      <c r="E35" s="36" t="s">
        <v>112</v>
      </c>
      <c r="F35" s="60" t="s">
        <v>71</v>
      </c>
      <c r="H35" s="37" t="s">
        <v>1287</v>
      </c>
      <c r="I35" s="62">
        <v>10000</v>
      </c>
      <c r="K35" s="33" t="s">
        <v>227</v>
      </c>
      <c r="L35" s="59">
        <v>12000</v>
      </c>
      <c r="Q35" s="77" t="s">
        <v>1290</v>
      </c>
      <c r="R35" s="81" t="s">
        <v>122</v>
      </c>
      <c r="U35" s="101" t="s">
        <v>1597</v>
      </c>
      <c r="V35" s="49" t="b">
        <f>IF(AND(input_FinancialDetail_AssetAndLiability_Assets_6_Roi&lt;=0.2,input_FinancialDetail_AssetAndLiability_Assets_6_Roi&gt;=-0.2),TRUE,FALSE)</f>
        <v>1</v>
      </c>
      <c r="W35" s="53" t="str">
        <f t="shared" si="0"/>
        <v/>
      </c>
    </row>
    <row r="36" spans="2:23" ht="15.5">
      <c r="B36" s="33" t="s">
        <v>112</v>
      </c>
      <c r="C36" s="105" t="s">
        <v>1674</v>
      </c>
      <c r="H36" s="38" t="s">
        <v>1286</v>
      </c>
      <c r="I36" s="63">
        <v>120000</v>
      </c>
      <c r="K36" s="87" t="s">
        <v>123</v>
      </c>
      <c r="L36" s="88" t="s">
        <v>1322</v>
      </c>
      <c r="Q36" s="77" t="s">
        <v>1289</v>
      </c>
      <c r="R36" s="81" t="s">
        <v>1366</v>
      </c>
      <c r="U36" s="101" t="s">
        <v>1598</v>
      </c>
      <c r="V36" s="49" t="b">
        <f>IF(AND(input_FinancialDetail_AssetAndLiability_Assets_7_Roi&lt;=0.2,input_FinancialDetail_AssetAndLiability_Assets_7_Roi&gt;=-0.2),TRUE,FALSE)</f>
        <v>1</v>
      </c>
      <c r="W36" s="53" t="str">
        <f t="shared" si="0"/>
        <v/>
      </c>
    </row>
    <row r="37" spans="2:23" ht="15.5">
      <c r="B37" s="33"/>
      <c r="C37" s="34"/>
      <c r="K37" s="100" t="s">
        <v>246</v>
      </c>
      <c r="L37" s="62" t="s">
        <v>71</v>
      </c>
      <c r="Q37" s="33" t="s">
        <v>88</v>
      </c>
      <c r="R37" s="59" t="s">
        <v>89</v>
      </c>
      <c r="U37" s="101" t="s">
        <v>1599</v>
      </c>
      <c r="V37" s="49" t="b">
        <f>IF(AND(input_FinancialDetail_AssetAndLiability_Assets_8_Roi&lt;=0.2,input_FinancialDetail_AssetAndLiability_Assets_8_Roi&gt;=-0.2),TRUE,FALSE)</f>
        <v>1</v>
      </c>
      <c r="W37" s="53" t="str">
        <f t="shared" si="0"/>
        <v/>
      </c>
    </row>
    <row r="38" spans="2:23" ht="15.5">
      <c r="B38" s="33" t="s">
        <v>82</v>
      </c>
      <c r="C38" s="59" t="s">
        <v>1307</v>
      </c>
      <c r="K38" s="33"/>
      <c r="L38" s="34"/>
      <c r="Q38" s="33" t="s">
        <v>93</v>
      </c>
      <c r="R38" s="59" t="s">
        <v>94</v>
      </c>
      <c r="U38" s="101" t="s">
        <v>1600</v>
      </c>
      <c r="V38" s="49" t="b">
        <f>IF(AND(input_FinancialDetail_AssetAndLiability_Assets_9_Roi&lt;=0.2,input_FinancialDetail_AssetAndLiability_Assets_9_Roi&gt;=-0.2),TRUE,FALSE)</f>
        <v>1</v>
      </c>
      <c r="W38" s="53" t="str">
        <f t="shared" si="0"/>
        <v/>
      </c>
    </row>
    <row r="39" spans="2:23" ht="15.5">
      <c r="B39" s="33" t="s">
        <v>85</v>
      </c>
      <c r="C39" s="59">
        <v>500000</v>
      </c>
      <c r="K39" s="33" t="s">
        <v>226</v>
      </c>
      <c r="L39" s="59" t="s">
        <v>1339</v>
      </c>
      <c r="Q39" s="33" t="s">
        <v>96</v>
      </c>
      <c r="R39" s="59" t="s">
        <v>97</v>
      </c>
      <c r="U39" s="101" t="s">
        <v>1601</v>
      </c>
      <c r="V39" s="49" t="b">
        <f>IF(AND(input_FinancialDetail_AssetAndLiability_Assets_10_Roi&lt;=0.2,input_FinancialDetail_AssetAndLiability_Assets_10_Roi&gt;=-0.2),TRUE,FALSE)</f>
        <v>1</v>
      </c>
      <c r="W39" s="53" t="str">
        <f t="shared" si="0"/>
        <v/>
      </c>
    </row>
    <row r="40" spans="2:23" ht="15.5">
      <c r="B40" s="33" t="s">
        <v>90</v>
      </c>
      <c r="C40" s="59">
        <v>0.01</v>
      </c>
      <c r="K40" s="33" t="s">
        <v>225</v>
      </c>
      <c r="L40" s="59">
        <v>2000</v>
      </c>
      <c r="Q40" s="33" t="s">
        <v>99</v>
      </c>
      <c r="R40" s="59" t="s">
        <v>100</v>
      </c>
      <c r="U40" s="101" t="s">
        <v>1602</v>
      </c>
      <c r="V40" s="49" t="b">
        <f>IF(AND(input_FinancialDetail_AssetAndLiability_Assets_11_Roi&lt;=0.2,input_FinancialDetail_AssetAndLiability_Assets_11_Roi&gt;=-0.2),TRUE,FALSE)</f>
        <v>1</v>
      </c>
      <c r="W40" s="53" t="str">
        <f t="shared" si="0"/>
        <v/>
      </c>
    </row>
    <row r="41" spans="2:23" ht="15.5">
      <c r="B41" s="33" t="s">
        <v>112</v>
      </c>
      <c r="C41" s="105" t="s">
        <v>1674</v>
      </c>
      <c r="K41" s="33" t="s">
        <v>227</v>
      </c>
      <c r="L41" s="59">
        <v>12000</v>
      </c>
      <c r="Q41" s="33" t="s">
        <v>102</v>
      </c>
      <c r="R41" s="59" t="s">
        <v>103</v>
      </c>
      <c r="U41" s="101" t="s">
        <v>1603</v>
      </c>
      <c r="V41" s="49" t="b">
        <f>IF(AND(input_FinancialDetail_AssetAndLiability_Assets_12_Roi&lt;=0.2,input_FinancialDetail_AssetAndLiability_Assets_12_Roi&gt;=-0.2),TRUE,FALSE)</f>
        <v>1</v>
      </c>
      <c r="W41" s="53" t="str">
        <f t="shared" si="0"/>
        <v/>
      </c>
    </row>
    <row r="42" spans="2:23" ht="15.5">
      <c r="B42" s="33"/>
      <c r="C42" s="34"/>
      <c r="K42" s="87" t="s">
        <v>123</v>
      </c>
      <c r="L42" s="88" t="s">
        <v>1322</v>
      </c>
      <c r="Q42" s="33" t="s">
        <v>106</v>
      </c>
      <c r="R42" s="59">
        <v>500000</v>
      </c>
      <c r="U42" s="101" t="s">
        <v>1605</v>
      </c>
      <c r="V42" s="49" t="b">
        <f>IF(AND(input_FinancialDetail_AssetAndLiability_Assets_1_AssetType="OTHERS",input_FinancialDetail_AssetAndLiability_Assets_1_OtherAssetType="",LEN(input_FinancialDetail_AssetAndLiability_Assets_1_OtherAssetType)&gt;40),FALSE,TRUE)</f>
        <v>1</v>
      </c>
      <c r="W42" s="53" t="str">
        <f t="shared" si="0"/>
        <v/>
      </c>
    </row>
    <row r="43" spans="2:23" ht="15.5">
      <c r="B43" s="33" t="s">
        <v>82</v>
      </c>
      <c r="C43" s="59" t="s">
        <v>1307</v>
      </c>
      <c r="K43" s="78" t="s">
        <v>246</v>
      </c>
      <c r="L43" s="63" t="s">
        <v>71</v>
      </c>
      <c r="Q43" s="33" t="s">
        <v>107</v>
      </c>
      <c r="R43" s="59">
        <v>0</v>
      </c>
      <c r="U43" s="101" t="s">
        <v>1604</v>
      </c>
      <c r="V43" s="49" t="b">
        <f>IF(AND(input_FinancialDetail_AssetAndLiability_Assets_2_AssetType="OTHERS",input_FinancialDetail_AssetAndLiability_Assets_2_OtherAssetType="",LEN(input_FinancialDetail_AssetAndLiability_Assets_2_OtherAssetType)&gt;40),FALSE,TRUE)</f>
        <v>1</v>
      </c>
      <c r="W43" s="53" t="str">
        <f t="shared" si="0"/>
        <v/>
      </c>
    </row>
    <row r="44" spans="2:23" ht="15.5">
      <c r="B44" s="33" t="s">
        <v>85</v>
      </c>
      <c r="C44" s="59">
        <v>500000</v>
      </c>
      <c r="Q44" s="33" t="s">
        <v>55</v>
      </c>
      <c r="R44" s="59">
        <v>0</v>
      </c>
      <c r="U44" s="101" t="s">
        <v>1606</v>
      </c>
      <c r="V44" s="49" t="b">
        <f>IF(AND(input_FinancialDetail_AssetAndLiability_Assets_3_AssetType="OTHERS",input_FinancialDetail_AssetAndLiability_Assets_3_OtherAssetType="",LEN(input_FinancialDetail_AssetAndLiability_Assets_3_OtherAssetType)&gt;40),FALSE,TRUE)</f>
        <v>1</v>
      </c>
      <c r="W44" s="53" t="str">
        <f t="shared" si="0"/>
        <v/>
      </c>
    </row>
    <row r="45" spans="2:23" ht="15.5">
      <c r="B45" s="33" t="s">
        <v>90</v>
      </c>
      <c r="C45" s="59">
        <v>0.01</v>
      </c>
      <c r="Q45" s="77" t="s">
        <v>1292</v>
      </c>
      <c r="R45" s="59"/>
      <c r="U45" s="101" t="s">
        <v>1607</v>
      </c>
      <c r="V45" s="49" t="b">
        <f>IF(AND(input_FinancialDetail_AssetAndLiability_Assets_4_AssetType="OTHERS",input_FinancialDetail_AssetAndLiability_Assets_4_OtherAssetType="",LEN(input_FinancialDetail_AssetAndLiability_Assets_4_OtherAssetType)&gt;40),FALSE,TRUE)</f>
        <v>1</v>
      </c>
      <c r="W45" s="53" t="str">
        <f t="shared" si="0"/>
        <v/>
      </c>
    </row>
    <row r="46" spans="2:23" ht="15.5">
      <c r="B46" s="33" t="s">
        <v>112</v>
      </c>
      <c r="C46" s="105" t="s">
        <v>1674</v>
      </c>
      <c r="Q46" s="77" t="s">
        <v>1291</v>
      </c>
      <c r="R46" s="59" t="s">
        <v>108</v>
      </c>
      <c r="U46" s="101" t="s">
        <v>1608</v>
      </c>
      <c r="V46" s="49" t="b">
        <f>IF(AND(input_FinancialDetail_AssetAndLiability_Assets_5_AssetType="OTHERS",input_FinancialDetail_AssetAndLiability_Assets_5_OtherAssetType="",LEN(input_FinancialDetail_AssetAndLiability_Assets_5_OtherAssetType)&gt;40),FALSE,TRUE)</f>
        <v>1</v>
      </c>
      <c r="W46" s="53" t="str">
        <f t="shared" si="0"/>
        <v/>
      </c>
    </row>
    <row r="47" spans="2:23" ht="15.5">
      <c r="B47" s="33"/>
      <c r="C47" s="34"/>
      <c r="Q47" s="33" t="s">
        <v>109</v>
      </c>
      <c r="R47" s="59" t="b">
        <v>0</v>
      </c>
      <c r="U47" s="101" t="s">
        <v>1609</v>
      </c>
      <c r="V47" s="49" t="b">
        <f>IF(AND(input_FinancialDetail_AssetAndLiability_Assets_6_AssetType="OTHERS",input_FinancialDetail_AssetAndLiability_Assets_6_OtherAssetType="",LEN(input_FinancialDetail_AssetAndLiability_Assets_6_OtherAssetType)&gt;40),FALSE,TRUE)</f>
        <v>1</v>
      </c>
      <c r="W47" s="53" t="str">
        <f t="shared" si="0"/>
        <v/>
      </c>
    </row>
    <row r="48" spans="2:23" ht="15.5">
      <c r="B48" s="33" t="s">
        <v>82</v>
      </c>
      <c r="C48" s="59" t="s">
        <v>1307</v>
      </c>
      <c r="Q48" s="33" t="s">
        <v>110</v>
      </c>
      <c r="R48" s="59">
        <v>0</v>
      </c>
      <c r="U48" s="101" t="s">
        <v>1610</v>
      </c>
      <c r="V48" s="49" t="b">
        <f>IF(AND(input_FinancialDetail_AssetAndLiability_Assets_7_AssetType="OTHERS",input_FinancialDetail_AssetAndLiability_Assets_7_OtherAssetType="",LEN(input_FinancialDetail_AssetAndLiability_Assets_7_OtherAssetType)&gt;40),FALSE,TRUE)</f>
        <v>1</v>
      </c>
      <c r="W48" s="53" t="str">
        <f t="shared" si="0"/>
        <v/>
      </c>
    </row>
    <row r="49" spans="2:23" ht="15.5">
      <c r="B49" s="33" t="s">
        <v>85</v>
      </c>
      <c r="C49" s="59">
        <v>500000</v>
      </c>
      <c r="Q49" s="33" t="s">
        <v>111</v>
      </c>
      <c r="R49" s="59">
        <v>0</v>
      </c>
      <c r="U49" s="101" t="s">
        <v>1611</v>
      </c>
      <c r="V49" s="49" t="b">
        <f>IF(AND(input_FinancialDetail_AssetAndLiability_Assets_8_AssetType="OTHERS",input_FinancialDetail_AssetAndLiability_Assets_8_OtherAssetType="",LEN(input_FinancialDetail_AssetAndLiability_Assets_8_OtherAssetType)&gt;40),FALSE,TRUE)</f>
        <v>1</v>
      </c>
      <c r="W49" s="53" t="str">
        <f t="shared" si="0"/>
        <v/>
      </c>
    </row>
    <row r="50" spans="2:23" ht="15.5">
      <c r="B50" s="33" t="s">
        <v>90</v>
      </c>
      <c r="C50" s="59">
        <v>0.01</v>
      </c>
      <c r="Q50" s="33" t="s">
        <v>113</v>
      </c>
      <c r="R50" s="59">
        <v>0</v>
      </c>
      <c r="U50" s="101" t="s">
        <v>1612</v>
      </c>
      <c r="V50" s="49" t="b">
        <f>IF(AND(input_FinancialDetail_AssetAndLiability_Assets_9_AssetType="OTHERS",input_FinancialDetail_AssetAndLiability_Assets_9_OtherAssetType="",LEN(input_FinancialDetail_AssetAndLiability_Assets_9_OtherAssetType)&gt;40),FALSE,TRUE)</f>
        <v>1</v>
      </c>
      <c r="W50" s="53" t="str">
        <f t="shared" si="0"/>
        <v/>
      </c>
    </row>
    <row r="51" spans="2:23" ht="15.5">
      <c r="B51" s="33" t="s">
        <v>112</v>
      </c>
      <c r="C51" s="105" t="s">
        <v>1674</v>
      </c>
      <c r="Q51" s="33" t="s">
        <v>114</v>
      </c>
      <c r="R51" s="59">
        <v>0</v>
      </c>
      <c r="U51" s="101" t="s">
        <v>1613</v>
      </c>
      <c r="V51" s="49" t="b">
        <f>IF(AND(input_FinancialDetail_AssetAndLiability_Assets_10_AssetType="OTHERS",input_FinancialDetail_AssetAndLiability_Assets_10_OtherAssetType="",LEN(input_FinancialDetail_AssetAndLiability_Assets_10_OtherAssetType)&gt;40),FALSE,TRUE)</f>
        <v>1</v>
      </c>
      <c r="W51" s="53" t="str">
        <f t="shared" si="0"/>
        <v/>
      </c>
    </row>
    <row r="52" spans="2:23" ht="15.5">
      <c r="B52" s="33"/>
      <c r="C52" s="34"/>
      <c r="Q52" s="33" t="s">
        <v>115</v>
      </c>
      <c r="R52" s="59">
        <v>0</v>
      </c>
      <c r="U52" s="101" t="s">
        <v>1614</v>
      </c>
      <c r="V52" s="49" t="b">
        <f>IF(AND(input_FinancialDetail_AssetAndLiability_Assets_11_AssetType="OTHERS",input_FinancialDetail_AssetAndLiability_Assets_11_OtherAssetType="",LEN(input_FinancialDetail_AssetAndLiability_Assets_11_OtherAssetType)&gt;40),FALSE,TRUE)</f>
        <v>1</v>
      </c>
      <c r="W52" s="53" t="str">
        <f t="shared" si="0"/>
        <v/>
      </c>
    </row>
    <row r="53" spans="2:23" ht="15.5">
      <c r="B53" s="33" t="s">
        <v>82</v>
      </c>
      <c r="C53" s="59" t="s">
        <v>1307</v>
      </c>
      <c r="Q53" s="33" t="s">
        <v>116</v>
      </c>
      <c r="R53" s="59">
        <v>0</v>
      </c>
      <c r="U53" s="101" t="s">
        <v>1615</v>
      </c>
      <c r="V53" s="49" t="b">
        <f>IF(AND(input_FinancialDetail_AssetAndLiability_Assets_12_AssetType="OTHERS",input_FinancialDetail_AssetAndLiability_Assets_12_OtherAssetType="",LEN(input_FinancialDetail_AssetAndLiability_Assets_12_OtherAssetType)&gt;40),FALSE,TRUE)</f>
        <v>1</v>
      </c>
      <c r="W53" s="53" t="str">
        <f t="shared" si="0"/>
        <v/>
      </c>
    </row>
    <row r="54" spans="2:23" ht="15.5">
      <c r="B54" s="33" t="s">
        <v>85</v>
      </c>
      <c r="C54" s="59">
        <v>500000</v>
      </c>
      <c r="Q54" s="33" t="s">
        <v>118</v>
      </c>
      <c r="R54" s="59">
        <v>20000</v>
      </c>
      <c r="U54" s="101" t="s">
        <v>1616</v>
      </c>
      <c r="V54" s="49" t="b">
        <f>OR(input_FinancialDetail_AssetAndLiability_Liabilities_1_LiabilityType="",NOT(ISERROR(VLOOKUP(input_FinancialDetail_AssetAndLiability_Liabilities_1_LiabilityType,$AD$2:$AD$5,1,0))))</f>
        <v>1</v>
      </c>
      <c r="W54" s="53" t="str">
        <f t="shared" si="0"/>
        <v/>
      </c>
    </row>
    <row r="55" spans="2:23" ht="15.5">
      <c r="B55" s="33" t="s">
        <v>90</v>
      </c>
      <c r="C55" s="59">
        <v>0.01</v>
      </c>
      <c r="Q55" s="36" t="s">
        <v>119</v>
      </c>
      <c r="R55" s="60">
        <v>1000</v>
      </c>
      <c r="U55" s="101" t="s">
        <v>1617</v>
      </c>
      <c r="V55" s="49" t="b">
        <f>OR(input_FinancialDetail_AssetAndLiability_Liabilities_2_LiabilityType="",NOT(ISERROR(VLOOKUP(input_FinancialDetail_AssetAndLiability_Liabilities_2_LiabilityType,$AD$2:$AD$5,1,0))))</f>
        <v>1</v>
      </c>
      <c r="W55" s="53" t="str">
        <f t="shared" si="0"/>
        <v/>
      </c>
    </row>
    <row r="56" spans="2:23" ht="15.5">
      <c r="B56" s="33" t="s">
        <v>112</v>
      </c>
      <c r="C56" s="105" t="s">
        <v>1674</v>
      </c>
      <c r="U56" s="101" t="s">
        <v>1618</v>
      </c>
      <c r="V56" s="49" t="b">
        <f>OR(input_FinancialDetail_AssetAndLiability_Liabilities_3_LiabilityType="",NOT(ISERROR(VLOOKUP(input_FinancialDetail_AssetAndLiability_Liabilities_3_LiabilityType,$AD$2:$AD$5,1,0))))</f>
        <v>1</v>
      </c>
      <c r="W56" s="53" t="str">
        <f t="shared" si="0"/>
        <v/>
      </c>
    </row>
    <row r="57" spans="2:23" ht="15.5">
      <c r="B57" s="33"/>
      <c r="C57" s="34"/>
      <c r="U57" s="101" t="s">
        <v>1619</v>
      </c>
      <c r="V57" s="49" t="b">
        <f>OR(input_FinancialDetail_AssetAndLiability_Liabilities_4_LiabilityType="",NOT(ISERROR(VLOOKUP(input_FinancialDetail_AssetAndLiability_Liabilities_4_LiabilityType,$AD$2:$AD$5,1,0))))</f>
        <v>1</v>
      </c>
      <c r="W57" s="53" t="str">
        <f t="shared" si="0"/>
        <v/>
      </c>
    </row>
    <row r="58" spans="2:23" ht="15.5">
      <c r="B58" s="33" t="s">
        <v>82</v>
      </c>
      <c r="C58" s="59" t="s">
        <v>1307</v>
      </c>
      <c r="U58" s="101" t="s">
        <v>1620</v>
      </c>
      <c r="V58" s="49" t="b">
        <f>OR(input_FinancialDetail_AssetAndLiability_Liabilities_5_LiabilityType="",NOT(ISERROR(VLOOKUP(input_FinancialDetail_AssetAndLiability_Liabilities_5_LiabilityType,$AD$2:$AD$5,1,0))))</f>
        <v>1</v>
      </c>
      <c r="W58" s="53" t="str">
        <f t="shared" si="0"/>
        <v/>
      </c>
    </row>
    <row r="59" spans="2:23" ht="15.5">
      <c r="B59" s="33" t="s">
        <v>85</v>
      </c>
      <c r="C59" s="59">
        <v>500000</v>
      </c>
      <c r="U59" s="101" t="s">
        <v>1621</v>
      </c>
      <c r="V59" s="49" t="b">
        <f>OR(input_FinancialDetail_AssetAndLiability_Liabilities_6_LiabilityType="",NOT(ISERROR(VLOOKUP(input_FinancialDetail_AssetAndLiability_Liabilities_6_LiabilityType,$AD$2:$AD$5,1,0))))</f>
        <v>1</v>
      </c>
      <c r="W59" s="53" t="str">
        <f t="shared" si="0"/>
        <v/>
      </c>
    </row>
    <row r="60" spans="2:23" ht="15.5">
      <c r="B60" s="33" t="s">
        <v>90</v>
      </c>
      <c r="C60" s="59">
        <v>0.01</v>
      </c>
      <c r="U60" s="102" t="s">
        <v>1622</v>
      </c>
      <c r="V60" s="49" t="b">
        <f>IF(AND(input_FinancialDetail_AssetAndLiability_Liabilities_1_LiabilityValue&lt;=9999999999,input_FinancialDetail_AssetAndLiability_Liabilities_1_LiabilityValue&gt;=0),TRUE,FALSE)</f>
        <v>1</v>
      </c>
      <c r="W60" s="53" t="str">
        <f t="shared" si="0"/>
        <v/>
      </c>
    </row>
    <row r="61" spans="2:23" ht="15.5">
      <c r="B61" s="33" t="s">
        <v>112</v>
      </c>
      <c r="C61" s="105" t="s">
        <v>1674</v>
      </c>
      <c r="U61" s="102" t="s">
        <v>1623</v>
      </c>
      <c r="V61" s="49" t="b">
        <f>IF(AND(input_FinancialDetail_AssetAndLiability_Liabilities_2_LiabilityValue&lt;=9999999999,input_FinancialDetail_AssetAndLiability_Liabilities_2_LiabilityValue&gt;=0),TRUE,FALSE)</f>
        <v>1</v>
      </c>
      <c r="W61" s="53" t="str">
        <f t="shared" si="0"/>
        <v/>
      </c>
    </row>
    <row r="62" spans="2:23" ht="15.5">
      <c r="B62" s="33"/>
      <c r="C62" s="34"/>
      <c r="U62" s="102" t="s">
        <v>1624</v>
      </c>
      <c r="V62" s="49" t="b">
        <f>IF(AND(input_FinancialDetail_AssetAndLiability_Liabilities_3_LiabilityValue&lt;=9999999999,input_FinancialDetail_AssetAndLiability_Liabilities_3_LiabilityValue&gt;=0),TRUE,FALSE)</f>
        <v>1</v>
      </c>
      <c r="W62" s="53" t="str">
        <f t="shared" si="0"/>
        <v/>
      </c>
    </row>
    <row r="63" spans="2:23" ht="15.5">
      <c r="B63" s="33" t="s">
        <v>82</v>
      </c>
      <c r="C63" s="59" t="s">
        <v>1307</v>
      </c>
      <c r="U63" s="102" t="s">
        <v>1625</v>
      </c>
      <c r="V63" s="49" t="b">
        <f>IF(AND(input_FinancialDetail_AssetAndLiability_Liabilities_4_LiabilityValue&lt;=9999999999,input_FinancialDetail_AssetAndLiability_Liabilities_4_LiabilityValue&gt;=0),TRUE,FALSE)</f>
        <v>1</v>
      </c>
      <c r="W63" s="53" t="str">
        <f t="shared" si="0"/>
        <v/>
      </c>
    </row>
    <row r="64" spans="2:23" ht="15.5">
      <c r="B64" s="33" t="s">
        <v>85</v>
      </c>
      <c r="C64" s="59">
        <v>500000</v>
      </c>
      <c r="U64" s="102" t="s">
        <v>1626</v>
      </c>
      <c r="V64" s="49" t="b">
        <f>IF(AND(input_FinancialDetail_AssetAndLiability_Liabilities_5_LiabilityValue&lt;=9999999999,input_FinancialDetail_AssetAndLiability_Liabilities_5_LiabilityValue&gt;=0),TRUE,FALSE)</f>
        <v>1</v>
      </c>
      <c r="W64" s="53" t="str">
        <f t="shared" si="0"/>
        <v/>
      </c>
    </row>
    <row r="65" spans="2:23" ht="15.5">
      <c r="B65" s="33" t="s">
        <v>90</v>
      </c>
      <c r="C65" s="59">
        <v>0.01</v>
      </c>
      <c r="U65" s="102" t="s">
        <v>1627</v>
      </c>
      <c r="V65" s="49" t="b">
        <f>IF(AND(input_FinancialDetail_AssetAndLiability_Liabilities_6_LiabilityValue&lt;=9999999999,input_FinancialDetail_AssetAndLiability_Liabilities_6_LiabilityValue&gt;=0),TRUE,FALSE)</f>
        <v>1</v>
      </c>
      <c r="W65" s="53" t="str">
        <f t="shared" si="0"/>
        <v/>
      </c>
    </row>
    <row r="66" spans="2:23" ht="15.5">
      <c r="B66" s="33" t="s">
        <v>112</v>
      </c>
      <c r="C66" s="105" t="s">
        <v>1674</v>
      </c>
      <c r="U66" s="102" t="s">
        <v>1628</v>
      </c>
      <c r="V66" s="49" t="b">
        <f>IF(AND(input_FinancialDetail_AssetAndLiability_Liabilities_1_LiabilityType="OTHERS",input_FinancialDetail_AssetAndLiability_Liabilities_1_OtherLiabilityType="",LEN(input_FinancialDetail_AssetAndLiability_Liabilities_1_OtherLiabilityType)&gt;40),FALSE,TRUE)</f>
        <v>1</v>
      </c>
      <c r="W66" s="53" t="str">
        <f t="shared" si="0"/>
        <v/>
      </c>
    </row>
    <row r="67" spans="2:23" ht="15.5">
      <c r="B67" s="33"/>
      <c r="C67" s="34"/>
      <c r="U67" s="102" t="s">
        <v>1629</v>
      </c>
      <c r="V67" s="49" t="b">
        <f>IF(AND(input_FinancialDetail_AssetAndLiability_Liabilities_2_LiabilityType="OTHERS",input_FinancialDetail_AssetAndLiability_Liabilities_2_OtherLiabilityType="",LEN(input_FinancialDetail_AssetAndLiability_Liabilities_2_OtherLiabilityType)&gt;40),FALSE,TRUE)</f>
        <v>1</v>
      </c>
      <c r="W67" s="53" t="str">
        <f t="shared" si="0"/>
        <v/>
      </c>
    </row>
    <row r="68" spans="2:23" ht="15.5">
      <c r="B68" s="33" t="s">
        <v>82</v>
      </c>
      <c r="C68" s="59" t="s">
        <v>1307</v>
      </c>
      <c r="U68" s="102" t="s">
        <v>1630</v>
      </c>
      <c r="V68" s="49" t="b">
        <f>IF(AND(input_FinancialDetail_AssetAndLiability_Liabilities_3_LiabilityType="OTHERS",input_FinancialDetail_AssetAndLiability_Liabilities_3_OtherLiabilityType="",LEN(input_FinancialDetail_AssetAndLiability_Liabilities_3_OtherLiabilityType)&gt;40),FALSE,TRUE)</f>
        <v>1</v>
      </c>
      <c r="W68" s="53" t="str">
        <f t="shared" si="0"/>
        <v/>
      </c>
    </row>
    <row r="69" spans="2:23" ht="15.5">
      <c r="B69" s="33" t="s">
        <v>85</v>
      </c>
      <c r="C69" s="59">
        <v>500000</v>
      </c>
      <c r="U69" s="102" t="s">
        <v>1631</v>
      </c>
      <c r="V69" s="49" t="b">
        <f>IF(AND(input_FinancialDetail_AssetAndLiability_Liabilities_4_LiabilityType="OTHERS",input_FinancialDetail_AssetAndLiability_Liabilities_4_OtherLiabilityType="",LEN(input_FinancialDetail_AssetAndLiability_Liabilities_4_OtherLiabilityType)&gt;40),FALSE,TRUE)</f>
        <v>1</v>
      </c>
      <c r="W69" s="53" t="str">
        <f t="shared" si="0"/>
        <v/>
      </c>
    </row>
    <row r="70" spans="2:23" ht="15.5">
      <c r="B70" s="33" t="s">
        <v>90</v>
      </c>
      <c r="C70" s="59">
        <v>0.01</v>
      </c>
      <c r="U70" s="102" t="s">
        <v>1632</v>
      </c>
      <c r="V70" s="49" t="b">
        <f>IF(AND(input_FinancialDetail_AssetAndLiability_Liabilities_5_LiabilityType="OTHERS",input_FinancialDetail_AssetAndLiability_Liabilities_5_OtherLiabilityType="",LEN(input_FinancialDetail_AssetAndLiability_Liabilities_5_OtherLiabilityType)&gt;40),FALSE,TRUE)</f>
        <v>1</v>
      </c>
      <c r="W70" s="53" t="str">
        <f t="shared" si="0"/>
        <v/>
      </c>
    </row>
    <row r="71" spans="2:23" ht="15.5">
      <c r="B71" s="36" t="s">
        <v>112</v>
      </c>
      <c r="C71" s="106" t="s">
        <v>1674</v>
      </c>
      <c r="U71" s="102" t="s">
        <v>1633</v>
      </c>
      <c r="V71" s="49" t="b">
        <f>IF(AND(input_FinancialDetail_AssetAndLiability_Liabilities_6_LiabilityType="OTHERS",input_FinancialDetail_AssetAndLiability_Liabilities_6_OtherLiabilityType="",LEN(input_FinancialDetail_AssetAndLiability_Liabilities_6_OtherLiabilityType)&gt;40),FALSE,TRUE)</f>
        <v>1</v>
      </c>
      <c r="W71" s="53" t="str">
        <f t="shared" ref="W71:W134" si="1">IF(V71=TRUE,"",VLOOKUP(U71,$U$141:$V$273,2,FALSE))</f>
        <v/>
      </c>
    </row>
    <row r="72" spans="2:23" ht="15.5">
      <c r="U72" s="94" t="s">
        <v>1391</v>
      </c>
      <c r="V72" s="49" t="b">
        <f>IF(input_FinancialDetail_AssetAndLiability_SignificantChangeDeclaration_IsExpected="",FALSE,TRUE)</f>
        <v>1</v>
      </c>
      <c r="W72" s="53" t="str">
        <f t="shared" si="1"/>
        <v/>
      </c>
    </row>
    <row r="73" spans="2:23" ht="15.5">
      <c r="U73" s="94" t="s">
        <v>1390</v>
      </c>
      <c r="V73" s="49" t="b">
        <f>IF(AND(input_FinancialDetail_AssetAndLiability_SignificantChangeDeclaration_IsExpected=TRUE,input_FinancialDetail_AssetAndLiability_SignificantChangeDeclaration_ReasonForChange="",LEN(input_FinancialDetail_AssetAndLiability_SignificantChangeDeclaration_ReasonForChange)&gt;100),FALSE,TRUE)</f>
        <v>1</v>
      </c>
      <c r="W73" s="53" t="str">
        <f t="shared" si="1"/>
        <v/>
      </c>
    </row>
    <row r="74" spans="2:23" ht="15.5">
      <c r="U74" s="94" t="s">
        <v>1392</v>
      </c>
      <c r="V74" s="49" t="b">
        <f>IF(input_FinancialDetail_AssetAndLiability_Disclosure_Disclose="",FALSE,TRUE)</f>
        <v>1</v>
      </c>
      <c r="W74" s="53" t="str">
        <f t="shared" si="1"/>
        <v/>
      </c>
    </row>
    <row r="75" spans="2:23" ht="15.5">
      <c r="U75" s="94" t="s">
        <v>1393</v>
      </c>
      <c r="V75" s="49" t="b">
        <f>IF(AND(input_FinancialDetail_AssetAndLiability_Disclosure_Disclose=TRUE,input_FinancialDetail_AssetAndLiability_Disclosure_DiscloseReason=""),FALSE,TRUE)</f>
        <v>1</v>
      </c>
      <c r="W75" s="53" t="str">
        <f t="shared" si="1"/>
        <v/>
      </c>
    </row>
    <row r="76" spans="2:23" ht="15.5">
      <c r="U76" s="94" t="s">
        <v>1394</v>
      </c>
      <c r="V76" s="49" t="b">
        <f>IF(AND(input_FinancialDetail_AssetAndLiability_Disclosure_Disclose=TRUE,input_FinancialDetail_AssetAndLiability_Disclosure_DiscloseReason="OTHERS",input_FinancialDetail_AssetAndLiability_Disclosure_OtherReason="",LEN(input_FinancialDetail_AssetAndLiability_Disclosure_OtherReason)&gt;1000),FALSE,TRUE)</f>
        <v>1</v>
      </c>
      <c r="W76" s="53" t="str">
        <f t="shared" si="1"/>
        <v/>
      </c>
    </row>
    <row r="77" spans="2:23" ht="15.5">
      <c r="U77" s="86" t="s">
        <v>1330</v>
      </c>
      <c r="V77" s="49" t="b">
        <f>IF(AND(input_FinancialDetail_IncomeAndExpense_IncomeOverview_MonthlyIncomeBeforeCPF&lt;=9999999999,input_FinancialDetail_IncomeAndExpense_IncomeOverview_MonthlyIncomeBeforeCPF&gt;=0),TRUE,FALSE)</f>
        <v>1</v>
      </c>
      <c r="W77" s="53" t="str">
        <f t="shared" si="1"/>
        <v/>
      </c>
    </row>
    <row r="78" spans="2:23" ht="15.5">
      <c r="U78" s="86" t="s">
        <v>1331</v>
      </c>
      <c r="V78" s="49" t="b">
        <f>IF(AND(input_FinancialDetail_IncomeAndExpense_IncomeOverview_AnnualIncomeBeforeCPF&lt;=9999999999,input_FinancialDetail_IncomeAndExpense_IncomeOverview_AnnualIncomeBeforeCPF&gt;=0),TRUE,FALSE)</f>
        <v>1</v>
      </c>
      <c r="W78" s="53" t="str">
        <f t="shared" si="1"/>
        <v/>
      </c>
    </row>
    <row r="79" spans="2:23" ht="15.5">
      <c r="U79" s="86" t="s">
        <v>1332</v>
      </c>
      <c r="V79" s="49" t="b">
        <f>IF(AND(input_FinancialDetail_IncomeAndExpense_IncomeOverview_AnnualEmployeeCPFContribution&lt;=9999999999,input_FinancialDetail_IncomeAndExpense_IncomeOverview_AnnualEmployeeCPFContribution&gt;=0),TRUE,FALSE)</f>
        <v>1</v>
      </c>
      <c r="W79" s="53" t="str">
        <f t="shared" si="1"/>
        <v/>
      </c>
    </row>
    <row r="80" spans="2:23" ht="15.5">
      <c r="U80" s="85" t="s">
        <v>1333</v>
      </c>
      <c r="V80" s="49" t="b">
        <f>IF(AND(input_FinancialDetail_IncomeAndExpense_IncomeOverview_NetAnnualIncome&lt;=9999999999,input_FinancialDetail_IncomeAndExpense_IncomeOverview_NetAnnualIncome&gt;=0),TRUE,FALSE)</f>
        <v>1</v>
      </c>
      <c r="W80" s="53" t="str">
        <f t="shared" si="1"/>
        <v/>
      </c>
    </row>
    <row r="81" spans="21:23" ht="15.5">
      <c r="U81" s="68" t="s">
        <v>224</v>
      </c>
      <c r="V81" s="49" t="b">
        <f>IF(AND(input_FinancialDetail_IncomeAndExpense_IncomeOverview_TotalTakeHomeAnnualIncome&lt;=9999999999,input_FinancialDetail_IncomeAndExpense_IncomeOverview_TotalTakeHomeAnnualIncome&gt;=0),TRUE,FALSE)</f>
        <v>1</v>
      </c>
      <c r="W81" s="53" t="str">
        <f t="shared" si="1"/>
        <v/>
      </c>
    </row>
    <row r="82" spans="21:23" ht="15.5">
      <c r="U82" s="68" t="s">
        <v>1285</v>
      </c>
      <c r="V82" s="49" t="b">
        <f>IF(AND(input_FinancialDetail_IncomeAndExpense_IncomeOverview_AnnualBonusAmount&lt;=9999999999,input_FinancialDetail_IncomeAndExpense_IncomeOverview_AnnualBonusAmount&gt;=0),TRUE,FALSE)</f>
        <v>1</v>
      </c>
      <c r="W82" s="53" t="str">
        <f t="shared" si="1"/>
        <v/>
      </c>
    </row>
    <row r="83" spans="21:23" ht="15.5">
      <c r="U83" s="102" t="s">
        <v>1634</v>
      </c>
      <c r="V83" s="49" t="b">
        <f>OR(input_FinancialDetail_IncomeAndExpense_IncomeOverview_PassiveIncome_1_Type="",NOT(ISERROR(VLOOKUP(input_FinancialDetail_IncomeAndExpense_IncomeOverview_PassiveIncome_1_Type,$AE$2:$AE$4,1,0))))</f>
        <v>1</v>
      </c>
      <c r="W83" s="53" t="str">
        <f t="shared" si="1"/>
        <v/>
      </c>
    </row>
    <row r="84" spans="21:23" ht="15.5">
      <c r="U84" s="102" t="s">
        <v>1635</v>
      </c>
      <c r="V84" s="49" t="b">
        <f>OR(input_FinancialDetail_IncomeAndExpense_IncomeOverview_PassiveIncome_2_Type="",NOT(ISERROR(VLOOKUP(input_FinancialDetail_IncomeAndExpense_IncomeOverview_PassiveIncome_2_Type,$AE$2:$AE$4,1,0))))</f>
        <v>1</v>
      </c>
      <c r="W84" s="53" t="str">
        <f t="shared" si="1"/>
        <v/>
      </c>
    </row>
    <row r="85" spans="21:23" ht="15.5">
      <c r="U85" s="102" t="s">
        <v>1636</v>
      </c>
      <c r="V85" s="49" t="b">
        <f>OR(input_FinancialDetail_IncomeAndExpense_IncomeOverview_PassiveIncome_3_Type="",NOT(ISERROR(VLOOKUP(input_FinancialDetail_IncomeAndExpense_IncomeOverview_PassiveIncome_3_Type,$AE$2:$AE$4,1,0))))</f>
        <v>1</v>
      </c>
      <c r="W85" s="53" t="str">
        <f t="shared" si="1"/>
        <v/>
      </c>
    </row>
    <row r="86" spans="21:23" ht="15.5">
      <c r="U86" s="102" t="s">
        <v>1637</v>
      </c>
      <c r="V86" s="49" t="b">
        <f>OR(input_FinancialDetail_IncomeAndExpense_IncomeOverview_PassiveIncome_1_Frequency="",NOT(ISERROR(VLOOKUP(input_FinancialDetail_IncomeAndExpense_IncomeOverview_PassiveIncome_1_Frequency,$AC$2:$AC$5,1,0))))</f>
        <v>1</v>
      </c>
      <c r="W86" s="53" t="str">
        <f t="shared" si="1"/>
        <v/>
      </c>
    </row>
    <row r="87" spans="21:23" ht="15.5">
      <c r="U87" s="102" t="s">
        <v>1638</v>
      </c>
      <c r="V87" s="49" t="b">
        <f>OR(input_FinancialDetail_IncomeAndExpense_IncomeOverview_PassiveIncome_2_Frequency="",NOT(ISERROR(VLOOKUP(input_FinancialDetail_IncomeAndExpense_IncomeOverview_PassiveIncome_2_Frequency,$AC$2:$AC$5,1,0))))</f>
        <v>1</v>
      </c>
      <c r="W87" s="53" t="str">
        <f t="shared" si="1"/>
        <v/>
      </c>
    </row>
    <row r="88" spans="21:23" ht="15.5">
      <c r="U88" s="102" t="s">
        <v>1639</v>
      </c>
      <c r="V88" s="49" t="b">
        <f>OR(input_FinancialDetail_IncomeAndExpense_IncomeOverview_PassiveIncome_3_Frequency="",NOT(ISERROR(VLOOKUP(input_FinancialDetail_IncomeAndExpense_IncomeOverview_PassiveIncome_3_Frequency,$AC$2:$AC$5,1,0))))</f>
        <v>1</v>
      </c>
      <c r="W88" s="53" t="str">
        <f t="shared" si="1"/>
        <v/>
      </c>
    </row>
    <row r="89" spans="21:23" ht="15.5">
      <c r="U89" s="102" t="s">
        <v>1640</v>
      </c>
      <c r="V89" s="49" t="b">
        <f>IF(AND(input_FinancialDetail_IncomeAndExpense_IncomeOverview_PassiveIncome_1_Type="OTHERS",input_FinancialDetail_IncomeAndExpense_IncomeOverview_PassiveIncome_1_Description="",LEN(input_FinancialDetail_IncomeAndExpense_IncomeOverview_PassiveIncome_1_Description)&gt;40),FALSE,TRUE)</f>
        <v>1</v>
      </c>
      <c r="W89" s="53" t="str">
        <f t="shared" si="1"/>
        <v/>
      </c>
    </row>
    <row r="90" spans="21:23" ht="15.5">
      <c r="U90" s="102" t="s">
        <v>1641</v>
      </c>
      <c r="V90" s="49" t="b">
        <f>IF(AND(input_FinancialDetail_IncomeAndExpense_IncomeOverview_PassiveIncome_2_Type="OTHERS",input_FinancialDetail_IncomeAndExpense_IncomeOverview_PassiveIncome_2_Description="",LEN(input_FinancialDetail_IncomeAndExpense_IncomeOverview_PassiveIncome_2_Description)&gt;40),FALSE,TRUE)</f>
        <v>1</v>
      </c>
      <c r="W90" s="53" t="str">
        <f t="shared" si="1"/>
        <v/>
      </c>
    </row>
    <row r="91" spans="21:23" ht="15.5">
      <c r="U91" s="102" t="s">
        <v>1642</v>
      </c>
      <c r="V91" s="49" t="b">
        <f>IF(AND(input_FinancialDetail_IncomeAndExpense_IncomeOverview_PassiveIncome_3_Type="OTHERS",input_FinancialDetail_IncomeAndExpense_IncomeOverview_PassiveIncome_3_Description="",LEN(input_FinancialDetail_IncomeAndExpense_IncomeOverview_PassiveIncome_3_Description)&gt;40),FALSE,TRUE)</f>
        <v>1</v>
      </c>
      <c r="W91" s="53" t="str">
        <f t="shared" si="1"/>
        <v/>
      </c>
    </row>
    <row r="92" spans="21:23" ht="15.5">
      <c r="U92" s="102" t="s">
        <v>1643</v>
      </c>
      <c r="V92" s="49" t="b">
        <f>IF(AND(input_FinancialDetail_IncomeAndExpense_IncomeOverview_PassiveIncome_1_MonthlyAmount&lt;=9999999999,input_FinancialDetail_IncomeAndExpense_IncomeOverview_PassiveIncome_1_MonthlyAmount&gt;=0),TRUE,FALSE)</f>
        <v>1</v>
      </c>
      <c r="W92" s="53" t="str">
        <f t="shared" si="1"/>
        <v/>
      </c>
    </row>
    <row r="93" spans="21:23" ht="15.5">
      <c r="U93" s="102" t="s">
        <v>1644</v>
      </c>
      <c r="V93" s="49" t="b">
        <f>IF(AND(input_FinancialDetail_IncomeAndExpense_IncomeOverview_PassiveIncome_2_MonthlyAmount&lt;=9999999999,input_FinancialDetail_IncomeAndExpense_IncomeOverview_PassiveIncome_2_MonthlyAmount&gt;=0),TRUE,FALSE)</f>
        <v>1</v>
      </c>
      <c r="W93" s="53" t="str">
        <f t="shared" si="1"/>
        <v/>
      </c>
    </row>
    <row r="94" spans="21:23" ht="15.5">
      <c r="U94" s="102" t="s">
        <v>1645</v>
      </c>
      <c r="V94" s="49" t="b">
        <f>IF(AND(input_FinancialDetail_IncomeAndExpense_IncomeOverview_PassiveIncome_3_MonthlyAmount&lt;=9999999999,input_FinancialDetail_IncomeAndExpense_IncomeOverview_PassiveIncome_3_MonthlyAmount&gt;=0),TRUE,FALSE)</f>
        <v>1</v>
      </c>
      <c r="W94" s="53" t="str">
        <f t="shared" si="1"/>
        <v/>
      </c>
    </row>
    <row r="95" spans="21:23" ht="15.5">
      <c r="U95" s="102" t="s">
        <v>1646</v>
      </c>
      <c r="V95" s="49" t="b">
        <f>IF(AND(input_FinancialDetail_IncomeAndExpense_IncomeOverview_PassiveIncome_1_AnnualAmount&lt;=9999999999,input_FinancialDetail_IncomeAndExpense_IncomeOverview_PassiveIncome_1_AnnualAmount&gt;=0),TRUE,FALSE)</f>
        <v>1</v>
      </c>
      <c r="W95" s="53" t="str">
        <f t="shared" si="1"/>
        <v/>
      </c>
    </row>
    <row r="96" spans="21:23" ht="15.5">
      <c r="U96" s="102" t="s">
        <v>1647</v>
      </c>
      <c r="V96" s="49" t="b">
        <f>IF(AND(input_FinancialDetail_IncomeAndExpense_IncomeOverview_PassiveIncome_2_AnnualAmount&lt;=9999999999,input_FinancialDetail_IncomeAndExpense_IncomeOverview_PassiveIncome_2_AnnualAmount&gt;=0),TRUE,FALSE)</f>
        <v>1</v>
      </c>
      <c r="W96" s="53" t="str">
        <f t="shared" si="1"/>
        <v/>
      </c>
    </row>
    <row r="97" spans="21:23" ht="15.5">
      <c r="U97" s="102" t="s">
        <v>1648</v>
      </c>
      <c r="V97" s="49" t="b">
        <f>IF(AND(input_FinancialDetail_IncomeAndExpense_IncomeOverview_PassiveIncome_3_AnnualAmount&lt;=9999999999,input_FinancialDetail_IncomeAndExpense_IncomeOverview_PassiveIncome_3_AnnualAmount&gt;=0),TRUE,FALSE)</f>
        <v>1</v>
      </c>
      <c r="W97" s="53" t="str">
        <f t="shared" si="1"/>
        <v/>
      </c>
    </row>
    <row r="98" spans="21:23" ht="15.5">
      <c r="U98" s="94" t="s">
        <v>1395</v>
      </c>
      <c r="V98" s="49" t="b">
        <f>IF(input_FinancialDetail_IncomeAndExpense_SignificantChangeDeclaration_IsExpected="",FALSE,TRUE)</f>
        <v>1</v>
      </c>
      <c r="W98" s="53" t="str">
        <f t="shared" si="1"/>
        <v/>
      </c>
    </row>
    <row r="99" spans="21:23" ht="15.5">
      <c r="U99" s="94" t="s">
        <v>1396</v>
      </c>
      <c r="V99" s="49" t="b">
        <f>IF(AND(input_FinancialDetail_IncomeAndExpense_SignificantChangeDeclaration_IsExpected=TRUE,input_FinancialDetail_IncomeAndExpense_SignificantChangeDeclaration_ReasonForChange="",LEN(input_FinancialDetail_IncomeAndExpense_SignificantChangeDeclaration_ReasonForChange)&gt;100),FALSE,TRUE)</f>
        <v>1</v>
      </c>
      <c r="W99" s="53" t="str">
        <f t="shared" si="1"/>
        <v/>
      </c>
    </row>
    <row r="100" spans="21:23" ht="15.5">
      <c r="U100" s="94" t="s">
        <v>1397</v>
      </c>
      <c r="V100" s="49" t="b">
        <f>IF(input_FinancialDetail_IncomeAndExpense_Disclosure_Disclose="",FALSE,TRUE)</f>
        <v>1</v>
      </c>
      <c r="W100" s="53" t="str">
        <f t="shared" si="1"/>
        <v/>
      </c>
    </row>
    <row r="101" spans="21:23" ht="15.5">
      <c r="U101" s="94" t="s">
        <v>1398</v>
      </c>
      <c r="V101" s="49" t="b">
        <f>IF(AND(input_FinancialDetail_IncomeAndExpense_Disclosure_Disclose=TRUE,input_FinancialDetail_IncomeAndExpense_Disclosure_DiscloseReason=""),FALSE,TRUE)</f>
        <v>1</v>
      </c>
      <c r="W101" s="53" t="str">
        <f t="shared" si="1"/>
        <v/>
      </c>
    </row>
    <row r="102" spans="21:23" ht="15.5">
      <c r="U102" s="94" t="s">
        <v>1399</v>
      </c>
      <c r="V102" s="49" t="b">
        <f>IF(AND(input_FinancialDetail_IncomeAndExpense_Disclosure_Disclose=TRUE,input_FinancialDetail_IncomeAndExpense_Disclosure_DiscloseReason="OTHERS",input_FinancialDetail_IncomeAndExpense_Disclosure_OtherReason="",LEN(input_FinancialDetail_IncomeAndExpense_Disclosure_OtherReason)&gt;1000),FALSE,TRUE)</f>
        <v>1</v>
      </c>
      <c r="W102" s="53" t="str">
        <f t="shared" si="1"/>
        <v/>
      </c>
    </row>
    <row r="103" spans="21:23" ht="15.5">
      <c r="U103" s="68" t="s">
        <v>1288</v>
      </c>
      <c r="V103" s="49" t="b">
        <f>IF(AND(input_FinancialDetail_IncomeAndExpense_ExpenseOverview_TotalAnnualExpenses&lt;=9999999999,input_FinancialDetail_IncomeAndExpense_ExpenseOverview_TotalAnnualExpenses&gt;=0),TRUE,FALSE)</f>
        <v>1</v>
      </c>
      <c r="W103" s="53" t="str">
        <f t="shared" si="1"/>
        <v/>
      </c>
    </row>
    <row r="104" spans="21:23" ht="15.5">
      <c r="U104" s="102" t="s">
        <v>1669</v>
      </c>
      <c r="V104" s="49" t="b">
        <f>OR(input_FinancialDetail_IncomeAndExpense_ExpenseOverview_Expense_1_Type="",NOT(ISERROR(VLOOKUP(input_FinancialDetail_IncomeAndExpense_ExpenseOverview_Expense_1_Type,$AF$2:$AF$6,1,0))))</f>
        <v>1</v>
      </c>
      <c r="W104" s="53" t="str">
        <f t="shared" si="1"/>
        <v/>
      </c>
    </row>
    <row r="105" spans="21:23" ht="15.5">
      <c r="U105" s="102" t="s">
        <v>1670</v>
      </c>
      <c r="V105" s="49" t="b">
        <f>OR(input_FinancialDetail_IncomeAndExpense_ExpenseOverview_Expense_2_Type="",NOT(ISERROR(VLOOKUP(input_FinancialDetail_IncomeAndExpense_ExpenseOverview_Expense_2_Type,$AF$2:$AF$6,1,0))))</f>
        <v>1</v>
      </c>
      <c r="W105" s="53" t="str">
        <f t="shared" si="1"/>
        <v/>
      </c>
    </row>
    <row r="106" spans="21:23" ht="15.5">
      <c r="U106" s="102" t="s">
        <v>1671</v>
      </c>
      <c r="V106" s="49" t="b">
        <f>OR(input_FinancialDetail_IncomeAndExpense_ExpenseOverview_Expense_3_Type="",NOT(ISERROR(VLOOKUP(input_FinancialDetail_IncomeAndExpense_ExpenseOverview_Expense_3_Type,$AF$2:$AF$6,1,0))))</f>
        <v>1</v>
      </c>
      <c r="W106" s="53" t="str">
        <f t="shared" si="1"/>
        <v/>
      </c>
    </row>
    <row r="107" spans="21:23" ht="15.5">
      <c r="U107" s="102" t="s">
        <v>1672</v>
      </c>
      <c r="V107" s="49" t="b">
        <f>OR(input_FinancialDetail_IncomeAndExpense_ExpenseOverview_Expense_4_Type="",NOT(ISERROR(VLOOKUP(input_FinancialDetail_IncomeAndExpense_ExpenseOverview_Expense_4_Type,$AF$2:$AF$6,1,0))))</f>
        <v>1</v>
      </c>
      <c r="W107" s="53" t="str">
        <f t="shared" si="1"/>
        <v/>
      </c>
    </row>
    <row r="108" spans="21:23" ht="15.5">
      <c r="U108" s="102" t="s">
        <v>1673</v>
      </c>
      <c r="V108" s="49" t="b">
        <f>OR(input_FinancialDetail_IncomeAndExpense_ExpenseOverview_Expense_5_Type="",NOT(ISERROR(VLOOKUP(input_FinancialDetail_IncomeAndExpense_ExpenseOverview_Expense_5_Type,$AF$2:$AF$6,1,0))))</f>
        <v>1</v>
      </c>
      <c r="W108" s="53" t="str">
        <f t="shared" si="1"/>
        <v/>
      </c>
    </row>
    <row r="109" spans="21:23" ht="15.5">
      <c r="U109" s="102" t="s">
        <v>1664</v>
      </c>
      <c r="V109" s="49" t="b">
        <f>IF(AND(input_FinancialDetail_IncomeAndExpense_ExpenseOverview_Expense_1_MonthlyAmount&lt;=9999999999,input_FinancialDetail_IncomeAndExpense_ExpenseOverview_Expense_1_MonthlyAmount&gt;=0),TRUE,FALSE)</f>
        <v>1</v>
      </c>
      <c r="W109" s="53" t="str">
        <f t="shared" si="1"/>
        <v/>
      </c>
    </row>
    <row r="110" spans="21:23" ht="15.5">
      <c r="U110" s="102" t="s">
        <v>1665</v>
      </c>
      <c r="V110" s="49" t="b">
        <f>IF(AND(input_FinancialDetail_IncomeAndExpense_ExpenseOverview_Expense_2_MonthlyAmount&lt;=9999999999,input_FinancialDetail_IncomeAndExpense_ExpenseOverview_Expense_2_MonthlyAmount&gt;=0),TRUE,FALSE)</f>
        <v>1</v>
      </c>
      <c r="W110" s="53" t="str">
        <f t="shared" si="1"/>
        <v/>
      </c>
    </row>
    <row r="111" spans="21:23" ht="15.5">
      <c r="U111" s="102" t="s">
        <v>1666</v>
      </c>
      <c r="V111" s="49" t="b">
        <f>IF(AND(input_FinancialDetail_IncomeAndExpense_ExpenseOverview_Expense_3_MonthlyAmount&lt;=9999999999,input_FinancialDetail_IncomeAndExpense_ExpenseOverview_Expense_3_MonthlyAmount&gt;=0),TRUE,FALSE)</f>
        <v>1</v>
      </c>
      <c r="W111" s="53" t="str">
        <f t="shared" si="1"/>
        <v/>
      </c>
    </row>
    <row r="112" spans="21:23" ht="15.5">
      <c r="U112" s="102" t="s">
        <v>1667</v>
      </c>
      <c r="V112" s="49" t="b">
        <f>IF(AND(input_FinancialDetail_IncomeAndExpense_ExpenseOverview_Expense_4_MonthlyAmount&lt;=9999999999,input_FinancialDetail_IncomeAndExpense_ExpenseOverview_Expense_4_MonthlyAmount&gt;=0),TRUE,FALSE)</f>
        <v>1</v>
      </c>
      <c r="W112" s="53" t="str">
        <f t="shared" si="1"/>
        <v/>
      </c>
    </row>
    <row r="113" spans="21:23" ht="15.5">
      <c r="U113" s="102" t="s">
        <v>1668</v>
      </c>
      <c r="V113" s="49" t="b">
        <f>IF(AND(input_FinancialDetail_IncomeAndExpense_ExpenseOverview_Expense_5_MonthlyAmount&lt;=9999999999,input_FinancialDetail_IncomeAndExpense_ExpenseOverview_Expense_5_MonthlyAmount&gt;=0),TRUE,FALSE)</f>
        <v>1</v>
      </c>
      <c r="W113" s="53" t="str">
        <f t="shared" si="1"/>
        <v/>
      </c>
    </row>
    <row r="114" spans="21:23" ht="15.5">
      <c r="U114" s="102" t="s">
        <v>1659</v>
      </c>
      <c r="V114" s="49" t="b">
        <f>IF(AND(input_FinancialDetail_IncomeAndExpense_ExpenseOverview_Expense_1_AnnualAmount&lt;=9999999999,input_FinancialDetail_IncomeAndExpense_ExpenseOverview_Expense_1_AnnualAmount&gt;=0),TRUE,FALSE)</f>
        <v>1</v>
      </c>
      <c r="W114" s="53" t="str">
        <f t="shared" si="1"/>
        <v/>
      </c>
    </row>
    <row r="115" spans="21:23" ht="15.5">
      <c r="U115" s="102" t="s">
        <v>1660</v>
      </c>
      <c r="V115" s="49" t="b">
        <f>IF(AND(input_FinancialDetail_IncomeAndExpense_ExpenseOverview_Expense_2_AnnualAmount&lt;=9999999999,input_FinancialDetail_IncomeAndExpense_ExpenseOverview_Expense_2_AnnualAmount&gt;=0),TRUE,FALSE)</f>
        <v>1</v>
      </c>
      <c r="W115" s="53" t="str">
        <f t="shared" si="1"/>
        <v/>
      </c>
    </row>
    <row r="116" spans="21:23" ht="15.5">
      <c r="U116" s="102" t="s">
        <v>1661</v>
      </c>
      <c r="V116" s="49" t="b">
        <f>IF(AND(input_FinancialDetail_IncomeAndExpense_ExpenseOverview_Expense_3_AnnualAmount&lt;=9999999999,input_FinancialDetail_IncomeAndExpense_ExpenseOverview_Expense_3_AnnualAmount&gt;=0),TRUE,FALSE)</f>
        <v>1</v>
      </c>
      <c r="W116" s="53" t="str">
        <f t="shared" si="1"/>
        <v/>
      </c>
    </row>
    <row r="117" spans="21:23" ht="15.5">
      <c r="U117" s="102" t="s">
        <v>1662</v>
      </c>
      <c r="V117" s="49" t="b">
        <f>IF(AND(input_FinancialDetail_IncomeAndExpense_ExpenseOverview_Expense_4_AnnualAmount&lt;=9999999999,input_FinancialDetail_IncomeAndExpense_ExpenseOverview_Expense_4_AnnualAmount&gt;=0),TRUE,FALSE)</f>
        <v>1</v>
      </c>
      <c r="W117" s="53" t="str">
        <f t="shared" si="1"/>
        <v/>
      </c>
    </row>
    <row r="118" spans="21:23" ht="15.5">
      <c r="U118" s="102" t="s">
        <v>1663</v>
      </c>
      <c r="V118" s="49" t="b">
        <f>IF(AND(input_FinancialDetail_IncomeAndExpense_ExpenseOverview_Expense_5_AnnualAmount&lt;=9999999999,input_FinancialDetail_IncomeAndExpense_ExpenseOverview_Expense_5_AnnualAmount&gt;=0),TRUE,FALSE)</f>
        <v>1</v>
      </c>
      <c r="W118" s="53" t="str">
        <f t="shared" si="1"/>
        <v/>
      </c>
    </row>
    <row r="119" spans="21:23" ht="15.5">
      <c r="U119" s="102" t="s">
        <v>1654</v>
      </c>
      <c r="V119" s="49" t="b">
        <f>OR(input_FinancialDetail_IncomeAndExpense_ExpenseOverview_Expense_1_Frequency="",NOT(ISERROR(VLOOKUP(input_FinancialDetail_IncomeAndExpense_ExpenseOverview_Expense_1_Frequency,$AC$2:$AC$5,1,0))))</f>
        <v>1</v>
      </c>
      <c r="W119" s="53" t="str">
        <f t="shared" si="1"/>
        <v/>
      </c>
    </row>
    <row r="120" spans="21:23" ht="15.5">
      <c r="U120" s="102" t="s">
        <v>1655</v>
      </c>
      <c r="V120" s="49" t="b">
        <f>OR(input_FinancialDetail_IncomeAndExpense_ExpenseOverview_Expense_2_Frequency="",NOT(ISERROR(VLOOKUP(input_FinancialDetail_IncomeAndExpense_ExpenseOverview_Expense_2_Frequency,$AC$2:$AC$5,1,0))))</f>
        <v>1</v>
      </c>
      <c r="W120" s="53" t="str">
        <f t="shared" si="1"/>
        <v/>
      </c>
    </row>
    <row r="121" spans="21:23" ht="15.5">
      <c r="U121" s="102" t="s">
        <v>1656</v>
      </c>
      <c r="V121" s="49" t="b">
        <f>OR(input_FinancialDetail_IncomeAndExpense_ExpenseOverview_Expense_3_Frequency="",NOT(ISERROR(VLOOKUP(input_FinancialDetail_IncomeAndExpense_ExpenseOverview_Expense_3_Frequency,$AC$2:$AC$5,1,0))))</f>
        <v>1</v>
      </c>
      <c r="W121" s="53" t="str">
        <f t="shared" si="1"/>
        <v/>
      </c>
    </row>
    <row r="122" spans="21:23" ht="15.5">
      <c r="U122" s="102" t="s">
        <v>1657</v>
      </c>
      <c r="V122" s="49" t="b">
        <f>OR(input_FinancialDetail_IncomeAndExpense_ExpenseOverview_Expense_4_Frequency="",NOT(ISERROR(VLOOKUP(input_FinancialDetail_IncomeAndExpense_ExpenseOverview_Expense_4_Frequency,$AC$2:$AC$5,1,0))))</f>
        <v>1</v>
      </c>
      <c r="W122" s="53" t="str">
        <f t="shared" si="1"/>
        <v/>
      </c>
    </row>
    <row r="123" spans="21:23" ht="15.5">
      <c r="U123" s="102" t="s">
        <v>1658</v>
      </c>
      <c r="V123" s="49" t="b">
        <f>OR(input_FinancialDetail_IncomeAndExpense_ExpenseOverview_Expense_5_Frequency="",NOT(ISERROR(VLOOKUP(input_FinancialDetail_IncomeAndExpense_ExpenseOverview_Expense_5_Frequency,$AC$2:$AC$5,1,0))))</f>
        <v>1</v>
      </c>
      <c r="W123" s="53" t="str">
        <f t="shared" si="1"/>
        <v/>
      </c>
    </row>
    <row r="124" spans="21:23" ht="15.5">
      <c r="U124" s="102" t="s">
        <v>1649</v>
      </c>
      <c r="V124" s="49" t="b">
        <f>IF(AND(input_FinancialDetail_IncomeAndExpense_ExpenseOverview_Expense_1_Type="OTHERS",input_FinancialDetail_IncomeAndExpense_ExpenseOverview_Expense_1_Description="",LEN(input_FinancialDetail_IncomeAndExpense_ExpenseOverview_Expense_1_Description)&gt;40),FALSE,TRUE)</f>
        <v>1</v>
      </c>
      <c r="W124" s="53" t="str">
        <f t="shared" si="1"/>
        <v/>
      </c>
    </row>
    <row r="125" spans="21:23" ht="15.5">
      <c r="U125" s="102" t="s">
        <v>1650</v>
      </c>
      <c r="V125" s="49" t="b">
        <f>IF(AND(input_FinancialDetail_IncomeAndExpense_ExpenseOverview_Expense_2_Type="OTHERS",input_FinancialDetail_IncomeAndExpense_ExpenseOverview_Expense_2_Description="",LEN(input_FinancialDetail_IncomeAndExpense_ExpenseOverview_Expense_2_Description)&gt;40),FALSE,TRUE)</f>
        <v>1</v>
      </c>
      <c r="W125" s="53" t="str">
        <f t="shared" si="1"/>
        <v/>
      </c>
    </row>
    <row r="126" spans="21:23" ht="15.5">
      <c r="U126" s="102" t="s">
        <v>1651</v>
      </c>
      <c r="V126" s="49" t="b">
        <f>IF(AND(input_FinancialDetail_IncomeAndExpense_ExpenseOverview_Expense_3_Type="OTHERS",input_FinancialDetail_IncomeAndExpense_ExpenseOverview_Expense_3_Description="",LEN(input_FinancialDetail_IncomeAndExpense_ExpenseOverview_Expense_3_Description)&gt;40),FALSE,TRUE)</f>
        <v>1</v>
      </c>
      <c r="W126" s="53" t="str">
        <f t="shared" si="1"/>
        <v/>
      </c>
    </row>
    <row r="127" spans="21:23" ht="15.5">
      <c r="U127" s="102" t="s">
        <v>1652</v>
      </c>
      <c r="V127" s="49" t="b">
        <f>IF(AND(input_FinancialDetail_IncomeAndExpense_ExpenseOverview_Expense_4_Type="OTHERS",input_FinancialDetail_IncomeAndExpense_ExpenseOverview_Expense_4_Description="",LEN(input_FinancialDetail_IncomeAndExpense_ExpenseOverview_Expense_4_Description)&gt;40),FALSE,TRUE)</f>
        <v>1</v>
      </c>
      <c r="W127" s="53" t="str">
        <f t="shared" si="1"/>
        <v/>
      </c>
    </row>
    <row r="128" spans="21:23" ht="15.5">
      <c r="U128" s="102" t="s">
        <v>1653</v>
      </c>
      <c r="V128" s="49" t="b">
        <f>IF(AND(input_FinancialDetail_IncomeAndExpense_ExpenseOverview_Expense_5_Type="OTHERS",input_FinancialDetail_IncomeAndExpense_ExpenseOverview_Expense_5_Description="",LEN(input_FinancialDetail_IncomeAndExpense_ExpenseOverview_Expense_5_Description)&gt;40),FALSE,TRUE)</f>
        <v>1</v>
      </c>
      <c r="W128" s="53" t="str">
        <f t="shared" si="1"/>
        <v/>
      </c>
    </row>
    <row r="129" spans="21:23" ht="15.5">
      <c r="U129" s="86" t="s">
        <v>1343</v>
      </c>
      <c r="V129" s="49" t="b">
        <f>IF(AND(input_FinancialDetail_Budget_AnnualAmount_Cash&lt;=9999999999,input_FinancialDetail_Budget_AnnualAmount_Cash&gt;=0),TRUE,FALSE)</f>
        <v>1</v>
      </c>
      <c r="W129" s="53" t="str">
        <f t="shared" si="1"/>
        <v/>
      </c>
    </row>
    <row r="130" spans="21:23" ht="15.5">
      <c r="U130" s="86" t="s">
        <v>1344</v>
      </c>
      <c r="V130" s="49" t="b">
        <f>IF(AND(input_FinancialDetail_Budget_AnnualAmount_Cpfoa&lt;=9999999999,input_FinancialDetail_Budget_AnnualAmount_Cpfoa&gt;=0),TRUE,FALSE)</f>
        <v>1</v>
      </c>
      <c r="W130" s="53" t="str">
        <f t="shared" si="1"/>
        <v/>
      </c>
    </row>
    <row r="131" spans="21:23" ht="15.5">
      <c r="U131" s="86" t="s">
        <v>1345</v>
      </c>
      <c r="V131" s="49" t="b">
        <f>IF(AND(input_FinancialDetail_Budget_AnnualAmount_Cpfsa&lt;=9999999999,input_FinancialDetail_Budget_AnnualAmount_Cpfsa&gt;=0),TRUE,FALSE)</f>
        <v>1</v>
      </c>
      <c r="W131" s="53" t="str">
        <f t="shared" si="1"/>
        <v/>
      </c>
    </row>
    <row r="132" spans="21:23" ht="15.5">
      <c r="U132" s="86" t="s">
        <v>1346</v>
      </c>
      <c r="V132" s="49" t="b">
        <f>IF(AND(input_FinancialDetail_Budget_AnnualAmount_Cpfma&lt;=9999999999,input_FinancialDetail_Budget_AnnualAmount_Cpfma&gt;=0),TRUE,FALSE)</f>
        <v>1</v>
      </c>
      <c r="W132" s="53" t="str">
        <f t="shared" si="1"/>
        <v/>
      </c>
    </row>
    <row r="133" spans="21:23" ht="15.5">
      <c r="U133" s="86" t="s">
        <v>1347</v>
      </c>
      <c r="V133" s="49" t="b">
        <f>IF(AND(input_FinancialDetail_Budget_AnnualAmount_Srs&lt;=9999999999,input_FinancialDetail_Budget_AnnualAmount_Srs&gt;=0),TRUE,FALSE)</f>
        <v>1</v>
      </c>
      <c r="W133" s="53" t="str">
        <f t="shared" si="1"/>
        <v/>
      </c>
    </row>
    <row r="134" spans="21:23" ht="15.5">
      <c r="U134" s="86" t="s">
        <v>1348</v>
      </c>
      <c r="V134" s="49" t="b">
        <f>IF(AND(input_FinancialDetail_Budget_LumpSumAmount_Cash&lt;=9999999999,input_FinancialDetail_Budget_LumpSumAmount_Cash&gt;=0),TRUE,FALSE)</f>
        <v>1</v>
      </c>
      <c r="W134" s="53" t="str">
        <f t="shared" si="1"/>
        <v/>
      </c>
    </row>
    <row r="135" spans="21:23" ht="15.5">
      <c r="U135" s="86" t="s">
        <v>1349</v>
      </c>
      <c r="V135" s="49" t="b">
        <f>IF(AND(input_FinancialDetail_Budget_LumpSumAmount_Cpfoa&lt;=9999999999,input_FinancialDetail_Budget_LumpSumAmount_Cpfoa&gt;=0),TRUE,FALSE)</f>
        <v>1</v>
      </c>
      <c r="W135" s="53" t="str">
        <f t="shared" ref="W135:W138" si="2">IF(V135=TRUE,"",VLOOKUP(U135,$U$141:$V$273,2,FALSE))</f>
        <v/>
      </c>
    </row>
    <row r="136" spans="21:23" ht="15.5">
      <c r="U136" s="86" t="s">
        <v>1350</v>
      </c>
      <c r="V136" s="49" t="b">
        <f>IF(AND(input_FinancialDetail_Budget_LumpSumAmount_Cpfsa&lt;=9999999999,input_FinancialDetail_Budget_LumpSumAmount_Cpfsa&gt;=0),TRUE,FALSE)</f>
        <v>1</v>
      </c>
      <c r="W136" s="53" t="str">
        <f t="shared" si="2"/>
        <v/>
      </c>
    </row>
    <row r="137" spans="21:23" ht="15.5">
      <c r="U137" s="86" t="s">
        <v>1351</v>
      </c>
      <c r="V137" s="49" t="b">
        <f>IF(AND(input_FinancialDetail_Budget_LumpSumAmount_Cpfma&lt;=9999999999,input_FinancialDetail_Budget_LumpSumAmount_Cpfma&gt;=0),TRUE,FALSE)</f>
        <v>1</v>
      </c>
      <c r="W137" s="53" t="str">
        <f t="shared" si="2"/>
        <v/>
      </c>
    </row>
    <row r="138" spans="21:23" ht="15.5">
      <c r="U138" s="86" t="s">
        <v>1352</v>
      </c>
      <c r="V138" s="49" t="b">
        <f>IF(AND(input_FinancialDetail_Budget_LumpSumAmount_Srs&lt;=9999999999,input_FinancialDetail_Budget_LumpSumAmount_Srs&gt;=0),TRUE,FALSE)</f>
        <v>1</v>
      </c>
      <c r="W138" s="53" t="str">
        <f t="shared" si="2"/>
        <v/>
      </c>
    </row>
    <row r="140" spans="21:23">
      <c r="U140" s="47" t="s">
        <v>15</v>
      </c>
      <c r="V140" s="47" t="s">
        <v>17</v>
      </c>
      <c r="W140" s="9" t="s">
        <v>53</v>
      </c>
    </row>
    <row r="141" spans="21:23" ht="15.5">
      <c r="U141" s="101" t="s">
        <v>1568</v>
      </c>
      <c r="V141" s="49" t="s">
        <v>1732</v>
      </c>
      <c r="W141" s="1" t="str">
        <f>_xlfn.CONCAT("Please enter a valid ",U141)</f>
        <v>Please enter a valid Asset type 1</v>
      </c>
    </row>
    <row r="142" spans="21:23" ht="15.5">
      <c r="U142" s="101" t="s">
        <v>1569</v>
      </c>
      <c r="V142" s="49" t="s">
        <v>1733</v>
      </c>
      <c r="W142" s="1" t="str">
        <f t="shared" ref="W142:W205" si="3">_xlfn.CONCAT("Please enter a valid ",U142)</f>
        <v>Please enter a valid Asset type 2</v>
      </c>
    </row>
    <row r="143" spans="21:23" ht="15.5">
      <c r="U143" s="101" t="s">
        <v>1570</v>
      </c>
      <c r="V143" s="49" t="s">
        <v>1734</v>
      </c>
      <c r="W143" s="1" t="str">
        <f t="shared" si="3"/>
        <v>Please enter a valid Asset type 3</v>
      </c>
    </row>
    <row r="144" spans="21:23" ht="15.5">
      <c r="U144" s="101" t="s">
        <v>1571</v>
      </c>
      <c r="V144" s="49" t="s">
        <v>1735</v>
      </c>
      <c r="W144" s="1" t="str">
        <f t="shared" si="3"/>
        <v>Please enter a valid Asset type 4</v>
      </c>
    </row>
    <row r="145" spans="21:23" ht="15.5">
      <c r="U145" s="101" t="s">
        <v>1572</v>
      </c>
      <c r="V145" s="49" t="s">
        <v>1736</v>
      </c>
      <c r="W145" s="1" t="str">
        <f t="shared" si="3"/>
        <v>Please enter a valid Asset type 5</v>
      </c>
    </row>
    <row r="146" spans="21:23" ht="15.5">
      <c r="U146" s="101" t="s">
        <v>1573</v>
      </c>
      <c r="V146" s="49" t="s">
        <v>1737</v>
      </c>
      <c r="W146" s="1" t="str">
        <f t="shared" si="3"/>
        <v>Please enter a valid Asset type 6</v>
      </c>
    </row>
    <row r="147" spans="21:23" ht="15.5">
      <c r="U147" s="101" t="s">
        <v>1574</v>
      </c>
      <c r="V147" s="49" t="s">
        <v>1738</v>
      </c>
      <c r="W147" s="1" t="str">
        <f t="shared" si="3"/>
        <v>Please enter a valid Asset type 7</v>
      </c>
    </row>
    <row r="148" spans="21:23" ht="15.5">
      <c r="U148" s="101" t="s">
        <v>1575</v>
      </c>
      <c r="V148" s="49" t="s">
        <v>1739</v>
      </c>
      <c r="W148" s="1" t="str">
        <f t="shared" si="3"/>
        <v>Please enter a valid Asset type 8</v>
      </c>
    </row>
    <row r="149" spans="21:23" ht="15.5">
      <c r="U149" s="101" t="s">
        <v>1576</v>
      </c>
      <c r="V149" s="49" t="s">
        <v>1740</v>
      </c>
      <c r="W149" s="1" t="str">
        <f t="shared" si="3"/>
        <v>Please enter a valid Asset type 9</v>
      </c>
    </row>
    <row r="150" spans="21:23" ht="15.5">
      <c r="U150" s="101" t="s">
        <v>1577</v>
      </c>
      <c r="V150" s="49" t="s">
        <v>1741</v>
      </c>
      <c r="W150" s="1" t="str">
        <f t="shared" si="3"/>
        <v>Please enter a valid Asset type 10</v>
      </c>
    </row>
    <row r="151" spans="21:23" ht="15.5">
      <c r="U151" s="101" t="s">
        <v>1578</v>
      </c>
      <c r="V151" s="49" t="s">
        <v>1742</v>
      </c>
      <c r="W151" s="1" t="str">
        <f t="shared" si="3"/>
        <v>Please enter a valid Asset type 11</v>
      </c>
    </row>
    <row r="152" spans="21:23" ht="15.5">
      <c r="U152" s="101" t="s">
        <v>1579</v>
      </c>
      <c r="V152" s="49" t="s">
        <v>1743</v>
      </c>
      <c r="W152" s="1" t="str">
        <f t="shared" si="3"/>
        <v>Please enter a valid Asset type 12</v>
      </c>
    </row>
    <row r="153" spans="21:23" ht="15.5">
      <c r="U153" s="101" t="s">
        <v>1580</v>
      </c>
      <c r="V153" s="49" t="s">
        <v>1744</v>
      </c>
      <c r="W153" s="1" t="str">
        <f t="shared" si="3"/>
        <v>Please enter a valid Current Value Assets 1</v>
      </c>
    </row>
    <row r="154" spans="21:23" ht="15.5">
      <c r="U154" s="101" t="s">
        <v>1581</v>
      </c>
      <c r="V154" s="49" t="s">
        <v>1745</v>
      </c>
      <c r="W154" s="1" t="str">
        <f t="shared" si="3"/>
        <v>Please enter a valid Current Value Assets 2</v>
      </c>
    </row>
    <row r="155" spans="21:23" ht="15.5">
      <c r="U155" s="101" t="s">
        <v>1582</v>
      </c>
      <c r="V155" s="49" t="s">
        <v>1746</v>
      </c>
      <c r="W155" s="1" t="str">
        <f t="shared" si="3"/>
        <v>Please enter a valid Current Value Assets 3</v>
      </c>
    </row>
    <row r="156" spans="21:23" ht="15.5">
      <c r="U156" s="101" t="s">
        <v>1583</v>
      </c>
      <c r="V156" s="49" t="s">
        <v>1747</v>
      </c>
      <c r="W156" s="1" t="str">
        <f t="shared" si="3"/>
        <v>Please enter a valid Current Value Assets 4</v>
      </c>
    </row>
    <row r="157" spans="21:23" ht="15.5">
      <c r="U157" s="101" t="s">
        <v>1584</v>
      </c>
      <c r="V157" s="49" t="s">
        <v>1748</v>
      </c>
      <c r="W157" s="1" t="str">
        <f t="shared" si="3"/>
        <v>Please enter a valid Current Value Assets 5</v>
      </c>
    </row>
    <row r="158" spans="21:23" ht="15.5">
      <c r="U158" s="101" t="s">
        <v>1585</v>
      </c>
      <c r="V158" s="49" t="s">
        <v>1749</v>
      </c>
      <c r="W158" s="1" t="str">
        <f t="shared" si="3"/>
        <v>Please enter a valid Current Value Assets 6</v>
      </c>
    </row>
    <row r="159" spans="21:23" ht="15.5">
      <c r="U159" s="101" t="s">
        <v>1586</v>
      </c>
      <c r="V159" s="49" t="s">
        <v>1750</v>
      </c>
      <c r="W159" s="1" t="str">
        <f t="shared" si="3"/>
        <v>Please enter a valid Current Value Assets 7</v>
      </c>
    </row>
    <row r="160" spans="21:23" ht="15.5">
      <c r="U160" s="101" t="s">
        <v>1587</v>
      </c>
      <c r="V160" s="49" t="s">
        <v>1751</v>
      </c>
      <c r="W160" s="1" t="str">
        <f t="shared" si="3"/>
        <v>Please enter a valid Current Value Assets 8</v>
      </c>
    </row>
    <row r="161" spans="21:23" ht="15.5">
      <c r="U161" s="101" t="s">
        <v>1588</v>
      </c>
      <c r="V161" s="49" t="s">
        <v>1752</v>
      </c>
      <c r="W161" s="1" t="str">
        <f t="shared" si="3"/>
        <v>Please enter a valid Current Value Assets 9</v>
      </c>
    </row>
    <row r="162" spans="21:23" ht="15.5">
      <c r="U162" s="101" t="s">
        <v>1589</v>
      </c>
      <c r="V162" s="49" t="s">
        <v>1753</v>
      </c>
      <c r="W162" s="1" t="str">
        <f t="shared" si="3"/>
        <v>Please enter a valid Current Value Assets 10</v>
      </c>
    </row>
    <row r="163" spans="21:23" ht="15.5">
      <c r="U163" s="101" t="s">
        <v>1590</v>
      </c>
      <c r="V163" s="49" t="s">
        <v>1754</v>
      </c>
      <c r="W163" s="1" t="str">
        <f t="shared" si="3"/>
        <v>Please enter a valid Current Value Assets 11</v>
      </c>
    </row>
    <row r="164" spans="21:23" ht="15.5">
      <c r="U164" s="101" t="s">
        <v>1591</v>
      </c>
      <c r="V164" s="49" t="s">
        <v>1755</v>
      </c>
      <c r="W164" s="1" t="str">
        <f t="shared" si="3"/>
        <v>Please enter a valid Current Value Assets 12</v>
      </c>
    </row>
    <row r="165" spans="21:23" ht="15.5">
      <c r="U165" s="101" t="s">
        <v>1592</v>
      </c>
      <c r="V165" s="49" t="s">
        <v>1756</v>
      </c>
      <c r="W165" s="1" t="str">
        <f t="shared" si="3"/>
        <v>Please enter a valid Return on Investment 1</v>
      </c>
    </row>
    <row r="166" spans="21:23" ht="15.5">
      <c r="U166" s="101" t="s">
        <v>1593</v>
      </c>
      <c r="V166" s="49" t="s">
        <v>1757</v>
      </c>
      <c r="W166" s="1" t="str">
        <f t="shared" si="3"/>
        <v>Please enter a valid Return on Investment 2</v>
      </c>
    </row>
    <row r="167" spans="21:23" ht="15.5">
      <c r="U167" s="101" t="s">
        <v>1594</v>
      </c>
      <c r="V167" s="49" t="s">
        <v>1758</v>
      </c>
      <c r="W167" s="1" t="str">
        <f t="shared" si="3"/>
        <v>Please enter a valid Return on Investment 3</v>
      </c>
    </row>
    <row r="168" spans="21:23" ht="15.5">
      <c r="U168" s="101" t="s">
        <v>1595</v>
      </c>
      <c r="V168" s="49" t="s">
        <v>1759</v>
      </c>
      <c r="W168" s="1" t="str">
        <f t="shared" si="3"/>
        <v>Please enter a valid Return on Investment 4</v>
      </c>
    </row>
    <row r="169" spans="21:23" ht="15.5">
      <c r="U169" s="101" t="s">
        <v>1596</v>
      </c>
      <c r="V169" s="49" t="s">
        <v>1760</v>
      </c>
      <c r="W169" s="1" t="str">
        <f t="shared" si="3"/>
        <v>Please enter a valid Return on Investment 5</v>
      </c>
    </row>
    <row r="170" spans="21:23" ht="15.5">
      <c r="U170" s="101" t="s">
        <v>1597</v>
      </c>
      <c r="V170" s="49" t="s">
        <v>1761</v>
      </c>
      <c r="W170" s="1" t="str">
        <f t="shared" si="3"/>
        <v>Please enter a valid Return on Investment 6</v>
      </c>
    </row>
    <row r="171" spans="21:23" ht="15.5">
      <c r="U171" s="101" t="s">
        <v>1598</v>
      </c>
      <c r="V171" s="49" t="s">
        <v>1762</v>
      </c>
      <c r="W171" s="1" t="str">
        <f t="shared" si="3"/>
        <v>Please enter a valid Return on Investment 7</v>
      </c>
    </row>
    <row r="172" spans="21:23" ht="15.5">
      <c r="U172" s="101" t="s">
        <v>1599</v>
      </c>
      <c r="V172" s="49" t="s">
        <v>1763</v>
      </c>
      <c r="W172" s="1" t="str">
        <f t="shared" si="3"/>
        <v>Please enter a valid Return on Investment 8</v>
      </c>
    </row>
    <row r="173" spans="21:23" ht="15.5">
      <c r="U173" s="101" t="s">
        <v>1600</v>
      </c>
      <c r="V173" s="49" t="s">
        <v>1764</v>
      </c>
      <c r="W173" s="1" t="str">
        <f t="shared" si="3"/>
        <v>Please enter a valid Return on Investment 9</v>
      </c>
    </row>
    <row r="174" spans="21:23" ht="15.5">
      <c r="U174" s="101" t="s">
        <v>1601</v>
      </c>
      <c r="V174" s="49" t="s">
        <v>1765</v>
      </c>
      <c r="W174" s="1" t="str">
        <f t="shared" si="3"/>
        <v>Please enter a valid Return on Investment 10</v>
      </c>
    </row>
    <row r="175" spans="21:23" ht="15.5">
      <c r="U175" s="101" t="s">
        <v>1602</v>
      </c>
      <c r="V175" s="49" t="s">
        <v>1766</v>
      </c>
      <c r="W175" s="1" t="str">
        <f t="shared" si="3"/>
        <v>Please enter a valid Return on Investment 11</v>
      </c>
    </row>
    <row r="176" spans="21:23" ht="15.5">
      <c r="U176" s="101" t="s">
        <v>1603</v>
      </c>
      <c r="V176" s="49" t="s">
        <v>1767</v>
      </c>
      <c r="W176" s="1" t="str">
        <f t="shared" si="3"/>
        <v>Please enter a valid Return on Investment 12</v>
      </c>
    </row>
    <row r="177" spans="21:23" ht="15.5">
      <c r="U177" s="101" t="s">
        <v>1605</v>
      </c>
      <c r="V177" s="49" t="s">
        <v>1768</v>
      </c>
      <c r="W177" s="1" t="str">
        <f t="shared" si="3"/>
        <v>Please enter a valid Others Assets Description 1</v>
      </c>
    </row>
    <row r="178" spans="21:23" ht="15.5">
      <c r="U178" s="101" t="s">
        <v>1604</v>
      </c>
      <c r="V178" s="49" t="s">
        <v>1769</v>
      </c>
      <c r="W178" s="1" t="str">
        <f t="shared" si="3"/>
        <v>Please enter a valid Others Assets Description 2</v>
      </c>
    </row>
    <row r="179" spans="21:23" ht="15.5">
      <c r="U179" s="101" t="s">
        <v>1606</v>
      </c>
      <c r="V179" s="49" t="s">
        <v>1770</v>
      </c>
      <c r="W179" s="1" t="str">
        <f t="shared" si="3"/>
        <v>Please enter a valid Others Assets Description 3</v>
      </c>
    </row>
    <row r="180" spans="21:23" ht="15.5">
      <c r="U180" s="101" t="s">
        <v>1607</v>
      </c>
      <c r="V180" s="49" t="s">
        <v>1771</v>
      </c>
      <c r="W180" s="1" t="str">
        <f t="shared" si="3"/>
        <v>Please enter a valid Others Assets Description 4</v>
      </c>
    </row>
    <row r="181" spans="21:23" ht="15.5">
      <c r="U181" s="101" t="s">
        <v>1608</v>
      </c>
      <c r="V181" s="49" t="s">
        <v>1772</v>
      </c>
      <c r="W181" s="1" t="str">
        <f t="shared" si="3"/>
        <v>Please enter a valid Others Assets Description 5</v>
      </c>
    </row>
    <row r="182" spans="21:23" ht="15.5">
      <c r="U182" s="101" t="s">
        <v>1609</v>
      </c>
      <c r="V182" s="49" t="s">
        <v>1773</v>
      </c>
      <c r="W182" s="1" t="str">
        <f t="shared" si="3"/>
        <v>Please enter a valid Others Assets Description 6</v>
      </c>
    </row>
    <row r="183" spans="21:23" ht="15.5">
      <c r="U183" s="101" t="s">
        <v>1610</v>
      </c>
      <c r="V183" s="49" t="s">
        <v>1774</v>
      </c>
      <c r="W183" s="1" t="str">
        <f t="shared" si="3"/>
        <v>Please enter a valid Others Assets Description 7</v>
      </c>
    </row>
    <row r="184" spans="21:23" ht="15.5">
      <c r="U184" s="101" t="s">
        <v>1611</v>
      </c>
      <c r="V184" s="49" t="s">
        <v>1775</v>
      </c>
      <c r="W184" s="1" t="str">
        <f t="shared" si="3"/>
        <v>Please enter a valid Others Assets Description 8</v>
      </c>
    </row>
    <row r="185" spans="21:23" ht="15.5">
      <c r="U185" s="101" t="s">
        <v>1612</v>
      </c>
      <c r="V185" s="49" t="s">
        <v>1776</v>
      </c>
      <c r="W185" s="1" t="str">
        <f t="shared" si="3"/>
        <v>Please enter a valid Others Assets Description 9</v>
      </c>
    </row>
    <row r="186" spans="21:23" ht="15.5">
      <c r="U186" s="101" t="s">
        <v>1613</v>
      </c>
      <c r="V186" s="49" t="s">
        <v>1777</v>
      </c>
      <c r="W186" s="1" t="str">
        <f t="shared" si="3"/>
        <v>Please enter a valid Others Assets Description 10</v>
      </c>
    </row>
    <row r="187" spans="21:23" ht="15.5">
      <c r="U187" s="101" t="s">
        <v>1614</v>
      </c>
      <c r="V187" s="49" t="s">
        <v>1778</v>
      </c>
      <c r="W187" s="1" t="str">
        <f t="shared" si="3"/>
        <v>Please enter a valid Others Assets Description 11</v>
      </c>
    </row>
    <row r="188" spans="21:23" ht="15.5">
      <c r="U188" s="101" t="s">
        <v>1615</v>
      </c>
      <c r="V188" s="49" t="s">
        <v>1779</v>
      </c>
      <c r="W188" s="1" t="str">
        <f t="shared" si="3"/>
        <v>Please enter a valid Others Assets Description 12</v>
      </c>
    </row>
    <row r="189" spans="21:23" ht="15.5">
      <c r="U189" s="101" t="s">
        <v>1616</v>
      </c>
      <c r="V189" s="49" t="s">
        <v>1780</v>
      </c>
      <c r="W189" s="1" t="str">
        <f t="shared" si="3"/>
        <v>Please enter a valid Liability Type 1</v>
      </c>
    </row>
    <row r="190" spans="21:23" ht="15.5">
      <c r="U190" s="101" t="s">
        <v>1617</v>
      </c>
      <c r="V190" s="49" t="s">
        <v>1781</v>
      </c>
      <c r="W190" s="1" t="str">
        <f t="shared" si="3"/>
        <v>Please enter a valid Liability Type 2</v>
      </c>
    </row>
    <row r="191" spans="21:23" ht="15.5">
      <c r="U191" s="101" t="s">
        <v>1618</v>
      </c>
      <c r="V191" s="49" t="s">
        <v>1782</v>
      </c>
      <c r="W191" s="1" t="str">
        <f t="shared" si="3"/>
        <v>Please enter a valid Liability Type 3</v>
      </c>
    </row>
    <row r="192" spans="21:23" ht="15.5">
      <c r="U192" s="101" t="s">
        <v>1619</v>
      </c>
      <c r="V192" s="49" t="s">
        <v>1783</v>
      </c>
      <c r="W192" s="1" t="str">
        <f t="shared" si="3"/>
        <v>Please enter a valid Liability Type 4</v>
      </c>
    </row>
    <row r="193" spans="21:23" ht="15.5">
      <c r="U193" s="101" t="s">
        <v>1620</v>
      </c>
      <c r="V193" s="49" t="s">
        <v>1784</v>
      </c>
      <c r="W193" s="1" t="str">
        <f t="shared" si="3"/>
        <v>Please enter a valid Liability Type 5</v>
      </c>
    </row>
    <row r="194" spans="21:23" ht="15.5">
      <c r="U194" s="101" t="s">
        <v>1621</v>
      </c>
      <c r="V194" s="49" t="s">
        <v>1785</v>
      </c>
      <c r="W194" s="1" t="str">
        <f t="shared" si="3"/>
        <v>Please enter a valid Liability Type 6</v>
      </c>
    </row>
    <row r="195" spans="21:23" ht="15.5">
      <c r="U195" s="102" t="s">
        <v>1622</v>
      </c>
      <c r="V195" s="49" t="s">
        <v>1786</v>
      </c>
      <c r="W195" s="1" t="str">
        <f t="shared" si="3"/>
        <v>Please enter a valid Current Value Liability 1</v>
      </c>
    </row>
    <row r="196" spans="21:23" ht="15.5">
      <c r="U196" s="102" t="s">
        <v>1623</v>
      </c>
      <c r="V196" s="49" t="s">
        <v>1787</v>
      </c>
      <c r="W196" s="1" t="str">
        <f t="shared" si="3"/>
        <v>Please enter a valid Current Value Liability 2</v>
      </c>
    </row>
    <row r="197" spans="21:23" ht="15.5">
      <c r="U197" s="102" t="s">
        <v>1624</v>
      </c>
      <c r="V197" s="49" t="s">
        <v>1788</v>
      </c>
      <c r="W197" s="1" t="str">
        <f t="shared" si="3"/>
        <v>Please enter a valid Current Value Liability 3</v>
      </c>
    </row>
    <row r="198" spans="21:23" ht="15.5">
      <c r="U198" s="102" t="s">
        <v>1625</v>
      </c>
      <c r="V198" s="49" t="s">
        <v>1789</v>
      </c>
      <c r="W198" s="1" t="str">
        <f t="shared" si="3"/>
        <v>Please enter a valid Current Value Liability 4</v>
      </c>
    </row>
    <row r="199" spans="21:23" ht="15.5">
      <c r="U199" s="102" t="s">
        <v>1626</v>
      </c>
      <c r="V199" s="49" t="s">
        <v>1790</v>
      </c>
      <c r="W199" s="1" t="str">
        <f t="shared" si="3"/>
        <v>Please enter a valid Current Value Liability 5</v>
      </c>
    </row>
    <row r="200" spans="21:23" ht="15.5">
      <c r="U200" s="102" t="s">
        <v>1627</v>
      </c>
      <c r="V200" s="49" t="s">
        <v>1791</v>
      </c>
      <c r="W200" s="1" t="str">
        <f t="shared" si="3"/>
        <v>Please enter a valid Current Value Liability 6</v>
      </c>
    </row>
    <row r="201" spans="21:23" ht="15.5">
      <c r="U201" s="102" t="s">
        <v>1628</v>
      </c>
      <c r="V201" s="49" t="s">
        <v>1792</v>
      </c>
      <c r="W201" s="1" t="str">
        <f t="shared" si="3"/>
        <v>Please enter a valid Others Liability Description 1</v>
      </c>
    </row>
    <row r="202" spans="21:23" ht="15.5">
      <c r="U202" s="102" t="s">
        <v>1629</v>
      </c>
      <c r="V202" s="49" t="s">
        <v>1793</v>
      </c>
      <c r="W202" s="1" t="str">
        <f t="shared" si="3"/>
        <v>Please enter a valid Others Liability Description 2</v>
      </c>
    </row>
    <row r="203" spans="21:23" ht="15.5">
      <c r="U203" s="102" t="s">
        <v>1630</v>
      </c>
      <c r="V203" s="49" t="s">
        <v>1794</v>
      </c>
      <c r="W203" s="1" t="str">
        <f t="shared" si="3"/>
        <v>Please enter a valid Others Liability Description 3</v>
      </c>
    </row>
    <row r="204" spans="21:23" ht="15.5">
      <c r="U204" s="102" t="s">
        <v>1631</v>
      </c>
      <c r="V204" s="49" t="s">
        <v>1795</v>
      </c>
      <c r="W204" s="1" t="str">
        <f t="shared" si="3"/>
        <v>Please enter a valid Others Liability Description 4</v>
      </c>
    </row>
    <row r="205" spans="21:23" ht="15.5">
      <c r="U205" s="102" t="s">
        <v>1632</v>
      </c>
      <c r="V205" s="49" t="s">
        <v>1796</v>
      </c>
      <c r="W205" s="1" t="str">
        <f t="shared" si="3"/>
        <v>Please enter a valid Others Liability Description 5</v>
      </c>
    </row>
    <row r="206" spans="21:23" ht="15.5">
      <c r="U206" s="102" t="s">
        <v>1633</v>
      </c>
      <c r="V206" s="49" t="s">
        <v>1797</v>
      </c>
      <c r="W206" s="1" t="str">
        <f t="shared" ref="W206:W269" si="4">_xlfn.CONCAT("Please enter a valid ",U206)</f>
        <v>Please enter a valid Others Liability Description 6</v>
      </c>
    </row>
    <row r="207" spans="21:23" ht="15.5">
      <c r="U207" s="94" t="s">
        <v>1391</v>
      </c>
      <c r="V207" s="49" t="s">
        <v>1798</v>
      </c>
      <c r="W207" s="1" t="str">
        <f t="shared" si="4"/>
        <v xml:space="preserve">Please enter a valid Significant change in Assets &amp; Liabilities in 12 months? </v>
      </c>
    </row>
    <row r="208" spans="21:23" ht="15.5">
      <c r="U208" s="94" t="s">
        <v>1390</v>
      </c>
      <c r="V208" s="49" t="s">
        <v>1799</v>
      </c>
      <c r="W208" s="1" t="str">
        <f t="shared" si="4"/>
        <v>Please enter a valid What changes you expect in Assets &amp; Liabilities</v>
      </c>
    </row>
    <row r="209" spans="21:23" ht="15.5">
      <c r="U209" s="94" t="s">
        <v>1392</v>
      </c>
      <c r="V209" s="49" t="s">
        <v>1800</v>
      </c>
      <c r="W209" s="1" t="str">
        <f t="shared" si="4"/>
        <v>Please enter a valid Fully declared Assets &amp; Liabilities?</v>
      </c>
    </row>
    <row r="210" spans="21:23" ht="15.5">
      <c r="U210" s="94" t="s">
        <v>1393</v>
      </c>
      <c r="V210" s="49" t="s">
        <v>1801</v>
      </c>
      <c r="W210" s="1" t="str">
        <f t="shared" si="4"/>
        <v>Please enter a valid Reason for not fully disclosing Assets &amp; Liabilities</v>
      </c>
    </row>
    <row r="211" spans="21:23" ht="15.5">
      <c r="U211" s="94" t="s">
        <v>1394</v>
      </c>
      <c r="V211" s="49" t="s">
        <v>1802</v>
      </c>
      <c r="W211" s="1" t="str">
        <f t="shared" si="4"/>
        <v>Please enter a valid If Others, please specify Assets &amp; Liabilities</v>
      </c>
    </row>
    <row r="212" spans="21:23" ht="15.5">
      <c r="U212" s="86" t="s">
        <v>1330</v>
      </c>
      <c r="V212" s="49" t="s">
        <v>1803</v>
      </c>
      <c r="W212" s="1" t="str">
        <f t="shared" si="4"/>
        <v>Please enter a valid Monthly Income from job</v>
      </c>
    </row>
    <row r="213" spans="21:23" ht="15.5">
      <c r="U213" s="86" t="s">
        <v>1331</v>
      </c>
      <c r="V213" s="49" t="s">
        <v>1804</v>
      </c>
      <c r="W213" s="1" t="str">
        <f t="shared" si="4"/>
        <v>Please enter a valid Annual Income from job</v>
      </c>
    </row>
    <row r="214" spans="21:23" ht="15.5">
      <c r="U214" s="86" t="s">
        <v>1332</v>
      </c>
      <c r="V214" s="49" t="s">
        <v>1805</v>
      </c>
      <c r="W214" s="1" t="str">
        <f t="shared" si="4"/>
        <v>Please enter a valid Annual Employee's CPF Contribution</v>
      </c>
    </row>
    <row r="215" spans="21:23" ht="15.5">
      <c r="U215" s="85" t="s">
        <v>1333</v>
      </c>
      <c r="V215" s="49" t="s">
        <v>1806</v>
      </c>
      <c r="W215" s="1" t="str">
        <f t="shared" si="4"/>
        <v>Please enter a valid Net Annual Income</v>
      </c>
    </row>
    <row r="216" spans="21:23" ht="15.5">
      <c r="U216" s="68" t="s">
        <v>224</v>
      </c>
      <c r="V216" s="49" t="s">
        <v>1807</v>
      </c>
      <c r="W216" s="1" t="str">
        <f t="shared" si="4"/>
        <v>Please enter a valid Total Take Home Income</v>
      </c>
    </row>
    <row r="217" spans="21:23" ht="15.5">
      <c r="U217" s="68" t="s">
        <v>1285</v>
      </c>
      <c r="V217" s="49" t="s">
        <v>1808</v>
      </c>
      <c r="W217" s="1" t="str">
        <f t="shared" si="4"/>
        <v>Please enter a valid Annual Bonus Amount</v>
      </c>
    </row>
    <row r="218" spans="21:23" ht="15.5">
      <c r="U218" s="102" t="s">
        <v>1634</v>
      </c>
      <c r="V218" s="49" t="s">
        <v>1809</v>
      </c>
      <c r="W218" s="1" t="str">
        <f t="shared" si="4"/>
        <v>Please enter a valid Income Type 1</v>
      </c>
    </row>
    <row r="219" spans="21:23" ht="15.5">
      <c r="U219" s="102" t="s">
        <v>1635</v>
      </c>
      <c r="V219" s="49" t="s">
        <v>1810</v>
      </c>
      <c r="W219" s="1" t="str">
        <f t="shared" si="4"/>
        <v>Please enter a valid Income Type 2</v>
      </c>
    </row>
    <row r="220" spans="21:23" ht="15.5">
      <c r="U220" s="102" t="s">
        <v>1636</v>
      </c>
      <c r="V220" s="49" t="s">
        <v>1811</v>
      </c>
      <c r="W220" s="1" t="str">
        <f t="shared" si="4"/>
        <v>Please enter a valid Income Type 3</v>
      </c>
    </row>
    <row r="221" spans="21:23" ht="15.5">
      <c r="U221" s="102" t="s">
        <v>1637</v>
      </c>
      <c r="V221" s="49" t="s">
        <v>1812</v>
      </c>
      <c r="W221" s="1" t="str">
        <f t="shared" si="4"/>
        <v>Please enter a valid Income Frequency 1</v>
      </c>
    </row>
    <row r="222" spans="21:23" ht="15.5">
      <c r="U222" s="102" t="s">
        <v>1638</v>
      </c>
      <c r="V222" s="49" t="s">
        <v>1813</v>
      </c>
      <c r="W222" s="1" t="str">
        <f t="shared" si="4"/>
        <v>Please enter a valid Income Frequency 2</v>
      </c>
    </row>
    <row r="223" spans="21:23" ht="15.5">
      <c r="U223" s="102" t="s">
        <v>1639</v>
      </c>
      <c r="V223" s="49" t="s">
        <v>1814</v>
      </c>
      <c r="W223" s="1" t="str">
        <f t="shared" si="4"/>
        <v>Please enter a valid Income Frequency 3</v>
      </c>
    </row>
    <row r="224" spans="21:23" ht="15.5">
      <c r="U224" s="102" t="s">
        <v>1640</v>
      </c>
      <c r="V224" s="49" t="s">
        <v>1815</v>
      </c>
      <c r="W224" s="1" t="str">
        <f t="shared" si="4"/>
        <v>Please enter a valid Other Income Description 1</v>
      </c>
    </row>
    <row r="225" spans="21:23" ht="15.5">
      <c r="U225" s="102" t="s">
        <v>1641</v>
      </c>
      <c r="V225" s="49" t="s">
        <v>1816</v>
      </c>
      <c r="W225" s="1" t="str">
        <f t="shared" si="4"/>
        <v>Please enter a valid Other Income Description 2</v>
      </c>
    </row>
    <row r="226" spans="21:23" ht="15.5">
      <c r="U226" s="102" t="s">
        <v>1642</v>
      </c>
      <c r="V226" s="49" t="s">
        <v>1817</v>
      </c>
      <c r="W226" s="1" t="str">
        <f t="shared" si="4"/>
        <v>Please enter a valid Other Income Description 3</v>
      </c>
    </row>
    <row r="227" spans="21:23" ht="15.5">
      <c r="U227" s="102" t="s">
        <v>1643</v>
      </c>
      <c r="V227" s="49" t="s">
        <v>1818</v>
      </c>
      <c r="W227" s="1" t="str">
        <f t="shared" si="4"/>
        <v>Please enter a valid Monthly Passive Income Amount 1</v>
      </c>
    </row>
    <row r="228" spans="21:23" ht="15.5">
      <c r="U228" s="102" t="s">
        <v>1644</v>
      </c>
      <c r="V228" s="49" t="s">
        <v>1819</v>
      </c>
      <c r="W228" s="1" t="str">
        <f t="shared" si="4"/>
        <v>Please enter a valid Monthly Passive Income Amount 2</v>
      </c>
    </row>
    <row r="229" spans="21:23" ht="15.5">
      <c r="U229" s="102" t="s">
        <v>1645</v>
      </c>
      <c r="V229" s="49" t="s">
        <v>1820</v>
      </c>
      <c r="W229" s="1" t="str">
        <f t="shared" si="4"/>
        <v>Please enter a valid Monthly Passive Income Amount 3</v>
      </c>
    </row>
    <row r="230" spans="21:23" ht="15.5">
      <c r="U230" s="102" t="s">
        <v>1646</v>
      </c>
      <c r="V230" s="49" t="s">
        <v>1821</v>
      </c>
      <c r="W230" s="1" t="str">
        <f t="shared" si="4"/>
        <v>Please enter a valid Annual Passive Income Amount 1</v>
      </c>
    </row>
    <row r="231" spans="21:23" ht="15.5">
      <c r="U231" s="102" t="s">
        <v>1647</v>
      </c>
      <c r="V231" s="49" t="s">
        <v>1822</v>
      </c>
      <c r="W231" s="1" t="str">
        <f t="shared" si="4"/>
        <v>Please enter a valid Annual Passive Income Amount 2</v>
      </c>
    </row>
    <row r="232" spans="21:23" ht="15.5">
      <c r="U232" s="102" t="s">
        <v>1648</v>
      </c>
      <c r="V232" s="49" t="s">
        <v>1823</v>
      </c>
      <c r="W232" s="1" t="str">
        <f t="shared" si="4"/>
        <v>Please enter a valid Annual Passive Income Amount 3</v>
      </c>
    </row>
    <row r="233" spans="21:23" ht="15.5">
      <c r="U233" s="94" t="s">
        <v>1395</v>
      </c>
      <c r="V233" s="49" t="s">
        <v>1824</v>
      </c>
      <c r="W233" s="1" t="str">
        <f t="shared" si="4"/>
        <v xml:space="preserve">Please enter a valid Significant change in Income &amp; Expenses in 12 months? </v>
      </c>
    </row>
    <row r="234" spans="21:23" ht="15.5">
      <c r="U234" s="94" t="s">
        <v>1396</v>
      </c>
      <c r="V234" s="49" t="s">
        <v>1825</v>
      </c>
      <c r="W234" s="1" t="str">
        <f t="shared" si="4"/>
        <v>Please enter a valid What changes you expect in Income &amp; Expenses</v>
      </c>
    </row>
    <row r="235" spans="21:23" ht="15.5">
      <c r="U235" s="94" t="s">
        <v>1397</v>
      </c>
      <c r="V235" s="49" t="s">
        <v>1826</v>
      </c>
      <c r="W235" s="1" t="str">
        <f t="shared" si="4"/>
        <v>Please enter a valid Fully declared Income &amp; Expenses?</v>
      </c>
    </row>
    <row r="236" spans="21:23" ht="15.5">
      <c r="U236" s="94" t="s">
        <v>1398</v>
      </c>
      <c r="V236" s="49" t="s">
        <v>1827</v>
      </c>
      <c r="W236" s="1" t="str">
        <f t="shared" si="4"/>
        <v>Please enter a valid Reason for not fully disclosing Income &amp; Expenses</v>
      </c>
    </row>
    <row r="237" spans="21:23" ht="15.5">
      <c r="U237" s="94" t="s">
        <v>1399</v>
      </c>
      <c r="V237" s="49" t="s">
        <v>1828</v>
      </c>
      <c r="W237" s="1" t="str">
        <f t="shared" si="4"/>
        <v>Please enter a valid If Others, please specify Income &amp; Expenses</v>
      </c>
    </row>
    <row r="238" spans="21:23" ht="15.5">
      <c r="U238" s="68" t="s">
        <v>1288</v>
      </c>
      <c r="V238" s="49" t="s">
        <v>1829</v>
      </c>
      <c r="W238" s="1" t="str">
        <f t="shared" si="4"/>
        <v>Please enter a valid Total Annual Expenses</v>
      </c>
    </row>
    <row r="239" spans="21:23" ht="15.5">
      <c r="U239" s="102" t="s">
        <v>1669</v>
      </c>
      <c r="V239" s="49" t="s">
        <v>1830</v>
      </c>
      <c r="W239" s="1" t="str">
        <f t="shared" si="4"/>
        <v>Please enter a valid Expense Type 1</v>
      </c>
    </row>
    <row r="240" spans="21:23" ht="15.5">
      <c r="U240" s="102" t="s">
        <v>1670</v>
      </c>
      <c r="V240" s="49" t="s">
        <v>1831</v>
      </c>
      <c r="W240" s="1" t="str">
        <f t="shared" si="4"/>
        <v>Please enter a valid Expense Type 2</v>
      </c>
    </row>
    <row r="241" spans="21:23" ht="15.5">
      <c r="U241" s="102" t="s">
        <v>1671</v>
      </c>
      <c r="V241" s="49" t="s">
        <v>1832</v>
      </c>
      <c r="W241" s="1" t="str">
        <f t="shared" si="4"/>
        <v>Please enter a valid Expense Type 3</v>
      </c>
    </row>
    <row r="242" spans="21:23" ht="15.5">
      <c r="U242" s="102" t="s">
        <v>1672</v>
      </c>
      <c r="V242" s="49" t="s">
        <v>1833</v>
      </c>
      <c r="W242" s="1" t="str">
        <f t="shared" si="4"/>
        <v>Please enter a valid Expense Type 4</v>
      </c>
    </row>
    <row r="243" spans="21:23" ht="15.5">
      <c r="U243" s="102" t="s">
        <v>1673</v>
      </c>
      <c r="V243" s="49" t="s">
        <v>1834</v>
      </c>
      <c r="W243" s="1" t="str">
        <f t="shared" si="4"/>
        <v>Please enter a valid Expense Type 5</v>
      </c>
    </row>
    <row r="244" spans="21:23" ht="15.5">
      <c r="U244" s="102" t="s">
        <v>1664</v>
      </c>
      <c r="V244" s="49" t="s">
        <v>1835</v>
      </c>
      <c r="W244" s="1" t="str">
        <f t="shared" si="4"/>
        <v>Please enter a valid Monthly Expense 1</v>
      </c>
    </row>
    <row r="245" spans="21:23" ht="15.5">
      <c r="U245" s="102" t="s">
        <v>1665</v>
      </c>
      <c r="V245" s="49" t="s">
        <v>1836</v>
      </c>
      <c r="W245" s="1" t="str">
        <f t="shared" si="4"/>
        <v>Please enter a valid Monthly Expense 2</v>
      </c>
    </row>
    <row r="246" spans="21:23" ht="15.5">
      <c r="U246" s="102" t="s">
        <v>1666</v>
      </c>
      <c r="V246" s="49" t="s">
        <v>1837</v>
      </c>
      <c r="W246" s="1" t="str">
        <f t="shared" si="4"/>
        <v>Please enter a valid Monthly Expense 3</v>
      </c>
    </row>
    <row r="247" spans="21:23" ht="15.5">
      <c r="U247" s="102" t="s">
        <v>1667</v>
      </c>
      <c r="V247" s="49" t="s">
        <v>1838</v>
      </c>
      <c r="W247" s="1" t="str">
        <f t="shared" si="4"/>
        <v>Please enter a valid Monthly Expense 4</v>
      </c>
    </row>
    <row r="248" spans="21:23" ht="15.5">
      <c r="U248" s="102" t="s">
        <v>1668</v>
      </c>
      <c r="V248" s="49" t="s">
        <v>1839</v>
      </c>
      <c r="W248" s="1" t="str">
        <f t="shared" si="4"/>
        <v>Please enter a valid Monthly Expense 5</v>
      </c>
    </row>
    <row r="249" spans="21:23" ht="15.5">
      <c r="U249" s="102" t="s">
        <v>1659</v>
      </c>
      <c r="V249" s="49" t="s">
        <v>1840</v>
      </c>
      <c r="W249" s="1" t="str">
        <f t="shared" si="4"/>
        <v>Please enter a valid Annual Expense 1</v>
      </c>
    </row>
    <row r="250" spans="21:23" ht="15.5">
      <c r="U250" s="102" t="s">
        <v>1660</v>
      </c>
      <c r="V250" s="49" t="s">
        <v>1841</v>
      </c>
      <c r="W250" s="1" t="str">
        <f t="shared" si="4"/>
        <v>Please enter a valid Annual Expense 2</v>
      </c>
    </row>
    <row r="251" spans="21:23" ht="15.5">
      <c r="U251" s="102" t="s">
        <v>1661</v>
      </c>
      <c r="V251" s="49" t="s">
        <v>1842</v>
      </c>
      <c r="W251" s="1" t="str">
        <f t="shared" si="4"/>
        <v>Please enter a valid Annual Expense 3</v>
      </c>
    </row>
    <row r="252" spans="21:23" ht="15.5">
      <c r="U252" s="102" t="s">
        <v>1662</v>
      </c>
      <c r="V252" s="49" t="s">
        <v>1843</v>
      </c>
      <c r="W252" s="1" t="str">
        <f t="shared" si="4"/>
        <v>Please enter a valid Annual Expense 4</v>
      </c>
    </row>
    <row r="253" spans="21:23" ht="15.5">
      <c r="U253" s="102" t="s">
        <v>1663</v>
      </c>
      <c r="V253" s="49" t="s">
        <v>1844</v>
      </c>
      <c r="W253" s="1" t="str">
        <f t="shared" si="4"/>
        <v>Please enter a valid Annual Expense 5</v>
      </c>
    </row>
    <row r="254" spans="21:23" ht="15.5">
      <c r="U254" s="102" t="s">
        <v>1654</v>
      </c>
      <c r="V254" s="49" t="s">
        <v>1845</v>
      </c>
      <c r="W254" s="1" t="str">
        <f t="shared" si="4"/>
        <v>Please enter a valid Frequency 1</v>
      </c>
    </row>
    <row r="255" spans="21:23" ht="15.5">
      <c r="U255" s="102" t="s">
        <v>1655</v>
      </c>
      <c r="V255" s="49" t="s">
        <v>1846</v>
      </c>
      <c r="W255" s="1" t="str">
        <f t="shared" si="4"/>
        <v>Please enter a valid Frequency 2</v>
      </c>
    </row>
    <row r="256" spans="21:23" ht="15.5">
      <c r="U256" s="102" t="s">
        <v>1656</v>
      </c>
      <c r="V256" s="49" t="s">
        <v>1847</v>
      </c>
      <c r="W256" s="1" t="str">
        <f t="shared" si="4"/>
        <v>Please enter a valid Frequency 3</v>
      </c>
    </row>
    <row r="257" spans="21:23" ht="15.5">
      <c r="U257" s="102" t="s">
        <v>1657</v>
      </c>
      <c r="V257" s="49" t="s">
        <v>1848</v>
      </c>
      <c r="W257" s="1" t="str">
        <f t="shared" si="4"/>
        <v>Please enter a valid Frequency 4</v>
      </c>
    </row>
    <row r="258" spans="21:23" ht="15.5">
      <c r="U258" s="102" t="s">
        <v>1658</v>
      </c>
      <c r="V258" s="49" t="s">
        <v>1849</v>
      </c>
      <c r="W258" s="1" t="str">
        <f t="shared" si="4"/>
        <v>Please enter a valid Frequency 5</v>
      </c>
    </row>
    <row r="259" spans="21:23" ht="15.5">
      <c r="U259" s="102" t="s">
        <v>1649</v>
      </c>
      <c r="V259" s="49" t="s">
        <v>1850</v>
      </c>
      <c r="W259" s="1" t="str">
        <f t="shared" si="4"/>
        <v>Please enter a valid Other Expense Description 1</v>
      </c>
    </row>
    <row r="260" spans="21:23" ht="15.5">
      <c r="U260" s="102" t="s">
        <v>1650</v>
      </c>
      <c r="V260" s="49" t="s">
        <v>1851</v>
      </c>
      <c r="W260" s="1" t="str">
        <f t="shared" si="4"/>
        <v>Please enter a valid Other Expense Description 2</v>
      </c>
    </row>
    <row r="261" spans="21:23" ht="15.5">
      <c r="U261" s="102" t="s">
        <v>1651</v>
      </c>
      <c r="V261" s="49" t="s">
        <v>1852</v>
      </c>
      <c r="W261" s="1" t="str">
        <f t="shared" si="4"/>
        <v>Please enter a valid Other Expense Description 3</v>
      </c>
    </row>
    <row r="262" spans="21:23" ht="15.5">
      <c r="U262" s="102" t="s">
        <v>1652</v>
      </c>
      <c r="V262" s="49" t="s">
        <v>1853</v>
      </c>
      <c r="W262" s="1" t="str">
        <f t="shared" si="4"/>
        <v>Please enter a valid Other Expense Description 4</v>
      </c>
    </row>
    <row r="263" spans="21:23" ht="15.5">
      <c r="U263" s="102" t="s">
        <v>1653</v>
      </c>
      <c r="V263" s="49" t="s">
        <v>1854</v>
      </c>
      <c r="W263" s="1" t="str">
        <f t="shared" si="4"/>
        <v>Please enter a valid Other Expense Description 5</v>
      </c>
    </row>
    <row r="264" spans="21:23" ht="15.5">
      <c r="U264" s="86" t="s">
        <v>1343</v>
      </c>
      <c r="V264" s="49" t="s">
        <v>1855</v>
      </c>
      <c r="W264" s="1" t="str">
        <f t="shared" si="4"/>
        <v>Please enter a valid Annual Cash</v>
      </c>
    </row>
    <row r="265" spans="21:23" ht="15.5">
      <c r="U265" s="86" t="s">
        <v>1344</v>
      </c>
      <c r="V265" s="49" t="s">
        <v>1856</v>
      </c>
      <c r="W265" s="1" t="str">
        <f t="shared" si="4"/>
        <v>Please enter a valid Annual CPF-OA</v>
      </c>
    </row>
    <row r="266" spans="21:23" ht="15.5">
      <c r="U266" s="86" t="s">
        <v>1345</v>
      </c>
      <c r="V266" s="49" t="s">
        <v>1857</v>
      </c>
      <c r="W266" s="1" t="str">
        <f t="shared" si="4"/>
        <v>Please enter a valid Annual CPF-SA</v>
      </c>
    </row>
    <row r="267" spans="21:23" ht="15.5">
      <c r="U267" s="86" t="s">
        <v>1346</v>
      </c>
      <c r="V267" s="49" t="s">
        <v>1858</v>
      </c>
      <c r="W267" s="1" t="str">
        <f t="shared" si="4"/>
        <v>Please enter a valid Annual CPF-MA</v>
      </c>
    </row>
    <row r="268" spans="21:23" ht="15.5">
      <c r="U268" s="86" t="s">
        <v>1347</v>
      </c>
      <c r="V268" s="49" t="s">
        <v>1859</v>
      </c>
      <c r="W268" s="1" t="str">
        <f t="shared" si="4"/>
        <v>Please enter a valid Annual SRS</v>
      </c>
    </row>
    <row r="269" spans="21:23" ht="15.5">
      <c r="U269" s="86" t="s">
        <v>1348</v>
      </c>
      <c r="V269" s="49" t="s">
        <v>1860</v>
      </c>
      <c r="W269" s="1" t="str">
        <f t="shared" si="4"/>
        <v>Please enter a valid Lump Sum Cash</v>
      </c>
    </row>
    <row r="270" spans="21:23" ht="15.5">
      <c r="U270" s="86" t="s">
        <v>1349</v>
      </c>
      <c r="V270" s="49" t="s">
        <v>1861</v>
      </c>
      <c r="W270" s="1" t="str">
        <f t="shared" ref="W270:W273" si="5">_xlfn.CONCAT("Please enter a valid ",U270)</f>
        <v>Please enter a valid Lump Sum CPF-OA</v>
      </c>
    </row>
    <row r="271" spans="21:23" ht="15.5">
      <c r="U271" s="86" t="s">
        <v>1350</v>
      </c>
      <c r="V271" s="49" t="s">
        <v>1862</v>
      </c>
      <c r="W271" s="1" t="str">
        <f t="shared" si="5"/>
        <v>Please enter a valid Lump Sum CPF-SA</v>
      </c>
    </row>
    <row r="272" spans="21:23" ht="15.5">
      <c r="U272" s="86" t="s">
        <v>1351</v>
      </c>
      <c r="V272" s="49" t="s">
        <v>1863</v>
      </c>
      <c r="W272" s="1" t="str">
        <f t="shared" si="5"/>
        <v>Please enter a valid Lump Sum CPF-MA</v>
      </c>
    </row>
    <row r="273" spans="21:23" ht="15.5">
      <c r="U273" s="86" t="s">
        <v>1352</v>
      </c>
      <c r="V273" s="49" t="s">
        <v>1864</v>
      </c>
      <c r="W273" s="1" t="str">
        <f t="shared" si="5"/>
        <v>Please enter a valid Lump Sum SRS</v>
      </c>
    </row>
  </sheetData>
  <dataConsolidate/>
  <mergeCells count="8">
    <mergeCell ref="Q12:R12"/>
    <mergeCell ref="N13:O13"/>
    <mergeCell ref="N20:O20"/>
    <mergeCell ref="B12:C12"/>
    <mergeCell ref="E12:F12"/>
    <mergeCell ref="H12:I12"/>
    <mergeCell ref="K12:L12"/>
    <mergeCell ref="N12:O12"/>
  </mergeCells>
  <phoneticPr fontId="29" type="noConversion"/>
  <dataValidations count="8">
    <dataValidation type="list" allowBlank="1" showInputMessage="1" showErrorMessage="1" sqref="C6 C8 I6 I8 R5:R6 R8" xr:uid="{63BB380A-281D-490B-99EB-54EDF737F26D}">
      <formula1>"TRUE,FALSE"</formula1>
    </dataValidation>
    <dataValidation type="list" allowBlank="1" showInputMessage="1" showErrorMessage="1" sqref="C13 C18 C23 C28 C33 C38 C43 C48 C53 C58 C63 C68" xr:uid="{CFEA43B5-C04D-4DA6-AE89-45D1A529BF01}">
      <formula1>$Z$2:$Z$11</formula1>
    </dataValidation>
    <dataValidation type="list" allowBlank="1" showInputMessage="1" showErrorMessage="1" sqref="I21 L18 I27 I33 L24 L30 L36 L42" xr:uid="{38D343AD-E553-41CA-B9E5-DD616A3CA6DA}">
      <formula1>$AC$2:$AC$5</formula1>
    </dataValidation>
    <dataValidation type="list" allowBlank="1" showInputMessage="1" showErrorMessage="1" sqref="F13 F17 F21 F25 F29 F33" xr:uid="{543F24ED-A6C5-473C-B3D5-89D3CB3F826B}">
      <formula1>$AD$2:$AD$5</formula1>
    </dataValidation>
    <dataValidation type="list" allowBlank="1" showInputMessage="1" showErrorMessage="1" sqref="I20 I26 I32" xr:uid="{1652BADB-2BD3-4199-8972-2D73D52DAACF}">
      <formula1>$AE$2:$AE$4</formula1>
    </dataValidation>
    <dataValidation type="list" allowBlank="1" showInputMessage="1" showErrorMessage="1" sqref="L15 L21 L27 L33 L39" xr:uid="{650D44C5-9930-4523-8F06-18672BA72F70}">
      <formula1>$AF$2:$AF$6</formula1>
    </dataValidation>
    <dataValidation type="list" allowBlank="1" showInputMessage="1" showErrorMessage="1" sqref="C9 I9 R9" xr:uid="{4C9ACFE2-28AB-4864-8E12-D910B43802E1}">
      <formula1>$Y$2:$Y$3</formula1>
    </dataValidation>
    <dataValidation type="list" allowBlank="1" showInputMessage="1" showErrorMessage="1" sqref="R36" xr:uid="{226B2727-BB61-4695-8BE6-9734F4FBF946}">
      <formula1>$AG$2:$AG$4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47B5-1DB2-0040-9A7F-5EB2ECFF5EA6}">
  <dimension ref="A1:Q423"/>
  <sheetViews>
    <sheetView zoomScale="80" zoomScaleNormal="80" workbookViewId="0">
      <selection activeCell="J2" sqref="J2"/>
    </sheetView>
  </sheetViews>
  <sheetFormatPr defaultColWidth="8.6640625" defaultRowHeight="14.5"/>
  <cols>
    <col min="1" max="2" width="8.6640625" style="39"/>
    <col min="3" max="3" width="22.5" style="39" bestFit="1" customWidth="1"/>
    <col min="4" max="4" width="21.5" style="39" customWidth="1"/>
    <col min="5" max="8" width="8.6640625" style="39"/>
    <col min="9" max="9" width="26.9140625" style="39" customWidth="1"/>
    <col min="10" max="10" width="10" style="39" bestFit="1" customWidth="1"/>
    <col min="11" max="11" width="81.5" style="39" bestFit="1" customWidth="1"/>
    <col min="12" max="13" width="8.6640625" style="39"/>
    <col min="14" max="14" width="24.5" style="39" bestFit="1" customWidth="1"/>
    <col min="15" max="15" width="13.1640625" style="39" bestFit="1" customWidth="1"/>
    <col min="16" max="16" width="8.6640625" style="39"/>
    <col min="17" max="17" width="9.5" style="39" bestFit="1" customWidth="1"/>
    <col min="18" max="16384" width="8.6640625" style="39"/>
  </cols>
  <sheetData>
    <row r="1" spans="1:17" ht="15" thickBot="1">
      <c r="D1" s="40" t="s">
        <v>4</v>
      </c>
    </row>
    <row r="2" spans="1:17" ht="15.5">
      <c r="D2" s="41" t="s">
        <v>2</v>
      </c>
      <c r="I2" s="89" t="s">
        <v>52</v>
      </c>
      <c r="J2" s="15" t="b">
        <f ca="1">IF(NOT(D5),TRUE,IF(COUNTIF($J$9:$J$68,FALSE)=0,TRUE,VLOOKUP(FALSE,$J$9:$K$68,2,0)))</f>
        <v>1</v>
      </c>
      <c r="N2" s="44" t="s">
        <v>206</v>
      </c>
      <c r="O2" s="45" t="s">
        <v>287</v>
      </c>
      <c r="P2" s="44" t="s">
        <v>139</v>
      </c>
      <c r="Q2" s="44" t="s">
        <v>144</v>
      </c>
    </row>
    <row r="3" spans="1:17" ht="16" thickBot="1">
      <c r="D3" s="42" t="s">
        <v>36</v>
      </c>
      <c r="I3" s="90" t="s">
        <v>53</v>
      </c>
      <c r="J3" s="14" t="str">
        <f ca="1">IF(J2=TRUE,"",VLOOKUP(J2,$J$71:$K$130,2,0))</f>
        <v/>
      </c>
      <c r="N3" s="39" t="s">
        <v>208</v>
      </c>
      <c r="O3" s="39" t="s">
        <v>268</v>
      </c>
      <c r="P3" s="75" t="s">
        <v>260</v>
      </c>
      <c r="Q3" s="39" t="s">
        <v>861</v>
      </c>
    </row>
    <row r="4" spans="1:17">
      <c r="N4" s="39" t="s">
        <v>10</v>
      </c>
      <c r="O4" s="39" t="s">
        <v>269</v>
      </c>
      <c r="P4" s="75" t="s">
        <v>263</v>
      </c>
      <c r="Q4" s="39" t="s">
        <v>862</v>
      </c>
    </row>
    <row r="5" spans="1:17" ht="15.5">
      <c r="C5" s="73" t="s">
        <v>42</v>
      </c>
      <c r="D5" s="4" t="b">
        <f>'Validation Input Received'!$D$19</f>
        <v>1</v>
      </c>
      <c r="O5" s="39" t="s">
        <v>270</v>
      </c>
      <c r="P5" s="75" t="s">
        <v>264</v>
      </c>
      <c r="Q5" s="39" t="s">
        <v>863</v>
      </c>
    </row>
    <row r="6" spans="1:17">
      <c r="B6" s="46"/>
      <c r="C6" s="39" t="s">
        <v>209</v>
      </c>
      <c r="D6" s="43" t="b">
        <v>1</v>
      </c>
      <c r="O6" s="39" t="s">
        <v>271</v>
      </c>
      <c r="Q6" s="39" t="s">
        <v>864</v>
      </c>
    </row>
    <row r="7" spans="1:17">
      <c r="A7" s="46"/>
      <c r="B7" s="46"/>
      <c r="C7" s="39" t="s">
        <v>210</v>
      </c>
      <c r="D7" s="43" t="b">
        <v>1</v>
      </c>
      <c r="O7" s="39" t="s">
        <v>272</v>
      </c>
      <c r="Q7" s="39" t="s">
        <v>865</v>
      </c>
    </row>
    <row r="8" spans="1:17">
      <c r="C8" s="39" t="s">
        <v>206</v>
      </c>
      <c r="D8" s="43" t="s">
        <v>10</v>
      </c>
      <c r="I8" s="47" t="s">
        <v>15</v>
      </c>
      <c r="J8" s="47" t="s">
        <v>52</v>
      </c>
      <c r="K8" s="9" t="s">
        <v>17</v>
      </c>
      <c r="O8" s="39" t="s">
        <v>273</v>
      </c>
      <c r="Q8" s="39" t="s">
        <v>866</v>
      </c>
    </row>
    <row r="9" spans="1:17" ht="15.5">
      <c r="C9" s="39" t="s">
        <v>75</v>
      </c>
      <c r="D9" s="118" t="s">
        <v>71</v>
      </c>
      <c r="I9" s="117" t="s">
        <v>1676</v>
      </c>
      <c r="J9" s="49" t="b">
        <f>OR(input_Dependents_Dependents_1_Relationship="",NOT(ISERROR(VLOOKUP(input_Dependents_Dependents_1_Relationship,$O$3:$O$21,1,0))))</f>
        <v>1</v>
      </c>
      <c r="K9" s="53" t="str">
        <f>IF(J9=FALSE,VLOOKUP(I9,$I$71:$J$130,2,0),"")</f>
        <v/>
      </c>
      <c r="O9" s="39" t="s">
        <v>274</v>
      </c>
      <c r="Q9" s="39" t="s">
        <v>867</v>
      </c>
    </row>
    <row r="10" spans="1:17" ht="15.5">
      <c r="A10" s="46"/>
      <c r="B10" s="46"/>
      <c r="I10" s="117" t="s">
        <v>1677</v>
      </c>
      <c r="J10" s="49" t="b">
        <f>OR(input_Dependents_Dependents_2_Relationship="",NOT(ISERROR(VLOOKUP(input_Dependents_Dependents_2_Relationship,$O$3:$O$21,1,0))))</f>
        <v>1</v>
      </c>
      <c r="K10" s="53" t="str">
        <f>IF(J10=FALSE,VLOOKUP(I10,$I$71:$J$130,2,0),"")</f>
        <v/>
      </c>
      <c r="O10" s="39" t="s">
        <v>275</v>
      </c>
      <c r="Q10" s="39" t="s">
        <v>868</v>
      </c>
    </row>
    <row r="11" spans="1:17" ht="15.5">
      <c r="C11" s="39" t="s">
        <v>149</v>
      </c>
      <c r="D11" s="54" t="s">
        <v>212</v>
      </c>
      <c r="I11" s="117" t="s">
        <v>1678</v>
      </c>
      <c r="J11" s="49" t="b">
        <f>OR(input_Dependents_Dependents_3_Relationship="",NOT(ISERROR(VLOOKUP(input_Dependents_Dependents_3_Relationship,$O$3:$O$21,1,0))))</f>
        <v>1</v>
      </c>
      <c r="K11" s="53" t="str">
        <f>IF(J11=FALSE,VLOOKUP(I11,$I$71:$J$130,2,0),"")</f>
        <v/>
      </c>
      <c r="O11" s="39" t="s">
        <v>276</v>
      </c>
      <c r="Q11" s="39" t="s">
        <v>869</v>
      </c>
    </row>
    <row r="12" spans="1:17" ht="15.5">
      <c r="C12" s="39" t="s">
        <v>151</v>
      </c>
      <c r="D12" s="39" t="s">
        <v>152</v>
      </c>
      <c r="I12" s="117" t="s">
        <v>1679</v>
      </c>
      <c r="J12" s="49" t="b">
        <f>OR(input_Dependents_Dependents_4_Relationship="",NOT(ISERROR(VLOOKUP(input_Dependents_Dependents_4_Relationship,$O$3:$O$21,1,0))))</f>
        <v>1</v>
      </c>
      <c r="K12" s="53" t="str">
        <f>IF(J12=FALSE,VLOOKUP(I12,$I$71:$J$130,2,0),"")</f>
        <v/>
      </c>
      <c r="O12" s="39" t="s">
        <v>277</v>
      </c>
      <c r="Q12" s="39" t="s">
        <v>870</v>
      </c>
    </row>
    <row r="13" spans="1:17" ht="15.5">
      <c r="A13" s="46"/>
      <c r="B13" s="46"/>
      <c r="C13" s="39" t="s">
        <v>147</v>
      </c>
      <c r="D13" s="54" t="s">
        <v>213</v>
      </c>
      <c r="I13" s="117" t="s">
        <v>1680</v>
      </c>
      <c r="J13" s="49" t="b">
        <f>OR(input_Dependents_Dependents_5_Relationship="",NOT(ISERROR(VLOOKUP(input_Dependents_Dependents_5_Relationship,$O$3:$O$21,1,0))))</f>
        <v>1</v>
      </c>
      <c r="K13" s="53" t="str">
        <f>IF(J13=FALSE,VLOOKUP(I13,$I$71:$J$130,2,0),"")</f>
        <v/>
      </c>
      <c r="O13" s="39" t="s">
        <v>278</v>
      </c>
      <c r="Q13" s="39" t="s">
        <v>871</v>
      </c>
    </row>
    <row r="14" spans="1:17" ht="15.5">
      <c r="C14" s="39" t="s">
        <v>163</v>
      </c>
      <c r="D14" s="39" t="s">
        <v>214</v>
      </c>
      <c r="I14" s="117" t="s">
        <v>1681</v>
      </c>
      <c r="J14" s="49" t="b">
        <f>OR(input_Dependents_Dependents_6_Relationship="",NOT(ISERROR(VLOOKUP(input_Dependents_Dependents_6_Relationship,$O$3:$O$21,1,0))))</f>
        <v>1</v>
      </c>
      <c r="K14" s="53" t="str">
        <f>IF(J14=FALSE,VLOOKUP(I14,$I$71:$J$130,2,0),"")</f>
        <v/>
      </c>
      <c r="O14" s="39" t="s">
        <v>279</v>
      </c>
      <c r="Q14" s="39" t="s">
        <v>872</v>
      </c>
    </row>
    <row r="15" spans="1:17" ht="15.5">
      <c r="C15" s="39" t="s">
        <v>207</v>
      </c>
      <c r="D15" s="55" t="s">
        <v>282</v>
      </c>
      <c r="I15" s="117" t="s">
        <v>1682</v>
      </c>
      <c r="J15" s="49" t="b">
        <f>OR(input_Dependents_Dependents_7_Relationship="",NOT(ISERROR(VLOOKUP(input_Dependents_Dependents_7_Relationship,$O$3:$O$21,1,0))))</f>
        <v>1</v>
      </c>
      <c r="K15" s="53" t="str">
        <f>IF(J15=FALSE,VLOOKUP(I15,$I$71:$J$130,2,0),"")</f>
        <v/>
      </c>
      <c r="O15" s="39" t="s">
        <v>280</v>
      </c>
      <c r="Q15" s="39" t="s">
        <v>873</v>
      </c>
    </row>
    <row r="16" spans="1:17" ht="15.5">
      <c r="C16" s="39" t="s">
        <v>139</v>
      </c>
      <c r="D16" s="43" t="s">
        <v>260</v>
      </c>
      <c r="I16" s="117" t="s">
        <v>1683</v>
      </c>
      <c r="J16" s="49" t="b">
        <f>OR(input_Dependents_Dependents_8_Relationship="",NOT(ISERROR(VLOOKUP(input_Dependents_Dependents_8_Relationship,$O$3:$O$21,1,0))))</f>
        <v>1</v>
      </c>
      <c r="K16" s="53" t="str">
        <f>IF(J16=FALSE,VLOOKUP(I16,$I$71:$J$130,2,0),"")</f>
        <v/>
      </c>
      <c r="O16" s="39" t="s">
        <v>281</v>
      </c>
      <c r="Q16" s="39" t="s">
        <v>874</v>
      </c>
    </row>
    <row r="17" spans="1:17" ht="15.5">
      <c r="A17" s="46"/>
      <c r="B17" s="46"/>
      <c r="C17" s="39" t="s">
        <v>144</v>
      </c>
      <c r="D17" s="43" t="s">
        <v>863</v>
      </c>
      <c r="I17" s="117" t="s">
        <v>1684</v>
      </c>
      <c r="J17" s="49" t="b">
        <f>OR(input_Dependents_Dependents_1_Gender="",NOT(ISERROR(VLOOKUP(input_Dependents_Dependents_1_Gender,$P$3:$P$5,1,0))))</f>
        <v>1</v>
      </c>
      <c r="K17" s="53" t="str">
        <f>IF(J17=FALSE,VLOOKUP(I17,$I$71:$J$130,2,0),"")</f>
        <v/>
      </c>
      <c r="O17" s="39" t="s">
        <v>282</v>
      </c>
      <c r="Q17" s="39" t="s">
        <v>875</v>
      </c>
    </row>
    <row r="18" spans="1:17" ht="15.5">
      <c r="C18" s="39" t="s">
        <v>75</v>
      </c>
      <c r="D18" s="43" t="s">
        <v>71</v>
      </c>
      <c r="I18" s="117" t="s">
        <v>1685</v>
      </c>
      <c r="J18" s="49" t="b">
        <f>OR(input_Dependents_Dependents_2_Gender="",NOT(ISERROR(VLOOKUP(input_Dependents_Dependents_2_Gender,$P$3:$P$5,1,0))))</f>
        <v>1</v>
      </c>
      <c r="K18" s="53" t="str">
        <f>IF(J18=FALSE,VLOOKUP(I18,$I$71:$J$130,2,0),"")</f>
        <v/>
      </c>
      <c r="O18" s="39" t="s">
        <v>283</v>
      </c>
      <c r="Q18" s="39" t="s">
        <v>876</v>
      </c>
    </row>
    <row r="19" spans="1:17" ht="15.5">
      <c r="C19" s="39" t="s">
        <v>215</v>
      </c>
      <c r="D19" s="56">
        <v>43103</v>
      </c>
      <c r="I19" s="117" t="s">
        <v>1686</v>
      </c>
      <c r="J19" s="49" t="b">
        <f>OR(input_Dependents_Dependents_3_Gender="",NOT(ISERROR(VLOOKUP(input_Dependents_Dependents_3_Gender,$P$3:$P$5,1,0))))</f>
        <v>1</v>
      </c>
      <c r="K19" s="53" t="str">
        <f>IF(J19=FALSE,VLOOKUP(I19,$I$71:$J$130,2,0),"")</f>
        <v/>
      </c>
      <c r="O19" s="39" t="s">
        <v>284</v>
      </c>
      <c r="Q19" s="39" t="s">
        <v>877</v>
      </c>
    </row>
    <row r="20" spans="1:17" ht="15.5">
      <c r="A20" s="46"/>
      <c r="B20" s="46"/>
      <c r="C20" s="39" t="s">
        <v>211</v>
      </c>
      <c r="D20" s="43">
        <v>20</v>
      </c>
      <c r="I20" s="117" t="s">
        <v>1687</v>
      </c>
      <c r="J20" s="49" t="b">
        <f>OR(input_Dependents_Dependents_4_Gender="",NOT(ISERROR(VLOOKUP(input_Dependents_Dependents_4_Gender,$P$3:$P$5,1,0))))</f>
        <v>1</v>
      </c>
      <c r="K20" s="53" t="str">
        <f>IF(J20=FALSE,VLOOKUP(I20,$I$71:$J$130,2,0),"")</f>
        <v/>
      </c>
      <c r="O20" s="39" t="s">
        <v>285</v>
      </c>
      <c r="Q20" s="39" t="s">
        <v>878</v>
      </c>
    </row>
    <row r="21" spans="1:17" ht="15.5">
      <c r="C21" s="54" t="s">
        <v>216</v>
      </c>
      <c r="D21" s="43">
        <v>5</v>
      </c>
      <c r="I21" s="117" t="s">
        <v>1688</v>
      </c>
      <c r="J21" s="49" t="b">
        <f>OR(input_Dependents_Dependents_5_Gender="",NOT(ISERROR(VLOOKUP(input_Dependents_Dependents_5_Gender,$P$3:$P$5,1,0))))</f>
        <v>1</v>
      </c>
      <c r="K21" s="53" t="str">
        <f>IF(J21=FALSE,VLOOKUP(I21,$I$71:$J$130,2,0),"")</f>
        <v/>
      </c>
      <c r="O21" s="39" t="s">
        <v>286</v>
      </c>
      <c r="Q21" s="39" t="s">
        <v>879</v>
      </c>
    </row>
    <row r="22" spans="1:17" ht="15.5">
      <c r="I22" s="117" t="s">
        <v>1689</v>
      </c>
      <c r="J22" s="49" t="b">
        <f>OR(input_Dependents_Dependents_6_Gender="",NOT(ISERROR(VLOOKUP(input_Dependents_Dependents_6_Gender,$P$3:$P$5,1,0))))</f>
        <v>1</v>
      </c>
      <c r="K22" s="53" t="str">
        <f>IF(J22=FALSE,VLOOKUP(I22,$I$71:$J$130,2,0),"")</f>
        <v/>
      </c>
      <c r="Q22" s="39" t="s">
        <v>880</v>
      </c>
    </row>
    <row r="23" spans="1:17" ht="15.5">
      <c r="A23" s="46"/>
      <c r="B23" s="46"/>
      <c r="C23" s="39" t="s">
        <v>207</v>
      </c>
      <c r="D23" s="55" t="s">
        <v>282</v>
      </c>
      <c r="I23" s="117" t="s">
        <v>1690</v>
      </c>
      <c r="J23" s="49" t="b">
        <f>OR(input_Dependents_Dependents_7_Gender="",NOT(ISERROR(VLOOKUP(input_Dependents_Dependents_7_Gender,$P$3:$P$5,1,0))))</f>
        <v>1</v>
      </c>
      <c r="K23" s="53" t="str">
        <f>IF(J23=FALSE,VLOOKUP(I23,$I$71:$J$130,2,0),"")</f>
        <v/>
      </c>
      <c r="Q23" s="39" t="s">
        <v>881</v>
      </c>
    </row>
    <row r="24" spans="1:17" ht="15.5">
      <c r="C24" s="39" t="s">
        <v>139</v>
      </c>
      <c r="D24" s="43" t="s">
        <v>260</v>
      </c>
      <c r="I24" s="117" t="s">
        <v>1691</v>
      </c>
      <c r="J24" s="49" t="b">
        <f>OR(input_Dependents_Dependents_8_Gender="",NOT(ISERROR(VLOOKUP(input_Dependents_Dependents_8_Gender,$P$3:$P$5,1,0))))</f>
        <v>1</v>
      </c>
      <c r="K24" s="53" t="str">
        <f>IF(J24=FALSE,VLOOKUP(I24,$I$71:$J$130,2,0),"")</f>
        <v/>
      </c>
      <c r="Q24" s="39" t="s">
        <v>882</v>
      </c>
    </row>
    <row r="25" spans="1:17" ht="15.5">
      <c r="C25" s="39" t="s">
        <v>144</v>
      </c>
      <c r="D25" s="43" t="s">
        <v>863</v>
      </c>
      <c r="I25" s="117" t="s">
        <v>1692</v>
      </c>
      <c r="J25" s="49" t="b">
        <f>OR(input_Dependents_Dependents_1_OccupationCode="",NOT(ISERROR(VLOOKUP(input_Dependents_Dependents_1_OccupationCode,$Q$3:$Q$423,1,0))))</f>
        <v>1</v>
      </c>
      <c r="K25" s="53" t="str">
        <f>IF(J25=FALSE,VLOOKUP(I25,$I$71:$J$130,2,0),"")</f>
        <v/>
      </c>
      <c r="Q25" s="39" t="s">
        <v>883</v>
      </c>
    </row>
    <row r="26" spans="1:17" ht="15.5">
      <c r="C26" s="39" t="s">
        <v>75</v>
      </c>
      <c r="D26" s="43" t="s">
        <v>71</v>
      </c>
      <c r="I26" s="117" t="s">
        <v>1693</v>
      </c>
      <c r="J26" s="49" t="b">
        <f>OR(input_Dependents_Dependents_2_OccupationCode="",NOT(ISERROR(VLOOKUP(input_Dependents_Dependents_2_OccupationCode,$Q$3:$Q$423,1,0))))</f>
        <v>1</v>
      </c>
      <c r="K26" s="53" t="str">
        <f>IF(J26=FALSE,VLOOKUP(I26,$I$71:$J$130,2,0),"")</f>
        <v/>
      </c>
      <c r="Q26" s="39" t="s">
        <v>884</v>
      </c>
    </row>
    <row r="27" spans="1:17" ht="15.5">
      <c r="A27" s="46"/>
      <c r="B27" s="46"/>
      <c r="C27" s="39" t="s">
        <v>215</v>
      </c>
      <c r="D27" s="56">
        <v>43103</v>
      </c>
      <c r="I27" s="117" t="s">
        <v>1694</v>
      </c>
      <c r="J27" s="49" t="b">
        <f>OR(input_Dependents_Dependents_3_OccupationCode="",NOT(ISERROR(VLOOKUP(input_Dependents_Dependents_3_OccupationCode,$Q$3:$Q$423,1,0))))</f>
        <v>1</v>
      </c>
      <c r="K27" s="53" t="str">
        <f>IF(J27=FALSE,VLOOKUP(I27,$I$71:$J$130,2,0),"")</f>
        <v/>
      </c>
      <c r="Q27" s="39" t="s">
        <v>885</v>
      </c>
    </row>
    <row r="28" spans="1:17" ht="15.5">
      <c r="C28" s="39" t="s">
        <v>211</v>
      </c>
      <c r="D28" s="43">
        <v>20</v>
      </c>
      <c r="I28" s="117" t="s">
        <v>1695</v>
      </c>
      <c r="J28" s="49" t="b">
        <f>OR(input_Dependents_Dependents_4_OccupationCode="",NOT(ISERROR(VLOOKUP(input_Dependents_Dependents_4_OccupationCode,$Q$3:$Q$423,1,0))))</f>
        <v>1</v>
      </c>
      <c r="K28" s="53" t="str">
        <f>IF(J28=FALSE,VLOOKUP(I28,$I$71:$J$130,2,0),"")</f>
        <v/>
      </c>
      <c r="Q28" s="39" t="s">
        <v>886</v>
      </c>
    </row>
    <row r="29" spans="1:17" ht="15.5">
      <c r="C29" s="54" t="s">
        <v>216</v>
      </c>
      <c r="D29" s="43">
        <v>5</v>
      </c>
      <c r="I29" s="117" t="s">
        <v>1696</v>
      </c>
      <c r="J29" s="49" t="b">
        <f>OR(input_Dependents_Dependents_5_OccupationCode="",NOT(ISERROR(VLOOKUP(input_Dependents_Dependents_5_OccupationCode,$Q$3:$Q$423,1,0))))</f>
        <v>1</v>
      </c>
      <c r="K29" s="53" t="str">
        <f>IF(J29=FALSE,VLOOKUP(I29,$I$71:$J$130,2,0),"")</f>
        <v/>
      </c>
      <c r="Q29" s="39" t="s">
        <v>887</v>
      </c>
    </row>
    <row r="30" spans="1:17" ht="15.5">
      <c r="A30" s="46"/>
      <c r="B30" s="46"/>
      <c r="I30" s="117" t="s">
        <v>1697</v>
      </c>
      <c r="J30" s="49" t="b">
        <f>OR(input_Dependents_Dependents_6_OccupationCode="",NOT(ISERROR(VLOOKUP(input_Dependents_Dependents_6_OccupationCode,$Q$3:$Q$423,1,0))))</f>
        <v>1</v>
      </c>
      <c r="K30" s="53" t="str">
        <f>IF(J30=FALSE,VLOOKUP(I30,$I$71:$J$130,2,0),"")</f>
        <v/>
      </c>
      <c r="Q30" s="39" t="s">
        <v>888</v>
      </c>
    </row>
    <row r="31" spans="1:17" ht="15.5">
      <c r="C31" s="39" t="s">
        <v>207</v>
      </c>
      <c r="D31" s="55" t="s">
        <v>282</v>
      </c>
      <c r="I31" s="117" t="s">
        <v>1698</v>
      </c>
      <c r="J31" s="49" t="b">
        <f>OR(input_Dependents_Dependents_7_OccupationCode="",NOT(ISERROR(VLOOKUP(input_Dependents_Dependents_7_OccupationCode,$Q$3:$Q$423,1,0))))</f>
        <v>1</v>
      </c>
      <c r="K31" s="53" t="str">
        <f>IF(J31=FALSE,VLOOKUP(I31,$I$71:$J$130,2,0),"")</f>
        <v/>
      </c>
      <c r="Q31" s="39" t="s">
        <v>889</v>
      </c>
    </row>
    <row r="32" spans="1:17" ht="15.5">
      <c r="C32" s="39" t="s">
        <v>139</v>
      </c>
      <c r="D32" s="43" t="s">
        <v>260</v>
      </c>
      <c r="I32" s="117" t="s">
        <v>1699</v>
      </c>
      <c r="J32" s="49" t="b">
        <f>OR(input_Dependents_Dependents_8_OccupationCode="",NOT(ISERROR(VLOOKUP(input_Dependents_Dependents_8_OccupationCode,$Q$3:$Q$423,1,0))))</f>
        <v>1</v>
      </c>
      <c r="K32" s="53" t="str">
        <f>IF(J32=FALSE,VLOOKUP(I32,$I$71:$J$130,2,0),"")</f>
        <v/>
      </c>
      <c r="Q32" s="39" t="s">
        <v>890</v>
      </c>
    </row>
    <row r="33" spans="1:17" ht="15.5">
      <c r="A33" s="46"/>
      <c r="B33" s="46"/>
      <c r="C33" s="39" t="s">
        <v>144</v>
      </c>
      <c r="D33" s="43" t="s">
        <v>863</v>
      </c>
      <c r="I33" s="117" t="s">
        <v>1700</v>
      </c>
      <c r="J33" s="49" t="b">
        <f>IF(AND(input_Dependents_Dependents_1_OtherOccupation="",OR(input_Dependents_Dependents_1_OccupationCode="OTHE",input_Dependents_Dependents_1_OccupationCode="OTH1",input_Dependents_Dependents_1_OccupationCode="OTH2",input_Dependents_Dependents_1_OccupationCode="OTH3")),FALSE,TRUE)</f>
        <v>1</v>
      </c>
      <c r="K33" s="53" t="str">
        <f>IF(J33=FALSE,VLOOKUP(I33,$I$71:$J$130,2,0),"")</f>
        <v/>
      </c>
      <c r="Q33" s="39" t="s">
        <v>891</v>
      </c>
    </row>
    <row r="34" spans="1:17" ht="15.5">
      <c r="C34" s="39" t="s">
        <v>75</v>
      </c>
      <c r="D34" s="43" t="s">
        <v>71</v>
      </c>
      <c r="I34" s="117" t="s">
        <v>1701</v>
      </c>
      <c r="J34" s="49" t="b">
        <f>IF(AND(input_Dependents_Dependents_2_OtherOccupation="",OR(input_Dependents_Dependents_2_OccupationCode="OTHE",input_Dependents_Dependents_2_OccupationCode="OTH1",input_Dependents_Dependents_2_OccupationCode="OTH2",input_Dependents_Dependents_2_OccupationCode="OTH3")),FALSE,TRUE)</f>
        <v>1</v>
      </c>
      <c r="K34" s="53" t="str">
        <f>IF(J34=FALSE,VLOOKUP(I34,$I$71:$J$130,2,0),"")</f>
        <v/>
      </c>
      <c r="Q34" s="39" t="s">
        <v>892</v>
      </c>
    </row>
    <row r="35" spans="1:17" ht="15.5">
      <c r="C35" s="39" t="s">
        <v>215</v>
      </c>
      <c r="D35" s="56">
        <v>43103</v>
      </c>
      <c r="I35" s="117" t="s">
        <v>1702</v>
      </c>
      <c r="J35" s="49" t="b">
        <f>IF(AND(input_Dependents_Dependents_3_OtherOccupation="",OR(input_Dependents_Dependents_3_OccupationCode="OTHE",input_Dependents_Dependents_3_OccupationCode="OTH1",input_Dependents_Dependents_3_OccupationCode="OTH2",input_Dependents_Dependents_3_OccupationCode="OTH3")),FALSE,TRUE)</f>
        <v>1</v>
      </c>
      <c r="K35" s="53" t="str">
        <f>IF(J35=FALSE,VLOOKUP(I35,$I$71:$J$130,2,0),"")</f>
        <v/>
      </c>
      <c r="Q35" s="39" t="s">
        <v>893</v>
      </c>
    </row>
    <row r="36" spans="1:17" ht="15.5">
      <c r="C36" s="39" t="s">
        <v>211</v>
      </c>
      <c r="D36" s="43">
        <v>20</v>
      </c>
      <c r="I36" s="117" t="s">
        <v>1703</v>
      </c>
      <c r="J36" s="49" t="b">
        <f>IF(AND(input_Dependents_Dependents_4_OtherOccupation="",OR(input_Dependents_Dependents_4_OccupationCode="OTHE",input_Dependents_Dependents_4_OccupationCode="OTH1",input_Dependents_Dependents_4_OccupationCode="OTH2",input_Dependents_Dependents_4_OccupationCode="OTH3")),FALSE,TRUE)</f>
        <v>1</v>
      </c>
      <c r="K36" s="53" t="str">
        <f>IF(J36=FALSE,VLOOKUP(I36,$I$71:$J$130,2,0),"")</f>
        <v/>
      </c>
      <c r="Q36" s="39" t="s">
        <v>894</v>
      </c>
    </row>
    <row r="37" spans="1:17" ht="15.5">
      <c r="A37" s="46"/>
      <c r="B37" s="46"/>
      <c r="C37" s="54" t="s">
        <v>216</v>
      </c>
      <c r="D37" s="43">
        <v>5</v>
      </c>
      <c r="I37" s="117" t="s">
        <v>1704</v>
      </c>
      <c r="J37" s="49" t="b">
        <f>IF(AND(input_Dependents_Dependents_5_OtherOccupation="",OR(input_Dependents_Dependents_5_OccupationCode="OTHE",input_Dependents_Dependents_5_OccupationCode="OTH1",input_Dependents_Dependents_5_OccupationCode="OTH2",input_Dependents_Dependents_5_OccupationCode="OTH3")),FALSE,TRUE)</f>
        <v>1</v>
      </c>
      <c r="K37" s="53" t="str">
        <f>IF(J37=FALSE,VLOOKUP(I37,$I$71:$J$130,2,0),"")</f>
        <v/>
      </c>
      <c r="Q37" s="39" t="s">
        <v>895</v>
      </c>
    </row>
    <row r="38" spans="1:17" ht="15.5">
      <c r="I38" s="117" t="s">
        <v>1705</v>
      </c>
      <c r="J38" s="49" t="b">
        <f>IF(AND(input_Dependents_Dependents_6_OtherOccupation="",OR(input_Dependents_Dependents_6_OccupationCode="OTHE",input_Dependents_Dependents_6_OccupationCode="OTH1",input_Dependents_Dependents_6_OccupationCode="OTH2",input_Dependents_Dependents_6_OccupationCode="OTH3")),FALSE,TRUE)</f>
        <v>1</v>
      </c>
      <c r="K38" s="53" t="str">
        <f>IF(J38=FALSE,VLOOKUP(I38,$I$71:$J$130,2,0),"")</f>
        <v/>
      </c>
      <c r="Q38" s="39" t="s">
        <v>896</v>
      </c>
    </row>
    <row r="39" spans="1:17" ht="15.5">
      <c r="C39" s="39" t="s">
        <v>207</v>
      </c>
      <c r="D39" s="55" t="s">
        <v>282</v>
      </c>
      <c r="I39" s="117" t="s">
        <v>1706</v>
      </c>
      <c r="J39" s="49" t="b">
        <f>IF(AND(input_Dependents_Dependents_7_OtherOccupation="",OR(input_Dependents_Dependents_7_OccupationCode="OTHE",input_Dependents_Dependents_7_OccupationCode="OTH1",input_Dependents_Dependents_7_OccupationCode="OTH2",input_Dependents_Dependents_7_OccupationCode="OTH3")),FALSE,TRUE)</f>
        <v>1</v>
      </c>
      <c r="K39" s="53" t="str">
        <f>IF(J39=FALSE,VLOOKUP(I39,$I$71:$J$130,2,0),"")</f>
        <v/>
      </c>
      <c r="Q39" s="39" t="s">
        <v>897</v>
      </c>
    </row>
    <row r="40" spans="1:17" ht="15.5">
      <c r="A40" s="46"/>
      <c r="B40" s="46"/>
      <c r="C40" s="39" t="s">
        <v>139</v>
      </c>
      <c r="D40" s="43" t="s">
        <v>260</v>
      </c>
      <c r="I40" s="117" t="s">
        <v>1707</v>
      </c>
      <c r="J40" s="49" t="b">
        <f>IF(AND(input_Dependents_Dependents_8_OtherOccupation="",OR(input_Dependents_Dependents_8_OccupationCode="OTHE",input_Dependents_Dependents_8_OccupationCode="OTH1",input_Dependents_Dependents_8_OccupationCode="OTH2",input_Dependents_Dependents_8_OccupationCode="OTH3")),FALSE,TRUE)</f>
        <v>1</v>
      </c>
      <c r="K40" s="53" t="str">
        <f>IF(J40=FALSE,VLOOKUP(I40,$I$71:$J$130,2,0),"")</f>
        <v/>
      </c>
      <c r="Q40" s="39" t="s">
        <v>898</v>
      </c>
    </row>
    <row r="41" spans="1:17" ht="15.5">
      <c r="C41" s="39" t="s">
        <v>144</v>
      </c>
      <c r="D41" s="43" t="s">
        <v>863</v>
      </c>
      <c r="I41" s="117" t="s">
        <v>1708</v>
      </c>
      <c r="J41" s="49" t="b">
        <f ca="1">input_Dependents_Dependents_1_Dob&lt;=TODAY()</f>
        <v>1</v>
      </c>
      <c r="K41" s="53" t="str">
        <f ca="1">IF(J41=FALSE,VLOOKUP(I41,$I$71:$J$130,2,0),"")</f>
        <v/>
      </c>
      <c r="Q41" s="39" t="s">
        <v>899</v>
      </c>
    </row>
    <row r="42" spans="1:17" ht="15.5">
      <c r="C42" s="39" t="s">
        <v>75</v>
      </c>
      <c r="D42" s="43" t="s">
        <v>71</v>
      </c>
      <c r="I42" s="117" t="s">
        <v>1709</v>
      </c>
      <c r="J42" s="49" t="b">
        <f ca="1">input_Dependents_Dependents_2_Dob&lt;=TODAY()</f>
        <v>1</v>
      </c>
      <c r="K42" s="53" t="str">
        <f ca="1">IF(J42=FALSE,VLOOKUP(I42,$I$71:$J$130,2,0),"")</f>
        <v/>
      </c>
      <c r="Q42" s="39" t="s">
        <v>900</v>
      </c>
    </row>
    <row r="43" spans="1:17" ht="15.5">
      <c r="A43" s="46"/>
      <c r="B43" s="46"/>
      <c r="C43" s="39" t="s">
        <v>215</v>
      </c>
      <c r="D43" s="56">
        <v>43103</v>
      </c>
      <c r="I43" s="117" t="s">
        <v>1710</v>
      </c>
      <c r="J43" s="49" t="b">
        <f ca="1">input_Dependents_Dependents_3_Dob&lt;=TODAY()</f>
        <v>1</v>
      </c>
      <c r="K43" s="53" t="str">
        <f ca="1">IF(J43=FALSE,VLOOKUP(I43,$I$71:$J$130,2,0),"")</f>
        <v/>
      </c>
      <c r="Q43" s="39" t="s">
        <v>901</v>
      </c>
    </row>
    <row r="44" spans="1:17" ht="15.5">
      <c r="C44" s="39" t="s">
        <v>211</v>
      </c>
      <c r="D44" s="43">
        <v>20</v>
      </c>
      <c r="I44" s="117" t="s">
        <v>1711</v>
      </c>
      <c r="J44" s="49" t="b">
        <f ca="1">input_Dependents_Dependents_4_Dob&lt;=TODAY()</f>
        <v>1</v>
      </c>
      <c r="K44" s="53" t="str">
        <f ca="1">IF(J44=FALSE,VLOOKUP(I44,$I$71:$J$130,2,0),"")</f>
        <v/>
      </c>
      <c r="Q44" s="39" t="s">
        <v>902</v>
      </c>
    </row>
    <row r="45" spans="1:17" ht="15.5">
      <c r="C45" s="54" t="s">
        <v>216</v>
      </c>
      <c r="D45" s="43">
        <v>5</v>
      </c>
      <c r="I45" s="117" t="s">
        <v>1712</v>
      </c>
      <c r="J45" s="49" t="b">
        <f ca="1">input_Dependents_Dependents_5_Dob&lt;=TODAY()</f>
        <v>1</v>
      </c>
      <c r="K45" s="53" t="str">
        <f ca="1">IF(J45=FALSE,VLOOKUP(I45,$I$71:$J$130,2,0),"")</f>
        <v/>
      </c>
      <c r="Q45" s="39" t="s">
        <v>903</v>
      </c>
    </row>
    <row r="46" spans="1:17" ht="15.5">
      <c r="I46" s="117" t="s">
        <v>1713</v>
      </c>
      <c r="J46" s="49" t="b">
        <f ca="1">input_Dependents_Dependents_6_Dob&lt;=TODAY()</f>
        <v>1</v>
      </c>
      <c r="K46" s="53" t="str">
        <f ca="1">IF(J46=FALSE,VLOOKUP(I46,$I$71:$J$130,2,0),"")</f>
        <v/>
      </c>
      <c r="Q46" s="39" t="s">
        <v>904</v>
      </c>
    </row>
    <row r="47" spans="1:17" ht="15.5">
      <c r="A47" s="46"/>
      <c r="B47" s="46"/>
      <c r="C47" s="39" t="s">
        <v>207</v>
      </c>
      <c r="D47" s="55" t="s">
        <v>282</v>
      </c>
      <c r="I47" s="117" t="s">
        <v>1714</v>
      </c>
      <c r="J47" s="49" t="b">
        <f ca="1">input_Dependents_Dependents_7_Dob&lt;=TODAY()</f>
        <v>1</v>
      </c>
      <c r="K47" s="53" t="str">
        <f ca="1">IF(J47=FALSE,VLOOKUP(I47,$I$71:$J$130,2,0),"")</f>
        <v/>
      </c>
      <c r="Q47" s="39" t="s">
        <v>905</v>
      </c>
    </row>
    <row r="48" spans="1:17" ht="15.5">
      <c r="C48" s="39" t="s">
        <v>139</v>
      </c>
      <c r="D48" s="43" t="s">
        <v>260</v>
      </c>
      <c r="I48" s="117" t="s">
        <v>1715</v>
      </c>
      <c r="J48" s="49" t="b">
        <f ca="1">input_Dependents_Dependents_8_Dob&lt;=TODAY()</f>
        <v>1</v>
      </c>
      <c r="K48" s="53" t="str">
        <f ca="1">IF(J48=FALSE,VLOOKUP(I48,$I$71:$J$130,2,0),"")</f>
        <v/>
      </c>
      <c r="Q48" s="39" t="s">
        <v>906</v>
      </c>
    </row>
    <row r="49" spans="1:17" ht="15.5">
      <c r="C49" s="39" t="s">
        <v>144</v>
      </c>
      <c r="D49" s="43" t="s">
        <v>863</v>
      </c>
      <c r="I49" s="117" t="s">
        <v>1716</v>
      </c>
      <c r="J49" s="49" t="b">
        <f>IF(OR(input_Dependents_Dependents_1_YearsOfSupport&gt;=0,input_Dependents_Dependents_1_YearsOfSupport&lt;=99),TRUE,FALSE)</f>
        <v>1</v>
      </c>
      <c r="K49" s="53" t="str">
        <f>IF(J49=FALSE,VLOOKUP(I49,$I$71:$J$130,2,0),"")</f>
        <v/>
      </c>
      <c r="Q49" s="39" t="s">
        <v>907</v>
      </c>
    </row>
    <row r="50" spans="1:17" ht="15.5">
      <c r="A50" s="46"/>
      <c r="B50" s="46"/>
      <c r="C50" s="39" t="s">
        <v>75</v>
      </c>
      <c r="D50" s="43" t="s">
        <v>71</v>
      </c>
      <c r="I50" s="117" t="s">
        <v>1717</v>
      </c>
      <c r="J50" s="49" t="b">
        <f>IF(OR(input_Dependents_Dependents_2_YearsOfSupport&gt;=0,input_Dependents_Dependents_2_YearsOfSupport&lt;=99),TRUE,FALSE)</f>
        <v>1</v>
      </c>
      <c r="K50" s="53" t="str">
        <f>IF(J50=FALSE,VLOOKUP(I50,$I$71:$J$130,2,0),"")</f>
        <v/>
      </c>
      <c r="Q50" s="39" t="s">
        <v>908</v>
      </c>
    </row>
    <row r="51" spans="1:17" ht="15.5">
      <c r="C51" s="39" t="s">
        <v>215</v>
      </c>
      <c r="D51" s="56">
        <v>43103</v>
      </c>
      <c r="I51" s="117" t="s">
        <v>1718</v>
      </c>
      <c r="J51" s="49" t="b">
        <f>IF(OR(input_Dependents_Dependents_3_YearsOfSupport&gt;=0,input_Dependents_Dependents_3_YearsOfSupport&lt;=99),TRUE,FALSE)</f>
        <v>1</v>
      </c>
      <c r="K51" s="53" t="str">
        <f>IF(J51=FALSE,VLOOKUP(I51,$I$71:$J$130,2,0),"")</f>
        <v/>
      </c>
      <c r="Q51" s="39" t="s">
        <v>909</v>
      </c>
    </row>
    <row r="52" spans="1:17" ht="15.5">
      <c r="C52" s="39" t="s">
        <v>211</v>
      </c>
      <c r="D52" s="43">
        <v>20</v>
      </c>
      <c r="I52" s="117" t="s">
        <v>1719</v>
      </c>
      <c r="J52" s="49" t="b">
        <f>IF(OR(input_Dependents_Dependents_4_YearsOfSupport&gt;=0,input_Dependents_Dependents_4_YearsOfSupport&lt;=99),TRUE,FALSE)</f>
        <v>1</v>
      </c>
      <c r="K52" s="53" t="str">
        <f>IF(J52=FALSE,VLOOKUP(I52,$I$71:$J$130,2,0),"")</f>
        <v/>
      </c>
      <c r="Q52" s="39" t="s">
        <v>910</v>
      </c>
    </row>
    <row r="53" spans="1:17" ht="15.5">
      <c r="A53" s="46"/>
      <c r="B53" s="46"/>
      <c r="C53" s="54" t="s">
        <v>216</v>
      </c>
      <c r="D53" s="43">
        <v>5</v>
      </c>
      <c r="I53" s="117" t="s">
        <v>1720</v>
      </c>
      <c r="J53" s="49" t="b">
        <f>IF(OR(input_Dependents_Dependents_5_YearsOfSupport&gt;=0,input_Dependents_Dependents_5_YearsOfSupport&lt;=99),TRUE,FALSE)</f>
        <v>1</v>
      </c>
      <c r="K53" s="53" t="str">
        <f>IF(J53=FALSE,VLOOKUP(I53,$I$71:$J$130,2,0),"")</f>
        <v/>
      </c>
      <c r="Q53" s="39" t="s">
        <v>911</v>
      </c>
    </row>
    <row r="54" spans="1:17" ht="15.5">
      <c r="I54" s="117" t="s">
        <v>1721</v>
      </c>
      <c r="J54" s="49" t="b">
        <f>IF(OR(input_Dependents_Dependents_6_YearsOfSupport&gt;=0,input_Dependents_Dependents_6_YearsOfSupport&lt;=99),TRUE,FALSE)</f>
        <v>1</v>
      </c>
      <c r="K54" s="53" t="str">
        <f>IF(J54=FALSE,VLOOKUP(I54,$I$71:$J$130,2,0),"")</f>
        <v/>
      </c>
      <c r="Q54" s="39" t="s">
        <v>912</v>
      </c>
    </row>
    <row r="55" spans="1:17" ht="15.5">
      <c r="C55" s="39" t="s">
        <v>207</v>
      </c>
      <c r="D55" s="55" t="s">
        <v>282</v>
      </c>
      <c r="I55" s="117" t="s">
        <v>1722</v>
      </c>
      <c r="J55" s="49" t="b">
        <f>IF(OR(input_Dependents_Dependents_7_YearsOfSupport&gt;=0,input_Dependents_Dependents_7_YearsOfSupport&lt;=99),TRUE,FALSE)</f>
        <v>1</v>
      </c>
      <c r="K55" s="53" t="str">
        <f>IF(J55=FALSE,VLOOKUP(I55,$I$71:$J$130,2,0),"")</f>
        <v/>
      </c>
      <c r="Q55" s="39" t="s">
        <v>913</v>
      </c>
    </row>
    <row r="56" spans="1:17" ht="15.5">
      <c r="C56" s="39" t="s">
        <v>139</v>
      </c>
      <c r="D56" s="43" t="s">
        <v>260</v>
      </c>
      <c r="I56" s="117" t="s">
        <v>1723</v>
      </c>
      <c r="J56" s="49" t="b">
        <f>IF(OR(input_Dependents_Dependents_8_YearsOfSupport&gt;=0,input_Dependents_Dependents_8_YearsOfSupport&lt;=99),TRUE,FALSE)</f>
        <v>1</v>
      </c>
      <c r="K56" s="53" t="str">
        <f>IF(J56=FALSE,VLOOKUP(I56,$I$71:$J$130,2,0),"")</f>
        <v/>
      </c>
      <c r="Q56" s="39" t="s">
        <v>914</v>
      </c>
    </row>
    <row r="57" spans="1:17" ht="15.5">
      <c r="A57" s="46"/>
      <c r="B57" s="46"/>
      <c r="C57" s="39" t="s">
        <v>144</v>
      </c>
      <c r="D57" s="43" t="s">
        <v>863</v>
      </c>
      <c r="I57" s="117" t="s">
        <v>1724</v>
      </c>
      <c r="J57" s="49" t="b">
        <f>IF(OR(input_Dependents_Dependents_1_AgeNextBirthday&gt;=0,input_Dependents_Dependents_1_AgeNextBirthday&lt;=99),TRUE,FALSE)</f>
        <v>1</v>
      </c>
      <c r="K57" s="53" t="str">
        <f>IF(J57=FALSE,VLOOKUP(I57,$I$71:$J$130,2,0),"")</f>
        <v/>
      </c>
      <c r="Q57" s="39" t="s">
        <v>915</v>
      </c>
    </row>
    <row r="58" spans="1:17" s="51" customFormat="1" ht="15.5">
      <c r="C58" s="39" t="s">
        <v>75</v>
      </c>
      <c r="D58" s="43" t="s">
        <v>71</v>
      </c>
      <c r="F58" s="39"/>
      <c r="H58" s="39"/>
      <c r="I58" s="117" t="s">
        <v>1725</v>
      </c>
      <c r="J58" s="49" t="b">
        <f>IF(OR(input_Dependents_Dependents_2_AgeNextBirthday&gt;=0,input_Dependents_Dependents_2_AgeNextBirthday&lt;=99),TRUE,FALSE)</f>
        <v>1</v>
      </c>
      <c r="K58" s="53" t="str">
        <f>IF(J58=FALSE,VLOOKUP(I58,$I$71:$J$130,2,0),"")</f>
        <v/>
      </c>
      <c r="Q58" s="39" t="s">
        <v>916</v>
      </c>
    </row>
    <row r="59" spans="1:17" ht="15.5">
      <c r="C59" s="39" t="s">
        <v>215</v>
      </c>
      <c r="D59" s="56">
        <v>43103</v>
      </c>
      <c r="I59" s="117" t="s">
        <v>1726</v>
      </c>
      <c r="J59" s="49" t="b">
        <f>IF(OR(input_Dependents_Dependents_3_AgeNextBirthday&gt;=0,input_Dependents_Dependents_3_AgeNextBirthday&lt;=99),TRUE,FALSE)</f>
        <v>1</v>
      </c>
      <c r="K59" s="53" t="str">
        <f>IF(J59=FALSE,VLOOKUP(I59,$I$71:$J$130,2,0),"")</f>
        <v/>
      </c>
      <c r="Q59" s="39" t="s">
        <v>917</v>
      </c>
    </row>
    <row r="60" spans="1:17" ht="15.5">
      <c r="A60" s="46"/>
      <c r="B60" s="46"/>
      <c r="C60" s="39" t="s">
        <v>211</v>
      </c>
      <c r="D60" s="43">
        <v>20</v>
      </c>
      <c r="I60" s="117" t="s">
        <v>1727</v>
      </c>
      <c r="J60" s="49" t="b">
        <f>IF(OR(input_Dependents_Dependents_4_AgeNextBirthday&gt;=0,input_Dependents_Dependents_4_AgeNextBirthday&lt;=99),TRUE,FALSE)</f>
        <v>1</v>
      </c>
      <c r="K60" s="53" t="str">
        <f>IF(J60=FALSE,VLOOKUP(I60,$I$71:$J$130,2,0),"")</f>
        <v/>
      </c>
      <c r="Q60" s="39" t="s">
        <v>918</v>
      </c>
    </row>
    <row r="61" spans="1:17" ht="15.5">
      <c r="C61" s="54" t="s">
        <v>216</v>
      </c>
      <c r="D61" s="43">
        <v>5</v>
      </c>
      <c r="I61" s="117" t="s">
        <v>1728</v>
      </c>
      <c r="J61" s="49" t="b">
        <f>IF(OR(input_Dependents_Dependents_5_AgeNextBirthday&gt;=0,input_Dependents_Dependents_5_AgeNextBirthday&lt;=99),TRUE,FALSE)</f>
        <v>1</v>
      </c>
      <c r="K61" s="53" t="str">
        <f>IF(J61=FALSE,VLOOKUP(I61,$I$71:$J$130,2,0),"")</f>
        <v/>
      </c>
      <c r="Q61" s="39" t="s">
        <v>919</v>
      </c>
    </row>
    <row r="62" spans="1:17" ht="15.5">
      <c r="I62" s="117" t="s">
        <v>1729</v>
      </c>
      <c r="J62" s="49" t="b">
        <f>IF(OR(input_Dependents_Dependents_6_AgeNextBirthday&gt;=0,input_Dependents_Dependents_6_AgeNextBirthday&lt;=99),TRUE,FALSE)</f>
        <v>1</v>
      </c>
      <c r="K62" s="53" t="str">
        <f>IF(J62=FALSE,VLOOKUP(I62,$I$71:$J$130,2,0),"")</f>
        <v/>
      </c>
      <c r="Q62" s="39" t="s">
        <v>920</v>
      </c>
    </row>
    <row r="63" spans="1:17" ht="15.5">
      <c r="A63" s="46"/>
      <c r="B63" s="46"/>
      <c r="C63" s="39" t="s">
        <v>207</v>
      </c>
      <c r="D63" s="55" t="s">
        <v>282</v>
      </c>
      <c r="I63" s="117" t="s">
        <v>1730</v>
      </c>
      <c r="J63" s="49" t="b">
        <f>IF(OR(input_Dependents_Dependents_7_AgeNextBirthday&gt;=0,input_Dependents_Dependents_7_AgeNextBirthday&lt;=99),TRUE,FALSE)</f>
        <v>1</v>
      </c>
      <c r="K63" s="53" t="str">
        <f>IF(J63=FALSE,VLOOKUP(I63,$I$71:$J$130,2,0),"")</f>
        <v/>
      </c>
      <c r="Q63" s="39" t="s">
        <v>921</v>
      </c>
    </row>
    <row r="64" spans="1:17" ht="15.5">
      <c r="C64" s="39" t="s">
        <v>139</v>
      </c>
      <c r="D64" s="43" t="s">
        <v>260</v>
      </c>
      <c r="I64" s="117" t="s">
        <v>1731</v>
      </c>
      <c r="J64" s="49" t="b">
        <f>IF(OR(input_Dependents_Dependents_8_AgeNextBirthday&gt;=0,input_Dependents_Dependents_8_AgeNextBirthday&lt;=99),TRUE,FALSE)</f>
        <v>1</v>
      </c>
      <c r="K64" s="53" t="str">
        <f>IF(J64=FALSE,VLOOKUP(I64,$I$71:$J$130,2,0),"")</f>
        <v/>
      </c>
      <c r="Q64" s="39" t="s">
        <v>922</v>
      </c>
    </row>
    <row r="65" spans="1:17" ht="15.5">
      <c r="C65" s="39" t="s">
        <v>144</v>
      </c>
      <c r="D65" s="43" t="s">
        <v>863</v>
      </c>
      <c r="I65" s="117" t="s">
        <v>75</v>
      </c>
      <c r="J65" s="49" t="b">
        <f>IF(OR(AND(input_Dependents_DependentsDisclosed=TRUE,input_Dependents_ReasonDependentUndisclosed="Others",input_Dependents_ReasonDependentUndisclosedOthers=""),LEN(input_Dependents_ReasonDependentUndisclosedOthers)&gt;100),FALSE,TRUE)</f>
        <v>1</v>
      </c>
      <c r="K65" s="53" t="str">
        <f>IF(J65=FALSE,VLOOKUP(I65,$I$71:$J$130,2,0),"")</f>
        <v/>
      </c>
      <c r="Q65" s="39" t="s">
        <v>923</v>
      </c>
    </row>
    <row r="66" spans="1:17" ht="15.5">
      <c r="C66" s="39" t="s">
        <v>75</v>
      </c>
      <c r="D66" s="43" t="s">
        <v>71</v>
      </c>
      <c r="I66" s="49" t="s">
        <v>209</v>
      </c>
      <c r="J66" s="49" t="b">
        <f>IF(input_Dependents_HaveFinancialSupportDependents="",FALSE,TRUE)</f>
        <v>1</v>
      </c>
      <c r="K66" s="53" t="str">
        <f>IF(J66=FALSE,VLOOKUP(I66,$I$71:$J$130,2,0),"")</f>
        <v/>
      </c>
      <c r="Q66" s="39" t="s">
        <v>924</v>
      </c>
    </row>
    <row r="67" spans="1:17" ht="15.5">
      <c r="A67" s="46"/>
      <c r="B67" s="46"/>
      <c r="C67" s="39" t="s">
        <v>215</v>
      </c>
      <c r="D67" s="56">
        <v>43103</v>
      </c>
      <c r="I67" s="49" t="s">
        <v>210</v>
      </c>
      <c r="J67" s="49" t="b">
        <f>IF(AND(input_Dependents_HaveFinancialSupportDependents=TRUE,input_Dependents_DependentsDisclosed=""),FALSE,TRUE)</f>
        <v>1</v>
      </c>
      <c r="K67" s="53" t="str">
        <f>IF(J67=FALSE,VLOOKUP(I67,$I$71:$J$130,2,0),"")</f>
        <v/>
      </c>
      <c r="Q67" s="39" t="s">
        <v>925</v>
      </c>
    </row>
    <row r="68" spans="1:17" ht="15.5">
      <c r="C68" s="39" t="s">
        <v>211</v>
      </c>
      <c r="D68" s="43">
        <v>20</v>
      </c>
      <c r="I68" s="49" t="s">
        <v>206</v>
      </c>
      <c r="J68" s="49" t="b">
        <f>IF(AND(input_Dependents_DependentsDisclosed=TRUE,input_Dependents_ReasonDependentUndisclosed=""),FALSE,TRUE)</f>
        <v>1</v>
      </c>
      <c r="K68" s="53" t="str">
        <f>IF(J68=FALSE,VLOOKUP(I68,$I$71:$J$130,2,0),"")</f>
        <v/>
      </c>
      <c r="Q68" s="39" t="s">
        <v>926</v>
      </c>
    </row>
    <row r="69" spans="1:17">
      <c r="C69" s="54" t="s">
        <v>216</v>
      </c>
      <c r="D69" s="43">
        <v>5</v>
      </c>
      <c r="Q69" s="39" t="s">
        <v>927</v>
      </c>
    </row>
    <row r="70" spans="1:17">
      <c r="A70" s="46"/>
      <c r="B70" s="46"/>
      <c r="I70" s="47" t="s">
        <v>15</v>
      </c>
      <c r="J70" s="47" t="s">
        <v>17</v>
      </c>
      <c r="K70" s="47" t="s">
        <v>21</v>
      </c>
      <c r="Q70" s="39" t="s">
        <v>928</v>
      </c>
    </row>
    <row r="71" spans="1:17" ht="15.5">
      <c r="C71" s="39" t="s">
        <v>207</v>
      </c>
      <c r="D71" s="55" t="s">
        <v>282</v>
      </c>
      <c r="I71" s="117" t="s">
        <v>1676</v>
      </c>
      <c r="J71" s="1" t="s">
        <v>1531</v>
      </c>
      <c r="K71" s="49" t="str">
        <f>_xlfn.CONCAT("Please enter a valid ",I71,".")</f>
        <v>Please enter a valid Relationship 1.</v>
      </c>
      <c r="Q71" s="39" t="s">
        <v>929</v>
      </c>
    </row>
    <row r="72" spans="1:17" ht="15.5">
      <c r="C72" s="39" t="s">
        <v>139</v>
      </c>
      <c r="D72" s="43" t="s">
        <v>260</v>
      </c>
      <c r="I72" s="117" t="s">
        <v>1677</v>
      </c>
      <c r="J72" s="1" t="s">
        <v>1532</v>
      </c>
      <c r="K72" s="49" t="str">
        <f t="shared" ref="K72:K130" si="0">_xlfn.CONCAT("Please enter a valid ",I72,".")</f>
        <v>Please enter a valid Relationship 2.</v>
      </c>
      <c r="Q72" s="39" t="s">
        <v>930</v>
      </c>
    </row>
    <row r="73" spans="1:17" ht="15.5">
      <c r="A73" s="46"/>
      <c r="B73" s="46"/>
      <c r="C73" s="39" t="s">
        <v>144</v>
      </c>
      <c r="D73" s="43" t="s">
        <v>863</v>
      </c>
      <c r="I73" s="117" t="s">
        <v>1678</v>
      </c>
      <c r="J73" s="1" t="s">
        <v>1533</v>
      </c>
      <c r="K73" s="49" t="str">
        <f t="shared" si="0"/>
        <v>Please enter a valid Relationship 3.</v>
      </c>
      <c r="Q73" s="39" t="s">
        <v>931</v>
      </c>
    </row>
    <row r="74" spans="1:17" ht="15.5">
      <c r="C74" s="39" t="s">
        <v>75</v>
      </c>
      <c r="D74" s="43" t="s">
        <v>71</v>
      </c>
      <c r="I74" s="117" t="s">
        <v>1679</v>
      </c>
      <c r="J74" s="1" t="s">
        <v>1534</v>
      </c>
      <c r="K74" s="49" t="str">
        <f t="shared" si="0"/>
        <v>Please enter a valid Relationship 4.</v>
      </c>
      <c r="Q74" s="39" t="s">
        <v>932</v>
      </c>
    </row>
    <row r="75" spans="1:17" ht="15.5">
      <c r="C75" s="39" t="s">
        <v>215</v>
      </c>
      <c r="D75" s="56">
        <v>43103</v>
      </c>
      <c r="I75" s="117" t="s">
        <v>1680</v>
      </c>
      <c r="J75" s="1" t="s">
        <v>1535</v>
      </c>
      <c r="K75" s="49" t="str">
        <f t="shared" si="0"/>
        <v>Please enter a valid Relationship 5.</v>
      </c>
      <c r="Q75" s="39" t="s">
        <v>933</v>
      </c>
    </row>
    <row r="76" spans="1:17" ht="15.5">
      <c r="C76" s="39" t="s">
        <v>211</v>
      </c>
      <c r="D76" s="43">
        <v>20</v>
      </c>
      <c r="I76" s="117" t="s">
        <v>1681</v>
      </c>
      <c r="J76" s="1" t="s">
        <v>1536</v>
      </c>
      <c r="K76" s="49" t="str">
        <f t="shared" si="0"/>
        <v>Please enter a valid Relationship 6.</v>
      </c>
      <c r="Q76" s="39" t="s">
        <v>934</v>
      </c>
    </row>
    <row r="77" spans="1:17" ht="15.5">
      <c r="A77" s="46"/>
      <c r="B77" s="46"/>
      <c r="C77" s="54" t="s">
        <v>216</v>
      </c>
      <c r="D77" s="43">
        <v>5</v>
      </c>
      <c r="I77" s="117" t="s">
        <v>1682</v>
      </c>
      <c r="J77" s="1" t="s">
        <v>1537</v>
      </c>
      <c r="K77" s="49" t="str">
        <f t="shared" si="0"/>
        <v>Please enter a valid Relationship 7.</v>
      </c>
      <c r="Q77" s="39" t="s">
        <v>935</v>
      </c>
    </row>
    <row r="78" spans="1:17" ht="15.5">
      <c r="I78" s="117" t="s">
        <v>1683</v>
      </c>
      <c r="J78" s="1" t="s">
        <v>1538</v>
      </c>
      <c r="K78" s="49" t="str">
        <f t="shared" si="0"/>
        <v>Please enter a valid Relationship 8.</v>
      </c>
      <c r="Q78" s="39" t="s">
        <v>936</v>
      </c>
    </row>
    <row r="79" spans="1:17" ht="15.5">
      <c r="I79" s="117" t="s">
        <v>1684</v>
      </c>
      <c r="J79" s="1" t="s">
        <v>1865</v>
      </c>
      <c r="K79" s="49" t="str">
        <f t="shared" si="0"/>
        <v>Please enter a valid Gender 1.</v>
      </c>
      <c r="Q79" s="39" t="s">
        <v>937</v>
      </c>
    </row>
    <row r="80" spans="1:17" ht="15.5">
      <c r="A80" s="46"/>
      <c r="B80" s="46"/>
      <c r="I80" s="117" t="s">
        <v>1685</v>
      </c>
      <c r="J80" s="1" t="s">
        <v>1866</v>
      </c>
      <c r="K80" s="49" t="str">
        <f t="shared" si="0"/>
        <v>Please enter a valid Gender 2.</v>
      </c>
      <c r="Q80" s="39" t="s">
        <v>938</v>
      </c>
    </row>
    <row r="81" spans="1:17" ht="15.5">
      <c r="I81" s="117" t="s">
        <v>1686</v>
      </c>
      <c r="J81" s="1" t="s">
        <v>1867</v>
      </c>
      <c r="K81" s="49" t="str">
        <f t="shared" si="0"/>
        <v>Please enter a valid Gender 3.</v>
      </c>
      <c r="Q81" s="39" t="s">
        <v>939</v>
      </c>
    </row>
    <row r="82" spans="1:17" ht="15.5">
      <c r="I82" s="117" t="s">
        <v>1687</v>
      </c>
      <c r="J82" s="1" t="s">
        <v>1868</v>
      </c>
      <c r="K82" s="49" t="str">
        <f t="shared" si="0"/>
        <v>Please enter a valid Gender 4.</v>
      </c>
      <c r="Q82" s="39" t="s">
        <v>940</v>
      </c>
    </row>
    <row r="83" spans="1:17" ht="15.5">
      <c r="A83" s="46"/>
      <c r="B83" s="46"/>
      <c r="I83" s="117" t="s">
        <v>1688</v>
      </c>
      <c r="J83" s="1" t="s">
        <v>1869</v>
      </c>
      <c r="K83" s="49" t="str">
        <f t="shared" si="0"/>
        <v>Please enter a valid Gender 5.</v>
      </c>
      <c r="Q83" s="39" t="s">
        <v>941</v>
      </c>
    </row>
    <row r="84" spans="1:17" ht="15.5">
      <c r="I84" s="117" t="s">
        <v>1689</v>
      </c>
      <c r="J84" s="1" t="s">
        <v>1870</v>
      </c>
      <c r="K84" s="49" t="str">
        <f t="shared" si="0"/>
        <v>Please enter a valid Gender 6.</v>
      </c>
      <c r="Q84" s="39" t="s">
        <v>942</v>
      </c>
    </row>
    <row r="85" spans="1:17" ht="15.5">
      <c r="I85" s="117" t="s">
        <v>1690</v>
      </c>
      <c r="J85" s="1" t="s">
        <v>1871</v>
      </c>
      <c r="K85" s="49" t="str">
        <f t="shared" si="0"/>
        <v>Please enter a valid Gender 7.</v>
      </c>
      <c r="Q85" s="39" t="s">
        <v>943</v>
      </c>
    </row>
    <row r="86" spans="1:17" ht="15.5">
      <c r="I86" s="117" t="s">
        <v>1691</v>
      </c>
      <c r="J86" s="1" t="s">
        <v>1872</v>
      </c>
      <c r="K86" s="49" t="str">
        <f t="shared" si="0"/>
        <v>Please enter a valid Gender 8.</v>
      </c>
      <c r="Q86" s="39" t="s">
        <v>944</v>
      </c>
    </row>
    <row r="87" spans="1:17" ht="15.5">
      <c r="A87" s="46"/>
      <c r="B87" s="46"/>
      <c r="I87" s="117" t="s">
        <v>1692</v>
      </c>
      <c r="J87" s="1" t="s">
        <v>1873</v>
      </c>
      <c r="K87" s="49" t="str">
        <f t="shared" si="0"/>
        <v>Please enter a valid Occupation 1.</v>
      </c>
      <c r="Q87" s="39" t="s">
        <v>945</v>
      </c>
    </row>
    <row r="88" spans="1:17" ht="15.5">
      <c r="I88" s="117" t="s">
        <v>1693</v>
      </c>
      <c r="J88" s="1" t="s">
        <v>1874</v>
      </c>
      <c r="K88" s="49" t="str">
        <f t="shared" si="0"/>
        <v>Please enter a valid Occupation 2.</v>
      </c>
      <c r="Q88" s="39" t="s">
        <v>946</v>
      </c>
    </row>
    <row r="89" spans="1:17" ht="15.5">
      <c r="I89" s="117" t="s">
        <v>1694</v>
      </c>
      <c r="J89" s="1" t="s">
        <v>1875</v>
      </c>
      <c r="K89" s="49" t="str">
        <f t="shared" si="0"/>
        <v>Please enter a valid Occupation 3.</v>
      </c>
      <c r="Q89" s="39" t="s">
        <v>947</v>
      </c>
    </row>
    <row r="90" spans="1:17" ht="15.5">
      <c r="I90" s="117" t="s">
        <v>1695</v>
      </c>
      <c r="J90" s="1" t="s">
        <v>1876</v>
      </c>
      <c r="K90" s="49" t="str">
        <f t="shared" si="0"/>
        <v>Please enter a valid Occupation 4.</v>
      </c>
      <c r="Q90" s="39" t="s">
        <v>948</v>
      </c>
    </row>
    <row r="91" spans="1:17" ht="15.5">
      <c r="I91" s="117" t="s">
        <v>1696</v>
      </c>
      <c r="J91" s="1" t="s">
        <v>1877</v>
      </c>
      <c r="K91" s="49" t="str">
        <f t="shared" si="0"/>
        <v>Please enter a valid Occupation 5.</v>
      </c>
      <c r="Q91" s="39" t="s">
        <v>949</v>
      </c>
    </row>
    <row r="92" spans="1:17" ht="15.5">
      <c r="I92" s="117" t="s">
        <v>1697</v>
      </c>
      <c r="J92" s="1" t="s">
        <v>1878</v>
      </c>
      <c r="K92" s="49" t="str">
        <f t="shared" si="0"/>
        <v>Please enter a valid Occupation 6.</v>
      </c>
      <c r="Q92" s="39" t="s">
        <v>950</v>
      </c>
    </row>
    <row r="93" spans="1:17" ht="15.5">
      <c r="I93" s="117" t="s">
        <v>1698</v>
      </c>
      <c r="J93" s="1" t="s">
        <v>1879</v>
      </c>
      <c r="K93" s="49" t="str">
        <f t="shared" si="0"/>
        <v>Please enter a valid Occupation 7.</v>
      </c>
      <c r="Q93" s="39" t="s">
        <v>337</v>
      </c>
    </row>
    <row r="94" spans="1:17" ht="15.5">
      <c r="I94" s="117" t="s">
        <v>1699</v>
      </c>
      <c r="J94" s="1" t="s">
        <v>1880</v>
      </c>
      <c r="K94" s="49" t="str">
        <f t="shared" si="0"/>
        <v>Please enter a valid Occupation 8.</v>
      </c>
      <c r="Q94" s="39" t="s">
        <v>951</v>
      </c>
    </row>
    <row r="95" spans="1:17" ht="15.5">
      <c r="I95" s="117" t="s">
        <v>1700</v>
      </c>
      <c r="J95" s="1" t="s">
        <v>1881</v>
      </c>
      <c r="K95" s="49" t="str">
        <f t="shared" si="0"/>
        <v>Please enter a valid If Others, please specify 1.</v>
      </c>
      <c r="Q95" s="39" t="s">
        <v>952</v>
      </c>
    </row>
    <row r="96" spans="1:17" ht="15.5">
      <c r="I96" s="117" t="s">
        <v>1701</v>
      </c>
      <c r="J96" s="1" t="s">
        <v>1882</v>
      </c>
      <c r="K96" s="49" t="str">
        <f t="shared" si="0"/>
        <v>Please enter a valid If Others, please specify 2.</v>
      </c>
      <c r="Q96" s="39" t="s">
        <v>953</v>
      </c>
    </row>
    <row r="97" spans="9:17" ht="15.5">
      <c r="I97" s="117" t="s">
        <v>1702</v>
      </c>
      <c r="J97" s="1" t="s">
        <v>1883</v>
      </c>
      <c r="K97" s="49" t="str">
        <f t="shared" si="0"/>
        <v>Please enter a valid If Others, please specify 3.</v>
      </c>
      <c r="Q97" s="39" t="s">
        <v>954</v>
      </c>
    </row>
    <row r="98" spans="9:17" ht="15.5">
      <c r="I98" s="117" t="s">
        <v>1703</v>
      </c>
      <c r="J98" s="1" t="s">
        <v>1884</v>
      </c>
      <c r="K98" s="49" t="str">
        <f t="shared" si="0"/>
        <v>Please enter a valid If Others, please specify 4.</v>
      </c>
      <c r="Q98" s="39" t="s">
        <v>955</v>
      </c>
    </row>
    <row r="99" spans="9:17" ht="15.5">
      <c r="I99" s="117" t="s">
        <v>1704</v>
      </c>
      <c r="J99" s="1" t="s">
        <v>1885</v>
      </c>
      <c r="K99" s="49" t="str">
        <f t="shared" si="0"/>
        <v>Please enter a valid If Others, please specify 5.</v>
      </c>
      <c r="Q99" s="39" t="s">
        <v>956</v>
      </c>
    </row>
    <row r="100" spans="9:17" ht="15.5">
      <c r="I100" s="117" t="s">
        <v>1705</v>
      </c>
      <c r="J100" s="1" t="s">
        <v>1886</v>
      </c>
      <c r="K100" s="49" t="str">
        <f t="shared" si="0"/>
        <v>Please enter a valid If Others, please specify 6.</v>
      </c>
      <c r="Q100" s="39" t="s">
        <v>957</v>
      </c>
    </row>
    <row r="101" spans="9:17" ht="15.5">
      <c r="I101" s="117" t="s">
        <v>1706</v>
      </c>
      <c r="J101" s="1" t="s">
        <v>1887</v>
      </c>
      <c r="K101" s="49" t="str">
        <f t="shared" si="0"/>
        <v>Please enter a valid If Others, please specify 7.</v>
      </c>
      <c r="Q101" s="39" t="s">
        <v>958</v>
      </c>
    </row>
    <row r="102" spans="9:17" ht="15.5">
      <c r="I102" s="117" t="s">
        <v>1707</v>
      </c>
      <c r="J102" s="1" t="s">
        <v>1888</v>
      </c>
      <c r="K102" s="49" t="str">
        <f t="shared" si="0"/>
        <v>Please enter a valid If Others, please specify 8.</v>
      </c>
      <c r="Q102" s="39" t="s">
        <v>959</v>
      </c>
    </row>
    <row r="103" spans="9:17" ht="15.5">
      <c r="I103" s="117" t="s">
        <v>1708</v>
      </c>
      <c r="J103" s="1" t="s">
        <v>1889</v>
      </c>
      <c r="K103" s="49" t="str">
        <f t="shared" si="0"/>
        <v>Please enter a valid DoB 1.</v>
      </c>
      <c r="Q103" s="39" t="s">
        <v>960</v>
      </c>
    </row>
    <row r="104" spans="9:17" ht="15.5">
      <c r="I104" s="117" t="s">
        <v>1709</v>
      </c>
      <c r="J104" s="1" t="s">
        <v>1890</v>
      </c>
      <c r="K104" s="49" t="str">
        <f t="shared" si="0"/>
        <v>Please enter a valid DoB 2.</v>
      </c>
      <c r="Q104" s="39" t="s">
        <v>961</v>
      </c>
    </row>
    <row r="105" spans="9:17" ht="15.5">
      <c r="I105" s="117" t="s">
        <v>1710</v>
      </c>
      <c r="J105" s="1" t="s">
        <v>1891</v>
      </c>
      <c r="K105" s="49" t="str">
        <f t="shared" si="0"/>
        <v>Please enter a valid DoB 3.</v>
      </c>
      <c r="Q105" s="39" t="s">
        <v>962</v>
      </c>
    </row>
    <row r="106" spans="9:17" ht="15.5">
      <c r="I106" s="117" t="s">
        <v>1711</v>
      </c>
      <c r="J106" s="1" t="s">
        <v>1892</v>
      </c>
      <c r="K106" s="49" t="str">
        <f t="shared" si="0"/>
        <v>Please enter a valid DoB 4.</v>
      </c>
      <c r="Q106" s="39" t="s">
        <v>963</v>
      </c>
    </row>
    <row r="107" spans="9:17" ht="15.5">
      <c r="I107" s="117" t="s">
        <v>1712</v>
      </c>
      <c r="J107" s="1" t="s">
        <v>1893</v>
      </c>
      <c r="K107" s="49" t="str">
        <f t="shared" si="0"/>
        <v>Please enter a valid DoB 5.</v>
      </c>
      <c r="Q107" s="39" t="s">
        <v>964</v>
      </c>
    </row>
    <row r="108" spans="9:17" ht="15.5">
      <c r="I108" s="117" t="s">
        <v>1713</v>
      </c>
      <c r="J108" s="1" t="s">
        <v>1894</v>
      </c>
      <c r="K108" s="49" t="str">
        <f t="shared" si="0"/>
        <v>Please enter a valid DoB 6.</v>
      </c>
      <c r="Q108" s="39" t="s">
        <v>965</v>
      </c>
    </row>
    <row r="109" spans="9:17" ht="15.5">
      <c r="I109" s="117" t="s">
        <v>1714</v>
      </c>
      <c r="J109" s="1" t="s">
        <v>1895</v>
      </c>
      <c r="K109" s="49" t="str">
        <f t="shared" si="0"/>
        <v>Please enter a valid DoB 7.</v>
      </c>
      <c r="Q109" s="39" t="s">
        <v>966</v>
      </c>
    </row>
    <row r="110" spans="9:17" ht="15.5">
      <c r="I110" s="117" t="s">
        <v>1715</v>
      </c>
      <c r="J110" s="1" t="s">
        <v>1896</v>
      </c>
      <c r="K110" s="49" t="str">
        <f t="shared" si="0"/>
        <v>Please enter a valid DoB 8.</v>
      </c>
      <c r="Q110" s="39" t="s">
        <v>967</v>
      </c>
    </row>
    <row r="111" spans="9:17" ht="15.5">
      <c r="I111" s="117" t="s">
        <v>1716</v>
      </c>
      <c r="J111" s="1" t="s">
        <v>1897</v>
      </c>
      <c r="K111" s="49" t="str">
        <f t="shared" si="0"/>
        <v>Please enter a valid Years to Support Required 1.</v>
      </c>
      <c r="Q111" s="39" t="s">
        <v>968</v>
      </c>
    </row>
    <row r="112" spans="9:17" ht="15.5">
      <c r="I112" s="117" t="s">
        <v>1717</v>
      </c>
      <c r="J112" s="1" t="s">
        <v>1898</v>
      </c>
      <c r="K112" s="49" t="str">
        <f t="shared" si="0"/>
        <v>Please enter a valid Years to Support Required 2.</v>
      </c>
      <c r="Q112" s="39" t="s">
        <v>969</v>
      </c>
    </row>
    <row r="113" spans="9:17" ht="15.5">
      <c r="I113" s="117" t="s">
        <v>1718</v>
      </c>
      <c r="J113" s="1" t="s">
        <v>1899</v>
      </c>
      <c r="K113" s="49" t="str">
        <f t="shared" si="0"/>
        <v>Please enter a valid Years to Support Required 3.</v>
      </c>
      <c r="Q113" s="39" t="s">
        <v>970</v>
      </c>
    </row>
    <row r="114" spans="9:17" ht="15.5">
      <c r="I114" s="117" t="s">
        <v>1719</v>
      </c>
      <c r="J114" s="1" t="s">
        <v>1900</v>
      </c>
      <c r="K114" s="49" t="str">
        <f t="shared" si="0"/>
        <v>Please enter a valid Years to Support Required 4.</v>
      </c>
      <c r="Q114" s="39" t="s">
        <v>971</v>
      </c>
    </row>
    <row r="115" spans="9:17" ht="15.5">
      <c r="I115" s="117" t="s">
        <v>1720</v>
      </c>
      <c r="J115" s="1" t="s">
        <v>1901</v>
      </c>
      <c r="K115" s="49" t="str">
        <f t="shared" si="0"/>
        <v>Please enter a valid Years to Support Required 5.</v>
      </c>
      <c r="Q115" s="39" t="s">
        <v>972</v>
      </c>
    </row>
    <row r="116" spans="9:17" ht="15.5">
      <c r="I116" s="117" t="s">
        <v>1721</v>
      </c>
      <c r="J116" s="1" t="s">
        <v>1902</v>
      </c>
      <c r="K116" s="49" t="str">
        <f t="shared" si="0"/>
        <v>Please enter a valid Years to Support Required 6.</v>
      </c>
      <c r="Q116" s="39" t="s">
        <v>973</v>
      </c>
    </row>
    <row r="117" spans="9:17" ht="15.5">
      <c r="I117" s="117" t="s">
        <v>1722</v>
      </c>
      <c r="J117" s="1" t="s">
        <v>1903</v>
      </c>
      <c r="K117" s="49" t="str">
        <f t="shared" si="0"/>
        <v>Please enter a valid Years to Support Required 7.</v>
      </c>
      <c r="Q117" s="39" t="s">
        <v>974</v>
      </c>
    </row>
    <row r="118" spans="9:17" ht="15.5">
      <c r="I118" s="117" t="s">
        <v>1723</v>
      </c>
      <c r="J118" s="1" t="s">
        <v>1904</v>
      </c>
      <c r="K118" s="49" t="str">
        <f t="shared" si="0"/>
        <v>Please enter a valid Years to Support Required 8.</v>
      </c>
      <c r="Q118" s="39" t="s">
        <v>975</v>
      </c>
    </row>
    <row r="119" spans="9:17" ht="15.5">
      <c r="I119" s="117" t="s">
        <v>1724</v>
      </c>
      <c r="J119" s="1" t="s">
        <v>1905</v>
      </c>
      <c r="K119" s="49" t="str">
        <f t="shared" si="0"/>
        <v>Please enter a valid Age 1.</v>
      </c>
      <c r="Q119" s="39" t="s">
        <v>976</v>
      </c>
    </row>
    <row r="120" spans="9:17" ht="15.5">
      <c r="I120" s="117" t="s">
        <v>1725</v>
      </c>
      <c r="J120" s="1" t="s">
        <v>1906</v>
      </c>
      <c r="K120" s="49" t="str">
        <f t="shared" si="0"/>
        <v>Please enter a valid Age 2.</v>
      </c>
      <c r="Q120" s="39" t="s">
        <v>977</v>
      </c>
    </row>
    <row r="121" spans="9:17" ht="15.5">
      <c r="I121" s="117" t="s">
        <v>1726</v>
      </c>
      <c r="J121" s="1" t="s">
        <v>1907</v>
      </c>
      <c r="K121" s="49" t="str">
        <f t="shared" si="0"/>
        <v>Please enter a valid Age 3.</v>
      </c>
      <c r="Q121" s="39" t="s">
        <v>978</v>
      </c>
    </row>
    <row r="122" spans="9:17" ht="15.5">
      <c r="I122" s="117" t="s">
        <v>1727</v>
      </c>
      <c r="J122" s="1" t="s">
        <v>1908</v>
      </c>
      <c r="K122" s="49" t="str">
        <f t="shared" si="0"/>
        <v>Please enter a valid Age 4.</v>
      </c>
      <c r="Q122" s="39" t="s">
        <v>979</v>
      </c>
    </row>
    <row r="123" spans="9:17" ht="15.5">
      <c r="I123" s="117" t="s">
        <v>1728</v>
      </c>
      <c r="J123" s="1" t="s">
        <v>1909</v>
      </c>
      <c r="K123" s="49" t="str">
        <f t="shared" si="0"/>
        <v>Please enter a valid Age 5.</v>
      </c>
      <c r="Q123" s="39" t="s">
        <v>980</v>
      </c>
    </row>
    <row r="124" spans="9:17" ht="15.5">
      <c r="I124" s="117" t="s">
        <v>1729</v>
      </c>
      <c r="J124" s="1" t="s">
        <v>1910</v>
      </c>
      <c r="K124" s="49" t="str">
        <f t="shared" si="0"/>
        <v>Please enter a valid Age 6.</v>
      </c>
      <c r="Q124" s="39" t="s">
        <v>981</v>
      </c>
    </row>
    <row r="125" spans="9:17" ht="15.5">
      <c r="I125" s="117" t="s">
        <v>1730</v>
      </c>
      <c r="J125" s="1" t="s">
        <v>1911</v>
      </c>
      <c r="K125" s="49" t="str">
        <f t="shared" si="0"/>
        <v>Please enter a valid Age 7.</v>
      </c>
      <c r="Q125" s="39" t="s">
        <v>982</v>
      </c>
    </row>
    <row r="126" spans="9:17" ht="15.5">
      <c r="I126" s="117" t="s">
        <v>1731</v>
      </c>
      <c r="J126" s="1" t="s">
        <v>1912</v>
      </c>
      <c r="K126" s="49" t="str">
        <f t="shared" si="0"/>
        <v>Please enter a valid Age 8.</v>
      </c>
      <c r="Q126" s="39" t="s">
        <v>983</v>
      </c>
    </row>
    <row r="127" spans="9:17" ht="15.5">
      <c r="I127" s="117" t="s">
        <v>75</v>
      </c>
      <c r="J127" s="1" t="s">
        <v>1913</v>
      </c>
      <c r="K127" s="49" t="str">
        <f t="shared" si="0"/>
        <v>Please enter a valid If Others, please specify.</v>
      </c>
      <c r="Q127" s="39" t="s">
        <v>984</v>
      </c>
    </row>
    <row r="128" spans="9:17" ht="15.5">
      <c r="I128" s="49" t="s">
        <v>209</v>
      </c>
      <c r="J128" s="1" t="s">
        <v>1914</v>
      </c>
      <c r="K128" s="49" t="str">
        <f t="shared" si="0"/>
        <v>Please enter a valid Dependents.</v>
      </c>
      <c r="Q128" s="39" t="s">
        <v>985</v>
      </c>
    </row>
    <row r="129" spans="9:17" ht="15.5">
      <c r="I129" s="49" t="s">
        <v>210</v>
      </c>
      <c r="J129" s="1" t="s">
        <v>1915</v>
      </c>
      <c r="K129" s="49" t="str">
        <f t="shared" si="0"/>
        <v>Please enter a valid Wish to declare.</v>
      </c>
      <c r="Q129" s="39" t="s">
        <v>986</v>
      </c>
    </row>
    <row r="130" spans="9:17" ht="15.5">
      <c r="I130" s="49" t="s">
        <v>206</v>
      </c>
      <c r="J130" s="1" t="s">
        <v>1916</v>
      </c>
      <c r="K130" s="49" t="str">
        <f t="shared" si="0"/>
        <v>Please enter a valid Please state the reason why.</v>
      </c>
      <c r="Q130" s="39" t="s">
        <v>987</v>
      </c>
    </row>
    <row r="131" spans="9:17">
      <c r="Q131" s="39" t="s">
        <v>988</v>
      </c>
    </row>
    <row r="132" spans="9:17">
      <c r="Q132" s="39" t="s">
        <v>989</v>
      </c>
    </row>
    <row r="133" spans="9:17">
      <c r="Q133" s="39" t="s">
        <v>990</v>
      </c>
    </row>
    <row r="134" spans="9:17">
      <c r="Q134" s="39" t="s">
        <v>991</v>
      </c>
    </row>
    <row r="135" spans="9:17">
      <c r="Q135" s="39" t="s">
        <v>992</v>
      </c>
    </row>
    <row r="136" spans="9:17">
      <c r="Q136" s="39" t="s">
        <v>993</v>
      </c>
    </row>
    <row r="137" spans="9:17">
      <c r="Q137" s="39" t="s">
        <v>994</v>
      </c>
    </row>
    <row r="138" spans="9:17">
      <c r="Q138" s="39" t="s">
        <v>995</v>
      </c>
    </row>
    <row r="139" spans="9:17">
      <c r="Q139" s="39" t="s">
        <v>996</v>
      </c>
    </row>
    <row r="140" spans="9:17">
      <c r="Q140" s="39" t="s">
        <v>997</v>
      </c>
    </row>
    <row r="141" spans="9:17">
      <c r="Q141" s="39" t="s">
        <v>998</v>
      </c>
    </row>
    <row r="142" spans="9:17">
      <c r="Q142" s="39" t="s">
        <v>999</v>
      </c>
    </row>
    <row r="143" spans="9:17">
      <c r="Q143" s="39" t="s">
        <v>1000</v>
      </c>
    </row>
    <row r="144" spans="9:17">
      <c r="Q144" s="39" t="s">
        <v>1001</v>
      </c>
    </row>
    <row r="145" spans="17:17">
      <c r="Q145" s="39" t="s">
        <v>1002</v>
      </c>
    </row>
    <row r="146" spans="17:17">
      <c r="Q146" s="39" t="s">
        <v>1003</v>
      </c>
    </row>
    <row r="147" spans="17:17">
      <c r="Q147" s="39" t="s">
        <v>1004</v>
      </c>
    </row>
    <row r="148" spans="17:17">
      <c r="Q148" s="39" t="s">
        <v>1005</v>
      </c>
    </row>
    <row r="149" spans="17:17">
      <c r="Q149" s="39" t="s">
        <v>1006</v>
      </c>
    </row>
    <row r="150" spans="17:17">
      <c r="Q150" s="39" t="s">
        <v>1007</v>
      </c>
    </row>
    <row r="151" spans="17:17">
      <c r="Q151" s="39" t="s">
        <v>1008</v>
      </c>
    </row>
    <row r="152" spans="17:17">
      <c r="Q152" s="39" t="s">
        <v>1009</v>
      </c>
    </row>
    <row r="153" spans="17:17">
      <c r="Q153" s="39" t="s">
        <v>1010</v>
      </c>
    </row>
    <row r="154" spans="17:17">
      <c r="Q154" s="39" t="s">
        <v>1011</v>
      </c>
    </row>
    <row r="155" spans="17:17">
      <c r="Q155" s="39" t="s">
        <v>1012</v>
      </c>
    </row>
    <row r="156" spans="17:17">
      <c r="Q156" s="39" t="s">
        <v>1013</v>
      </c>
    </row>
    <row r="157" spans="17:17">
      <c r="Q157" s="39" t="s">
        <v>1014</v>
      </c>
    </row>
    <row r="158" spans="17:17">
      <c r="Q158" s="39" t="s">
        <v>1015</v>
      </c>
    </row>
    <row r="159" spans="17:17">
      <c r="Q159" s="39" t="s">
        <v>1016</v>
      </c>
    </row>
    <row r="160" spans="17:17">
      <c r="Q160" s="39" t="s">
        <v>1017</v>
      </c>
    </row>
    <row r="161" spans="17:17">
      <c r="Q161" s="39" t="s">
        <v>1018</v>
      </c>
    </row>
    <row r="162" spans="17:17">
      <c r="Q162" s="39" t="s">
        <v>1019</v>
      </c>
    </row>
    <row r="163" spans="17:17">
      <c r="Q163" s="39" t="s">
        <v>1020</v>
      </c>
    </row>
    <row r="164" spans="17:17">
      <c r="Q164" s="39" t="s">
        <v>1021</v>
      </c>
    </row>
    <row r="165" spans="17:17">
      <c r="Q165" s="39" t="s">
        <v>1022</v>
      </c>
    </row>
    <row r="166" spans="17:17">
      <c r="Q166" s="39" t="s">
        <v>1023</v>
      </c>
    </row>
    <row r="167" spans="17:17">
      <c r="Q167" s="39" t="s">
        <v>1024</v>
      </c>
    </row>
    <row r="168" spans="17:17">
      <c r="Q168" s="39" t="s">
        <v>1025</v>
      </c>
    </row>
    <row r="169" spans="17:17">
      <c r="Q169" s="39" t="s">
        <v>1026</v>
      </c>
    </row>
    <row r="170" spans="17:17">
      <c r="Q170" s="39" t="s">
        <v>1027</v>
      </c>
    </row>
    <row r="171" spans="17:17">
      <c r="Q171" s="39" t="s">
        <v>1028</v>
      </c>
    </row>
    <row r="172" spans="17:17">
      <c r="Q172" s="39" t="s">
        <v>1029</v>
      </c>
    </row>
    <row r="173" spans="17:17">
      <c r="Q173" s="39" t="s">
        <v>1030</v>
      </c>
    </row>
    <row r="174" spans="17:17">
      <c r="Q174" s="39" t="s">
        <v>1031</v>
      </c>
    </row>
    <row r="175" spans="17:17">
      <c r="Q175" s="39" t="s">
        <v>1032</v>
      </c>
    </row>
    <row r="176" spans="17:17">
      <c r="Q176" s="39" t="s">
        <v>1033</v>
      </c>
    </row>
    <row r="177" spans="17:17">
      <c r="Q177" s="39" t="s">
        <v>1034</v>
      </c>
    </row>
    <row r="178" spans="17:17">
      <c r="Q178" s="39" t="s">
        <v>1035</v>
      </c>
    </row>
    <row r="179" spans="17:17">
      <c r="Q179" s="39" t="s">
        <v>1036</v>
      </c>
    </row>
    <row r="180" spans="17:17">
      <c r="Q180" s="39" t="s">
        <v>1037</v>
      </c>
    </row>
    <row r="181" spans="17:17">
      <c r="Q181" s="39" t="s">
        <v>1038</v>
      </c>
    </row>
    <row r="182" spans="17:17">
      <c r="Q182" s="39" t="s">
        <v>1039</v>
      </c>
    </row>
    <row r="183" spans="17:17">
      <c r="Q183" s="39" t="s">
        <v>1040</v>
      </c>
    </row>
    <row r="184" spans="17:17">
      <c r="Q184" s="39" t="s">
        <v>1041</v>
      </c>
    </row>
    <row r="185" spans="17:17">
      <c r="Q185" s="39" t="s">
        <v>1042</v>
      </c>
    </row>
    <row r="186" spans="17:17">
      <c r="Q186" s="39" t="s">
        <v>1043</v>
      </c>
    </row>
    <row r="187" spans="17:17">
      <c r="Q187" s="39" t="s">
        <v>1044</v>
      </c>
    </row>
    <row r="188" spans="17:17">
      <c r="Q188" s="39" t="s">
        <v>1045</v>
      </c>
    </row>
    <row r="189" spans="17:17">
      <c r="Q189" s="39" t="s">
        <v>1046</v>
      </c>
    </row>
    <row r="190" spans="17:17">
      <c r="Q190" s="39" t="s">
        <v>1047</v>
      </c>
    </row>
    <row r="191" spans="17:17">
      <c r="Q191" s="39" t="s">
        <v>1048</v>
      </c>
    </row>
    <row r="192" spans="17:17">
      <c r="Q192" s="39" t="s">
        <v>1049</v>
      </c>
    </row>
    <row r="193" spans="17:17">
      <c r="Q193" s="39" t="s">
        <v>1050</v>
      </c>
    </row>
    <row r="194" spans="17:17">
      <c r="Q194" s="39" t="s">
        <v>1051</v>
      </c>
    </row>
    <row r="195" spans="17:17">
      <c r="Q195" s="39" t="s">
        <v>1052</v>
      </c>
    </row>
    <row r="196" spans="17:17">
      <c r="Q196" s="39" t="s">
        <v>1053</v>
      </c>
    </row>
    <row r="197" spans="17:17">
      <c r="Q197" s="39" t="s">
        <v>1054</v>
      </c>
    </row>
    <row r="198" spans="17:17">
      <c r="Q198" s="39" t="s">
        <v>1055</v>
      </c>
    </row>
    <row r="199" spans="17:17">
      <c r="Q199" s="39" t="s">
        <v>1056</v>
      </c>
    </row>
    <row r="200" spans="17:17">
      <c r="Q200" s="39" t="s">
        <v>1057</v>
      </c>
    </row>
    <row r="201" spans="17:17">
      <c r="Q201" s="39" t="s">
        <v>1058</v>
      </c>
    </row>
    <row r="202" spans="17:17">
      <c r="Q202" s="39" t="s">
        <v>1059</v>
      </c>
    </row>
    <row r="203" spans="17:17">
      <c r="Q203" s="39" t="s">
        <v>1060</v>
      </c>
    </row>
    <row r="204" spans="17:17">
      <c r="Q204" s="39" t="s">
        <v>1061</v>
      </c>
    </row>
    <row r="205" spans="17:17">
      <c r="Q205" s="39" t="s">
        <v>1062</v>
      </c>
    </row>
    <row r="206" spans="17:17">
      <c r="Q206" s="39" t="s">
        <v>1063</v>
      </c>
    </row>
    <row r="207" spans="17:17">
      <c r="Q207" s="39" t="s">
        <v>1064</v>
      </c>
    </row>
    <row r="208" spans="17:17">
      <c r="Q208" s="39" t="s">
        <v>1065</v>
      </c>
    </row>
    <row r="209" spans="17:17">
      <c r="Q209" s="39" t="s">
        <v>1066</v>
      </c>
    </row>
    <row r="210" spans="17:17">
      <c r="Q210" s="39" t="s">
        <v>1067</v>
      </c>
    </row>
    <row r="211" spans="17:17">
      <c r="Q211" s="39" t="s">
        <v>1068</v>
      </c>
    </row>
    <row r="212" spans="17:17">
      <c r="Q212" s="39" t="s">
        <v>1069</v>
      </c>
    </row>
    <row r="213" spans="17:17">
      <c r="Q213" s="39" t="s">
        <v>1070</v>
      </c>
    </row>
    <row r="214" spans="17:17">
      <c r="Q214" s="39" t="s">
        <v>1071</v>
      </c>
    </row>
    <row r="215" spans="17:17">
      <c r="Q215" s="39" t="s">
        <v>1072</v>
      </c>
    </row>
    <row r="216" spans="17:17">
      <c r="Q216" s="39" t="s">
        <v>1073</v>
      </c>
    </row>
    <row r="217" spans="17:17">
      <c r="Q217" s="39" t="s">
        <v>1074</v>
      </c>
    </row>
    <row r="218" spans="17:17">
      <c r="Q218" s="39" t="s">
        <v>1075</v>
      </c>
    </row>
    <row r="219" spans="17:17">
      <c r="Q219" s="39" t="s">
        <v>1076</v>
      </c>
    </row>
    <row r="220" spans="17:17">
      <c r="Q220" s="39" t="s">
        <v>1077</v>
      </c>
    </row>
    <row r="221" spans="17:17">
      <c r="Q221" s="39" t="s">
        <v>1078</v>
      </c>
    </row>
    <row r="222" spans="17:17">
      <c r="Q222" s="39" t="s">
        <v>1079</v>
      </c>
    </row>
    <row r="223" spans="17:17">
      <c r="Q223" s="39" t="s">
        <v>1080</v>
      </c>
    </row>
    <row r="224" spans="17:17">
      <c r="Q224" s="39" t="s">
        <v>1081</v>
      </c>
    </row>
    <row r="225" spans="17:17">
      <c r="Q225" s="39" t="s">
        <v>1082</v>
      </c>
    </row>
    <row r="226" spans="17:17">
      <c r="Q226" s="39" t="s">
        <v>1083</v>
      </c>
    </row>
    <row r="227" spans="17:17">
      <c r="Q227" s="39" t="s">
        <v>1084</v>
      </c>
    </row>
    <row r="228" spans="17:17">
      <c r="Q228" s="39" t="s">
        <v>1085</v>
      </c>
    </row>
    <row r="229" spans="17:17">
      <c r="Q229" s="39" t="s">
        <v>1086</v>
      </c>
    </row>
    <row r="230" spans="17:17">
      <c r="Q230" s="39" t="s">
        <v>1087</v>
      </c>
    </row>
    <row r="231" spans="17:17">
      <c r="Q231" s="39" t="s">
        <v>1088</v>
      </c>
    </row>
    <row r="232" spans="17:17">
      <c r="Q232" s="39" t="s">
        <v>1089</v>
      </c>
    </row>
    <row r="233" spans="17:17">
      <c r="Q233" s="39" t="s">
        <v>1090</v>
      </c>
    </row>
    <row r="234" spans="17:17">
      <c r="Q234" s="39" t="s">
        <v>1091</v>
      </c>
    </row>
    <row r="235" spans="17:17">
      <c r="Q235" s="39" t="s">
        <v>1092</v>
      </c>
    </row>
    <row r="236" spans="17:17">
      <c r="Q236" s="39" t="s">
        <v>1093</v>
      </c>
    </row>
    <row r="237" spans="17:17">
      <c r="Q237" s="39" t="s">
        <v>1094</v>
      </c>
    </row>
    <row r="238" spans="17:17">
      <c r="Q238" s="39" t="s">
        <v>1095</v>
      </c>
    </row>
    <row r="239" spans="17:17">
      <c r="Q239" s="39" t="s">
        <v>1096</v>
      </c>
    </row>
    <row r="240" spans="17:17">
      <c r="Q240" s="39" t="s">
        <v>1097</v>
      </c>
    </row>
    <row r="241" spans="17:17">
      <c r="Q241" s="39" t="s">
        <v>1098</v>
      </c>
    </row>
    <row r="242" spans="17:17">
      <c r="Q242" s="39" t="s">
        <v>1099</v>
      </c>
    </row>
    <row r="243" spans="17:17">
      <c r="Q243" s="39" t="s">
        <v>1100</v>
      </c>
    </row>
    <row r="244" spans="17:17">
      <c r="Q244" s="39" t="s">
        <v>1101</v>
      </c>
    </row>
    <row r="245" spans="17:17">
      <c r="Q245" s="39" t="s">
        <v>1102</v>
      </c>
    </row>
    <row r="246" spans="17:17">
      <c r="Q246" s="39" t="s">
        <v>1103</v>
      </c>
    </row>
    <row r="247" spans="17:17">
      <c r="Q247" s="39" t="s">
        <v>1104</v>
      </c>
    </row>
    <row r="248" spans="17:17">
      <c r="Q248" s="39" t="s">
        <v>1105</v>
      </c>
    </row>
    <row r="249" spans="17:17">
      <c r="Q249" s="39" t="s">
        <v>1106</v>
      </c>
    </row>
    <row r="250" spans="17:17">
      <c r="Q250" s="39" t="s">
        <v>1107</v>
      </c>
    </row>
    <row r="251" spans="17:17">
      <c r="Q251" s="39" t="s">
        <v>1108</v>
      </c>
    </row>
    <row r="252" spans="17:17">
      <c r="Q252" s="39" t="s">
        <v>1109</v>
      </c>
    </row>
    <row r="253" spans="17:17">
      <c r="Q253" s="39" t="s">
        <v>1110</v>
      </c>
    </row>
    <row r="254" spans="17:17">
      <c r="Q254" s="39" t="s">
        <v>1111</v>
      </c>
    </row>
    <row r="255" spans="17:17">
      <c r="Q255" s="39" t="s">
        <v>1112</v>
      </c>
    </row>
    <row r="256" spans="17:17">
      <c r="Q256" s="39" t="s">
        <v>1113</v>
      </c>
    </row>
    <row r="257" spans="17:17">
      <c r="Q257" s="39" t="s">
        <v>1114</v>
      </c>
    </row>
    <row r="258" spans="17:17">
      <c r="Q258" s="39" t="s">
        <v>1115</v>
      </c>
    </row>
    <row r="259" spans="17:17">
      <c r="Q259" s="39" t="s">
        <v>1116</v>
      </c>
    </row>
    <row r="260" spans="17:17">
      <c r="Q260" s="39" t="s">
        <v>293</v>
      </c>
    </row>
    <row r="261" spans="17:17">
      <c r="Q261" s="39" t="s">
        <v>1117</v>
      </c>
    </row>
    <row r="262" spans="17:17">
      <c r="Q262" s="39" t="s">
        <v>1118</v>
      </c>
    </row>
    <row r="263" spans="17:17">
      <c r="Q263" s="39" t="s">
        <v>1119</v>
      </c>
    </row>
    <row r="264" spans="17:17">
      <c r="Q264" s="39" t="s">
        <v>1120</v>
      </c>
    </row>
    <row r="265" spans="17:17">
      <c r="Q265" s="39" t="s">
        <v>1121</v>
      </c>
    </row>
    <row r="266" spans="17:17">
      <c r="Q266" s="39" t="s">
        <v>1122</v>
      </c>
    </row>
    <row r="267" spans="17:17">
      <c r="Q267" s="39" t="s">
        <v>1123</v>
      </c>
    </row>
    <row r="268" spans="17:17">
      <c r="Q268" s="39" t="s">
        <v>1124</v>
      </c>
    </row>
    <row r="269" spans="17:17">
      <c r="Q269" s="39" t="s">
        <v>1125</v>
      </c>
    </row>
    <row r="270" spans="17:17">
      <c r="Q270" s="39" t="s">
        <v>1126</v>
      </c>
    </row>
    <row r="271" spans="17:17">
      <c r="Q271" s="39" t="s">
        <v>1127</v>
      </c>
    </row>
    <row r="272" spans="17:17">
      <c r="Q272" s="39" t="s">
        <v>1128</v>
      </c>
    </row>
    <row r="273" spans="17:17">
      <c r="Q273" s="39" t="s">
        <v>1129</v>
      </c>
    </row>
    <row r="274" spans="17:17">
      <c r="Q274" s="39" t="s">
        <v>1130</v>
      </c>
    </row>
    <row r="275" spans="17:17">
      <c r="Q275" s="39" t="s">
        <v>1131</v>
      </c>
    </row>
    <row r="276" spans="17:17">
      <c r="Q276" s="39" t="s">
        <v>1132</v>
      </c>
    </row>
    <row r="277" spans="17:17">
      <c r="Q277" s="39" t="s">
        <v>1133</v>
      </c>
    </row>
    <row r="278" spans="17:17">
      <c r="Q278" s="39" t="s">
        <v>1134</v>
      </c>
    </row>
    <row r="279" spans="17:17">
      <c r="Q279" s="39" t="s">
        <v>1135</v>
      </c>
    </row>
    <row r="280" spans="17:17">
      <c r="Q280" s="39" t="s">
        <v>1136</v>
      </c>
    </row>
    <row r="281" spans="17:17">
      <c r="Q281" s="39" t="s">
        <v>1137</v>
      </c>
    </row>
    <row r="282" spans="17:17">
      <c r="Q282" s="39" t="s">
        <v>1138</v>
      </c>
    </row>
    <row r="283" spans="17:17">
      <c r="Q283" s="39" t="s">
        <v>1139</v>
      </c>
    </row>
    <row r="284" spans="17:17">
      <c r="Q284" s="39" t="s">
        <v>1140</v>
      </c>
    </row>
    <row r="285" spans="17:17">
      <c r="Q285" s="39" t="s">
        <v>1141</v>
      </c>
    </row>
    <row r="286" spans="17:17">
      <c r="Q286" s="39" t="s">
        <v>1142</v>
      </c>
    </row>
    <row r="287" spans="17:17">
      <c r="Q287" s="39" t="s">
        <v>1143</v>
      </c>
    </row>
    <row r="288" spans="17:17">
      <c r="Q288" s="39" t="s">
        <v>1144</v>
      </c>
    </row>
    <row r="289" spans="17:17">
      <c r="Q289" s="39" t="s">
        <v>1145</v>
      </c>
    </row>
    <row r="290" spans="17:17">
      <c r="Q290" s="39" t="s">
        <v>1146</v>
      </c>
    </row>
    <row r="291" spans="17:17">
      <c r="Q291" s="39" t="s">
        <v>1147</v>
      </c>
    </row>
    <row r="292" spans="17:17">
      <c r="Q292" s="39" t="s">
        <v>1148</v>
      </c>
    </row>
    <row r="293" spans="17:17">
      <c r="Q293" s="39" t="s">
        <v>1149</v>
      </c>
    </row>
    <row r="294" spans="17:17">
      <c r="Q294" s="39" t="s">
        <v>1150</v>
      </c>
    </row>
    <row r="295" spans="17:17">
      <c r="Q295" s="39" t="s">
        <v>1151</v>
      </c>
    </row>
    <row r="296" spans="17:17">
      <c r="Q296" s="39" t="s">
        <v>1152</v>
      </c>
    </row>
    <row r="297" spans="17:17">
      <c r="Q297" s="39" t="s">
        <v>1153</v>
      </c>
    </row>
    <row r="298" spans="17:17">
      <c r="Q298" s="39" t="s">
        <v>1154</v>
      </c>
    </row>
    <row r="299" spans="17:17">
      <c r="Q299" s="39" t="s">
        <v>1155</v>
      </c>
    </row>
    <row r="300" spans="17:17">
      <c r="Q300" s="39" t="s">
        <v>1156</v>
      </c>
    </row>
    <row r="301" spans="17:17">
      <c r="Q301" s="39" t="s">
        <v>1157</v>
      </c>
    </row>
    <row r="302" spans="17:17">
      <c r="Q302" s="39" t="s">
        <v>1158</v>
      </c>
    </row>
    <row r="303" spans="17:17">
      <c r="Q303" s="39" t="s">
        <v>1159</v>
      </c>
    </row>
    <row r="304" spans="17:17">
      <c r="Q304" s="39" t="s">
        <v>1160</v>
      </c>
    </row>
    <row r="305" spans="17:17">
      <c r="Q305" s="39" t="s">
        <v>1161</v>
      </c>
    </row>
    <row r="306" spans="17:17">
      <c r="Q306" s="39" t="s">
        <v>1162</v>
      </c>
    </row>
    <row r="307" spans="17:17">
      <c r="Q307" s="39" t="s">
        <v>1163</v>
      </c>
    </row>
    <row r="308" spans="17:17">
      <c r="Q308" s="39" t="s">
        <v>1164</v>
      </c>
    </row>
    <row r="309" spans="17:17">
      <c r="Q309" s="39" t="s">
        <v>1165</v>
      </c>
    </row>
    <row r="310" spans="17:17">
      <c r="Q310" s="39" t="s">
        <v>1166</v>
      </c>
    </row>
    <row r="311" spans="17:17">
      <c r="Q311" s="39" t="s">
        <v>1167</v>
      </c>
    </row>
    <row r="312" spans="17:17">
      <c r="Q312" s="39" t="s">
        <v>1168</v>
      </c>
    </row>
    <row r="313" spans="17:17">
      <c r="Q313" s="39" t="s">
        <v>1169</v>
      </c>
    </row>
    <row r="314" spans="17:17">
      <c r="Q314" s="39" t="s">
        <v>1170</v>
      </c>
    </row>
    <row r="315" spans="17:17">
      <c r="Q315" s="39" t="s">
        <v>1171</v>
      </c>
    </row>
    <row r="316" spans="17:17">
      <c r="Q316" s="39" t="s">
        <v>1172</v>
      </c>
    </row>
    <row r="317" spans="17:17">
      <c r="Q317" s="39" t="s">
        <v>1173</v>
      </c>
    </row>
    <row r="318" spans="17:17">
      <c r="Q318" s="39" t="s">
        <v>1174</v>
      </c>
    </row>
    <row r="319" spans="17:17">
      <c r="Q319" s="39" t="s">
        <v>1175</v>
      </c>
    </row>
    <row r="320" spans="17:17">
      <c r="Q320" s="39" t="s">
        <v>1176</v>
      </c>
    </row>
    <row r="321" spans="17:17">
      <c r="Q321" s="39" t="s">
        <v>1177</v>
      </c>
    </row>
    <row r="322" spans="17:17">
      <c r="Q322" s="39" t="s">
        <v>295</v>
      </c>
    </row>
    <row r="323" spans="17:17">
      <c r="Q323" s="39" t="s">
        <v>1178</v>
      </c>
    </row>
    <row r="324" spans="17:17">
      <c r="Q324" s="39" t="s">
        <v>1179</v>
      </c>
    </row>
    <row r="325" spans="17:17">
      <c r="Q325" s="39" t="s">
        <v>1180</v>
      </c>
    </row>
    <row r="326" spans="17:17">
      <c r="Q326" s="39" t="s">
        <v>1181</v>
      </c>
    </row>
    <row r="327" spans="17:17">
      <c r="Q327" s="39" t="s">
        <v>1182</v>
      </c>
    </row>
    <row r="328" spans="17:17">
      <c r="Q328" s="39" t="s">
        <v>1183</v>
      </c>
    </row>
    <row r="329" spans="17:17">
      <c r="Q329" s="39" t="s">
        <v>1184</v>
      </c>
    </row>
    <row r="330" spans="17:17">
      <c r="Q330" s="39" t="s">
        <v>1185</v>
      </c>
    </row>
    <row r="331" spans="17:17">
      <c r="Q331" s="39" t="s">
        <v>1186</v>
      </c>
    </row>
    <row r="332" spans="17:17">
      <c r="Q332" s="39" t="s">
        <v>1187</v>
      </c>
    </row>
    <row r="333" spans="17:17">
      <c r="Q333" s="39" t="s">
        <v>1188</v>
      </c>
    </row>
    <row r="334" spans="17:17">
      <c r="Q334" s="39" t="s">
        <v>1189</v>
      </c>
    </row>
    <row r="335" spans="17:17">
      <c r="Q335" s="39" t="s">
        <v>1190</v>
      </c>
    </row>
    <row r="336" spans="17:17">
      <c r="Q336" s="39" t="s">
        <v>1191</v>
      </c>
    </row>
    <row r="337" spans="17:17">
      <c r="Q337" s="39" t="s">
        <v>1192</v>
      </c>
    </row>
    <row r="338" spans="17:17">
      <c r="Q338" s="39" t="s">
        <v>1193</v>
      </c>
    </row>
    <row r="339" spans="17:17">
      <c r="Q339" s="39" t="s">
        <v>1194</v>
      </c>
    </row>
    <row r="340" spans="17:17">
      <c r="Q340" s="39" t="s">
        <v>1195</v>
      </c>
    </row>
    <row r="341" spans="17:17">
      <c r="Q341" s="39" t="s">
        <v>1196</v>
      </c>
    </row>
    <row r="342" spans="17:17">
      <c r="Q342" s="39" t="s">
        <v>1197</v>
      </c>
    </row>
    <row r="343" spans="17:17">
      <c r="Q343" s="39" t="s">
        <v>1198</v>
      </c>
    </row>
    <row r="344" spans="17:17">
      <c r="Q344" s="39" t="s">
        <v>1199</v>
      </c>
    </row>
    <row r="345" spans="17:17">
      <c r="Q345" s="39" t="s">
        <v>1200</v>
      </c>
    </row>
    <row r="346" spans="17:17">
      <c r="Q346" s="39" t="s">
        <v>1201</v>
      </c>
    </row>
    <row r="347" spans="17:17">
      <c r="Q347" s="39" t="s">
        <v>1202</v>
      </c>
    </row>
    <row r="348" spans="17:17">
      <c r="Q348" s="39" t="s">
        <v>1203</v>
      </c>
    </row>
    <row r="349" spans="17:17">
      <c r="Q349" s="39" t="s">
        <v>1204</v>
      </c>
    </row>
    <row r="350" spans="17:17">
      <c r="Q350" s="39" t="s">
        <v>1205</v>
      </c>
    </row>
    <row r="351" spans="17:17">
      <c r="Q351" s="39" t="s">
        <v>1206</v>
      </c>
    </row>
    <row r="352" spans="17:17">
      <c r="Q352" s="39" t="s">
        <v>1207</v>
      </c>
    </row>
    <row r="353" spans="17:17">
      <c r="Q353" s="39" t="s">
        <v>1208</v>
      </c>
    </row>
    <row r="354" spans="17:17">
      <c r="Q354" s="39" t="s">
        <v>1209</v>
      </c>
    </row>
    <row r="355" spans="17:17">
      <c r="Q355" s="39" t="s">
        <v>1210</v>
      </c>
    </row>
    <row r="356" spans="17:17">
      <c r="Q356" s="39" t="s">
        <v>1211</v>
      </c>
    </row>
    <row r="357" spans="17:17">
      <c r="Q357" s="39" t="s">
        <v>1212</v>
      </c>
    </row>
    <row r="358" spans="17:17">
      <c r="Q358" s="39" t="s">
        <v>1213</v>
      </c>
    </row>
    <row r="359" spans="17:17">
      <c r="Q359" s="39" t="s">
        <v>1214</v>
      </c>
    </row>
    <row r="360" spans="17:17">
      <c r="Q360" s="39" t="s">
        <v>1215</v>
      </c>
    </row>
    <row r="361" spans="17:17">
      <c r="Q361" s="39" t="s">
        <v>1216</v>
      </c>
    </row>
    <row r="362" spans="17:17">
      <c r="Q362" s="39" t="s">
        <v>1217</v>
      </c>
    </row>
    <row r="363" spans="17:17">
      <c r="Q363" s="39" t="s">
        <v>1218</v>
      </c>
    </row>
    <row r="364" spans="17:17">
      <c r="Q364" s="39" t="s">
        <v>1219</v>
      </c>
    </row>
    <row r="365" spans="17:17">
      <c r="Q365" s="39" t="s">
        <v>1220</v>
      </c>
    </row>
    <row r="366" spans="17:17">
      <c r="Q366" s="39" t="s">
        <v>1221</v>
      </c>
    </row>
    <row r="367" spans="17:17">
      <c r="Q367" s="39" t="s">
        <v>1222</v>
      </c>
    </row>
    <row r="368" spans="17:17">
      <c r="Q368" s="39" t="s">
        <v>1223</v>
      </c>
    </row>
    <row r="369" spans="17:17">
      <c r="Q369" s="39" t="s">
        <v>1224</v>
      </c>
    </row>
    <row r="370" spans="17:17">
      <c r="Q370" s="39" t="s">
        <v>1225</v>
      </c>
    </row>
    <row r="371" spans="17:17">
      <c r="Q371" s="39" t="s">
        <v>1226</v>
      </c>
    </row>
    <row r="372" spans="17:17">
      <c r="Q372" s="39" t="s">
        <v>1227</v>
      </c>
    </row>
    <row r="373" spans="17:17">
      <c r="Q373" s="39" t="s">
        <v>1228</v>
      </c>
    </row>
    <row r="374" spans="17:17">
      <c r="Q374" s="39" t="s">
        <v>1229</v>
      </c>
    </row>
    <row r="375" spans="17:17">
      <c r="Q375" s="39" t="s">
        <v>1230</v>
      </c>
    </row>
    <row r="376" spans="17:17">
      <c r="Q376" s="39" t="s">
        <v>1231</v>
      </c>
    </row>
    <row r="377" spans="17:17">
      <c r="Q377" s="39" t="s">
        <v>1232</v>
      </c>
    </row>
    <row r="378" spans="17:17">
      <c r="Q378" s="39" t="s">
        <v>1233</v>
      </c>
    </row>
    <row r="379" spans="17:17">
      <c r="Q379" s="39" t="s">
        <v>1234</v>
      </c>
    </row>
    <row r="380" spans="17:17">
      <c r="Q380" s="39" t="s">
        <v>1235</v>
      </c>
    </row>
    <row r="381" spans="17:17">
      <c r="Q381" s="39" t="s">
        <v>1236</v>
      </c>
    </row>
    <row r="382" spans="17:17">
      <c r="Q382" s="39" t="s">
        <v>1237</v>
      </c>
    </row>
    <row r="383" spans="17:17">
      <c r="Q383" s="39" t="s">
        <v>1238</v>
      </c>
    </row>
    <row r="384" spans="17:17">
      <c r="Q384" s="39" t="s">
        <v>1239</v>
      </c>
    </row>
    <row r="385" spans="17:17">
      <c r="Q385" s="39" t="s">
        <v>1240</v>
      </c>
    </row>
    <row r="386" spans="17:17">
      <c r="Q386" s="39" t="s">
        <v>1241</v>
      </c>
    </row>
    <row r="387" spans="17:17">
      <c r="Q387" s="39" t="s">
        <v>1242</v>
      </c>
    </row>
    <row r="388" spans="17:17">
      <c r="Q388" s="39" t="s">
        <v>1243</v>
      </c>
    </row>
    <row r="389" spans="17:17">
      <c r="Q389" s="39" t="s">
        <v>1244</v>
      </c>
    </row>
    <row r="390" spans="17:17">
      <c r="Q390" s="39" t="s">
        <v>1245</v>
      </c>
    </row>
    <row r="391" spans="17:17">
      <c r="Q391" s="39" t="s">
        <v>1246</v>
      </c>
    </row>
    <row r="392" spans="17:17">
      <c r="Q392" s="39" t="s">
        <v>1247</v>
      </c>
    </row>
    <row r="393" spans="17:17">
      <c r="Q393" s="39" t="s">
        <v>1248</v>
      </c>
    </row>
    <row r="394" spans="17:17">
      <c r="Q394" s="39" t="s">
        <v>1249</v>
      </c>
    </row>
    <row r="395" spans="17:17">
      <c r="Q395" s="39" t="s">
        <v>1250</v>
      </c>
    </row>
    <row r="396" spans="17:17">
      <c r="Q396" s="39" t="s">
        <v>1251</v>
      </c>
    </row>
    <row r="397" spans="17:17">
      <c r="Q397" s="39" t="s">
        <v>1252</v>
      </c>
    </row>
    <row r="398" spans="17:17">
      <c r="Q398" s="39" t="s">
        <v>1253</v>
      </c>
    </row>
    <row r="399" spans="17:17">
      <c r="Q399" s="39" t="s">
        <v>1254</v>
      </c>
    </row>
    <row r="400" spans="17:17">
      <c r="Q400" s="39" t="s">
        <v>1255</v>
      </c>
    </row>
    <row r="401" spans="17:17">
      <c r="Q401" s="39" t="s">
        <v>1256</v>
      </c>
    </row>
    <row r="402" spans="17:17">
      <c r="Q402" s="39" t="s">
        <v>1257</v>
      </c>
    </row>
    <row r="403" spans="17:17">
      <c r="Q403" s="39" t="s">
        <v>1258</v>
      </c>
    </row>
    <row r="404" spans="17:17">
      <c r="Q404" s="39" t="s">
        <v>1259</v>
      </c>
    </row>
    <row r="405" spans="17:17">
      <c r="Q405" s="39" t="s">
        <v>1260</v>
      </c>
    </row>
    <row r="406" spans="17:17">
      <c r="Q406" s="39" t="s">
        <v>1261</v>
      </c>
    </row>
    <row r="407" spans="17:17">
      <c r="Q407" s="39" t="s">
        <v>1262</v>
      </c>
    </row>
    <row r="408" spans="17:17">
      <c r="Q408" s="39" t="s">
        <v>1263</v>
      </c>
    </row>
    <row r="409" spans="17:17">
      <c r="Q409" s="39" t="s">
        <v>1264</v>
      </c>
    </row>
    <row r="410" spans="17:17">
      <c r="Q410" s="39" t="s">
        <v>1265</v>
      </c>
    </row>
    <row r="411" spans="17:17">
      <c r="Q411" s="39" t="s">
        <v>1266</v>
      </c>
    </row>
    <row r="412" spans="17:17">
      <c r="Q412" s="39" t="s">
        <v>1267</v>
      </c>
    </row>
    <row r="413" spans="17:17">
      <c r="Q413" s="39" t="s">
        <v>1268</v>
      </c>
    </row>
    <row r="414" spans="17:17">
      <c r="Q414" s="39" t="s">
        <v>1269</v>
      </c>
    </row>
    <row r="415" spans="17:17">
      <c r="Q415" s="39" t="s">
        <v>1270</v>
      </c>
    </row>
    <row r="416" spans="17:17">
      <c r="Q416" s="39" t="s">
        <v>1271</v>
      </c>
    </row>
    <row r="417" spans="17:17">
      <c r="Q417" s="39" t="s">
        <v>1272</v>
      </c>
    </row>
    <row r="418" spans="17:17">
      <c r="Q418" s="39" t="s">
        <v>1273</v>
      </c>
    </row>
    <row r="419" spans="17:17">
      <c r="Q419" s="39" t="s">
        <v>1274</v>
      </c>
    </row>
    <row r="420" spans="17:17">
      <c r="Q420" s="39" t="s">
        <v>1275</v>
      </c>
    </row>
    <row r="421" spans="17:17">
      <c r="Q421" s="39" t="s">
        <v>1276</v>
      </c>
    </row>
    <row r="422" spans="17:17">
      <c r="Q422" s="39" t="s">
        <v>1277</v>
      </c>
    </row>
    <row r="423" spans="17:17">
      <c r="Q423" s="39" t="s">
        <v>1278</v>
      </c>
    </row>
  </sheetData>
  <phoneticPr fontId="29" type="noConversion"/>
  <dataValidations count="5">
    <dataValidation type="list" allowBlank="1" showInputMessage="1" showErrorMessage="1" sqref="D16 D24 D32 D40 D48 D56 D64 D72" xr:uid="{84B89D6D-F183-8144-8199-D61C58D83AE9}">
      <formula1>$P$3:$P$5</formula1>
    </dataValidation>
    <dataValidation type="list" allowBlank="1" showInputMessage="1" showErrorMessage="1" sqref="D15 D23 D31 D39 D47 D55 D63 D71" xr:uid="{9800E027-D40C-4510-817E-4114F9CF6F0F}">
      <formula1>$O$3:$O$21</formula1>
    </dataValidation>
    <dataValidation type="list" allowBlank="1" showInputMessage="1" showErrorMessage="1" sqref="D17 D25 D33 D41 D49 D57 D65 D73" xr:uid="{900D1BAE-4582-4A57-B547-32A2D2CEADC7}">
      <formula1>$Q$3:$Q$423</formula1>
    </dataValidation>
    <dataValidation type="list" allowBlank="1" showInputMessage="1" showErrorMessage="1" sqref="D8" xr:uid="{493B6CC6-540E-4FA5-ADAE-FFB0CB172E57}">
      <formula1>$N$3:$N$4</formula1>
    </dataValidation>
    <dataValidation type="list" allowBlank="1" showInputMessage="1" showErrorMessage="1" sqref="D6:D7" xr:uid="{E5EB959D-7205-4890-87BB-FC5AF322F83C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D8E5-8E54-463B-9B5C-CF98F626F367}">
  <dimension ref="C1:L31"/>
  <sheetViews>
    <sheetView topLeftCell="C1" zoomScale="80" zoomScaleNormal="80" workbookViewId="0">
      <selection activeCell="D17" sqref="D17"/>
    </sheetView>
  </sheetViews>
  <sheetFormatPr defaultColWidth="8.6640625" defaultRowHeight="14.5"/>
  <cols>
    <col min="1" max="2" width="8.6640625" style="39"/>
    <col min="3" max="3" width="33.6640625" style="39" bestFit="1" customWidth="1"/>
    <col min="4" max="4" width="20" style="39" customWidth="1"/>
    <col min="5" max="9" width="8.6640625" style="39"/>
    <col min="10" max="10" width="38.83203125" style="39" bestFit="1" customWidth="1"/>
    <col min="11" max="11" width="10.33203125" style="39" bestFit="1" customWidth="1"/>
    <col min="12" max="12" width="48.08203125" style="39" bestFit="1" customWidth="1"/>
    <col min="13" max="16384" width="8.6640625" style="39"/>
  </cols>
  <sheetData>
    <row r="1" spans="3:12">
      <c r="D1" s="40" t="s">
        <v>4</v>
      </c>
    </row>
    <row r="2" spans="3:12">
      <c r="D2" s="41" t="s">
        <v>2</v>
      </c>
    </row>
    <row r="3" spans="3:12">
      <c r="D3" s="42" t="s">
        <v>36</v>
      </c>
      <c r="J3" s="47" t="s">
        <v>15</v>
      </c>
      <c r="K3" s="47" t="s">
        <v>52</v>
      </c>
      <c r="L3" s="9" t="s">
        <v>17</v>
      </c>
    </row>
    <row r="4" spans="3:12" ht="15.5">
      <c r="J4" s="49" t="s">
        <v>124</v>
      </c>
      <c r="K4" s="49" t="b">
        <f>IF(input_RPQ_YearsOfInvestmentExperience="",FALSE,TRUE)</f>
        <v>1</v>
      </c>
      <c r="L4" s="53" t="str">
        <f>IF(K4=FALSE,VLOOKUP(J4,$J$19:$K$31,2,0),"")</f>
        <v/>
      </c>
    </row>
    <row r="5" spans="3:12" ht="15.5">
      <c r="C5" s="24" t="s">
        <v>42</v>
      </c>
      <c r="D5" s="4" t="b">
        <f>'Validation Input Received'!$D$17</f>
        <v>0</v>
      </c>
      <c r="J5" s="49" t="s">
        <v>125</v>
      </c>
      <c r="K5" s="49" t="b">
        <f>IF(input_RPQ_AcceptableLoss="",FALSE,TRUE)</f>
        <v>1</v>
      </c>
      <c r="L5" s="53" t="str">
        <f t="shared" ref="L5:L16" si="0">IF(K5=FALSE,VLOOKUP(J5,$J$19:$K$31,2,0),"")</f>
        <v/>
      </c>
    </row>
    <row r="6" spans="3:12" ht="15.5">
      <c r="C6" s="49" t="s">
        <v>124</v>
      </c>
      <c r="D6" s="69">
        <v>1</v>
      </c>
      <c r="J6" s="49" t="s">
        <v>126</v>
      </c>
      <c r="K6" s="49" t="b">
        <f>IF(input_RPQ_HoldInvestmentUntil="",FALSE,TRUE)</f>
        <v>1</v>
      </c>
      <c r="L6" s="53" t="str">
        <f t="shared" si="0"/>
        <v/>
      </c>
    </row>
    <row r="7" spans="3:12" ht="15.5">
      <c r="C7" s="49" t="s">
        <v>125</v>
      </c>
      <c r="D7" s="69">
        <v>2</v>
      </c>
      <c r="J7" s="49" t="s">
        <v>127</v>
      </c>
      <c r="K7" s="49" t="b">
        <f>IF(input_RPQ_YearsToManageWithoutIncome="",FALSE,TRUE)</f>
        <v>1</v>
      </c>
      <c r="L7" s="53" t="str">
        <f t="shared" si="0"/>
        <v/>
      </c>
    </row>
    <row r="8" spans="3:12" ht="15.5">
      <c r="C8" s="49" t="s">
        <v>126</v>
      </c>
      <c r="D8" s="69">
        <v>2</v>
      </c>
      <c r="J8" s="49" t="s">
        <v>128</v>
      </c>
      <c r="K8" s="49" t="b">
        <f>IF(input_RPQ_RiskiestAssetSelection="",FALSE,TRUE)</f>
        <v>1</v>
      </c>
      <c r="L8" s="53" t="str">
        <f t="shared" si="0"/>
        <v/>
      </c>
    </row>
    <row r="9" spans="3:12" ht="15.5">
      <c r="C9" s="49" t="s">
        <v>127</v>
      </c>
      <c r="D9" s="69">
        <v>2</v>
      </c>
      <c r="J9" s="49" t="s">
        <v>129</v>
      </c>
      <c r="K9" s="49" t="b">
        <f>IF(input_RPQ_YearsToRetire="",FALSE,TRUE)</f>
        <v>1</v>
      </c>
      <c r="L9" s="53" t="str">
        <f t="shared" si="0"/>
        <v/>
      </c>
    </row>
    <row r="10" spans="3:12" ht="15.5">
      <c r="C10" s="49" t="s">
        <v>128</v>
      </c>
      <c r="D10" s="69">
        <v>2</v>
      </c>
      <c r="J10" s="49" t="s">
        <v>136</v>
      </c>
      <c r="K10" s="49" t="b">
        <f>IF(input_RPQ_RiskProfile="",FALSE,TRUE)</f>
        <v>1</v>
      </c>
      <c r="L10" s="53" t="str">
        <f t="shared" si="0"/>
        <v/>
      </c>
    </row>
    <row r="11" spans="3:12" ht="15.5">
      <c r="C11" s="49" t="s">
        <v>129</v>
      </c>
      <c r="D11" s="69">
        <v>4</v>
      </c>
      <c r="J11" s="49" t="s">
        <v>219</v>
      </c>
      <c r="K11" s="49" t="b">
        <f>IF(input_RPQ_RiskTotalScore="",FALSE,TRUE)</f>
        <v>1</v>
      </c>
      <c r="L11" s="53" t="str">
        <f t="shared" si="0"/>
        <v/>
      </c>
    </row>
    <row r="12" spans="3:12" ht="15.5">
      <c r="C12" s="68" t="s">
        <v>136</v>
      </c>
      <c r="D12" s="70" t="s">
        <v>247</v>
      </c>
      <c r="J12" s="49" t="s">
        <v>220</v>
      </c>
      <c r="K12" s="49" t="b">
        <f>IF(input_RPQ_RiskProfileSummary="",FALSE,TRUE)</f>
        <v>1</v>
      </c>
      <c r="L12" s="53" t="str">
        <f t="shared" si="0"/>
        <v/>
      </c>
    </row>
    <row r="13" spans="3:12" ht="15.5">
      <c r="C13" s="68" t="s">
        <v>219</v>
      </c>
      <c r="D13" s="70">
        <v>11</v>
      </c>
      <c r="J13" s="117" t="s">
        <v>1917</v>
      </c>
      <c r="K13" s="49" t="b">
        <f>IF(AND(input_RPQ_YearsToRetire=1,NOT(AND(input_NeedAnalysis_WealthAccumulationNeed_RetirementAccumulation_YearsToGoal&gt;=0,input_NeedAnalysis_WealthAccumulationNeed_RetirementAccumulation_YearsToGoal&lt;=4))),FALSE,TRUE)</f>
        <v>1</v>
      </c>
      <c r="L13" s="53" t="str">
        <f t="shared" si="0"/>
        <v/>
      </c>
    </row>
    <row r="14" spans="3:12" ht="15.5">
      <c r="C14" s="68" t="s">
        <v>220</v>
      </c>
      <c r="D14" s="70" t="s">
        <v>248</v>
      </c>
      <c r="J14" s="117" t="s">
        <v>1918</v>
      </c>
      <c r="K14" s="49" t="b">
        <f>IF(AND(input_RPQ_YearsToRetire=2,NOT(AND(input_NeedAnalysis_WealthAccumulationNeed_RetirementAccumulation_YearsToGoal&gt;=5,input_NeedAnalysis_WealthAccumulationNeed_RetirementAccumulation_YearsToGoal&lt;=9))),FALSE,TRUE)</f>
        <v>1</v>
      </c>
      <c r="L14" s="53" t="str">
        <f t="shared" si="0"/>
        <v/>
      </c>
    </row>
    <row r="15" spans="3:12" ht="15.5">
      <c r="J15" s="117" t="s">
        <v>1919</v>
      </c>
      <c r="K15" s="49" t="b">
        <f>IF(AND(input_RPQ_YearsToRetire=3,NOT(AND(input_NeedAnalysis_WealthAccumulationNeed_RetirementAccumulation_YearsToGoal&gt;=10,input_NeedAnalysis_WealthAccumulationNeed_RetirementAccumulation_YearsToGoal&lt;=14))),FALSE,TRUE)</f>
        <v>1</v>
      </c>
      <c r="L15" s="53" t="str">
        <f t="shared" si="0"/>
        <v/>
      </c>
    </row>
    <row r="16" spans="3:12" ht="16" thickBot="1">
      <c r="J16" s="117" t="s">
        <v>1920</v>
      </c>
      <c r="K16" s="49" t="b">
        <f>IF(AND(input_RPQ_YearsToRetire=4,NOT(input_NeedAnalysis_WealthAccumulationNeed_RetirementAccumulation_YearsToGoal&gt;=14)),FALSE,TRUE)</f>
        <v>1</v>
      </c>
      <c r="L16" s="53" t="str">
        <f t="shared" si="0"/>
        <v/>
      </c>
    </row>
    <row r="17" spans="3:12" ht="15.5">
      <c r="C17" s="10" t="s">
        <v>22</v>
      </c>
      <c r="D17" s="15" t="b">
        <f>IF(NOT(D5),TRUE,IF(COUNTIF(K4:K16,FALSE)=0,TRUE,VLOOKUP(FALSE,K4:L16,2,0)))</f>
        <v>1</v>
      </c>
    </row>
    <row r="18" spans="3:12" ht="16" thickBot="1">
      <c r="C18" s="12" t="s">
        <v>21</v>
      </c>
      <c r="D18" s="14" t="str">
        <f>IF(D17=TRUE,"",VLOOKUP(D17,K19:L31,2,0))</f>
        <v/>
      </c>
      <c r="J18" s="47" t="s">
        <v>15</v>
      </c>
      <c r="K18" s="9" t="s">
        <v>17</v>
      </c>
      <c r="L18" s="47" t="s">
        <v>53</v>
      </c>
    </row>
    <row r="19" spans="3:12" ht="15.5">
      <c r="J19" s="49" t="s">
        <v>124</v>
      </c>
      <c r="K19" s="1" t="s">
        <v>1515</v>
      </c>
      <c r="L19" s="49" t="str">
        <f>_xlfn.CONCAT(J4," is invalid.")</f>
        <v>Investment experience is invalid.</v>
      </c>
    </row>
    <row r="20" spans="3:12" ht="15.5">
      <c r="J20" s="49" t="s">
        <v>125</v>
      </c>
      <c r="K20" s="1" t="s">
        <v>1516</v>
      </c>
      <c r="L20" s="49" t="str">
        <f>_xlfn.CONCAT(J5," is invalid.")</f>
        <v>Acceptable short term loss is invalid.</v>
      </c>
    </row>
    <row r="21" spans="3:12" ht="15.5">
      <c r="J21" s="49" t="s">
        <v>126</v>
      </c>
      <c r="K21" s="1" t="s">
        <v>1517</v>
      </c>
      <c r="L21" s="49" t="str">
        <f>_xlfn.CONCAT(J6," is invalid.")</f>
        <v>Comfortability of Investment holding is invalid.</v>
      </c>
    </row>
    <row r="22" spans="3:12" ht="15.5">
      <c r="J22" s="49" t="s">
        <v>127</v>
      </c>
      <c r="K22" s="1" t="s">
        <v>1518</v>
      </c>
      <c r="L22" s="49" t="str">
        <f>_xlfn.CONCAT(J7," is invalid.")</f>
        <v>Financing standard of living through assets is invalid.</v>
      </c>
    </row>
    <row r="23" spans="3:12" ht="15.5">
      <c r="J23" s="49" t="s">
        <v>128</v>
      </c>
      <c r="K23" s="1" t="s">
        <v>1519</v>
      </c>
      <c r="L23" s="49" t="str">
        <f>_xlfn.CONCAT(J8," is invalid.")</f>
        <v>Riskiest assets that you would invest in is invalid.</v>
      </c>
    </row>
    <row r="24" spans="3:12" ht="15.5">
      <c r="J24" s="49" t="s">
        <v>129</v>
      </c>
      <c r="K24" s="1" t="s">
        <v>1520</v>
      </c>
      <c r="L24" s="49" t="str">
        <f>_xlfn.CONCAT(J9," is invalid.")</f>
        <v>Years to Retirement is invalid.</v>
      </c>
    </row>
    <row r="25" spans="3:12" ht="15.5">
      <c r="J25" s="49" t="s">
        <v>136</v>
      </c>
      <c r="K25" s="1" t="s">
        <v>1521</v>
      </c>
      <c r="L25" s="49" t="str">
        <f>_xlfn.CONCAT(J10," is invalid.")</f>
        <v>Risk Profile is invalid.</v>
      </c>
    </row>
    <row r="26" spans="3:12" ht="15.5">
      <c r="J26" s="49" t="s">
        <v>219</v>
      </c>
      <c r="K26" s="1" t="s">
        <v>1522</v>
      </c>
      <c r="L26" s="49" t="str">
        <f>_xlfn.CONCAT(J11," is invalid.")</f>
        <v>Total Score is invalid.</v>
      </c>
    </row>
    <row r="27" spans="3:12" ht="15.5">
      <c r="J27" s="49" t="s">
        <v>220</v>
      </c>
      <c r="K27" s="1" t="s">
        <v>1523</v>
      </c>
      <c r="L27" s="49" t="str">
        <f>_xlfn.CONCAT(J12," is invalid.")</f>
        <v>Risk Profile Summary is invalid.</v>
      </c>
    </row>
    <row r="28" spans="3:12" ht="15.5">
      <c r="J28" s="117" t="s">
        <v>1917</v>
      </c>
      <c r="K28" s="1" t="s">
        <v>1921</v>
      </c>
      <c r="L28" s="49" t="str">
        <f t="shared" ref="L28:L31" si="1">_xlfn.CONCAT(J13," is invalid.")</f>
        <v>Cross Validation 1 is invalid.</v>
      </c>
    </row>
    <row r="29" spans="3:12" ht="15.5">
      <c r="J29" s="117" t="s">
        <v>1918</v>
      </c>
      <c r="K29" s="1" t="s">
        <v>1922</v>
      </c>
      <c r="L29" s="49" t="str">
        <f t="shared" si="1"/>
        <v>Cross Validation 2 is invalid.</v>
      </c>
    </row>
    <row r="30" spans="3:12" ht="15.5">
      <c r="J30" s="117" t="s">
        <v>1919</v>
      </c>
      <c r="K30" s="1" t="s">
        <v>1923</v>
      </c>
      <c r="L30" s="49" t="str">
        <f t="shared" si="1"/>
        <v>Cross Validation 3 is invalid.</v>
      </c>
    </row>
    <row r="31" spans="3:12" ht="15.5">
      <c r="J31" s="117" t="s">
        <v>1920</v>
      </c>
      <c r="K31" s="1" t="s">
        <v>1924</v>
      </c>
      <c r="L31" s="49" t="str">
        <f t="shared" si="1"/>
        <v>Cross Validation 4 is invalid.</v>
      </c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EE8C-84FB-1B4A-AEC8-236B48E55AA5}">
  <dimension ref="D4:N50"/>
  <sheetViews>
    <sheetView zoomScale="80" zoomScaleNormal="80" workbookViewId="0">
      <selection activeCell="F34" sqref="F34"/>
    </sheetView>
  </sheetViews>
  <sheetFormatPr defaultColWidth="11.1640625" defaultRowHeight="15.5"/>
  <cols>
    <col min="2" max="2" width="10.83203125" customWidth="1"/>
    <col min="4" max="4" width="42.5" bestFit="1" customWidth="1"/>
    <col min="5" max="5" width="21" bestFit="1" customWidth="1"/>
    <col min="7" max="8" width="13.1640625" bestFit="1" customWidth="1"/>
    <col min="9" max="9" width="11.5" bestFit="1" customWidth="1"/>
    <col min="11" max="11" width="40.58203125" bestFit="1" customWidth="1"/>
    <col min="12" max="12" width="13.33203125" bestFit="1" customWidth="1"/>
    <col min="13" max="13" width="79.83203125" bestFit="1" customWidth="1"/>
    <col min="14" max="14" width="13.83203125" bestFit="1" customWidth="1"/>
  </cols>
  <sheetData>
    <row r="4" spans="4:14">
      <c r="K4" s="9" t="s">
        <v>15</v>
      </c>
      <c r="L4" s="9" t="s">
        <v>18</v>
      </c>
      <c r="M4" s="9" t="s">
        <v>19</v>
      </c>
      <c r="N4" s="9" t="s">
        <v>20</v>
      </c>
    </row>
    <row r="5" spans="4:14">
      <c r="F5" s="1" t="s">
        <v>0</v>
      </c>
      <c r="G5" s="2"/>
      <c r="K5" s="1" t="s">
        <v>13</v>
      </c>
      <c r="L5" s="1">
        <f>input_NeedAnalysis_WealthProtectionNeed_DeathProtection_DesiredAnnualIncomeReplacement</f>
        <v>100000</v>
      </c>
      <c r="M5" s="1">
        <v>0</v>
      </c>
      <c r="N5" s="1">
        <v>9999999999</v>
      </c>
    </row>
    <row r="6" spans="4:14">
      <c r="F6" s="1" t="s">
        <v>1</v>
      </c>
      <c r="G6" s="3"/>
      <c r="K6" s="1" t="s">
        <v>14</v>
      </c>
      <c r="L6" s="1">
        <f>input_NeedAnalysis_WealthProtectionNeed_DeathProtection_DurationOfGoal</f>
        <v>20</v>
      </c>
      <c r="M6" s="1">
        <v>0</v>
      </c>
      <c r="N6" s="1">
        <v>99</v>
      </c>
    </row>
    <row r="7" spans="4:14">
      <c r="F7" s="1" t="s">
        <v>2</v>
      </c>
      <c r="G7" s="4"/>
      <c r="K7" s="1" t="s">
        <v>12</v>
      </c>
      <c r="L7" s="1">
        <f>input_NeedAnalysis_WealthProtectionNeed_DeathProtection_InflationAdjustedRateOfReturn</f>
        <v>0.01</v>
      </c>
      <c r="M7" s="1">
        <v>-0.2</v>
      </c>
      <c r="N7" s="1">
        <v>0.2</v>
      </c>
    </row>
    <row r="8" spans="4:14">
      <c r="K8" s="1" t="s">
        <v>3</v>
      </c>
      <c r="L8" s="1">
        <f>input_NeedAnalysis_WealthProtectionNeed_DeathProtection_FinalExpenses</f>
        <v>10000</v>
      </c>
      <c r="M8" s="1">
        <v>0</v>
      </c>
      <c r="N8" s="1">
        <v>9999999999</v>
      </c>
    </row>
    <row r="9" spans="4:14">
      <c r="D9" s="1" t="s">
        <v>42</v>
      </c>
      <c r="E9" s="27" t="b">
        <f>input_N_INC_selected</f>
        <v>1</v>
      </c>
      <c r="K9" s="1" t="s">
        <v>7</v>
      </c>
      <c r="L9" s="1">
        <f>input_NeedAnalysis_WealthProtectionNeed_DeathProtection_EmergencyFund</f>
        <v>30000</v>
      </c>
      <c r="M9" s="1">
        <v>0</v>
      </c>
      <c r="N9" s="1">
        <v>9999999999</v>
      </c>
    </row>
    <row r="10" spans="4:14">
      <c r="D10" s="1" t="s">
        <v>13</v>
      </c>
      <c r="E10" s="26">
        <v>100000</v>
      </c>
      <c r="K10" s="1" t="s">
        <v>8</v>
      </c>
      <c r="L10" s="1">
        <f>input_NeedAnalysis_WealthProtectionNeed_DeathProtection_MortgagePayment</f>
        <v>300000</v>
      </c>
      <c r="M10" s="1">
        <v>0</v>
      </c>
      <c r="N10" s="1">
        <v>9999999999</v>
      </c>
    </row>
    <row r="11" spans="4:14">
      <c r="D11" s="1" t="s">
        <v>14</v>
      </c>
      <c r="E11" s="2">
        <v>20</v>
      </c>
      <c r="I11" s="5"/>
      <c r="J11" s="5"/>
      <c r="K11" s="1" t="s">
        <v>9</v>
      </c>
      <c r="L11" s="1">
        <f>input_NeedAnalysis_WealthProtectionNeed_DeathProtection_PersonalDebts</f>
        <v>10000</v>
      </c>
      <c r="M11" s="1">
        <v>0</v>
      </c>
      <c r="N11" s="1">
        <v>9999999999</v>
      </c>
    </row>
    <row r="12" spans="4:14">
      <c r="D12" s="1" t="s">
        <v>12</v>
      </c>
      <c r="E12" s="2">
        <v>0.01</v>
      </c>
      <c r="I12" s="5"/>
      <c r="J12" s="5"/>
      <c r="K12" s="1" t="s">
        <v>10</v>
      </c>
      <c r="L12" s="1">
        <f>input_NeedAnalysis_WealthProtectionNeed_DeathProtection_Others</f>
        <v>10000</v>
      </c>
      <c r="M12" s="1">
        <v>0</v>
      </c>
      <c r="N12" s="1">
        <v>9999999999</v>
      </c>
    </row>
    <row r="13" spans="4:14">
      <c r="D13" s="1" t="s">
        <v>3</v>
      </c>
      <c r="E13" s="2">
        <v>10000</v>
      </c>
      <c r="I13" s="6"/>
      <c r="J13" s="6"/>
      <c r="K13" s="1" t="s">
        <v>23</v>
      </c>
      <c r="L13" s="1">
        <f>input_NeedAnalysis_WealthProtectionNeed_DeathProtection_ResourceBreakdown_ExistingInsurance</f>
        <v>10000</v>
      </c>
      <c r="M13" s="1">
        <v>0</v>
      </c>
      <c r="N13" s="1">
        <v>9999999999</v>
      </c>
    </row>
    <row r="14" spans="4:14">
      <c r="D14" s="1" t="s">
        <v>7</v>
      </c>
      <c r="E14" s="26">
        <v>30000</v>
      </c>
      <c r="I14" s="6"/>
      <c r="J14" s="6"/>
      <c r="K14" s="1" t="s">
        <v>24</v>
      </c>
      <c r="L14" s="1">
        <f>input_NeedAnalysis_WealthProtectionNeed_DeathProtection_ResourceBreakdown_ExistingAssets</f>
        <v>350000</v>
      </c>
      <c r="M14" s="1">
        <v>0</v>
      </c>
      <c r="N14" s="1">
        <v>9999999999</v>
      </c>
    </row>
    <row r="15" spans="4:14">
      <c r="D15" s="1" t="s">
        <v>8</v>
      </c>
      <c r="E15" s="26">
        <v>300000</v>
      </c>
      <c r="I15" s="6"/>
      <c r="J15" s="6"/>
      <c r="K15" s="1" t="s">
        <v>228</v>
      </c>
      <c r="L15" s="1">
        <f>input_NeedAnalysis_WealthProtectionNeed_DeathProtection_CapitalSumRequired</f>
        <v>1822600.8495933164</v>
      </c>
      <c r="M15" s="1">
        <v>0</v>
      </c>
      <c r="N15" s="1">
        <v>9999999999</v>
      </c>
    </row>
    <row r="16" spans="4:14">
      <c r="D16" s="1" t="s">
        <v>9</v>
      </c>
      <c r="E16" s="26">
        <v>10000</v>
      </c>
      <c r="I16" s="6"/>
      <c r="J16" s="6"/>
      <c r="K16" s="1" t="s">
        <v>229</v>
      </c>
      <c r="L16" s="1">
        <f>input_NeedAnalysis_WealthProtectionNeed_DeathProtection_TotalCashNeeds</f>
        <v>360000</v>
      </c>
      <c r="M16" s="1">
        <v>0</v>
      </c>
      <c r="N16" s="1">
        <v>9999999999</v>
      </c>
    </row>
    <row r="17" spans="4:14">
      <c r="D17" s="1" t="s">
        <v>10</v>
      </c>
      <c r="E17" s="26">
        <v>10000</v>
      </c>
      <c r="I17" s="6"/>
      <c r="J17" s="6"/>
      <c r="K17" s="1" t="s">
        <v>11</v>
      </c>
      <c r="L17" s="1">
        <f>input_NeedAnalysis_WealthProtectionNeed_DeathProtection_ExistingResources</f>
        <v>360000</v>
      </c>
      <c r="M17" s="1">
        <v>0</v>
      </c>
      <c r="N17" s="1">
        <v>9999999999</v>
      </c>
    </row>
    <row r="18" spans="4:14">
      <c r="D18" s="1" t="s">
        <v>23</v>
      </c>
      <c r="E18" s="26">
        <v>10000</v>
      </c>
      <c r="I18" s="6"/>
      <c r="J18" s="6"/>
      <c r="K18" s="1" t="s">
        <v>230</v>
      </c>
      <c r="L18" s="1">
        <f>input_NeedAnalysis_WealthProtectionNeed_DeathProtection_TotalShortfall</f>
        <v>1822600.8495933162</v>
      </c>
      <c r="M18" s="1">
        <v>-9999999999</v>
      </c>
      <c r="N18" s="1">
        <v>9999999999</v>
      </c>
    </row>
    <row r="19" spans="4:14">
      <c r="D19" s="1" t="s">
        <v>24</v>
      </c>
      <c r="E19" s="26">
        <v>350000</v>
      </c>
      <c r="I19" s="6"/>
      <c r="J19" s="6"/>
    </row>
    <row r="20" spans="4:14">
      <c r="D20" s="1" t="s">
        <v>228</v>
      </c>
      <c r="E20" s="26">
        <v>1822600.8495933164</v>
      </c>
      <c r="I20" s="6"/>
      <c r="J20" s="6"/>
      <c r="K20" s="9" t="s">
        <v>15</v>
      </c>
      <c r="L20" s="9" t="s">
        <v>17</v>
      </c>
      <c r="M20" s="9" t="s">
        <v>21</v>
      </c>
    </row>
    <row r="21" spans="4:14" ht="16" thickBot="1">
      <c r="D21" s="1" t="s">
        <v>229</v>
      </c>
      <c r="E21" s="26">
        <v>360000</v>
      </c>
      <c r="I21" s="7"/>
      <c r="K21" s="1" t="s">
        <v>13</v>
      </c>
      <c r="L21" s="1" t="s">
        <v>1400</v>
      </c>
      <c r="M21" s="1" t="str">
        <f>CONCATENATE("Please enter ",K21," ","between ",'Death Protection'!M5," and ",'Death Protection'!N5,".")</f>
        <v>Please enter Desired Annual Income Replacement between 0 and 9999999999.</v>
      </c>
    </row>
    <row r="22" spans="4:14">
      <c r="D22" s="1" t="s">
        <v>11</v>
      </c>
      <c r="E22" s="26">
        <v>360000</v>
      </c>
      <c r="G22" s="10" t="s">
        <v>22</v>
      </c>
      <c r="H22" s="11" t="b">
        <f>IF(NOT(E9),TRUE,IF(COUNTIF('Death Protection'!M37:M50,FALSE)=0,TRUE,VLOOKUP(FALSE,'Death Protection'!$M$37:$N$50,2,0)))</f>
        <v>1</v>
      </c>
      <c r="I22" s="8"/>
      <c r="K22" s="1" t="s">
        <v>14</v>
      </c>
      <c r="L22" s="1" t="s">
        <v>1401</v>
      </c>
      <c r="M22" s="1" t="str">
        <f>CONCATENATE("Please enter ",K22," ","between ",'Death Protection'!M6," and ",'Death Protection'!N6,".")</f>
        <v>Please enter Number Of Years Needed between 0 and 99.</v>
      </c>
    </row>
    <row r="23" spans="4:14" ht="16" thickBot="1">
      <c r="D23" s="1" t="s">
        <v>230</v>
      </c>
      <c r="E23" s="26">
        <v>1822600.8495933162</v>
      </c>
      <c r="G23" s="12" t="s">
        <v>21</v>
      </c>
      <c r="H23" s="52" t="str">
        <f>IF(output_NeedAnalysis_WealthProtectionNeed_DeathProtection_Validation=TRUE,"",VLOOKUP(output_NeedAnalysis_WealthProtectionNeed_DeathProtection_Validation,'Death Protection'!$L21:M34,2,0))</f>
        <v/>
      </c>
      <c r="I23" s="8"/>
      <c r="K23" s="1" t="s">
        <v>6</v>
      </c>
      <c r="L23" s="1" t="s">
        <v>1402</v>
      </c>
      <c r="M23" s="1" t="str">
        <f>CONCATENATE("Please enter ",K23," ","between ",'Death Protection'!M7," and ",'Death Protection'!N7,".")</f>
        <v>Please enter Total Existing Life Coverage between -0.2 and 0.2.</v>
      </c>
    </row>
    <row r="24" spans="4:14">
      <c r="D24" s="1" t="s">
        <v>1293</v>
      </c>
      <c r="E24" s="26" t="b">
        <v>1</v>
      </c>
      <c r="K24" s="1" t="s">
        <v>7</v>
      </c>
      <c r="L24" s="1" t="s">
        <v>1403</v>
      </c>
      <c r="M24" s="1" t="str">
        <f>CONCATENATE("Please enter ",K24," ","between ",'Death Protection'!M8," and ",'Death Protection'!N8,".")</f>
        <v>Please enter Emergency Fund between 0 and 9999999999.</v>
      </c>
    </row>
    <row r="25" spans="4:14">
      <c r="D25" s="1" t="s">
        <v>1294</v>
      </c>
      <c r="E25" s="26" t="b">
        <v>1</v>
      </c>
      <c r="K25" s="1" t="s">
        <v>8</v>
      </c>
      <c r="L25" s="1" t="s">
        <v>1404</v>
      </c>
      <c r="M25" s="1" t="str">
        <f>CONCATENATE("Please enter ",K25," ","between ",'Death Protection'!M9," and ",'Death Protection'!N9,".")</f>
        <v>Please enter Mortgage Payment between 0 and 9999999999.</v>
      </c>
    </row>
    <row r="26" spans="4:14">
      <c r="D26" s="1" t="s">
        <v>1295</v>
      </c>
      <c r="E26" s="26" t="b">
        <v>1</v>
      </c>
      <c r="K26" s="1" t="s">
        <v>9</v>
      </c>
      <c r="L26" s="1" t="s">
        <v>1405</v>
      </c>
      <c r="M26" s="1" t="str">
        <f>CONCATENATE("Please enter ",K26," ","between ",'Death Protection'!M10," and ",'Death Protection'!N10,".")</f>
        <v>Please enter Personal Debts between 0 and 9999999999.</v>
      </c>
    </row>
    <row r="27" spans="4:14">
      <c r="K27" s="1" t="s">
        <v>5</v>
      </c>
      <c r="L27" s="1" t="s">
        <v>1406</v>
      </c>
      <c r="M27" s="1" t="str">
        <f>CONCATENATE("Please enter ",K27," ","between ",'Death Protection'!M11," and ",'Death Protection'!N11,".")</f>
        <v>Please enter Total Liabilities between 0 and 9999999999.</v>
      </c>
    </row>
    <row r="28" spans="4:14">
      <c r="K28" s="1" t="s">
        <v>10</v>
      </c>
      <c r="L28" s="1" t="s">
        <v>1407</v>
      </c>
      <c r="M28" s="1" t="str">
        <f>CONCATENATE("Please enter ",K28," ","between ",'Death Protection'!M12," and ",'Death Protection'!N12,".")</f>
        <v>Please enter Others between 0 and 9999999999.</v>
      </c>
    </row>
    <row r="29" spans="4:14">
      <c r="K29" s="1" t="s">
        <v>11</v>
      </c>
      <c r="L29" s="1" t="s">
        <v>1408</v>
      </c>
      <c r="M29" s="1" t="str">
        <f>CONCATENATE("Please enter ",K29," ","between ",'Death Protection'!M13," and ",'Death Protection'!N13,".")</f>
        <v>Please enter Existing Resources between 0 and 9999999999.</v>
      </c>
    </row>
    <row r="30" spans="4:14">
      <c r="K30" s="1" t="s">
        <v>24</v>
      </c>
      <c r="L30" s="1" t="s">
        <v>1409</v>
      </c>
      <c r="M30" s="1" t="str">
        <f>CONCATENATE("Please enter ",K30," ","between ",'Death Protection'!M14," and ",'Death Protection'!N14,".")</f>
        <v>Please enter Existing Assets between 0 and 9999999999.</v>
      </c>
    </row>
    <row r="31" spans="4:14">
      <c r="K31" s="1" t="s">
        <v>228</v>
      </c>
      <c r="L31" s="1" t="s">
        <v>1410</v>
      </c>
      <c r="M31" s="1" t="str">
        <f>CONCATENATE("Please enter ",K31," ","between ",'Death Protection'!M15," and ",'Death Protection'!N15,".")</f>
        <v>Please enter Lump Sum Dependents Expenses Needed between 0 and 9999999999.</v>
      </c>
    </row>
    <row r="32" spans="4:14">
      <c r="K32" s="1" t="s">
        <v>229</v>
      </c>
      <c r="L32" s="1" t="s">
        <v>1411</v>
      </c>
      <c r="M32" s="1" t="str">
        <f>CONCATENATE("Please enter ",K32," ","between ",'Death Protection'!M16," and ",'Death Protection'!N16,".")</f>
        <v>Please enter Total Cash Needs between 0 and 9999999999.</v>
      </c>
    </row>
    <row r="33" spans="11:14">
      <c r="K33" s="1" t="s">
        <v>11</v>
      </c>
      <c r="L33" s="1" t="s">
        <v>1412</v>
      </c>
      <c r="M33" s="1" t="str">
        <f>CONCATENATE("Please enter ",K33," ","between ",'Death Protection'!M17," and ",'Death Protection'!N17,".")</f>
        <v>Please enter Existing Resources between 0 and 9999999999.</v>
      </c>
    </row>
    <row r="34" spans="11:14">
      <c r="K34" s="1" t="s">
        <v>230</v>
      </c>
      <c r="L34" s="1" t="s">
        <v>1413</v>
      </c>
      <c r="M34" s="1" t="str">
        <f>CONCATENATE("Please enter ",K34," ","between ",'Death Protection'!M18," and ",'Death Protection'!N18,".")</f>
        <v>Please enter Life Protection Gap  between -9999999999 and 9999999999.</v>
      </c>
    </row>
    <row r="36" spans="11:14">
      <c r="K36" s="9" t="s">
        <v>15</v>
      </c>
      <c r="L36" s="9" t="s">
        <v>4</v>
      </c>
      <c r="M36" s="9" t="s">
        <v>16</v>
      </c>
      <c r="N36" s="9" t="s">
        <v>17</v>
      </c>
    </row>
    <row r="37" spans="11:14">
      <c r="K37" s="1" t="s">
        <v>13</v>
      </c>
      <c r="L37" s="1">
        <f>input_NeedAnalysis_WealthProtectionNeed_DeathProtection_DesiredAnnualIncomeReplacement</f>
        <v>100000</v>
      </c>
      <c r="M37" s="1" t="b">
        <f>IF(OR(L37&lt;'Death Protection'!M5,L37&gt;'Death Protection'!N5),FALSE,TRUE)</f>
        <v>1</v>
      </c>
      <c r="N37" s="53" t="str">
        <f>IF(M37=FALSE,VLOOKUP(K37,'Death Protection'!$K$21:$M$34,2,0),"")</f>
        <v/>
      </c>
    </row>
    <row r="38" spans="11:14">
      <c r="K38" s="1" t="s">
        <v>14</v>
      </c>
      <c r="L38" s="1">
        <f>input_NeedAnalysis_WealthProtectionNeed_DeathProtection_DurationOfGoal</f>
        <v>20</v>
      </c>
      <c r="M38" s="1" t="b">
        <f>IF(OR(L38&lt;'Death Protection'!M6,L38&gt;'Death Protection'!N6),FALSE,TRUE)</f>
        <v>1</v>
      </c>
      <c r="N38" s="53" t="str">
        <f>IF(M38=FALSE,VLOOKUP(K38,'Death Protection'!$K$21:$M$34,2,0),"")</f>
        <v/>
      </c>
    </row>
    <row r="39" spans="11:14">
      <c r="K39" s="1" t="s">
        <v>12</v>
      </c>
      <c r="L39" s="1">
        <f>input_NeedAnalysis_WealthProtectionNeed_DeathProtection_InflationAdjustedRateOfReturn</f>
        <v>0.01</v>
      </c>
      <c r="M39" s="1" t="b">
        <f>IF(OR(L39&lt;'Death Protection'!M7,L39&gt;'Death Protection'!N7),FALSE,TRUE)</f>
        <v>1</v>
      </c>
      <c r="N39" s="53" t="str">
        <f>IF(M39=FALSE,VLOOKUP(K39,'Death Protection'!$K$21:$M$34,2,0),"")</f>
        <v/>
      </c>
    </row>
    <row r="40" spans="11:14">
      <c r="K40" s="1" t="s">
        <v>3</v>
      </c>
      <c r="L40" s="1">
        <f>input_NeedAnalysis_WealthProtectionNeed_DeathProtection_FinalExpenses</f>
        <v>10000</v>
      </c>
      <c r="M40" s="1" t="b">
        <f>IF(OR(L40&lt;'Death Protection'!M8,L40&gt;'Death Protection'!N8),FALSE,TRUE)</f>
        <v>1</v>
      </c>
      <c r="N40" s="53" t="str">
        <f>IF(M40=FALSE,VLOOKUP(K40,'Death Protection'!$K$21:$M$34,2,0),"")</f>
        <v/>
      </c>
    </row>
    <row r="41" spans="11:14">
      <c r="K41" s="1" t="s">
        <v>7</v>
      </c>
      <c r="L41" s="1">
        <f>input_NeedAnalysis_WealthProtectionNeed_DeathProtection_EmergencyFund</f>
        <v>30000</v>
      </c>
      <c r="M41" s="1" t="b">
        <f>IF(OR(L41&lt;'Death Protection'!M9,L41&gt;'Death Protection'!N9),FALSE,TRUE)</f>
        <v>1</v>
      </c>
      <c r="N41" s="53" t="str">
        <f>IF(M41=FALSE,VLOOKUP(K41,'Death Protection'!$K$21:$M$34,2,0),"")</f>
        <v/>
      </c>
    </row>
    <row r="42" spans="11:14">
      <c r="K42" s="1" t="s">
        <v>8</v>
      </c>
      <c r="L42" s="1">
        <f>input_NeedAnalysis_WealthProtectionNeed_DeathProtection_MortgagePayment</f>
        <v>300000</v>
      </c>
      <c r="M42" s="1" t="b">
        <f>IF(OR(L42&lt;'Death Protection'!M10,L42&gt;'Death Protection'!N10),FALSE,TRUE)</f>
        <v>1</v>
      </c>
      <c r="N42" s="53" t="str">
        <f>IF(M42=FALSE,VLOOKUP(K42,'Death Protection'!$K$21:$M$34,2,0),"")</f>
        <v/>
      </c>
    </row>
    <row r="43" spans="11:14">
      <c r="K43" s="1" t="s">
        <v>9</v>
      </c>
      <c r="L43" s="1">
        <f>input_NeedAnalysis_WealthProtectionNeed_DeathProtection_PersonalDebts</f>
        <v>10000</v>
      </c>
      <c r="M43" s="1" t="b">
        <f>IF(OR(L43&lt;'Death Protection'!M11,L43&gt;'Death Protection'!N11),FALSE,TRUE)</f>
        <v>1</v>
      </c>
      <c r="N43" s="53" t="str">
        <f>IF(M43=FALSE,VLOOKUP(K43,'Death Protection'!$K$21:$M$34,2,0),"")</f>
        <v/>
      </c>
    </row>
    <row r="44" spans="11:14">
      <c r="K44" s="1" t="s">
        <v>10</v>
      </c>
      <c r="L44" s="1">
        <f>input_NeedAnalysis_WealthProtectionNeed_DeathProtection_Others</f>
        <v>10000</v>
      </c>
      <c r="M44" s="1" t="b">
        <f>IF(OR(L44&lt;'Death Protection'!M12,L44&gt;'Death Protection'!N12),FALSE,TRUE)</f>
        <v>1</v>
      </c>
      <c r="N44" s="53" t="str">
        <f>IF(M44=FALSE,VLOOKUP(K44,'Death Protection'!$K$21:$M$34,2,0),"")</f>
        <v/>
      </c>
    </row>
    <row r="45" spans="11:14">
      <c r="K45" s="1" t="s">
        <v>23</v>
      </c>
      <c r="L45" s="1">
        <f>input_NeedAnalysis_WealthProtectionNeed_DeathProtection_ResourceBreakdown_ExistingInsurance</f>
        <v>10000</v>
      </c>
      <c r="M45" s="1" t="b">
        <f>IF(OR(L45&lt;'Death Protection'!M13,L45&gt;'Death Protection'!N13),FALSE,TRUE)</f>
        <v>1</v>
      </c>
      <c r="N45" s="53" t="str">
        <f>IF(M45=FALSE,VLOOKUP(K45,'Death Protection'!$K$21:$M$34,2,0),"")</f>
        <v/>
      </c>
    </row>
    <row r="46" spans="11:14">
      <c r="K46" s="1" t="s">
        <v>24</v>
      </c>
      <c r="L46" s="1">
        <f>input_NeedAnalysis_WealthProtectionNeed_DeathProtection_ResourceBreakdown_ExistingAssets</f>
        <v>350000</v>
      </c>
      <c r="M46" s="1" t="b">
        <f>IF(OR(L46&lt;'Death Protection'!M14,L46&gt;'Death Protection'!N14),FALSE,TRUE)</f>
        <v>1</v>
      </c>
      <c r="N46" s="53" t="str">
        <f>IF(M46=FALSE,VLOOKUP(K46,'Death Protection'!$K$21:$M$34,2,0),"")</f>
        <v/>
      </c>
    </row>
    <row r="47" spans="11:14">
      <c r="K47" s="1" t="s">
        <v>228</v>
      </c>
      <c r="L47" s="1">
        <f>input_NeedAnalysis_WealthProtectionNeed_DeathProtection_CapitalSumRequired</f>
        <v>1822600.8495933164</v>
      </c>
      <c r="M47" s="1" t="b">
        <f>IF(OR(L47&lt;'Death Protection'!M15,L47&gt;'Death Protection'!N15),FALSE,TRUE)</f>
        <v>1</v>
      </c>
      <c r="N47" s="53" t="str">
        <f>IF(M47=FALSE,VLOOKUP(K47,'Death Protection'!$K$21:$M$34,2,0),"")</f>
        <v/>
      </c>
    </row>
    <row r="48" spans="11:14">
      <c r="K48" s="1" t="s">
        <v>229</v>
      </c>
      <c r="L48" s="1">
        <f>input_NeedAnalysis_WealthProtectionNeed_DeathProtection_TotalCashNeeds</f>
        <v>360000</v>
      </c>
      <c r="M48" s="1" t="b">
        <f>IF(OR(L48&lt;'Death Protection'!M16,L48&gt;'Death Protection'!N16),FALSE,TRUE)</f>
        <v>1</v>
      </c>
      <c r="N48" s="53" t="str">
        <f>IF(M48=FALSE,VLOOKUP(K48,'Death Protection'!$K$21:$M$34,2,0),"")</f>
        <v/>
      </c>
    </row>
    <row r="49" spans="11:14">
      <c r="K49" s="1" t="s">
        <v>11</v>
      </c>
      <c r="L49" s="1">
        <f>input_NeedAnalysis_WealthProtectionNeed_DeathProtection_ExistingResources</f>
        <v>360000</v>
      </c>
      <c r="M49" s="1" t="b">
        <f>IF(OR(L49&lt;'Death Protection'!M17,L49&gt;'Death Protection'!N17),FALSE,TRUE)</f>
        <v>1</v>
      </c>
      <c r="N49" s="53" t="str">
        <f>IF(M49=FALSE,VLOOKUP(K49,'Death Protection'!$K$21:$M$34,2,0),"")</f>
        <v/>
      </c>
    </row>
    <row r="50" spans="11:14">
      <c r="K50" s="1" t="s">
        <v>230</v>
      </c>
      <c r="L50" s="1">
        <f>input_NeedAnalysis_WealthProtectionNeed_DeathProtection_TotalShortfall</f>
        <v>1822600.8495933162</v>
      </c>
      <c r="M50" s="1" t="b">
        <f>IF(OR(L50&lt;'Death Protection'!M18,L50&gt;'Death Protection'!N18),FALSE,TRUE)</f>
        <v>1</v>
      </c>
      <c r="N50" s="53" t="str">
        <f>IF(M50=FALSE,VLOOKUP(K50,'Death Protection'!$K$21:$M$34,2,0),"")</f>
        <v/>
      </c>
    </row>
  </sheetData>
  <phoneticPr fontId="2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8886-1497-4FE5-A5DD-3EBF7CFC721A}">
  <dimension ref="C1:L19"/>
  <sheetViews>
    <sheetView zoomScale="80" zoomScaleNormal="80" workbookViewId="0">
      <selection activeCell="G16" sqref="G16"/>
    </sheetView>
  </sheetViews>
  <sheetFormatPr defaultColWidth="8.6640625" defaultRowHeight="14.5"/>
  <cols>
    <col min="1" max="2" width="8.6640625" style="39"/>
    <col min="3" max="3" width="61.6640625" style="39" bestFit="1" customWidth="1"/>
    <col min="4" max="4" width="28" style="39" bestFit="1" customWidth="1"/>
    <col min="5" max="5" width="8.6640625" style="39"/>
    <col min="6" max="6" width="13.33203125" style="39" bestFit="1" customWidth="1"/>
    <col min="7" max="9" width="8.6640625" style="39"/>
    <col min="10" max="10" width="57.1640625" style="39" bestFit="1" customWidth="1"/>
    <col min="11" max="11" width="8.6640625" style="39"/>
    <col min="12" max="12" width="64.1640625" style="39" bestFit="1" customWidth="1"/>
    <col min="13" max="16384" width="8.6640625" style="39"/>
  </cols>
  <sheetData>
    <row r="1" spans="3:12">
      <c r="D1" s="40" t="s">
        <v>4</v>
      </c>
    </row>
    <row r="2" spans="3:12">
      <c r="D2" s="41" t="s">
        <v>2</v>
      </c>
    </row>
    <row r="3" spans="3:12">
      <c r="D3" s="42" t="s">
        <v>36</v>
      </c>
      <c r="J3" s="47" t="s">
        <v>15</v>
      </c>
      <c r="K3" s="47" t="s">
        <v>52</v>
      </c>
      <c r="L3" s="9" t="s">
        <v>17</v>
      </c>
    </row>
    <row r="4" spans="3:12" ht="15.5">
      <c r="J4" s="97" t="s">
        <v>1564</v>
      </c>
      <c r="K4" s="49" t="b">
        <f>IF(input_CKA_EducationQualification_IsSelected="",FALSE,TRUE)</f>
        <v>1</v>
      </c>
      <c r="L4" s="53" t="str">
        <f>IF(K4=FALSE,VLOOKUP(J4,$J$13:$K$19,2,0),"")</f>
        <v/>
      </c>
    </row>
    <row r="5" spans="3:12" ht="15.5">
      <c r="J5" s="49" t="s">
        <v>130</v>
      </c>
      <c r="K5" s="49" t="b">
        <f>IF(input_CKA_EducationQualification_Selection="",FALSE,TRUE)</f>
        <v>1</v>
      </c>
      <c r="L5" s="53" t="str">
        <f t="shared" ref="L5:L10" si="0">IF(K5=FALSE,VLOOKUP(J5,$J$13:$K$19,2,0),"")</f>
        <v/>
      </c>
    </row>
    <row r="6" spans="3:12" ht="15.5">
      <c r="J6" s="97" t="s">
        <v>1565</v>
      </c>
      <c r="K6" s="49" t="b">
        <f>IF(input_CKA_WorkExperience_IsSelected="",FALSE,TRUE)</f>
        <v>1</v>
      </c>
      <c r="L6" s="53" t="str">
        <f t="shared" si="0"/>
        <v/>
      </c>
    </row>
    <row r="7" spans="3:12" ht="15.5">
      <c r="C7" s="24" t="s">
        <v>42</v>
      </c>
      <c r="D7" s="4" t="b">
        <f>'Validation Input Received'!$D$18</f>
        <v>0</v>
      </c>
      <c r="J7" s="49" t="s">
        <v>130</v>
      </c>
      <c r="K7" s="49" t="b">
        <f>IF(input_CKA_WorkExperience_Selection="",FALSE,TRUE)</f>
        <v>1</v>
      </c>
      <c r="L7" s="53" t="str">
        <f t="shared" si="0"/>
        <v/>
      </c>
    </row>
    <row r="8" spans="3:12" ht="15.5">
      <c r="C8" s="97" t="s">
        <v>1564</v>
      </c>
      <c r="D8" s="71" t="b">
        <v>1</v>
      </c>
      <c r="J8" s="97" t="s">
        <v>1566</v>
      </c>
      <c r="K8" s="49" t="b">
        <f>IF(input_CKA_InvestmentExperience_IsSelected="",FALSE,TRUE)</f>
        <v>1</v>
      </c>
      <c r="L8" s="53" t="str">
        <f t="shared" si="0"/>
        <v/>
      </c>
    </row>
    <row r="9" spans="3:12" ht="15.5">
      <c r="C9" s="49" t="s">
        <v>130</v>
      </c>
      <c r="D9" s="72" t="s">
        <v>131</v>
      </c>
      <c r="J9" s="49" t="s">
        <v>130</v>
      </c>
      <c r="K9" s="49" t="b">
        <f>IF(input_CKA_InvestmentExperience_Selection="",FALSE,TRUE)</f>
        <v>1</v>
      </c>
      <c r="L9" s="53" t="str">
        <f t="shared" si="0"/>
        <v/>
      </c>
    </row>
    <row r="10" spans="3:12" ht="15.5">
      <c r="C10" s="97" t="s">
        <v>1565</v>
      </c>
      <c r="D10" s="71" t="b">
        <v>1</v>
      </c>
      <c r="J10" s="68" t="s">
        <v>221</v>
      </c>
      <c r="K10" s="49" t="b">
        <f>IF(input_CKA_ResultDescription="",FALSE,TRUE)</f>
        <v>1</v>
      </c>
      <c r="L10" s="53" t="str">
        <f t="shared" si="0"/>
        <v/>
      </c>
    </row>
    <row r="11" spans="3:12">
      <c r="C11" s="49" t="s">
        <v>130</v>
      </c>
      <c r="D11" s="71" t="s">
        <v>132</v>
      </c>
    </row>
    <row r="12" spans="3:12">
      <c r="C12" s="97" t="s">
        <v>1566</v>
      </c>
      <c r="D12" s="71" t="b">
        <v>1</v>
      </c>
      <c r="J12" s="47" t="s">
        <v>15</v>
      </c>
      <c r="K12" s="9" t="s">
        <v>17</v>
      </c>
      <c r="L12" s="47" t="s">
        <v>53</v>
      </c>
    </row>
    <row r="13" spans="3:12" ht="15.5">
      <c r="C13" s="49" t="s">
        <v>130</v>
      </c>
      <c r="D13" s="71" t="s">
        <v>131</v>
      </c>
      <c r="J13" s="97" t="s">
        <v>1564</v>
      </c>
      <c r="K13" s="1" t="s">
        <v>1524</v>
      </c>
      <c r="L13" s="49" t="str">
        <f>CONCATENATE(J13," is invalid")</f>
        <v>Education Qualification is invalid</v>
      </c>
    </row>
    <row r="14" spans="3:12" ht="16" thickBot="1">
      <c r="C14" s="68" t="s">
        <v>221</v>
      </c>
      <c r="D14" s="71" t="s">
        <v>249</v>
      </c>
      <c r="J14" s="49" t="s">
        <v>130</v>
      </c>
      <c r="K14" s="1" t="s">
        <v>1525</v>
      </c>
      <c r="L14" s="49" t="str">
        <f t="shared" ref="L14:L19" si="1">CONCATENATE(J14," is invalid")</f>
        <v>If yes, please select accordingly is invalid</v>
      </c>
    </row>
    <row r="15" spans="3:12" ht="15.5">
      <c r="F15" s="10" t="s">
        <v>22</v>
      </c>
      <c r="G15" s="15" t="b">
        <f>IF(NOT(D7),TRUE,IF(COUNTIF(K13:K19,FALSE)=0,TRUE,VLOOKUP(FALSE,K13:L19,2,0)))</f>
        <v>1</v>
      </c>
      <c r="J15" s="97" t="s">
        <v>1565</v>
      </c>
      <c r="K15" s="1" t="s">
        <v>1526</v>
      </c>
      <c r="L15" s="49" t="str">
        <f t="shared" si="1"/>
        <v>Work Experience is invalid</v>
      </c>
    </row>
    <row r="16" spans="3:12" ht="16" thickBot="1">
      <c r="F16" s="12" t="s">
        <v>21</v>
      </c>
      <c r="G16" s="14" t="str">
        <f>IF(G15=TRUE,"",VLOOKUP(G15,K4:L10,2,0))</f>
        <v/>
      </c>
      <c r="J16" s="49" t="s">
        <v>130</v>
      </c>
      <c r="K16" s="1" t="s">
        <v>1527</v>
      </c>
      <c r="L16" s="49" t="str">
        <f t="shared" si="1"/>
        <v>If yes, please select accordingly is invalid</v>
      </c>
    </row>
    <row r="17" spans="10:12" ht="15.5">
      <c r="J17" s="97" t="s">
        <v>1566</v>
      </c>
      <c r="K17" s="1" t="s">
        <v>1528</v>
      </c>
      <c r="L17" s="49" t="str">
        <f t="shared" si="1"/>
        <v>Investment Experience is invalid</v>
      </c>
    </row>
    <row r="18" spans="10:12" ht="15.5">
      <c r="J18" s="49" t="s">
        <v>130</v>
      </c>
      <c r="K18" s="1" t="s">
        <v>1529</v>
      </c>
      <c r="L18" s="49" t="str">
        <f t="shared" si="1"/>
        <v>If yes, please select accordingly is invalid</v>
      </c>
    </row>
    <row r="19" spans="10:12" ht="15.5">
      <c r="J19" s="68" t="s">
        <v>221</v>
      </c>
      <c r="K19" s="1" t="s">
        <v>1530</v>
      </c>
      <c r="L19" s="49" t="str">
        <f t="shared" si="1"/>
        <v>Customer Knowledge Assessment is invalid</v>
      </c>
    </row>
  </sheetData>
  <phoneticPr fontId="29" type="noConversion"/>
  <dataValidations count="1">
    <dataValidation type="list" allowBlank="1" showInputMessage="1" showErrorMessage="1" sqref="D12 D8 D10" xr:uid="{573E2E8F-5ED4-4399-B5E6-E80FB5DED747}">
      <formula1>"TRUE,FALSE"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6F1E-F6D0-BA4B-A044-88863702A8F7}">
  <dimension ref="B1:I20"/>
  <sheetViews>
    <sheetView zoomScale="67" zoomScaleNormal="100" workbookViewId="0">
      <selection activeCell="I5" sqref="I5"/>
    </sheetView>
  </sheetViews>
  <sheetFormatPr defaultColWidth="8.6640625" defaultRowHeight="14.5"/>
  <cols>
    <col min="1" max="1" width="8.6640625" style="29"/>
    <col min="2" max="2" width="20.83203125" style="29" bestFit="1" customWidth="1"/>
    <col min="3" max="3" width="35.33203125" style="29" bestFit="1" customWidth="1"/>
    <col min="4" max="7" width="8.6640625" style="29"/>
    <col min="8" max="8" width="16" style="29" bestFit="1" customWidth="1"/>
    <col min="9" max="16384" width="8.6640625" style="29"/>
  </cols>
  <sheetData>
    <row r="1" spans="2:9">
      <c r="C1" s="28" t="s">
        <v>4</v>
      </c>
    </row>
    <row r="2" spans="2:9">
      <c r="C2" s="30" t="s">
        <v>2</v>
      </c>
    </row>
    <row r="3" spans="2:9">
      <c r="C3" s="31" t="s">
        <v>36</v>
      </c>
    </row>
    <row r="4" spans="2:9" ht="15" thickBot="1"/>
    <row r="5" spans="2:9" ht="15.5">
      <c r="C5" s="73" t="s">
        <v>42</v>
      </c>
      <c r="D5" s="4" t="b">
        <f>'Validation Input Received'!$D$20</f>
        <v>1</v>
      </c>
      <c r="H5" s="89" t="s">
        <v>52</v>
      </c>
      <c r="I5" s="15" t="b">
        <f>IF(AND(input_HopesAndDreams_Protection_DeathProtection="",input_HopesAndDreams_Protection_CriticalIllnessProtection="",input_HopesAndDreams_Protection_TotalPermanentDisabilityProtection="",input_HopesAndDreams_Protection_HospitalProtection="",input_HopesAndDreams_Protection_LongTermCareProtection="",input_HopesAndDreams_Protection_PersonalAccidentProtection="",input_HopesAndDreams_Protection_FractureNeedProtection="",input_HopesAndDreams_Protection_WaiverOfPremium="",input_HopesAndDreams_Protection_LossOfIncomeProtection="",input_HopesAndDreams_Protection_GenderRelatedIllnessProtection="",input_HopesAndDreams_Accumulation_RetirementAccumulation="",input_HopesAndDreams_Accumulation_SavingsAccumulation=""),FALSE,TRUE)</f>
        <v>1</v>
      </c>
    </row>
    <row r="6" spans="2:9" ht="16" thickBot="1">
      <c r="D6" s="57"/>
      <c r="H6" s="90" t="s">
        <v>53</v>
      </c>
      <c r="I6" s="14" t="str">
        <f>IF(I5=FALSE,"Please select atleast 1 financial goal","")</f>
        <v/>
      </c>
    </row>
    <row r="7" spans="2:9">
      <c r="B7" s="32" t="s">
        <v>51</v>
      </c>
      <c r="C7" s="29" t="s">
        <v>54</v>
      </c>
      <c r="D7" s="28" t="b">
        <v>1</v>
      </c>
    </row>
    <row r="8" spans="2:9">
      <c r="C8" s="29" t="s">
        <v>55</v>
      </c>
      <c r="D8" s="28" t="b">
        <v>1</v>
      </c>
    </row>
    <row r="9" spans="2:9">
      <c r="C9" s="29" t="s">
        <v>57</v>
      </c>
      <c r="D9" s="28" t="b">
        <v>1</v>
      </c>
    </row>
    <row r="10" spans="2:9">
      <c r="C10" s="29" t="s">
        <v>58</v>
      </c>
      <c r="D10" s="28" t="b">
        <v>1</v>
      </c>
    </row>
    <row r="11" spans="2:9">
      <c r="C11" s="29" t="s">
        <v>59</v>
      </c>
      <c r="D11" s="28" t="b">
        <v>1</v>
      </c>
    </row>
    <row r="12" spans="2:9">
      <c r="C12" s="57" t="s">
        <v>111</v>
      </c>
      <c r="D12" s="28" t="b">
        <v>1</v>
      </c>
    </row>
    <row r="13" spans="2:9">
      <c r="C13" s="29" t="s">
        <v>61</v>
      </c>
      <c r="D13" s="28" t="b">
        <v>1</v>
      </c>
    </row>
    <row r="14" spans="2:9">
      <c r="C14" s="57" t="s">
        <v>217</v>
      </c>
      <c r="D14" s="28" t="b">
        <v>1</v>
      </c>
    </row>
    <row r="15" spans="2:9">
      <c r="C15" s="29" t="s">
        <v>60</v>
      </c>
      <c r="D15" s="28" t="b">
        <v>1</v>
      </c>
    </row>
    <row r="16" spans="2:9">
      <c r="C16" s="29" t="s">
        <v>62</v>
      </c>
      <c r="D16" s="28" t="b">
        <v>1</v>
      </c>
    </row>
    <row r="17" spans="2:4">
      <c r="B17" s="32" t="s">
        <v>56</v>
      </c>
      <c r="C17" s="29" t="s">
        <v>63</v>
      </c>
      <c r="D17" s="28" t="b">
        <v>1</v>
      </c>
    </row>
    <row r="18" spans="2:4">
      <c r="C18" s="29" t="s">
        <v>64</v>
      </c>
      <c r="D18" s="28" t="b">
        <v>1</v>
      </c>
    </row>
    <row r="19" spans="2:4">
      <c r="C19" s="29" t="s">
        <v>65</v>
      </c>
      <c r="D19" s="76" t="s">
        <v>1283</v>
      </c>
    </row>
    <row r="20" spans="2:4">
      <c r="C20" s="29" t="s">
        <v>66</v>
      </c>
      <c r="D20" s="76" t="s">
        <v>1283</v>
      </c>
    </row>
  </sheetData>
  <phoneticPr fontId="29" type="noConversion"/>
  <dataValidations count="1">
    <dataValidation type="list" allowBlank="1" showInputMessage="1" showErrorMessage="1" sqref="D7:D18" xr:uid="{20F244E6-D2C9-44DB-A959-19F949A0419A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4B354-0EB0-4EDE-8842-593D326A7768}">
  <dimension ref="D4:L35"/>
  <sheetViews>
    <sheetView topLeftCell="B1" zoomScale="70" zoomScaleNormal="70" workbookViewId="0">
      <selection activeCell="E19" sqref="E19"/>
    </sheetView>
  </sheetViews>
  <sheetFormatPr defaultColWidth="11.1640625" defaultRowHeight="15.5"/>
  <cols>
    <col min="2" max="2" width="10.83203125" customWidth="1"/>
    <col min="4" max="4" width="35.5" bestFit="1" customWidth="1"/>
    <col min="5" max="5" width="21" bestFit="1" customWidth="1"/>
    <col min="7" max="8" width="13.1640625" bestFit="1" customWidth="1"/>
    <col min="9" max="9" width="35.08203125" bestFit="1" customWidth="1"/>
    <col min="10" max="10" width="9.33203125" bestFit="1" customWidth="1"/>
    <col min="11" max="11" width="69.83203125" bestFit="1" customWidth="1"/>
    <col min="12" max="12" width="13.83203125" bestFit="1" customWidth="1"/>
  </cols>
  <sheetData>
    <row r="4" spans="4:12">
      <c r="I4" s="9" t="s">
        <v>15</v>
      </c>
      <c r="J4" s="9" t="s">
        <v>18</v>
      </c>
      <c r="K4" s="9" t="s">
        <v>19</v>
      </c>
      <c r="L4" s="9" t="s">
        <v>20</v>
      </c>
    </row>
    <row r="5" spans="4:12">
      <c r="F5" s="1" t="s">
        <v>0</v>
      </c>
      <c r="G5" s="2"/>
      <c r="I5" s="1" t="s">
        <v>3</v>
      </c>
      <c r="J5" s="1">
        <f>input_NeedAnalysis_WealthProtectionNeed_DependentDeathProtection_FinalExpenses</f>
        <v>450000</v>
      </c>
      <c r="K5" s="1">
        <v>0</v>
      </c>
      <c r="L5" s="1">
        <v>9999999999</v>
      </c>
    </row>
    <row r="6" spans="4:12">
      <c r="F6" s="1" t="s">
        <v>1</v>
      </c>
      <c r="G6" s="3"/>
      <c r="I6" s="1" t="s">
        <v>245</v>
      </c>
      <c r="J6" s="1">
        <f>input_NeedAnalysis_WealthProtectionNeed_DependentDeathProtection_Loans</f>
        <v>20000</v>
      </c>
      <c r="K6" s="1">
        <v>0</v>
      </c>
      <c r="L6" s="1">
        <v>9999999999</v>
      </c>
    </row>
    <row r="7" spans="4:12">
      <c r="F7" s="1" t="s">
        <v>2</v>
      </c>
      <c r="G7" s="4"/>
      <c r="I7" s="1" t="s">
        <v>10</v>
      </c>
      <c r="J7" s="1">
        <f>input_NeedAnalysis_WealthProtectionNeed_DependentDeathProtection_Others</f>
        <v>20000</v>
      </c>
      <c r="K7" s="1">
        <v>0</v>
      </c>
      <c r="L7" s="1">
        <v>9999999999</v>
      </c>
    </row>
    <row r="8" spans="4:12">
      <c r="I8" s="1" t="s">
        <v>23</v>
      </c>
      <c r="J8" s="1">
        <f>input_NeedAnalysis_WealthProtectionNeed_DependentDeathProtection_ResourceBreakdown_ExistingInsurance</f>
        <v>10000</v>
      </c>
      <c r="K8" s="1">
        <v>0</v>
      </c>
      <c r="L8" s="1">
        <v>9999999999</v>
      </c>
    </row>
    <row r="9" spans="4:12">
      <c r="D9" s="1" t="s">
        <v>42</v>
      </c>
      <c r="E9" s="27" t="b">
        <f>'Validation Input Received'!$D$4</f>
        <v>0</v>
      </c>
      <c r="I9" s="1" t="s">
        <v>24</v>
      </c>
      <c r="J9" s="1">
        <f>input_NeedAnalysis_WealthProtectionNeed_DependentDeathProtection_ResourceBreakdown_ExistingAssets</f>
        <v>350000</v>
      </c>
      <c r="K9" s="1">
        <v>0</v>
      </c>
      <c r="L9" s="1">
        <v>9999999999</v>
      </c>
    </row>
    <row r="10" spans="4:12">
      <c r="D10" s="1" t="s">
        <v>3</v>
      </c>
      <c r="E10" s="26">
        <v>450000</v>
      </c>
      <c r="I10" s="1" t="s">
        <v>228</v>
      </c>
      <c r="J10" s="1">
        <f>input_NeedAnalysis_WealthProtectionNeed_DependentDeathProtection_CapitalSumRequired</f>
        <v>130000</v>
      </c>
      <c r="K10" s="1">
        <v>0</v>
      </c>
      <c r="L10" s="1">
        <v>9999999999</v>
      </c>
    </row>
    <row r="11" spans="4:12">
      <c r="D11" s="1" t="s">
        <v>245</v>
      </c>
      <c r="E11" s="26">
        <v>20000</v>
      </c>
      <c r="I11" s="1" t="s">
        <v>229</v>
      </c>
      <c r="J11" s="1">
        <f>input_NeedAnalysis_WealthProtectionNeed_DependentDeathProtection_TotalCashNeeds</f>
        <v>490000</v>
      </c>
      <c r="K11" s="1">
        <v>0</v>
      </c>
      <c r="L11" s="1">
        <v>9999999999</v>
      </c>
    </row>
    <row r="12" spans="4:12">
      <c r="D12" s="1" t="s">
        <v>10</v>
      </c>
      <c r="E12" s="26">
        <v>20000</v>
      </c>
      <c r="I12" s="1" t="s">
        <v>11</v>
      </c>
      <c r="J12" s="1">
        <f>input_NeedAnalysis_WealthProtectionNeed_DependentDeathProtection_ExistingResources</f>
        <v>360000</v>
      </c>
      <c r="K12" s="1">
        <v>0</v>
      </c>
      <c r="L12" s="1">
        <v>9999999999</v>
      </c>
    </row>
    <row r="13" spans="4:12">
      <c r="D13" s="1" t="s">
        <v>23</v>
      </c>
      <c r="E13" s="26">
        <v>10000</v>
      </c>
      <c r="I13" s="1" t="s">
        <v>230</v>
      </c>
      <c r="J13" s="1">
        <f>input_NeedAnalysis_WealthProtectionNeed_DependentDeathProtection_TotalShortfall</f>
        <v>130000</v>
      </c>
      <c r="K13" s="1">
        <v>-9999999999</v>
      </c>
      <c r="L13" s="1">
        <v>9999999999</v>
      </c>
    </row>
    <row r="14" spans="4:12">
      <c r="D14" s="1" t="s">
        <v>24</v>
      </c>
      <c r="E14" s="26">
        <v>350000</v>
      </c>
    </row>
    <row r="15" spans="4:12">
      <c r="D15" s="1" t="s">
        <v>228</v>
      </c>
      <c r="E15" s="26">
        <v>130000</v>
      </c>
      <c r="I15" s="9" t="s">
        <v>15</v>
      </c>
      <c r="J15" s="9" t="s">
        <v>17</v>
      </c>
      <c r="K15" s="9" t="s">
        <v>21</v>
      </c>
    </row>
    <row r="16" spans="4:12">
      <c r="D16" s="1" t="s">
        <v>229</v>
      </c>
      <c r="E16" s="26">
        <v>490000</v>
      </c>
      <c r="I16" s="1" t="s">
        <v>3</v>
      </c>
      <c r="J16" s="1" t="s">
        <v>1414</v>
      </c>
      <c r="K16" s="1" t="str">
        <f>CONCATENATE("Please enter ",I5," ","between ",K5," and ",L5,".")</f>
        <v>Please enter Final Expenses between 0 and 9999999999.</v>
      </c>
    </row>
    <row r="17" spans="4:12">
      <c r="D17" s="1" t="s">
        <v>11</v>
      </c>
      <c r="E17" s="26">
        <v>360000</v>
      </c>
      <c r="G17" s="8"/>
      <c r="I17" s="1" t="s">
        <v>245</v>
      </c>
      <c r="J17" s="1" t="s">
        <v>1415</v>
      </c>
      <c r="K17" s="1" t="str">
        <f t="shared" ref="K17:K24" si="0">CONCATENATE("Please enter ",I6," ","between ",K6," and ",L6,".")</f>
        <v>Please enter Loans between 0 and 9999999999.</v>
      </c>
    </row>
    <row r="18" spans="4:12">
      <c r="D18" s="1" t="s">
        <v>230</v>
      </c>
      <c r="E18" s="26">
        <v>130000</v>
      </c>
      <c r="G18" s="8"/>
      <c r="I18" s="1" t="s">
        <v>10</v>
      </c>
      <c r="J18" s="1" t="s">
        <v>1416</v>
      </c>
      <c r="K18" s="1" t="str">
        <f t="shared" si="0"/>
        <v>Please enter Others between 0 and 9999999999.</v>
      </c>
    </row>
    <row r="19" spans="4:12">
      <c r="D19" s="1" t="s">
        <v>1295</v>
      </c>
      <c r="E19" s="26" t="b">
        <v>1</v>
      </c>
      <c r="I19" s="1" t="s">
        <v>23</v>
      </c>
      <c r="J19" s="1" t="s">
        <v>1417</v>
      </c>
      <c r="K19" s="1" t="str">
        <f t="shared" si="0"/>
        <v>Please enter Existing Insurance between 0 and 9999999999.</v>
      </c>
    </row>
    <row r="20" spans="4:12">
      <c r="I20" s="1" t="s">
        <v>24</v>
      </c>
      <c r="J20" s="1" t="s">
        <v>1418</v>
      </c>
      <c r="K20" s="1" t="str">
        <f t="shared" si="0"/>
        <v>Please enter Existing Assets between 0 and 9999999999.</v>
      </c>
    </row>
    <row r="21" spans="4:12">
      <c r="I21" s="1" t="s">
        <v>228</v>
      </c>
      <c r="J21" s="1" t="s">
        <v>1419</v>
      </c>
      <c r="K21" s="1" t="str">
        <f t="shared" si="0"/>
        <v>Please enter Lump Sum Dependents Expenses Needed between 0 and 9999999999.</v>
      </c>
    </row>
    <row r="22" spans="4:12" ht="16" thickBot="1">
      <c r="I22" s="1" t="s">
        <v>229</v>
      </c>
      <c r="J22" s="1" t="s">
        <v>1420</v>
      </c>
      <c r="K22" s="1" t="str">
        <f t="shared" si="0"/>
        <v>Please enter Total Cash Needs between 0 and 9999999999.</v>
      </c>
    </row>
    <row r="23" spans="4:12">
      <c r="D23" s="10" t="s">
        <v>22</v>
      </c>
      <c r="E23" s="11" t="b">
        <f>IF(NOT(E9),TRUE,IF(COUNTIF(K27:K35,FALSE)=0,TRUE,VLOOKUP(FALSE,K27:L35,2,0)))</f>
        <v>1</v>
      </c>
      <c r="I23" s="1" t="s">
        <v>11</v>
      </c>
      <c r="J23" s="1" t="s">
        <v>1421</v>
      </c>
      <c r="K23" s="1" t="str">
        <f t="shared" si="0"/>
        <v>Please enter Existing Resources between 0 and 9999999999.</v>
      </c>
    </row>
    <row r="24" spans="4:12" ht="16" thickBot="1">
      <c r="D24" s="12" t="s">
        <v>21</v>
      </c>
      <c r="E24" s="52" t="str">
        <f>IF(E23=TRUE,"",VLOOKUP(E23,J16:K24,2,0))</f>
        <v/>
      </c>
      <c r="I24" s="1" t="s">
        <v>230</v>
      </c>
      <c r="J24" s="1" t="s">
        <v>1422</v>
      </c>
      <c r="K24" s="1" t="str">
        <f t="shared" si="0"/>
        <v>Please enter Life Protection Gap  between -9999999999 and 9999999999.</v>
      </c>
    </row>
    <row r="26" spans="4:12">
      <c r="I26" s="9" t="s">
        <v>15</v>
      </c>
      <c r="J26" s="9" t="s">
        <v>4</v>
      </c>
      <c r="K26" s="9" t="s">
        <v>16</v>
      </c>
      <c r="L26" s="9" t="s">
        <v>17</v>
      </c>
    </row>
    <row r="27" spans="4:12">
      <c r="I27" s="1" t="s">
        <v>3</v>
      </c>
      <c r="J27" s="1">
        <f>input_NeedAnalysis_WealthProtectionNeed_DependentDeathProtection_FinalExpenses</f>
        <v>450000</v>
      </c>
      <c r="K27" s="1" t="b">
        <f>IF(OR(J27&lt;L5,J27&gt;K5),TRUE,FALSE)</f>
        <v>1</v>
      </c>
      <c r="L27" s="53" t="str">
        <f>IF(K27=FALSE,VLOOKUP(I27,$I$16:$J$24,2,0),"")</f>
        <v/>
      </c>
    </row>
    <row r="28" spans="4:12">
      <c r="I28" s="1" t="s">
        <v>245</v>
      </c>
      <c r="J28" s="1">
        <f>input_NeedAnalysis_WealthProtectionNeed_DependentDeathProtection_Loans</f>
        <v>20000</v>
      </c>
      <c r="K28" s="1" t="b">
        <f t="shared" ref="K28:K35" si="1">IF(OR(J28&lt;L6,J28&gt;K6),TRUE,FALSE)</f>
        <v>1</v>
      </c>
      <c r="L28" s="53" t="str">
        <f t="shared" ref="L28:L35" si="2">IF(K28=FALSE,VLOOKUP(I28,$I$16:$J$24,2,0),"")</f>
        <v/>
      </c>
    </row>
    <row r="29" spans="4:12">
      <c r="I29" s="1" t="s">
        <v>10</v>
      </c>
      <c r="J29" s="1">
        <f>input_NeedAnalysis_WealthProtectionNeed_DependentDeathProtection_Others</f>
        <v>20000</v>
      </c>
      <c r="K29" s="1" t="b">
        <f t="shared" si="1"/>
        <v>1</v>
      </c>
      <c r="L29" s="53" t="str">
        <f t="shared" si="2"/>
        <v/>
      </c>
    </row>
    <row r="30" spans="4:12">
      <c r="I30" s="1" t="s">
        <v>23</v>
      </c>
      <c r="J30" s="1">
        <f>input_NeedAnalysis_WealthProtectionNeed_DependentDeathProtection_ResourceBreakdown_ExistingInsurance</f>
        <v>10000</v>
      </c>
      <c r="K30" s="1" t="b">
        <f t="shared" si="1"/>
        <v>1</v>
      </c>
      <c r="L30" s="53" t="str">
        <f t="shared" si="2"/>
        <v/>
      </c>
    </row>
    <row r="31" spans="4:12">
      <c r="I31" s="1" t="s">
        <v>24</v>
      </c>
      <c r="J31" s="1">
        <f>input_NeedAnalysis_WealthProtectionNeed_DependentDeathProtection_ResourceBreakdown_ExistingAssets</f>
        <v>350000</v>
      </c>
      <c r="K31" s="1" t="b">
        <f t="shared" si="1"/>
        <v>1</v>
      </c>
      <c r="L31" s="53" t="str">
        <f t="shared" si="2"/>
        <v/>
      </c>
    </row>
    <row r="32" spans="4:12">
      <c r="I32" s="1" t="s">
        <v>228</v>
      </c>
      <c r="J32" s="1">
        <f>input_NeedAnalysis_WealthProtectionNeed_DependentDeathProtection_CapitalSumRequired</f>
        <v>130000</v>
      </c>
      <c r="K32" s="1" t="b">
        <f t="shared" si="1"/>
        <v>1</v>
      </c>
      <c r="L32" s="53" t="str">
        <f t="shared" si="2"/>
        <v/>
      </c>
    </row>
    <row r="33" spans="9:12">
      <c r="I33" s="1" t="s">
        <v>229</v>
      </c>
      <c r="J33" s="1">
        <f>input_NeedAnalysis_WealthProtectionNeed_DependentDeathProtection_TotalCashNeeds</f>
        <v>490000</v>
      </c>
      <c r="K33" s="1" t="b">
        <f t="shared" si="1"/>
        <v>1</v>
      </c>
      <c r="L33" s="53" t="str">
        <f t="shared" si="2"/>
        <v/>
      </c>
    </row>
    <row r="34" spans="9:12">
      <c r="I34" s="1" t="s">
        <v>11</v>
      </c>
      <c r="J34" s="1">
        <f>input_NeedAnalysis_WealthProtectionNeed_DependentDeathProtection_ExistingResources</f>
        <v>360000</v>
      </c>
      <c r="K34" s="1" t="b">
        <f t="shared" si="1"/>
        <v>1</v>
      </c>
      <c r="L34" s="53" t="str">
        <f t="shared" si="2"/>
        <v/>
      </c>
    </row>
    <row r="35" spans="9:12">
      <c r="I35" s="1" t="s">
        <v>230</v>
      </c>
      <c r="J35" s="1">
        <f>input_NeedAnalysis_WealthProtectionNeed_DependentDeathProtection_TotalShortfall</f>
        <v>130000</v>
      </c>
      <c r="K35" s="1" t="b">
        <f t="shared" si="1"/>
        <v>1</v>
      </c>
      <c r="L35" s="53" t="str">
        <f t="shared" si="2"/>
        <v/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6E75-105A-4F43-BE86-370986EAA005}">
  <dimension ref="B3:K37"/>
  <sheetViews>
    <sheetView topLeftCell="A6" zoomScale="70" zoomScaleNormal="70" workbookViewId="0">
      <selection activeCell="C10" sqref="C10"/>
    </sheetView>
  </sheetViews>
  <sheetFormatPr defaultColWidth="11.1640625" defaultRowHeight="15.5"/>
  <cols>
    <col min="2" max="2" width="38.83203125" bestFit="1" customWidth="1"/>
    <col min="3" max="3" width="16.6640625" customWidth="1"/>
    <col min="4" max="4" width="12.1640625" customWidth="1"/>
    <col min="5" max="5" width="12.4140625" bestFit="1" customWidth="1"/>
    <col min="6" max="6" width="11.6640625" customWidth="1"/>
    <col min="7" max="7" width="10.83203125" customWidth="1"/>
    <col min="8" max="8" width="38.33203125" bestFit="1" customWidth="1"/>
    <col min="10" max="10" width="72.75" bestFit="1" customWidth="1"/>
    <col min="11" max="11" width="13.83203125" bestFit="1" customWidth="1"/>
  </cols>
  <sheetData>
    <row r="3" spans="2:11">
      <c r="D3" s="1" t="s">
        <v>0</v>
      </c>
      <c r="E3" s="2"/>
      <c r="H3" s="9" t="s">
        <v>15</v>
      </c>
      <c r="I3" s="9" t="s">
        <v>18</v>
      </c>
      <c r="J3" s="9" t="s">
        <v>19</v>
      </c>
      <c r="K3" s="9" t="s">
        <v>20</v>
      </c>
    </row>
    <row r="4" spans="2:11">
      <c r="D4" s="1" t="s">
        <v>1</v>
      </c>
      <c r="E4" s="3"/>
      <c r="H4" s="1" t="s">
        <v>13</v>
      </c>
      <c r="I4" s="1">
        <f>input_NeedAnalysis_WealthProtectionNeed_TotalPermanentDisabilityProtection_DesiredAnnualIncomeReplacement</f>
        <v>100000</v>
      </c>
      <c r="J4" s="1">
        <v>0</v>
      </c>
      <c r="K4" s="1">
        <v>999999999</v>
      </c>
    </row>
    <row r="5" spans="2:11">
      <c r="D5" s="1" t="s">
        <v>2</v>
      </c>
      <c r="E5" s="4"/>
      <c r="H5" s="1" t="s">
        <v>39</v>
      </c>
      <c r="I5" s="1">
        <f>input_NeedAnalysis_WealthProtectionNeed_TotalPermanentDisabilityProtection_DurationOfGoal</f>
        <v>25</v>
      </c>
      <c r="J5" s="1">
        <v>0</v>
      </c>
      <c r="K5" s="1">
        <v>99</v>
      </c>
    </row>
    <row r="6" spans="2:11">
      <c r="H6" s="1" t="s">
        <v>38</v>
      </c>
      <c r="I6" s="1">
        <f>input_NeedAnalysis_WealthProtectionNeed_TotalPermanentDisabilityProtection_InflationAdjustedRateOfReturn</f>
        <v>0.01</v>
      </c>
      <c r="J6" s="1">
        <v>-0.2</v>
      </c>
      <c r="K6" s="1">
        <v>0.2</v>
      </c>
    </row>
    <row r="7" spans="2:11">
      <c r="B7" s="24" t="s">
        <v>42</v>
      </c>
      <c r="C7" s="27" t="b">
        <f>'Validation Input Received'!$D$5</f>
        <v>1</v>
      </c>
      <c r="H7" s="1" t="s">
        <v>37</v>
      </c>
      <c r="I7" s="1">
        <f>input_NeedAnalysis_WealthProtectionNeed_TotalPermanentDisabilityProtection_MedicalExpenses</f>
        <v>200000</v>
      </c>
      <c r="J7" s="1">
        <v>0</v>
      </c>
      <c r="K7" s="1">
        <v>999999999</v>
      </c>
    </row>
    <row r="8" spans="2:11">
      <c r="B8" s="1" t="s">
        <v>13</v>
      </c>
      <c r="C8" s="26">
        <v>100000</v>
      </c>
      <c r="H8" s="1" t="s">
        <v>23</v>
      </c>
      <c r="I8" s="1">
        <f>input_NeedAnalysis_WealthProtectionNeed_TotalPermanentDisabilityProtection_ResourceBreakdown_ExistingInsurance</f>
        <v>100000</v>
      </c>
      <c r="J8" s="1">
        <v>0</v>
      </c>
      <c r="K8" s="1">
        <v>999999999</v>
      </c>
    </row>
    <row r="9" spans="2:11">
      <c r="B9" s="1" t="s">
        <v>39</v>
      </c>
      <c r="C9" s="2">
        <v>25</v>
      </c>
      <c r="H9" s="1" t="s">
        <v>24</v>
      </c>
      <c r="I9" s="1">
        <f>input_NeedAnalysis_WealthProtectionNeed_TotalPermanentDisabilityProtection_ResourceBreakdown_ExistingAssets</f>
        <v>200000</v>
      </c>
      <c r="J9" s="1">
        <v>0</v>
      </c>
      <c r="K9" s="1">
        <v>999999999</v>
      </c>
    </row>
    <row r="10" spans="2:11">
      <c r="B10" s="1" t="s">
        <v>38</v>
      </c>
      <c r="C10" s="2">
        <v>0.01</v>
      </c>
      <c r="H10" s="1" t="s">
        <v>238</v>
      </c>
      <c r="I10" s="1">
        <f>input_NeedAnalysis_WealthProtectionNeed_TotalPermanentDisabilityProtection_CapitalSumRequired</f>
        <v>57260204.821616367</v>
      </c>
      <c r="J10" s="1">
        <v>0</v>
      </c>
      <c r="K10" s="1">
        <v>999999999</v>
      </c>
    </row>
    <row r="11" spans="2:11" ht="16" thickBot="1">
      <c r="B11" s="1" t="s">
        <v>37</v>
      </c>
      <c r="C11" s="2">
        <v>200000</v>
      </c>
      <c r="G11" s="6"/>
      <c r="H11" s="1" t="s">
        <v>11</v>
      </c>
      <c r="I11" s="1">
        <f>input_NeedAnalysis_WealthProtectionNeed_TotalPermanentDisabilityProtection_ExistingResources</f>
        <v>300000</v>
      </c>
      <c r="J11" s="1">
        <v>0</v>
      </c>
      <c r="K11" s="1">
        <v>999999999</v>
      </c>
    </row>
    <row r="12" spans="2:11">
      <c r="B12" s="1" t="s">
        <v>23</v>
      </c>
      <c r="C12" s="26">
        <v>100000</v>
      </c>
      <c r="E12" s="10" t="s">
        <v>22</v>
      </c>
      <c r="F12" s="11" t="b">
        <f>IF(NOT(C7),TRUE,IF(COUNTIF('Total Permanent Disability'!J28:J37,FALSE)=0,TRUE,VLOOKUP(FALSE,'Total Permanent Disability'!$J$28:$K$37,2,0)))</f>
        <v>1</v>
      </c>
      <c r="H12" s="1" t="s">
        <v>239</v>
      </c>
      <c r="I12" s="1">
        <f>input_NeedAnalysis_WealthProtectionNeed_TotalPermanentDisabilityProtection_TotalShortfall</f>
        <v>57160204.821616367</v>
      </c>
      <c r="J12" s="1">
        <v>-999999999</v>
      </c>
      <c r="K12" s="1">
        <v>999999999</v>
      </c>
    </row>
    <row r="13" spans="2:11" ht="16" thickBot="1">
      <c r="B13" s="1" t="s">
        <v>24</v>
      </c>
      <c r="C13" s="26">
        <v>200000</v>
      </c>
      <c r="E13" s="12" t="s">
        <v>21</v>
      </c>
      <c r="F13" s="21" t="str">
        <f>IF(output_NeedAnalysis_WealthProtectionNeed_TotalPermanentDisabilityProtection_Validation=TRUE,"",VLOOKUP(output_NeedAnalysis_WealthProtectionNeed_TotalPermanentDisabilityProtection_Validation,'Total Permanent Disability'!$I16:J25,2,0))</f>
        <v/>
      </c>
      <c r="H13" s="1" t="s">
        <v>229</v>
      </c>
      <c r="I13" s="1">
        <f>input_NeedAnalysis_WealthProtectionNeed_TotalPermanentDisabilityProtection_TotalCashNeeds</f>
        <v>57260204.821616367</v>
      </c>
      <c r="J13" s="1">
        <v>0</v>
      </c>
      <c r="K13" s="1">
        <v>999999999</v>
      </c>
    </row>
    <row r="14" spans="2:11">
      <c r="B14" s="1" t="s">
        <v>238</v>
      </c>
      <c r="C14" s="26">
        <v>57260204.821616367</v>
      </c>
      <c r="G14" s="6"/>
    </row>
    <row r="15" spans="2:11">
      <c r="B15" s="1" t="s">
        <v>11</v>
      </c>
      <c r="C15" s="26">
        <v>300000</v>
      </c>
      <c r="G15" s="6"/>
      <c r="H15" s="9" t="s">
        <v>15</v>
      </c>
      <c r="I15" s="9" t="s">
        <v>17</v>
      </c>
      <c r="J15" s="9" t="s">
        <v>21</v>
      </c>
    </row>
    <row r="16" spans="2:11">
      <c r="B16" s="1" t="s">
        <v>239</v>
      </c>
      <c r="C16" s="26">
        <v>57160204.821616367</v>
      </c>
      <c r="G16" s="6"/>
      <c r="H16" s="1" t="s">
        <v>13</v>
      </c>
      <c r="I16" s="1" t="s">
        <v>1423</v>
      </c>
      <c r="J16" s="1" t="str">
        <f>CONCATENATE("Please enter ",H16," ","between ",'Total Permanent Disability'!J4," and ",'Total Permanent Disability'!K4,".")</f>
        <v>Please enter Desired Annual Income Replacement between 0 and 999999999.</v>
      </c>
    </row>
    <row r="17" spans="2:11">
      <c r="B17" s="1" t="s">
        <v>229</v>
      </c>
      <c r="C17" s="26">
        <v>57260204.821616367</v>
      </c>
      <c r="H17" s="1" t="s">
        <v>39</v>
      </c>
      <c r="I17" s="1" t="s">
        <v>1424</v>
      </c>
      <c r="J17" s="1" t="str">
        <f>CONCATENATE("Please enter ",H17," ","between ",'Total Permanent Disability'!J5," and ",'Total Permanent Disability'!K5,".")</f>
        <v>Please enter Number of years expenses are to be covered between 0 and 99.</v>
      </c>
    </row>
    <row r="18" spans="2:11">
      <c r="B18" s="1" t="s">
        <v>1295</v>
      </c>
      <c r="C18" s="26" t="b">
        <v>1</v>
      </c>
      <c r="H18" s="1" t="s">
        <v>38</v>
      </c>
      <c r="I18" s="1" t="s">
        <v>1425</v>
      </c>
      <c r="J18" s="1" t="str">
        <f>CONCATENATE("Please enter ",H18," ","between ",'Total Permanent Disability'!J6," and ",'Total Permanent Disability'!K6,".")</f>
        <v>Please enter Inflation Adjusted Return (Rate of Return) between -0.2 and 0.2.</v>
      </c>
    </row>
    <row r="19" spans="2:11">
      <c r="H19" s="1" t="s">
        <v>37</v>
      </c>
      <c r="I19" s="1" t="s">
        <v>1426</v>
      </c>
      <c r="J19" s="1" t="str">
        <f>CONCATENATE("Please enter ",H19," ","between ",'Total Permanent Disability'!J7," and ",'Total Permanent Disability'!K7,".")</f>
        <v>Please enter Estimated Medical Expenses between 0 and 999999999.</v>
      </c>
    </row>
    <row r="20" spans="2:11">
      <c r="H20" s="1" t="s">
        <v>23</v>
      </c>
      <c r="I20" s="1" t="s">
        <v>1427</v>
      </c>
      <c r="J20" s="1" t="str">
        <f>CONCATENATE("Please enter ",H20," ","between ",'Total Permanent Disability'!J8," and ",'Total Permanent Disability'!K8,".")</f>
        <v>Please enter Existing Insurance between 0 and 999999999.</v>
      </c>
    </row>
    <row r="21" spans="2:11">
      <c r="H21" s="1" t="s">
        <v>24</v>
      </c>
      <c r="I21" s="1" t="s">
        <v>1428</v>
      </c>
      <c r="J21" s="1" t="str">
        <f>CONCATENATE("Please enter ",H21," ","between ",'Total Permanent Disability'!J9," and ",'Total Permanent Disability'!K9,".")</f>
        <v>Please enter Existing Assets between 0 and 999999999.</v>
      </c>
    </row>
    <row r="22" spans="2:11">
      <c r="H22" s="1" t="s">
        <v>238</v>
      </c>
      <c r="I22" s="1" t="s">
        <v>1429</v>
      </c>
      <c r="J22" s="1" t="str">
        <f>CONCATENATE("Please enter ",H22," ","between ",'Total Permanent Disability'!J10," and ",'Total Permanent Disability'!K10,".")</f>
        <v>Please enter Capital Sum Required between 0 and 999999999.</v>
      </c>
    </row>
    <row r="23" spans="2:11">
      <c r="H23" s="1" t="s">
        <v>11</v>
      </c>
      <c r="I23" s="1" t="s">
        <v>1430</v>
      </c>
      <c r="J23" s="1" t="str">
        <f>CONCATENATE("Please enter ",H23," ","between ",'Total Permanent Disability'!J11," and ",'Total Permanent Disability'!K11,".")</f>
        <v>Please enter Existing Resources between 0 and 999999999.</v>
      </c>
    </row>
    <row r="24" spans="2:11">
      <c r="H24" s="1" t="s">
        <v>239</v>
      </c>
      <c r="I24" s="1" t="s">
        <v>1431</v>
      </c>
      <c r="J24" s="1" t="str">
        <f>CONCATENATE("Please enter ",H24," ","between ",'Total Permanent Disability'!J12," and ",'Total Permanent Disability'!K12,".")</f>
        <v>Please enter TPD Protection Gap (Total shortfall) between -999999999 and 999999999.</v>
      </c>
    </row>
    <row r="25" spans="2:11">
      <c r="H25" s="1" t="s">
        <v>229</v>
      </c>
      <c r="I25" s="1" t="s">
        <v>1432</v>
      </c>
      <c r="J25" s="1" t="str">
        <f>CONCATENATE("Please enter ",H25," ","between ",'Total Permanent Disability'!J13," and ",'Total Permanent Disability'!K13,".")</f>
        <v>Please enter Total Cash Needs between 0 and 999999999.</v>
      </c>
    </row>
    <row r="27" spans="2:11">
      <c r="H27" s="9" t="s">
        <v>15</v>
      </c>
      <c r="I27" s="9" t="s">
        <v>4</v>
      </c>
      <c r="J27" s="9" t="s">
        <v>16</v>
      </c>
      <c r="K27" s="9" t="s">
        <v>17</v>
      </c>
    </row>
    <row r="28" spans="2:11">
      <c r="H28" s="1" t="s">
        <v>13</v>
      </c>
      <c r="I28" s="1">
        <f>input_NeedAnalysis_WealthProtectionNeed_TotalPermanentDisabilityProtection_DesiredAnnualIncomeReplacement</f>
        <v>100000</v>
      </c>
      <c r="J28" s="1" t="b">
        <f>IF(OR(I28&lt;'Total Permanent Disability'!J4,I28&gt;'Total Permanent Disability'!K4),FALSE,TRUE)</f>
        <v>1</v>
      </c>
      <c r="K28" s="53" t="str">
        <f>IF(J28=FALSE,VLOOKUP(H28,'Total Permanent Disability'!$H$16:$I$25,2,0),"")</f>
        <v/>
      </c>
    </row>
    <row r="29" spans="2:11">
      <c r="H29" s="1" t="s">
        <v>39</v>
      </c>
      <c r="I29" s="1">
        <f>input_NeedAnalysis_WealthProtectionNeed_TotalPermanentDisabilityProtection_DurationOfGoal</f>
        <v>25</v>
      </c>
      <c r="J29" s="1" t="b">
        <f>IF(OR(I29&lt;'Total Permanent Disability'!J5,I29&gt;'Total Permanent Disability'!K5),FALSE,TRUE)</f>
        <v>1</v>
      </c>
      <c r="K29" s="53" t="str">
        <f>IF(J29=FALSE,VLOOKUP(H29,'Total Permanent Disability'!$H$16:$I$25,2,0),"")</f>
        <v/>
      </c>
    </row>
    <row r="30" spans="2:11">
      <c r="H30" s="1" t="s">
        <v>38</v>
      </c>
      <c r="I30" s="1">
        <f>input_NeedAnalysis_WealthProtectionNeed_TotalPermanentDisabilityProtection_InflationAdjustedRateOfReturn</f>
        <v>0.01</v>
      </c>
      <c r="J30" s="1" t="b">
        <f>IF(OR(I30&lt;'Total Permanent Disability'!J6,I30&gt;'Total Permanent Disability'!K6),FALSE,TRUE)</f>
        <v>1</v>
      </c>
      <c r="K30" s="53" t="str">
        <f>IF(J30=FALSE,VLOOKUP(H30,'Total Permanent Disability'!$H$16:$I$25,2,0),"")</f>
        <v/>
      </c>
    </row>
    <row r="31" spans="2:11">
      <c r="H31" s="1" t="s">
        <v>37</v>
      </c>
      <c r="I31" s="1">
        <f>input_NeedAnalysis_WealthProtectionNeed_TotalPermanentDisabilityProtection_MedicalExpenses</f>
        <v>200000</v>
      </c>
      <c r="J31" s="1" t="b">
        <f>IF(OR(I31&lt;'Total Permanent Disability'!J7,I31&gt;'Total Permanent Disability'!K7),FALSE,TRUE)</f>
        <v>1</v>
      </c>
      <c r="K31" s="53" t="str">
        <f>IF(J31=FALSE,VLOOKUP(H31,'Total Permanent Disability'!$H$16:$I$25,2,0),"")</f>
        <v/>
      </c>
    </row>
    <row r="32" spans="2:11">
      <c r="H32" s="1" t="s">
        <v>23</v>
      </c>
      <c r="I32" s="1">
        <f>input_NeedAnalysis_WealthProtectionNeed_TotalPermanentDisabilityProtection_ResourceBreakdown_ExistingInsurance</f>
        <v>100000</v>
      </c>
      <c r="J32" s="1" t="b">
        <f>IF(OR(I32&lt;'Total Permanent Disability'!J8,I32&gt;'Total Permanent Disability'!K8),FALSE,TRUE)</f>
        <v>1</v>
      </c>
      <c r="K32" s="53" t="str">
        <f>IF(J32=FALSE,VLOOKUP(H32,'Total Permanent Disability'!$H$16:$I$25,2,0),"")</f>
        <v/>
      </c>
    </row>
    <row r="33" spans="8:11">
      <c r="H33" s="1" t="s">
        <v>24</v>
      </c>
      <c r="I33" s="1">
        <f>input_NeedAnalysis_WealthProtectionNeed_TotalPermanentDisabilityProtection_ResourceBreakdown_ExistingAssets</f>
        <v>200000</v>
      </c>
      <c r="J33" s="1" t="b">
        <f>IF(OR(I33&lt;'Total Permanent Disability'!J9,I33&gt;'Total Permanent Disability'!K9),FALSE,TRUE)</f>
        <v>1</v>
      </c>
      <c r="K33" s="53" t="str">
        <f>IF(J33=FALSE,VLOOKUP(H33,'Total Permanent Disability'!$H$16:$I$25,2,0),"")</f>
        <v/>
      </c>
    </row>
    <row r="34" spans="8:11">
      <c r="H34" s="1" t="s">
        <v>238</v>
      </c>
      <c r="I34" s="1">
        <f>input_NeedAnalysis_WealthProtectionNeed_TotalPermanentDisabilityProtection_ResourceBreakdown_ExistingAssets</f>
        <v>200000</v>
      </c>
      <c r="J34" s="1" t="b">
        <f>IF(OR(I34&lt;'Total Permanent Disability'!J10,I34&gt;'Total Permanent Disability'!K10),FALSE,TRUE)</f>
        <v>1</v>
      </c>
      <c r="K34" s="53" t="str">
        <f>IF(J34=FALSE,VLOOKUP(H34,'Total Permanent Disability'!$H$16:$I$25,2,0),"")</f>
        <v/>
      </c>
    </row>
    <row r="35" spans="8:11">
      <c r="H35" s="1" t="s">
        <v>11</v>
      </c>
      <c r="I35" s="1">
        <f>input_NeedAnalysis_WealthProtectionNeed_TotalPermanentDisabilityProtection_ResourceBreakdown_ExistingAssets</f>
        <v>200000</v>
      </c>
      <c r="J35" s="1" t="b">
        <f>IF(OR(I35&lt;'Total Permanent Disability'!J11,I35&gt;'Total Permanent Disability'!K11),FALSE,TRUE)</f>
        <v>1</v>
      </c>
      <c r="K35" s="53" t="str">
        <f>IF(J35=FALSE,VLOOKUP(H35,'Total Permanent Disability'!$H$16:$I$25,2,0),"")</f>
        <v/>
      </c>
    </row>
    <row r="36" spans="8:11">
      <c r="H36" s="1" t="s">
        <v>239</v>
      </c>
      <c r="I36" s="1">
        <f>input_NeedAnalysis_WealthProtectionNeed_TotalPermanentDisabilityProtection_ResourceBreakdown_ExistingAssets</f>
        <v>200000</v>
      </c>
      <c r="J36" s="1" t="b">
        <f>IF(OR(I36&lt;'Total Permanent Disability'!J12,I36&gt;'Total Permanent Disability'!K12),FALSE,TRUE)</f>
        <v>1</v>
      </c>
      <c r="K36" s="53" t="str">
        <f>IF(J36=FALSE,VLOOKUP(H36,'Total Permanent Disability'!$H$16:$I$25,2,0),"")</f>
        <v/>
      </c>
    </row>
    <row r="37" spans="8:11">
      <c r="H37" s="1" t="s">
        <v>229</v>
      </c>
      <c r="I37" s="1">
        <f>input_NeedAnalysis_WealthProtectionNeed_TotalPermanentDisabilityProtection_TotalCashNeeds</f>
        <v>57260204.821616367</v>
      </c>
      <c r="J37" s="1" t="b">
        <f>IF(OR(I37&lt;'Total Permanent Disability'!J13,I37&gt;'Total Permanent Disability'!K13),FALSE,TRUE)</f>
        <v>1</v>
      </c>
      <c r="K37" s="53" t="str">
        <f>IF(J37=FALSE,VLOOKUP(H37,'Total Permanent Disability'!$H$16:$I$25,2,0),"")</f>
        <v/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77E46-17FC-414A-8383-897DE51CF827}">
  <dimension ref="C1:M37"/>
  <sheetViews>
    <sheetView zoomScale="70" zoomScaleNormal="70" workbookViewId="0">
      <selection activeCell="D11" sqref="D11"/>
    </sheetView>
  </sheetViews>
  <sheetFormatPr defaultColWidth="11.1640625" defaultRowHeight="15.5"/>
  <cols>
    <col min="3" max="3" width="41" bestFit="1" customWidth="1"/>
    <col min="4" max="4" width="15.1640625" customWidth="1"/>
    <col min="5" max="5" width="13.83203125" customWidth="1"/>
    <col min="6" max="6" width="12.5" bestFit="1" customWidth="1"/>
    <col min="7" max="7" width="13" customWidth="1"/>
    <col min="8" max="8" width="12.5" bestFit="1" customWidth="1"/>
    <col min="10" max="10" width="41.58203125" bestFit="1" customWidth="1"/>
    <col min="12" max="12" width="82.1640625" bestFit="1" customWidth="1"/>
    <col min="13" max="13" width="13.83203125" bestFit="1" customWidth="1"/>
  </cols>
  <sheetData>
    <row r="1" spans="3:13">
      <c r="E1" s="1" t="s">
        <v>0</v>
      </c>
      <c r="F1" s="2"/>
    </row>
    <row r="2" spans="3:13">
      <c r="E2" s="1" t="s">
        <v>1</v>
      </c>
      <c r="F2" s="3"/>
    </row>
    <row r="3" spans="3:13">
      <c r="E3" s="1" t="s">
        <v>2</v>
      </c>
      <c r="F3" s="4"/>
      <c r="J3" s="9" t="s">
        <v>15</v>
      </c>
      <c r="K3" s="9" t="s">
        <v>18</v>
      </c>
      <c r="L3" s="9" t="s">
        <v>19</v>
      </c>
      <c r="M3" s="9" t="s">
        <v>20</v>
      </c>
    </row>
    <row r="4" spans="3:13">
      <c r="J4" s="1" t="s">
        <v>13</v>
      </c>
      <c r="K4" s="1">
        <f>input_NeedAnalysis_WealthProtectionNeed_CriticalIllnessProtection_DesiredAnnualIncomeRequirements</f>
        <v>200000</v>
      </c>
      <c r="L4" s="1">
        <v>0</v>
      </c>
      <c r="M4" s="1">
        <v>999999999</v>
      </c>
    </row>
    <row r="5" spans="3:13">
      <c r="J5" s="1" t="s">
        <v>39</v>
      </c>
      <c r="K5" s="1">
        <f>input_NeedAnalysis_WealthProtectionNeed_CriticalIllnessProtection_DurationOfGoal</f>
        <v>20</v>
      </c>
      <c r="L5" s="1">
        <v>0</v>
      </c>
      <c r="M5" s="1">
        <v>99</v>
      </c>
    </row>
    <row r="6" spans="3:13">
      <c r="J6" s="1" t="s">
        <v>38</v>
      </c>
      <c r="K6" s="1">
        <f>input_NeedAnalysis_WealthProtectionNeed_CriticalIllnessProtection_InflationAdjustedRateOfReturn</f>
        <v>0.01</v>
      </c>
      <c r="L6" s="1">
        <v>-0.2</v>
      </c>
      <c r="M6" s="1">
        <v>0.2</v>
      </c>
    </row>
    <row r="7" spans="3:13">
      <c r="J7" s="1" t="s">
        <v>40</v>
      </c>
      <c r="K7" s="1">
        <f>input_NeedAnalysis_WealthProtectionNeed_CriticalIllnessProtection_EstimatedTreatmentCosts</f>
        <v>100000</v>
      </c>
      <c r="L7" s="1">
        <v>0</v>
      </c>
      <c r="M7" s="1">
        <v>999999999</v>
      </c>
    </row>
    <row r="8" spans="3:13">
      <c r="C8" s="24" t="s">
        <v>42</v>
      </c>
      <c r="D8" s="27" t="b">
        <f>'Validation Input Received'!$D$6</f>
        <v>1</v>
      </c>
      <c r="J8" s="1" t="s">
        <v>23</v>
      </c>
      <c r="K8" s="1">
        <f>input_NeedAnalysis_WealthProtectionNeed_CriticalIllnessProtection_ResourceBreakdown_ExistingInsurance</f>
        <v>20000</v>
      </c>
      <c r="L8" s="1">
        <v>0</v>
      </c>
      <c r="M8" s="1">
        <v>999999999</v>
      </c>
    </row>
    <row r="9" spans="3:13">
      <c r="C9" s="1" t="s">
        <v>13</v>
      </c>
      <c r="D9" s="26">
        <v>200000</v>
      </c>
      <c r="J9" s="1" t="s">
        <v>24</v>
      </c>
      <c r="K9" s="1">
        <f>input_NeedAnalysis_WealthProtectionNeed_CriticalIllnessProtection_ResourceBreakdown_ExistingAssets</f>
        <v>10000</v>
      </c>
      <c r="L9" s="1">
        <v>0</v>
      </c>
      <c r="M9" s="1">
        <v>999999999</v>
      </c>
    </row>
    <row r="10" spans="3:13">
      <c r="C10" s="1" t="s">
        <v>39</v>
      </c>
      <c r="D10" s="2">
        <v>20</v>
      </c>
      <c r="J10" s="1" t="s">
        <v>240</v>
      </c>
      <c r="K10" s="1">
        <f>input_NeedAnalysis_WealthProtectionNeed_CriticalIllnessProtection_CapitalSumRequired</f>
        <v>3645201.6991866329</v>
      </c>
      <c r="L10" s="1">
        <v>0</v>
      </c>
      <c r="M10" s="1">
        <v>999999999</v>
      </c>
    </row>
    <row r="11" spans="3:13">
      <c r="C11" s="1" t="s">
        <v>38</v>
      </c>
      <c r="D11" s="2">
        <v>0.01</v>
      </c>
      <c r="J11" s="1" t="s">
        <v>11</v>
      </c>
      <c r="K11" s="1">
        <f>input_NeedAnalysis_WealthProtectionNeed_CriticalIllnessProtection_ExistingResources</f>
        <v>30000</v>
      </c>
      <c r="L11" s="1">
        <v>0</v>
      </c>
      <c r="M11" s="1">
        <v>999999999</v>
      </c>
    </row>
    <row r="12" spans="3:13" ht="16" thickBot="1">
      <c r="C12" s="1" t="s">
        <v>40</v>
      </c>
      <c r="D12" s="2">
        <v>100000</v>
      </c>
      <c r="J12" s="1" t="s">
        <v>241</v>
      </c>
      <c r="K12" s="1">
        <f>input_NeedAnalysis_WealthProtectionNeed_CriticalIllnessProtection_TotalShortfall</f>
        <v>3715201.6991866329</v>
      </c>
      <c r="L12" s="1">
        <v>-999999999</v>
      </c>
      <c r="M12" s="1">
        <v>999999999</v>
      </c>
    </row>
    <row r="13" spans="3:13">
      <c r="C13" s="1" t="s">
        <v>23</v>
      </c>
      <c r="D13" s="2">
        <v>20000</v>
      </c>
      <c r="G13" s="10" t="s">
        <v>22</v>
      </c>
      <c r="H13" s="15" t="b">
        <f>IF(NOT(D8),TRUE,IF(COUNTIF('Critical Illness'!L28:L37,FALSE)=0,TRUE,VLOOKUP(FALSE,'Critical Illness'!$L$28:$M$37,2,0)))</f>
        <v>1</v>
      </c>
      <c r="J13" s="1" t="s">
        <v>229</v>
      </c>
      <c r="K13" s="1">
        <f>input_NeedAnalysis_WealthProtectionNeed_CriticalIllnessProtection_TotalCashNeeds</f>
        <v>3745201.6991866329</v>
      </c>
      <c r="L13" s="1">
        <v>0</v>
      </c>
      <c r="M13" s="1">
        <v>999999999</v>
      </c>
    </row>
    <row r="14" spans="3:13" ht="16" thickBot="1">
      <c r="C14" s="1" t="s">
        <v>24</v>
      </c>
      <c r="D14" s="26">
        <v>10000</v>
      </c>
      <c r="G14" s="12" t="s">
        <v>21</v>
      </c>
      <c r="H14" s="22" t="str">
        <f>IF(output_NeedAnalysis_WealthProtectionNeed_CriticalIllnessProtection_Validation=TRUE,"",VLOOKUP(output_NeedAnalysis_WealthProtectionNeed_CriticalIllnessProtection_Validation,'Critical Illness'!$K16:L25,2,0))</f>
        <v/>
      </c>
    </row>
    <row r="15" spans="3:13">
      <c r="C15" s="1" t="s">
        <v>240</v>
      </c>
      <c r="D15" s="26">
        <v>3645201.6991866329</v>
      </c>
      <c r="J15" s="9" t="s">
        <v>15</v>
      </c>
      <c r="K15" s="9" t="s">
        <v>17</v>
      </c>
      <c r="L15" s="9" t="s">
        <v>21</v>
      </c>
    </row>
    <row r="16" spans="3:13">
      <c r="C16" s="1" t="s">
        <v>11</v>
      </c>
      <c r="D16" s="26">
        <v>30000</v>
      </c>
      <c r="J16" s="1" t="s">
        <v>13</v>
      </c>
      <c r="K16" s="1" t="s">
        <v>1433</v>
      </c>
      <c r="L16" s="1" t="str">
        <f>CONCATENATE("Please enter ",J16," ","between ",'Critical Illness'!L4," and ",'Critical Illness'!M4,".")</f>
        <v>Please enter Desired Annual Income Replacement between 0 and 999999999.</v>
      </c>
    </row>
    <row r="17" spans="3:13">
      <c r="C17" s="1" t="s">
        <v>241</v>
      </c>
      <c r="D17" s="26">
        <v>3715201.6991866329</v>
      </c>
      <c r="J17" s="1" t="s">
        <v>39</v>
      </c>
      <c r="K17" s="1" t="s">
        <v>1434</v>
      </c>
      <c r="L17" s="1" t="str">
        <f>CONCATENATE("Please enter ",J17," ","between ",'Critical Illness'!L5," and ",'Critical Illness'!M5,".")</f>
        <v>Please enter Number of years expenses are to be covered between 0 and 99.</v>
      </c>
    </row>
    <row r="18" spans="3:13">
      <c r="C18" s="1" t="s">
        <v>229</v>
      </c>
      <c r="D18" s="26">
        <v>3745201.6991866329</v>
      </c>
      <c r="J18" s="1" t="s">
        <v>38</v>
      </c>
      <c r="K18" s="1" t="s">
        <v>1435</v>
      </c>
      <c r="L18" s="1" t="str">
        <f>CONCATENATE("Please enter ",J18," ","between ",'Critical Illness'!L6," and ",'Critical Illness'!M6,".")</f>
        <v>Please enter Inflation Adjusted Return (Rate of Return) between -0.2 and 0.2.</v>
      </c>
    </row>
    <row r="19" spans="3:13">
      <c r="C19" s="1" t="s">
        <v>1295</v>
      </c>
      <c r="D19" s="26" t="b">
        <v>1</v>
      </c>
      <c r="J19" s="1" t="s">
        <v>40</v>
      </c>
      <c r="K19" s="1" t="s">
        <v>1436</v>
      </c>
      <c r="L19" s="1" t="str">
        <f>CONCATENATE("Please enter ",J19," ","between ",'Critical Illness'!L7," and ",'Critical Illness'!M7,".")</f>
        <v>Please enter Estimated Treatment Costs between 0 and 999999999.</v>
      </c>
    </row>
    <row r="20" spans="3:13">
      <c r="J20" s="1" t="s">
        <v>23</v>
      </c>
      <c r="K20" s="1" t="s">
        <v>1437</v>
      </c>
      <c r="L20" s="1" t="str">
        <f>CONCATENATE("Please enter ",J20," ","between ",'Critical Illness'!L8," and ",'Critical Illness'!M8,".")</f>
        <v>Please enter Existing Insurance between 0 and 999999999.</v>
      </c>
    </row>
    <row r="21" spans="3:13">
      <c r="J21" s="1" t="s">
        <v>24</v>
      </c>
      <c r="K21" s="1" t="s">
        <v>1438</v>
      </c>
      <c r="L21" s="1" t="str">
        <f>CONCATENATE("Please enter ",J21," ","between ",'Critical Illness'!L9," and ",'Critical Illness'!M9,".")</f>
        <v>Please enter Existing Assets between 0 and 999999999.</v>
      </c>
    </row>
    <row r="22" spans="3:13">
      <c r="J22" s="1" t="s">
        <v>240</v>
      </c>
      <c r="K22" s="1" t="s">
        <v>1439</v>
      </c>
      <c r="L22" s="1" t="str">
        <f>CONCATENATE("Please enter ",J22," ","between ",'Critical Illness'!L10," and ",'Critical Illness'!M10,".")</f>
        <v>Please enter Lump Sum Post Critical Illness Expenses needed between 0 and 999999999.</v>
      </c>
    </row>
    <row r="23" spans="3:13">
      <c r="J23" s="1" t="s">
        <v>11</v>
      </c>
      <c r="K23" s="1" t="s">
        <v>1440</v>
      </c>
      <c r="L23" s="1" t="str">
        <f>CONCATENATE("Please enter ",J23," ","between ",'Critical Illness'!L11," and ",'Critical Illness'!M11,".")</f>
        <v>Please enter Existing Resources between 0 and 999999999.</v>
      </c>
    </row>
    <row r="24" spans="3:13">
      <c r="J24" s="1" t="s">
        <v>241</v>
      </c>
      <c r="K24" s="1" t="s">
        <v>1441</v>
      </c>
      <c r="L24" s="1" t="str">
        <f>CONCATENATE("Please enter ",J24," ","between ",'Critical Illness'!L12," and ",'Critical Illness'!M12,".")</f>
        <v>Please enter Critical Illness Protection Gap (Total shortfall) between -999999999 and 999999999.</v>
      </c>
    </row>
    <row r="25" spans="3:13">
      <c r="J25" s="1" t="s">
        <v>229</v>
      </c>
      <c r="K25" s="1" t="s">
        <v>1442</v>
      </c>
      <c r="L25" s="1" t="str">
        <f>CONCATENATE("Please enter ",J25," ","between ",'Critical Illness'!L13," and ",'Critical Illness'!M13,".")</f>
        <v>Please enter Total Cash Needs between 0 and 999999999.</v>
      </c>
    </row>
    <row r="27" spans="3:13">
      <c r="J27" s="9" t="s">
        <v>15</v>
      </c>
      <c r="K27" s="9" t="s">
        <v>4</v>
      </c>
      <c r="L27" s="9" t="s">
        <v>16</v>
      </c>
      <c r="M27" s="9" t="s">
        <v>17</v>
      </c>
    </row>
    <row r="28" spans="3:13">
      <c r="J28" s="1" t="s">
        <v>13</v>
      </c>
      <c r="K28" s="1">
        <f>input_NeedAnalysis_WealthProtectionNeed_CriticalIllnessProtection_DesiredAnnualIncomeRequirements</f>
        <v>200000</v>
      </c>
      <c r="L28" s="1" t="b">
        <f>IF(OR(K28&lt;'Critical Illness'!L4,K28&gt;'Critical Illness'!M4),FALSE,TRUE)</f>
        <v>1</v>
      </c>
      <c r="M28" s="53" t="str">
        <f>IF(L28=FALSE,VLOOKUP(J28,'Critical Illness'!$J$16:$K$25,2,0),"")</f>
        <v/>
      </c>
    </row>
    <row r="29" spans="3:13">
      <c r="J29" s="1" t="s">
        <v>39</v>
      </c>
      <c r="K29" s="1">
        <f>input_NeedAnalysis_WealthProtectionNeed_CriticalIllnessProtection_DurationOfGoal</f>
        <v>20</v>
      </c>
      <c r="L29" s="1" t="b">
        <f>IF(OR(K29&lt;'Critical Illness'!L5,K29&gt;'Critical Illness'!M5),FALSE,TRUE)</f>
        <v>1</v>
      </c>
      <c r="M29" s="53" t="str">
        <f>IF(L29=FALSE,VLOOKUP(J29,'Critical Illness'!$J$16:$K$25,2,0),"")</f>
        <v/>
      </c>
    </row>
    <row r="30" spans="3:13">
      <c r="J30" s="1" t="s">
        <v>38</v>
      </c>
      <c r="K30" s="1">
        <f>input_NeedAnalysis_WealthProtectionNeed_CriticalIllnessProtection_InflationAdjustedRateOfReturn</f>
        <v>0.01</v>
      </c>
      <c r="L30" s="1" t="b">
        <f>IF(OR(K30&lt;'Critical Illness'!L6,K30&gt;'Critical Illness'!M6),FALSE,TRUE)</f>
        <v>1</v>
      </c>
      <c r="M30" s="53" t="str">
        <f>IF(L30=FALSE,VLOOKUP(J30,'Critical Illness'!$J$16:$K$25,2,0),"")</f>
        <v/>
      </c>
    </row>
    <row r="31" spans="3:13">
      <c r="J31" s="1" t="s">
        <v>40</v>
      </c>
      <c r="K31" s="1">
        <f>input_NeedAnalysis_WealthProtectionNeed_CriticalIllnessProtection_EstimatedTreatmentCosts</f>
        <v>100000</v>
      </c>
      <c r="L31" s="1" t="b">
        <f>IF(OR(K31&lt;'Critical Illness'!L7,K31&gt;'Critical Illness'!M7),FALSE,TRUE)</f>
        <v>1</v>
      </c>
      <c r="M31" s="53" t="str">
        <f>IF(L31=FALSE,VLOOKUP(J31,'Critical Illness'!$J$16:$K$25,2,0),"")</f>
        <v/>
      </c>
    </row>
    <row r="32" spans="3:13">
      <c r="J32" s="1" t="s">
        <v>23</v>
      </c>
      <c r="K32" s="1">
        <f>input_NeedAnalysis_WealthProtectionNeed_CriticalIllnessProtection_ResourceBreakdown_ExistingInsurance</f>
        <v>20000</v>
      </c>
      <c r="L32" s="1" t="b">
        <f>IF(OR(K32&lt;'Critical Illness'!L8,K32&gt;'Critical Illness'!M8),FALSE,TRUE)</f>
        <v>1</v>
      </c>
      <c r="M32" s="53" t="str">
        <f>IF(L32=FALSE,VLOOKUP(J32,'Critical Illness'!$J$16:$K$25,2,0),"")</f>
        <v/>
      </c>
    </row>
    <row r="33" spans="10:13">
      <c r="J33" s="1" t="s">
        <v>24</v>
      </c>
      <c r="K33" s="1">
        <f>input_NeedAnalysis_WealthProtectionNeed_CriticalIllnessProtection_ResourceBreakdown_ExistingAssets</f>
        <v>10000</v>
      </c>
      <c r="L33" s="1" t="b">
        <f>IF(OR(K33&lt;'Critical Illness'!L9,K33&gt;'Critical Illness'!M9),FALSE,TRUE)</f>
        <v>1</v>
      </c>
      <c r="M33" s="53" t="str">
        <f>IF(L33=FALSE,VLOOKUP(J33,'Critical Illness'!$J$16:$K$25,2,0),"")</f>
        <v/>
      </c>
    </row>
    <row r="34" spans="10:13">
      <c r="J34" s="1" t="s">
        <v>240</v>
      </c>
      <c r="K34" s="1">
        <f>input_NeedAnalysis_WealthProtectionNeed_CriticalIllnessProtection_CapitalSumRequired</f>
        <v>3645201.6991866329</v>
      </c>
      <c r="L34" s="1" t="b">
        <f>IF(OR(K34&lt;'Critical Illness'!L10,K34&gt;'Critical Illness'!M10),FALSE,TRUE)</f>
        <v>1</v>
      </c>
      <c r="M34" s="53" t="str">
        <f>IF(L34=FALSE,VLOOKUP(J34,'Critical Illness'!$J$16:$K$25,2,0),"")</f>
        <v/>
      </c>
    </row>
    <row r="35" spans="10:13">
      <c r="J35" s="1" t="s">
        <v>11</v>
      </c>
      <c r="K35" s="1">
        <f>input_NeedAnalysis_WealthProtectionNeed_CriticalIllnessProtection_ExistingResources</f>
        <v>30000</v>
      </c>
      <c r="L35" s="1" t="b">
        <f>IF(OR(K35&lt;'Critical Illness'!L11,K35&gt;'Critical Illness'!M11),FALSE,TRUE)</f>
        <v>1</v>
      </c>
      <c r="M35" s="53" t="str">
        <f>IF(L35=FALSE,VLOOKUP(J35,'Critical Illness'!$J$16:$K$25,2,0),"")</f>
        <v/>
      </c>
    </row>
    <row r="36" spans="10:13">
      <c r="J36" s="1" t="s">
        <v>241</v>
      </c>
      <c r="K36" s="1">
        <f>input_NeedAnalysis_WealthProtectionNeed_CriticalIllnessProtection_TotalShortfall</f>
        <v>3715201.6991866329</v>
      </c>
      <c r="L36" s="1" t="b">
        <f>IF(OR(K36&lt;'Critical Illness'!L12,K36&gt;'Critical Illness'!M12),FALSE,TRUE)</f>
        <v>1</v>
      </c>
      <c r="M36" s="53" t="str">
        <f>IF(L36=FALSE,VLOOKUP(J36,'Critical Illness'!$J$16:$K$25,2,0),"")</f>
        <v/>
      </c>
    </row>
    <row r="37" spans="10:13">
      <c r="J37" s="1" t="s">
        <v>229</v>
      </c>
      <c r="K37" s="1">
        <f>input_NeedAnalysis_WealthProtectionNeed_CriticalIllnessProtection_TotalCashNeeds</f>
        <v>3745201.6991866329</v>
      </c>
      <c r="L37" s="1" t="b">
        <f>IF(OR(K37&lt;'Critical Illness'!L13,K37&gt;'Critical Illness'!M13),FALSE,TRUE)</f>
        <v>1</v>
      </c>
      <c r="M37" s="53" t="str">
        <f>IF(L37=FALSE,VLOOKUP(J37,'Critical Illness'!$J$16:$K$25,2,0),"")</f>
        <v/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D45E-4224-4AFB-9CB9-6AF32DD6EB93}">
  <dimension ref="C1:N16"/>
  <sheetViews>
    <sheetView zoomScale="70" zoomScaleNormal="70" workbookViewId="0">
      <selection activeCell="D11" sqref="D11"/>
    </sheetView>
  </sheetViews>
  <sheetFormatPr defaultColWidth="11.1640625" defaultRowHeight="15.5"/>
  <cols>
    <col min="3" max="3" width="41" bestFit="1" customWidth="1"/>
    <col min="4" max="4" width="15.1640625" customWidth="1"/>
    <col min="5" max="5" width="13.83203125" customWidth="1"/>
    <col min="6" max="6" width="12.5" bestFit="1" customWidth="1"/>
    <col min="7" max="7" width="13" customWidth="1"/>
    <col min="8" max="8" width="17.5" bestFit="1" customWidth="1"/>
    <col min="10" max="10" width="13" bestFit="1" customWidth="1"/>
    <col min="11" max="11" width="13.83203125" bestFit="1" customWidth="1"/>
    <col min="13" max="13" width="18.08203125" bestFit="1" customWidth="1"/>
    <col min="14" max="14" width="23.08203125" bestFit="1" customWidth="1"/>
  </cols>
  <sheetData>
    <row r="1" spans="3:14">
      <c r="E1" s="1" t="s">
        <v>0</v>
      </c>
      <c r="F1" s="2"/>
      <c r="M1" t="s">
        <v>1299</v>
      </c>
      <c r="N1" t="s">
        <v>1301</v>
      </c>
    </row>
    <row r="2" spans="3:14">
      <c r="E2" s="1" t="s">
        <v>1</v>
      </c>
      <c r="F2" s="3"/>
      <c r="M2" t="s">
        <v>1297</v>
      </c>
      <c r="N2" t="s">
        <v>1298</v>
      </c>
    </row>
    <row r="3" spans="3:14">
      <c r="E3" s="1" t="s">
        <v>2</v>
      </c>
      <c r="F3" s="4"/>
      <c r="M3" t="s">
        <v>1300</v>
      </c>
      <c r="N3" t="s">
        <v>1302</v>
      </c>
    </row>
    <row r="4" spans="3:14">
      <c r="H4" s="9" t="s">
        <v>15</v>
      </c>
      <c r="I4" s="9" t="s">
        <v>17</v>
      </c>
      <c r="J4" s="9" t="s">
        <v>21</v>
      </c>
    </row>
    <row r="5" spans="3:14">
      <c r="H5" s="1" t="s">
        <v>1292</v>
      </c>
      <c r="I5" s="1" t="s">
        <v>1445</v>
      </c>
      <c r="J5" s="1" t="s">
        <v>1443</v>
      </c>
    </row>
    <row r="6" spans="3:14">
      <c r="H6" s="1" t="s">
        <v>1291</v>
      </c>
      <c r="I6" s="1" t="s">
        <v>1446</v>
      </c>
      <c r="J6" s="1" t="s">
        <v>1444</v>
      </c>
    </row>
    <row r="8" spans="3:14">
      <c r="C8" s="24" t="s">
        <v>42</v>
      </c>
      <c r="D8" s="27" t="b">
        <f>'Validation Input Received'!$D$7</f>
        <v>1</v>
      </c>
      <c r="H8" s="9" t="s">
        <v>15</v>
      </c>
      <c r="I8" s="9" t="s">
        <v>4</v>
      </c>
      <c r="J8" s="9" t="s">
        <v>16</v>
      </c>
      <c r="K8" s="9" t="s">
        <v>17</v>
      </c>
    </row>
    <row r="9" spans="3:14">
      <c r="C9" s="1" t="s">
        <v>1292</v>
      </c>
      <c r="D9" s="26" t="s">
        <v>1297</v>
      </c>
      <c r="H9" s="1" t="s">
        <v>1292</v>
      </c>
      <c r="I9" s="1" t="str">
        <f>input_NeedAnalysis_WealthProtectionNeed_HospitalProtection_HospitalType</f>
        <v>PRIVATE</v>
      </c>
      <c r="J9" s="95" t="b">
        <f>OR(input_NeedAnalysis_WealthProtectionNeed_HospitalProtection_HospitalType="",NOT(ISERROR(VLOOKUP(input_NeedAnalysis_WealthProtectionNeed_HospitalProtection_HospitalType,M2:M3,1,0))))</f>
        <v>1</v>
      </c>
      <c r="K9" s="53" t="str">
        <f>IF(J9=FALSE,VLOOKUP(H9,'Critical Illness'!$J$16:$K$25,2,0),"")</f>
        <v/>
      </c>
    </row>
    <row r="10" spans="3:14">
      <c r="C10" s="1" t="s">
        <v>1291</v>
      </c>
      <c r="D10" s="26" t="s">
        <v>1298</v>
      </c>
      <c r="H10" s="1" t="s">
        <v>1291</v>
      </c>
      <c r="I10" s="1" t="str">
        <f>input_NeedAnalysis_WealthProtectionNeed_HospitalProtection_HospitalWardType</f>
        <v>A</v>
      </c>
      <c r="J10" s="95" t="b">
        <f>OR(input_NeedAnalysis_WealthProtectionNeed_HospitalProtection_HospitalWardType="",NOT(ISERROR(VLOOKUP(input_NeedAnalysis_WealthProtectionNeed_HospitalProtection_HospitalWardType,N2:N3,1,0))))</f>
        <v>1</v>
      </c>
      <c r="K10" s="53" t="str">
        <f>IF(J10=FALSE,VLOOKUP(H10,'Critical Illness'!$J$16:$K$25,2,0),"")</f>
        <v/>
      </c>
    </row>
    <row r="11" spans="3:14">
      <c r="C11" s="1" t="s">
        <v>1296</v>
      </c>
      <c r="D11" s="26" t="b">
        <v>1</v>
      </c>
    </row>
    <row r="14" spans="3:14" ht="16" thickBot="1"/>
    <row r="15" spans="3:14">
      <c r="C15" s="10" t="s">
        <v>22</v>
      </c>
      <c r="D15" s="15" t="b">
        <f>IF(NOT(D8),TRUE,IF(COUNTIF(J9:J10,FALSE)=0,TRUE,VLOOKUP(FALSE,J9:K10,2,0)))</f>
        <v>1</v>
      </c>
    </row>
    <row r="16" spans="3:14" ht="16" thickBot="1">
      <c r="C16" s="12" t="s">
        <v>21</v>
      </c>
      <c r="D16" s="22" t="str">
        <f>IF(output_NeedAnalysis_WealthProtectionNeed_HospitalProtection_Validation=TRUE,"",VLOOKUP(output_NeedAnalysis_WealthProtectionNeed_HospitalProtection_Validation,I5:J6,2,0))</f>
        <v/>
      </c>
    </row>
  </sheetData>
  <dataValidations count="3">
    <dataValidation type="list" allowBlank="1" showInputMessage="1" showErrorMessage="1" sqref="D9" xr:uid="{D9F32585-1738-44C7-97C1-2D597C214115}">
      <formula1>$M$2:$M$3</formula1>
    </dataValidation>
    <dataValidation type="list" allowBlank="1" showInputMessage="1" showErrorMessage="1" sqref="D10" xr:uid="{24CF73E5-6337-44CD-80EB-1250270565E0}">
      <formula1>$N$2:$N$3</formula1>
    </dataValidation>
    <dataValidation type="list" allowBlank="1" showInputMessage="1" showErrorMessage="1" sqref="D11" xr:uid="{C03EF608-F620-4D48-82DF-DB4A3715DE6D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6F9B-3E33-F241-9A8B-FA10A7B41545}">
  <dimension ref="C1:M25"/>
  <sheetViews>
    <sheetView zoomScale="62" workbookViewId="0">
      <selection activeCell="D10" sqref="D10"/>
    </sheetView>
  </sheetViews>
  <sheetFormatPr defaultColWidth="11.1640625" defaultRowHeight="15.5"/>
  <cols>
    <col min="3" max="3" width="41" bestFit="1" customWidth="1"/>
    <col min="4" max="4" width="18.1640625" customWidth="1"/>
    <col min="5" max="5" width="9" bestFit="1" customWidth="1"/>
    <col min="7" max="7" width="13" bestFit="1" customWidth="1"/>
    <col min="8" max="8" width="12.5" bestFit="1" customWidth="1"/>
    <col min="10" max="10" width="41.08203125" bestFit="1" customWidth="1"/>
    <col min="11" max="11" width="12.5" bestFit="1" customWidth="1"/>
    <col min="12" max="12" width="83.83203125" bestFit="1" customWidth="1"/>
    <col min="13" max="13" width="13.83203125" bestFit="1" customWidth="1"/>
  </cols>
  <sheetData>
    <row r="1" spans="3:13">
      <c r="F1" s="1" t="s">
        <v>0</v>
      </c>
      <c r="G1" s="2"/>
    </row>
    <row r="2" spans="3:13">
      <c r="F2" s="1" t="s">
        <v>1</v>
      </c>
      <c r="G2" s="3"/>
    </row>
    <row r="3" spans="3:13">
      <c r="C3" s="24" t="s">
        <v>42</v>
      </c>
      <c r="D3" s="2" t="b">
        <f>'Validation Input Received'!$D$8</f>
        <v>1</v>
      </c>
      <c r="F3" s="1" t="s">
        <v>2</v>
      </c>
      <c r="G3" s="4"/>
      <c r="J3" s="9" t="s">
        <v>15</v>
      </c>
      <c r="K3" s="9" t="s">
        <v>18</v>
      </c>
      <c r="L3" s="9" t="s">
        <v>19</v>
      </c>
      <c r="M3" s="9" t="s">
        <v>20</v>
      </c>
    </row>
    <row r="4" spans="3:13">
      <c r="C4" s="1" t="s">
        <v>41</v>
      </c>
      <c r="D4" s="26">
        <v>10000</v>
      </c>
      <c r="J4" s="1" t="s">
        <v>41</v>
      </c>
      <c r="K4" s="1">
        <f>input_NeedAnalysis_WealthProtectionNeed_LongTermCareProtection_ReplacementIncomeNeededPerMonth</f>
        <v>10000</v>
      </c>
      <c r="L4" s="1">
        <v>0</v>
      </c>
      <c r="M4" s="1">
        <v>999999999</v>
      </c>
    </row>
    <row r="5" spans="3:13">
      <c r="C5" s="1" t="s">
        <v>23</v>
      </c>
      <c r="D5" s="26">
        <v>20000</v>
      </c>
      <c r="J5" s="1" t="s">
        <v>23</v>
      </c>
      <c r="K5" s="1">
        <f>input_NeedAnalysis_WealthProtectionNeed_LongTermCareProtection_ResourceBreakdown_ExistingInsurance</f>
        <v>20000</v>
      </c>
      <c r="L5" s="1">
        <v>0</v>
      </c>
      <c r="M5" s="1">
        <v>999999999</v>
      </c>
    </row>
    <row r="6" spans="3:13">
      <c r="C6" s="1" t="s">
        <v>24</v>
      </c>
      <c r="D6" s="26">
        <v>30000</v>
      </c>
      <c r="J6" s="1" t="s">
        <v>24</v>
      </c>
      <c r="K6" s="1">
        <f>input_NeedAnalysis_WealthProtectionNeed_LongTermCareProtection_ResourceBreakdown_ExistingAssets</f>
        <v>30000</v>
      </c>
      <c r="L6" s="1">
        <v>0</v>
      </c>
      <c r="M6" s="1">
        <v>999999999</v>
      </c>
    </row>
    <row r="7" spans="3:13">
      <c r="C7" s="1" t="s">
        <v>242</v>
      </c>
      <c r="D7" s="26">
        <v>3096924.9865545123</v>
      </c>
      <c r="J7" s="1" t="s">
        <v>242</v>
      </c>
      <c r="K7" s="1">
        <f>input_NeedAnalysis_WealthProtectionNeed_LongTermCareProtection_CapitalSumRequired</f>
        <v>3096924.9865545123</v>
      </c>
      <c r="L7" s="1">
        <v>0</v>
      </c>
      <c r="M7" s="1">
        <v>999999999</v>
      </c>
    </row>
    <row r="8" spans="3:13">
      <c r="C8" s="1" t="s">
        <v>11</v>
      </c>
      <c r="D8" s="26">
        <v>50000</v>
      </c>
      <c r="J8" s="1" t="s">
        <v>11</v>
      </c>
      <c r="K8" s="1">
        <f>input_NeedAnalysis_WealthProtectionNeed_LongTermCareProtection_ExistingResources</f>
        <v>50000</v>
      </c>
      <c r="L8" s="1">
        <v>0</v>
      </c>
      <c r="M8" s="1">
        <v>999999999</v>
      </c>
    </row>
    <row r="9" spans="3:13">
      <c r="C9" s="1" t="s">
        <v>243</v>
      </c>
      <c r="D9" s="26">
        <v>3046924.9865545123</v>
      </c>
      <c r="J9" s="1" t="s">
        <v>243</v>
      </c>
      <c r="K9" s="1">
        <f>input_NeedAnalysis_WealthProtectionNeed_LongTermCareProtection_TotalShortfall</f>
        <v>3046924.9865545123</v>
      </c>
      <c r="L9" s="1">
        <v>-999999999</v>
      </c>
      <c r="M9" s="1">
        <v>999999999</v>
      </c>
    </row>
    <row r="10" spans="3:13">
      <c r="C10" s="1" t="s">
        <v>1295</v>
      </c>
      <c r="D10" s="26" t="b">
        <v>1</v>
      </c>
    </row>
    <row r="11" spans="3:13">
      <c r="J11" s="9" t="s">
        <v>15</v>
      </c>
      <c r="K11" s="9" t="s">
        <v>17</v>
      </c>
      <c r="L11" s="9" t="s">
        <v>21</v>
      </c>
    </row>
    <row r="12" spans="3:13" ht="16" thickBot="1">
      <c r="J12" s="1" t="s">
        <v>41</v>
      </c>
      <c r="K12" s="1" t="s">
        <v>1447</v>
      </c>
      <c r="L12" s="1" t="str">
        <f t="shared" ref="L12:L17" si="0">CONCATENATE("Please enter ",J12," ","between ",L4," and ",M4,".")</f>
        <v>Please enter Replacement Income Needed Per Month between 0 and 999999999.</v>
      </c>
    </row>
    <row r="13" spans="3:13">
      <c r="G13" s="10" t="s">
        <v>22</v>
      </c>
      <c r="H13" s="11" t="b">
        <f>IF(NOT(D3),TRUE,IF(COUNTIF(L20:L25,FALSE)=0,TRUE,VLOOKUP(FALSE,$L$20:$M$25,2,0)))</f>
        <v>1</v>
      </c>
      <c r="J13" s="1" t="s">
        <v>23</v>
      </c>
      <c r="K13" s="1" t="s">
        <v>1448</v>
      </c>
      <c r="L13" s="1" t="str">
        <f t="shared" si="0"/>
        <v>Please enter Existing Insurance between 0 and 999999999.</v>
      </c>
    </row>
    <row r="14" spans="3:13" ht="16" thickBot="1">
      <c r="G14" s="12" t="s">
        <v>21</v>
      </c>
      <c r="H14" s="21" t="str">
        <f>IF(output_NeedAnalysis_WealthProtectionNeed_LongTermCareProtection_Validation=TRUE,"",VLOOKUP(output_NeedAnalysis_WealthProtectionNeed_LongTermCareProtection_Validation,'Long-Term Care'!$K12:L17,2,0))</f>
        <v/>
      </c>
      <c r="J14" s="1" t="s">
        <v>24</v>
      </c>
      <c r="K14" s="1" t="s">
        <v>1449</v>
      </c>
      <c r="L14" s="1" t="str">
        <f t="shared" si="0"/>
        <v>Please enter Existing Assets between 0 and 999999999.</v>
      </c>
    </row>
    <row r="15" spans="3:13">
      <c r="J15" s="1" t="s">
        <v>242</v>
      </c>
      <c r="K15" s="1" t="s">
        <v>1450</v>
      </c>
      <c r="L15" s="1" t="str">
        <f t="shared" si="0"/>
        <v>Please enter Lump Sum Long-Term Care Expenses needed between 0 and 999999999.</v>
      </c>
    </row>
    <row r="16" spans="3:13">
      <c r="D16" s="23"/>
      <c r="J16" s="1" t="s">
        <v>11</v>
      </c>
      <c r="K16" s="1" t="s">
        <v>1451</v>
      </c>
      <c r="L16" s="1" t="str">
        <f t="shared" si="0"/>
        <v>Please enter Existing Resources between 0 and 999999999.</v>
      </c>
    </row>
    <row r="17" spans="10:13">
      <c r="J17" s="1" t="s">
        <v>243</v>
      </c>
      <c r="K17" s="1" t="s">
        <v>1452</v>
      </c>
      <c r="L17" s="1" t="str">
        <f t="shared" si="0"/>
        <v>Please enter Long-Term Care Protection Gap (Total shortfall) between -999999999 and 999999999.</v>
      </c>
    </row>
    <row r="19" spans="10:13">
      <c r="J19" s="9" t="s">
        <v>15</v>
      </c>
      <c r="K19" s="9" t="s">
        <v>4</v>
      </c>
      <c r="L19" s="9" t="s">
        <v>16</v>
      </c>
      <c r="M19" s="9" t="s">
        <v>17</v>
      </c>
    </row>
    <row r="20" spans="10:13">
      <c r="J20" s="1" t="s">
        <v>41</v>
      </c>
      <c r="K20" s="1">
        <f>input_NeedAnalysis_WealthProtectionNeed_LongTermCareProtection_ReplacementIncomeNeededPerMonth</f>
        <v>10000</v>
      </c>
      <c r="L20" s="1" t="b">
        <f>NOT(ISBLANK(input_PreferedHospital))</f>
        <v>1</v>
      </c>
      <c r="M20" s="53" t="str">
        <f>IF(L20=FALSE,VLOOKUP(J20,'Long-Term Care'!$J$12:$K$17,2,0),"")</f>
        <v/>
      </c>
    </row>
    <row r="21" spans="10:13">
      <c r="J21" s="1" t="s">
        <v>23</v>
      </c>
      <c r="K21" s="1">
        <f>input_NeedAnalysis_WealthProtectionNeed_LongTermCareProtection_ResourceBreakdown_ExistingInsurance</f>
        <v>20000</v>
      </c>
      <c r="L21" s="1" t="b">
        <f>NOT(ISBLANK(input_PreferredClass))</f>
        <v>1</v>
      </c>
      <c r="M21" s="53" t="str">
        <f>IF(L21=FALSE,VLOOKUP(J21,'Long-Term Care'!$J$12:$K$17,2,0),"")</f>
        <v/>
      </c>
    </row>
    <row r="22" spans="10:13">
      <c r="J22" s="1" t="s">
        <v>24</v>
      </c>
      <c r="K22" s="1">
        <f>input_NeedAnalysis_WealthProtectionNeed_LongTermCareProtection_ResourceBreakdown_ExistingAssets</f>
        <v>30000</v>
      </c>
      <c r="L22" s="1" t="b">
        <f>NOT(ISBLANK(input_ExistingCoveredHospital))</f>
        <v>1</v>
      </c>
      <c r="M22" s="53" t="str">
        <f>IF(L22=FALSE,VLOOKUP(J22,'Long-Term Care'!$J$12:$K$17,2,0),"")</f>
        <v/>
      </c>
    </row>
    <row r="23" spans="10:13">
      <c r="J23" s="1" t="s">
        <v>242</v>
      </c>
      <c r="K23" s="1">
        <f>input_NeedAnalysis_WealthProtectionNeed_LongTermCareProtection_CapitalSumRequired</f>
        <v>3096924.9865545123</v>
      </c>
      <c r="L23" s="1" t="b">
        <f>NOT(ISBLANK(input_ExistingCoveredClass))</f>
        <v>1</v>
      </c>
      <c r="M23" s="53" t="str">
        <f>IF(L23=FALSE,VLOOKUP(J23,'Long-Term Care'!$J$12:$K$17,2,0),"")</f>
        <v/>
      </c>
    </row>
    <row r="24" spans="10:13">
      <c r="J24" s="1" t="s">
        <v>11</v>
      </c>
      <c r="K24" s="1">
        <f>input_NeedAnalysis_WealthProtectionNeed_LongTermCareProtection_ExistingResources</f>
        <v>50000</v>
      </c>
      <c r="L24" s="1" t="b">
        <f>IF(OR(K24&lt;'Long-Term Care'!L8,K24&gt;'Long-Term Care'!M8),FALSE,TRUE)</f>
        <v>1</v>
      </c>
      <c r="M24" s="53" t="str">
        <f>IF(L24=FALSE,VLOOKUP(J24,'Long-Term Care'!$J$12:$K$17,2,0),"")</f>
        <v/>
      </c>
    </row>
    <row r="25" spans="10:13">
      <c r="J25" s="1" t="s">
        <v>243</v>
      </c>
      <c r="K25" s="1">
        <f>input_NeedAnalysis_WealthProtectionNeed_LongTermCareProtection_TotalShortfall</f>
        <v>3046924.9865545123</v>
      </c>
      <c r="L25" s="1" t="b">
        <f>IF(OR(K25&lt;'Long-Term Care'!L9,K25&gt;'Long-Term Care'!M9),FALSE,TRUE)</f>
        <v>1</v>
      </c>
      <c r="M25" s="53" t="str">
        <f>IF(L25=FALSE,VLOOKUP(J25,'Long-Term Care'!$J$12:$K$17,2,0),"")</f>
        <v/>
      </c>
    </row>
  </sheetData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E4B9-9EDF-0647-8F5A-FE1DF8D270AF}">
  <dimension ref="C1:K26"/>
  <sheetViews>
    <sheetView zoomScale="80" zoomScaleNormal="80" workbookViewId="0">
      <selection activeCell="D10" sqref="D10"/>
    </sheetView>
  </sheetViews>
  <sheetFormatPr defaultColWidth="11.1640625" defaultRowHeight="15.5"/>
  <cols>
    <col min="3" max="3" width="24.83203125" bestFit="1" customWidth="1"/>
    <col min="4" max="4" width="12.5" bestFit="1" customWidth="1"/>
    <col min="5" max="5" width="13" bestFit="1" customWidth="1"/>
    <col min="7" max="7" width="13.6640625" bestFit="1" customWidth="1"/>
    <col min="8" max="8" width="25.6640625" bestFit="1" customWidth="1"/>
    <col min="9" max="9" width="11" customWidth="1"/>
    <col min="10" max="10" width="70.58203125" bestFit="1" customWidth="1"/>
    <col min="11" max="11" width="13.83203125" bestFit="1" customWidth="1"/>
  </cols>
  <sheetData>
    <row r="1" spans="3:11">
      <c r="E1" s="1" t="s">
        <v>0</v>
      </c>
      <c r="F1" s="2"/>
    </row>
    <row r="2" spans="3:11">
      <c r="E2" s="1" t="s">
        <v>1</v>
      </c>
      <c r="F2" s="3"/>
    </row>
    <row r="3" spans="3:11">
      <c r="C3" s="24" t="s">
        <v>42</v>
      </c>
      <c r="D3" s="4" t="b">
        <f>'Validation Input Received'!$D$9</f>
        <v>1</v>
      </c>
      <c r="E3" s="1" t="s">
        <v>2</v>
      </c>
      <c r="F3" s="4"/>
    </row>
    <row r="4" spans="3:11">
      <c r="C4" s="1" t="s">
        <v>29</v>
      </c>
      <c r="D4" s="2">
        <v>200000</v>
      </c>
      <c r="H4" s="9" t="s">
        <v>15</v>
      </c>
      <c r="I4" s="9" t="s">
        <v>18</v>
      </c>
      <c r="J4" s="9" t="s">
        <v>19</v>
      </c>
      <c r="K4" s="9" t="s">
        <v>20</v>
      </c>
    </row>
    <row r="5" spans="3:11">
      <c r="C5" s="1" t="s">
        <v>23</v>
      </c>
      <c r="D5" s="2">
        <v>10000</v>
      </c>
      <c r="H5" s="1" t="s">
        <v>29</v>
      </c>
      <c r="I5" s="1">
        <f>input_NeedAnalysis_WealthProtectionNeed_PersonalAccidentProtection_AmountNeeded</f>
        <v>200000</v>
      </c>
      <c r="J5" s="1">
        <v>0</v>
      </c>
      <c r="K5" s="1">
        <v>999999999</v>
      </c>
    </row>
    <row r="6" spans="3:11">
      <c r="C6" s="1" t="s">
        <v>24</v>
      </c>
      <c r="D6" s="2">
        <v>20000</v>
      </c>
      <c r="H6" s="1" t="s">
        <v>23</v>
      </c>
      <c r="I6" s="1">
        <f>input_NeedAnalysis_WealthProtectionNeed_PersonalAccidentProtection_ResourceBreakdown_ExistingInsurance</f>
        <v>10000</v>
      </c>
      <c r="J6" s="1">
        <v>0</v>
      </c>
      <c r="K6" s="1">
        <v>999999999</v>
      </c>
    </row>
    <row r="7" spans="3:11">
      <c r="C7" s="1" t="s">
        <v>236</v>
      </c>
      <c r="D7" s="2">
        <v>200000</v>
      </c>
      <c r="H7" s="1" t="s">
        <v>24</v>
      </c>
      <c r="I7" s="1">
        <f>input_NeedAnalysis_WealthProtectionNeed_PersonalAccidentProtection_ResourceBreakdown_ExistingAssets</f>
        <v>20000</v>
      </c>
      <c r="J7" s="1">
        <v>0</v>
      </c>
      <c r="K7" s="1">
        <v>999999999</v>
      </c>
    </row>
    <row r="8" spans="3:11">
      <c r="C8" s="1" t="s">
        <v>11</v>
      </c>
      <c r="D8" s="2">
        <v>30000</v>
      </c>
      <c r="H8" s="1" t="s">
        <v>236</v>
      </c>
      <c r="I8" s="1">
        <f>input_NeedAnalysis_WealthProtectionNeed_PersonalAccidentProtection_CapitalSumRequired</f>
        <v>200000</v>
      </c>
      <c r="J8" s="1">
        <v>0</v>
      </c>
      <c r="K8" s="1">
        <v>999999999</v>
      </c>
    </row>
    <row r="9" spans="3:11" ht="16" thickBot="1">
      <c r="C9" s="1" t="s">
        <v>237</v>
      </c>
      <c r="D9" s="2">
        <v>170000</v>
      </c>
      <c r="H9" s="1" t="s">
        <v>11</v>
      </c>
      <c r="I9" s="1">
        <f>input_NeedAnalysis_WealthProtectionNeed_PersonalAccidentProtection_ExistingResources</f>
        <v>30000</v>
      </c>
      <c r="J9" s="1">
        <v>0</v>
      </c>
      <c r="K9" s="1">
        <v>999999999</v>
      </c>
    </row>
    <row r="10" spans="3:11">
      <c r="C10" s="1" t="s">
        <v>1295</v>
      </c>
      <c r="D10" s="26" t="b">
        <v>1</v>
      </c>
      <c r="E10" s="10" t="s">
        <v>22</v>
      </c>
      <c r="F10" s="15" t="b">
        <f>IF(NOT(D3),TRUE,IF(COUNTIF('Personal Accident'!J21:J26,FALSE)=0,TRUE,VLOOKUP(FALSE,'Personal Accident'!$J21:$K$26,2,0)))</f>
        <v>1</v>
      </c>
      <c r="H10" s="1" t="s">
        <v>237</v>
      </c>
      <c r="I10" s="1">
        <f>input_NeedAnalysis_WealthProtectionNeed_PersonalAccidentProtection_TotalShortfall</f>
        <v>170000</v>
      </c>
      <c r="J10" s="1">
        <v>-999999999</v>
      </c>
      <c r="K10" s="1">
        <v>999999999</v>
      </c>
    </row>
    <row r="11" spans="3:11" ht="16" thickBot="1">
      <c r="E11" s="12" t="s">
        <v>21</v>
      </c>
      <c r="F11" s="14" t="str">
        <f>IF(output_NeedAnalysis_WealthProtectionNeed_PersonalAccidentProtection_Validation=TRUE,"",VLOOKUP(output_NeedAnalysis_WealthProtectionNeed_PersonalAccidentProtection_Validation,'Personal Accident'!$I13:J18,2,0))</f>
        <v/>
      </c>
    </row>
    <row r="12" spans="3:11">
      <c r="H12" s="9" t="s">
        <v>15</v>
      </c>
      <c r="I12" s="9" t="s">
        <v>17</v>
      </c>
      <c r="J12" s="9" t="s">
        <v>21</v>
      </c>
    </row>
    <row r="13" spans="3:11">
      <c r="H13" s="1" t="s">
        <v>29</v>
      </c>
      <c r="I13" s="1" t="s">
        <v>1453</v>
      </c>
      <c r="J13" s="1" t="str">
        <f>CONCATENATE("Please enter ",H13," ","between ",'Personal Accident'!J5," and ",'Personal Accident'!K5,".")</f>
        <v>Please enter Amount Needed between 0 and 999999999.</v>
      </c>
    </row>
    <row r="14" spans="3:11">
      <c r="H14" s="1" t="s">
        <v>23</v>
      </c>
      <c r="I14" s="1" t="s">
        <v>1454</v>
      </c>
      <c r="J14" s="1" t="str">
        <f>CONCATENATE("Please enter ",H14," ","between ",'Personal Accident'!J6," and ",'Personal Accident'!K6,".")</f>
        <v>Please enter Existing Insurance between 0 and 999999999.</v>
      </c>
    </row>
    <row r="15" spans="3:11">
      <c r="H15" s="1" t="s">
        <v>24</v>
      </c>
      <c r="I15" s="1" t="s">
        <v>1455</v>
      </c>
      <c r="J15" s="1" t="str">
        <f>CONCATENATE("Please enter ",H15," ","between ",'Personal Accident'!J7," and ",'Personal Accident'!K7,".")</f>
        <v>Please enter Existing Assets between 0 and 999999999.</v>
      </c>
    </row>
    <row r="16" spans="3:11">
      <c r="H16" s="1" t="s">
        <v>236</v>
      </c>
      <c r="I16" s="1" t="s">
        <v>1456</v>
      </c>
      <c r="J16" s="1" t="str">
        <f>CONCATENATE("Please enter ",H16," ","between ",'Personal Accident'!J8," and ",'Personal Accident'!K8,".")</f>
        <v>Please enter Lump Sum Savings Needed between 0 and 999999999.</v>
      </c>
    </row>
    <row r="17" spans="8:11">
      <c r="H17" s="1" t="s">
        <v>11</v>
      </c>
      <c r="I17" s="1" t="s">
        <v>1457</v>
      </c>
      <c r="J17" s="1" t="str">
        <f>CONCATENATE("Please enter ",H17," ","between ",'Personal Accident'!J9," and ",'Personal Accident'!K9,".")</f>
        <v>Please enter Existing Resources between 0 and 999999999.</v>
      </c>
    </row>
    <row r="18" spans="8:11">
      <c r="H18" s="1" t="s">
        <v>237</v>
      </c>
      <c r="I18" s="1" t="s">
        <v>1458</v>
      </c>
      <c r="J18" s="1" t="str">
        <f>CONCATENATE("Please enter ",H18," ","between ",'Personal Accident'!J10," and ",'Personal Accident'!K10,".")</f>
        <v>Please enter Savings Gap (Total shortfall) between -999999999 and 999999999.</v>
      </c>
    </row>
    <row r="20" spans="8:11">
      <c r="H20" s="9" t="s">
        <v>15</v>
      </c>
      <c r="I20" s="9" t="s">
        <v>4</v>
      </c>
      <c r="J20" s="9" t="s">
        <v>16</v>
      </c>
      <c r="K20" s="9" t="s">
        <v>17</v>
      </c>
    </row>
    <row r="21" spans="8:11">
      <c r="H21" s="1" t="s">
        <v>29</v>
      </c>
      <c r="I21" s="1">
        <f>input_NeedAnalysis_WealthProtectionNeed_PersonalAccidentProtection_AmountNeeded</f>
        <v>200000</v>
      </c>
      <c r="J21" s="1" t="b">
        <f>IF(OR(I21&lt;'Personal Accident'!J5,I21&gt;'Personal Accident'!K5),FALSE,TRUE)</f>
        <v>1</v>
      </c>
      <c r="K21" s="53" t="str">
        <f>IF(J21=FALSE,VLOOKUP(H21,'Personal Accident'!$H$13:$I$18,2,0),"")</f>
        <v/>
      </c>
    </row>
    <row r="22" spans="8:11">
      <c r="H22" s="1" t="s">
        <v>23</v>
      </c>
      <c r="I22" s="1">
        <f>input_NeedAnalysis_WealthProtectionNeed_PersonalAccidentProtection_ResourceBreakdown_ExistingInsurance</f>
        <v>10000</v>
      </c>
      <c r="J22" s="1" t="b">
        <f>IF(OR(I22&lt;'Personal Accident'!J6,I22&gt;'Personal Accident'!K6),FALSE,TRUE)</f>
        <v>1</v>
      </c>
      <c r="K22" s="53" t="str">
        <f>IF(J22=FALSE,VLOOKUP(H22,'Personal Accident'!$H$13:$I$18,2,0),"")</f>
        <v/>
      </c>
    </row>
    <row r="23" spans="8:11">
      <c r="H23" s="1" t="s">
        <v>24</v>
      </c>
      <c r="I23" s="1">
        <f>input_NeedAnalysis_WealthProtectionNeed_PersonalAccidentProtection_ResourceBreakdown_ExistingAssets</f>
        <v>20000</v>
      </c>
      <c r="J23" s="1" t="b">
        <f>IF(OR(I23&lt;'Personal Accident'!J7,I23&gt;'Personal Accident'!K7),FALSE,TRUE)</f>
        <v>1</v>
      </c>
      <c r="K23" s="53" t="str">
        <f>IF(J23=FALSE,VLOOKUP(H23,'Personal Accident'!$H$13:$I$18,2,0),"")</f>
        <v/>
      </c>
    </row>
    <row r="24" spans="8:11">
      <c r="H24" s="1" t="s">
        <v>236</v>
      </c>
      <c r="I24" s="1">
        <f>input_NeedAnalysis_WealthProtectionNeed_PersonalAccidentProtection_CapitalSumRequired</f>
        <v>200000</v>
      </c>
      <c r="J24" s="1" t="b">
        <f>IF(OR(I24&lt;'Personal Accident'!J8,I24&gt;'Personal Accident'!K8),FALSE,TRUE)</f>
        <v>1</v>
      </c>
      <c r="K24" s="53" t="str">
        <f>IF(J24=FALSE,VLOOKUP(H24,'Personal Accident'!$H$13:$I$18,2,0),"")</f>
        <v/>
      </c>
    </row>
    <row r="25" spans="8:11">
      <c r="H25" s="1" t="s">
        <v>11</v>
      </c>
      <c r="I25" s="1">
        <f>input_NeedAnalysis_WealthProtectionNeed_PersonalAccidentProtection_ExistingResources</f>
        <v>30000</v>
      </c>
      <c r="J25" s="1" t="b">
        <f>IF(OR(I25&lt;'Personal Accident'!J9,I25&gt;'Personal Accident'!K9),FALSE,TRUE)</f>
        <v>1</v>
      </c>
      <c r="K25" s="53" t="str">
        <f>IF(J25=FALSE,VLOOKUP(H25,'Personal Accident'!$H$13:$I$18,2,0),"")</f>
        <v/>
      </c>
    </row>
    <row r="26" spans="8:11">
      <c r="H26" s="1" t="s">
        <v>237</v>
      </c>
      <c r="I26" s="1">
        <f>input_NeedAnalysis_WealthProtectionNeed_PersonalAccidentProtection_TotalShortfall</f>
        <v>170000</v>
      </c>
      <c r="J26" s="1" t="b">
        <f>IF(OR(I26&lt;'Personal Accident'!J10,I26&gt;'Personal Accident'!K10),FALSE,TRUE)</f>
        <v>1</v>
      </c>
      <c r="K26" s="53" t="str">
        <f>IF(J26=FALSE,VLOOKUP(H26,'Personal Accident'!$H$13:$I$18,2,0),"")</f>
        <v/>
      </c>
    </row>
  </sheetData>
  <phoneticPr fontId="2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72E23-3164-4E09-AFA0-C56E03696D56}">
  <dimension ref="C1:K26"/>
  <sheetViews>
    <sheetView zoomScale="71" workbookViewId="0">
      <selection activeCell="D7" sqref="D7"/>
    </sheetView>
  </sheetViews>
  <sheetFormatPr defaultColWidth="11.1640625" defaultRowHeight="15.5"/>
  <cols>
    <col min="3" max="3" width="24.83203125" bestFit="1" customWidth="1"/>
    <col min="4" max="4" width="12.5" bestFit="1" customWidth="1"/>
    <col min="5" max="5" width="13" bestFit="1" customWidth="1"/>
    <col min="7" max="7" width="13.6640625" bestFit="1" customWidth="1"/>
    <col min="8" max="8" width="25.6640625" bestFit="1" customWidth="1"/>
    <col min="9" max="9" width="11" customWidth="1"/>
    <col min="10" max="10" width="70.58203125" bestFit="1" customWidth="1"/>
    <col min="11" max="11" width="13.83203125" bestFit="1" customWidth="1"/>
  </cols>
  <sheetData>
    <row r="1" spans="3:11">
      <c r="E1" s="1" t="s">
        <v>0</v>
      </c>
      <c r="F1" s="2"/>
    </row>
    <row r="2" spans="3:11">
      <c r="E2" s="1" t="s">
        <v>1</v>
      </c>
      <c r="F2" s="3"/>
    </row>
    <row r="3" spans="3:11">
      <c r="C3" s="24" t="s">
        <v>42</v>
      </c>
      <c r="D3" s="4" t="b">
        <f>'Validation Input Received'!$D$10</f>
        <v>1</v>
      </c>
      <c r="E3" s="1" t="s">
        <v>2</v>
      </c>
      <c r="F3" s="4"/>
    </row>
    <row r="4" spans="3:11">
      <c r="C4" s="1" t="s">
        <v>29</v>
      </c>
      <c r="D4" s="2">
        <v>200000</v>
      </c>
      <c r="H4" s="9" t="s">
        <v>15</v>
      </c>
      <c r="I4" s="9" t="s">
        <v>18</v>
      </c>
      <c r="J4" s="9" t="s">
        <v>19</v>
      </c>
      <c r="K4" s="9" t="s">
        <v>20</v>
      </c>
    </row>
    <row r="5" spans="3:11">
      <c r="C5" s="1" t="s">
        <v>23</v>
      </c>
      <c r="D5" s="2">
        <v>10000</v>
      </c>
      <c r="H5" s="1" t="s">
        <v>29</v>
      </c>
      <c r="I5" s="1">
        <f>input_NeedAnalysis_WealthProtectionNeed_FractureNeedProtection_AmountNeeded</f>
        <v>200000</v>
      </c>
      <c r="J5" s="1">
        <v>0</v>
      </c>
      <c r="K5" s="1">
        <v>999999999</v>
      </c>
    </row>
    <row r="6" spans="3:11">
      <c r="C6" s="1" t="s">
        <v>24</v>
      </c>
      <c r="D6" s="2">
        <v>20000</v>
      </c>
      <c r="H6" s="1" t="s">
        <v>23</v>
      </c>
      <c r="I6" s="1">
        <f>input_NeedAnalysis_WealthProtectionNeed_FractureNeedProtection_ResourceBreakdown_ExistingInsurance</f>
        <v>10000</v>
      </c>
      <c r="J6" s="1">
        <v>0</v>
      </c>
      <c r="K6" s="1">
        <v>999999999</v>
      </c>
    </row>
    <row r="7" spans="3:11">
      <c r="C7" s="1" t="s">
        <v>236</v>
      </c>
      <c r="D7" s="2">
        <v>200000</v>
      </c>
      <c r="H7" s="1" t="s">
        <v>24</v>
      </c>
      <c r="I7" s="1">
        <f>input_NeedAnalysis_WealthProtectionNeed_FractureNeedProtection_ResourceBreakdown_ExistingAssets</f>
        <v>20000</v>
      </c>
      <c r="J7" s="1">
        <v>0</v>
      </c>
      <c r="K7" s="1">
        <v>999999999</v>
      </c>
    </row>
    <row r="8" spans="3:11">
      <c r="C8" s="1" t="s">
        <v>11</v>
      </c>
      <c r="D8" s="2">
        <v>30000</v>
      </c>
      <c r="H8" s="1" t="s">
        <v>236</v>
      </c>
      <c r="I8" s="1">
        <f>input_NeedAnalysis_WealthProtectionNeed_FractureNeedProtection_CapitalSumRequired</f>
        <v>200000</v>
      </c>
      <c r="J8" s="1">
        <v>0</v>
      </c>
      <c r="K8" s="1">
        <v>999999999</v>
      </c>
    </row>
    <row r="9" spans="3:11" ht="16" thickBot="1">
      <c r="C9" s="1" t="s">
        <v>244</v>
      </c>
      <c r="D9" s="2">
        <v>170000</v>
      </c>
      <c r="H9" s="1" t="s">
        <v>11</v>
      </c>
      <c r="I9" s="1">
        <f>input_NeedAnalysis_WealthProtectionNeed_FractureNeedProtection_ExistingResources</f>
        <v>30000</v>
      </c>
      <c r="J9" s="1">
        <v>0</v>
      </c>
      <c r="K9" s="1">
        <v>999999999</v>
      </c>
    </row>
    <row r="10" spans="3:11">
      <c r="C10" s="1" t="s">
        <v>1295</v>
      </c>
      <c r="D10" s="26" t="b">
        <v>1</v>
      </c>
      <c r="E10" s="10" t="s">
        <v>22</v>
      </c>
      <c r="F10" s="15" t="b">
        <f>IF(NOT(D3),TRUE,IF(COUNTIF('Fracture Need'!J21:J26,FALSE)=0,TRUE,VLOOKUP(FALSE,'Fracture Need'!$J21:$K$26,2,0)))</f>
        <v>1</v>
      </c>
      <c r="H10" s="1" t="s">
        <v>237</v>
      </c>
      <c r="I10" s="1">
        <f>input_NeedAnalysis_WealthProtectionNeed_FractureNeedProtection_TotalShortfall</f>
        <v>170000</v>
      </c>
      <c r="J10" s="1">
        <v>-999999999</v>
      </c>
      <c r="K10" s="1">
        <v>999999999</v>
      </c>
    </row>
    <row r="11" spans="3:11" ht="16" thickBot="1">
      <c r="E11" s="12" t="s">
        <v>21</v>
      </c>
      <c r="F11" s="14" t="str">
        <f>IF(output_NeedAnalysis_WealthProtectionNeed_FractureNeedProtection_Validation=TRUE,"",VLOOKUP(output_NeedAnalysis_WealthProtectionNeed_PersonalAccidentProtection_Validation,'Fracture Need'!$I13:J18,2,0))</f>
        <v/>
      </c>
    </row>
    <row r="12" spans="3:11">
      <c r="H12" s="9" t="s">
        <v>15</v>
      </c>
      <c r="I12" s="9" t="s">
        <v>17</v>
      </c>
      <c r="J12" s="9" t="s">
        <v>21</v>
      </c>
    </row>
    <row r="13" spans="3:11">
      <c r="H13" s="1" t="s">
        <v>29</v>
      </c>
      <c r="I13" s="1" t="s">
        <v>1459</v>
      </c>
      <c r="J13" s="1" t="str">
        <f>CONCATENATE("Please enter ",H13," ","between ",'Fracture Need'!J5," and ",'Fracture Need'!K5,".")</f>
        <v>Please enter Amount Needed between 0 and 999999999.</v>
      </c>
    </row>
    <row r="14" spans="3:11">
      <c r="H14" s="1" t="s">
        <v>23</v>
      </c>
      <c r="I14" s="1" t="s">
        <v>1460</v>
      </c>
      <c r="J14" s="1" t="str">
        <f>CONCATENATE("Please enter ",H14," ","between ",'Fracture Need'!J6," and ",'Fracture Need'!K6,".")</f>
        <v>Please enter Existing Insurance between 0 and 999999999.</v>
      </c>
    </row>
    <row r="15" spans="3:11">
      <c r="H15" s="1" t="s">
        <v>24</v>
      </c>
      <c r="I15" s="1" t="s">
        <v>1461</v>
      </c>
      <c r="J15" s="1" t="str">
        <f>CONCATENATE("Please enter ",H15," ","between ",'Fracture Need'!J7," and ",'Fracture Need'!K7,".")</f>
        <v>Please enter Existing Assets between 0 and 999999999.</v>
      </c>
    </row>
    <row r="16" spans="3:11">
      <c r="H16" s="1" t="s">
        <v>236</v>
      </c>
      <c r="I16" s="1" t="s">
        <v>1462</v>
      </c>
      <c r="J16" s="1" t="str">
        <f>CONCATENATE("Please enter ",H16," ","between ",'Fracture Need'!J8," and ",'Fracture Need'!K8,".")</f>
        <v>Please enter Lump Sum Savings Needed between 0 and 999999999.</v>
      </c>
    </row>
    <row r="17" spans="8:11">
      <c r="H17" s="1" t="s">
        <v>11</v>
      </c>
      <c r="I17" s="1" t="s">
        <v>1463</v>
      </c>
      <c r="J17" s="1" t="str">
        <f>CONCATENATE("Please enter ",H17," ","between ",'Fracture Need'!J9," and ",'Fracture Need'!K9,".")</f>
        <v>Please enter Existing Resources between 0 and 999999999.</v>
      </c>
    </row>
    <row r="18" spans="8:11">
      <c r="H18" s="1" t="s">
        <v>237</v>
      </c>
      <c r="I18" s="1" t="s">
        <v>1464</v>
      </c>
      <c r="J18" s="1" t="str">
        <f>CONCATENATE("Please enter ",H18," ","between ",'Fracture Need'!J10," and ",'Fracture Need'!K10,".")</f>
        <v>Please enter Savings Gap (Total shortfall) between -999999999 and 999999999.</v>
      </c>
    </row>
    <row r="20" spans="8:11">
      <c r="H20" s="9" t="s">
        <v>15</v>
      </c>
      <c r="I20" s="9" t="s">
        <v>4</v>
      </c>
      <c r="J20" s="9" t="s">
        <v>16</v>
      </c>
      <c r="K20" s="9" t="s">
        <v>17</v>
      </c>
    </row>
    <row r="21" spans="8:11">
      <c r="H21" s="1" t="s">
        <v>29</v>
      </c>
      <c r="I21" s="1">
        <f>input_NeedAnalysis_WealthProtectionNeed_PersonalAccidentProtection_AmountNeeded</f>
        <v>200000</v>
      </c>
      <c r="J21" s="1" t="b">
        <f>IF(OR(I21&lt;'Fracture Need'!J5,I21&gt;'Fracture Need'!K5),FALSE,TRUE)</f>
        <v>1</v>
      </c>
      <c r="K21" s="53" t="str">
        <f>IF(J21=FALSE,VLOOKUP(H21,'Fracture Need'!$H$13:$I$18,2,0),"")</f>
        <v/>
      </c>
    </row>
    <row r="22" spans="8:11">
      <c r="H22" s="1" t="s">
        <v>23</v>
      </c>
      <c r="I22" s="1">
        <f>input_NeedAnalysis_WealthProtectionNeed_PersonalAccidentProtection_ResourceBreakdown_ExistingInsurance</f>
        <v>10000</v>
      </c>
      <c r="J22" s="1" t="b">
        <f>IF(OR(I22&lt;'Fracture Need'!J6,I22&gt;'Fracture Need'!K6),FALSE,TRUE)</f>
        <v>1</v>
      </c>
      <c r="K22" s="53" t="str">
        <f>IF(J22=FALSE,VLOOKUP(H22,'Fracture Need'!$H$13:$I$18,2,0),"")</f>
        <v/>
      </c>
    </row>
    <row r="23" spans="8:11">
      <c r="H23" s="1" t="s">
        <v>24</v>
      </c>
      <c r="I23" s="1">
        <f>input_NeedAnalysis_WealthProtectionNeed_PersonalAccidentProtection_ResourceBreakdown_ExistingAssets</f>
        <v>20000</v>
      </c>
      <c r="J23" s="1" t="b">
        <f>IF(OR(I23&lt;'Fracture Need'!J7,I23&gt;'Fracture Need'!K7),FALSE,TRUE)</f>
        <v>1</v>
      </c>
      <c r="K23" s="53" t="str">
        <f>IF(J23=FALSE,VLOOKUP(H23,'Fracture Need'!$H$13:$I$18,2,0),"")</f>
        <v/>
      </c>
    </row>
    <row r="24" spans="8:11">
      <c r="H24" s="1" t="s">
        <v>236</v>
      </c>
      <c r="I24" s="1">
        <f>input_NeedAnalysis_WealthProtectionNeed_PersonalAccidentProtection_CapitalSumRequired</f>
        <v>200000</v>
      </c>
      <c r="J24" s="1" t="b">
        <f>IF(OR(I24&lt;'Fracture Need'!J8,I24&gt;'Fracture Need'!K8),FALSE,TRUE)</f>
        <v>1</v>
      </c>
      <c r="K24" s="53" t="str">
        <f>IF(J24=FALSE,VLOOKUP(H24,'Fracture Need'!$H$13:$I$18,2,0),"")</f>
        <v/>
      </c>
    </row>
    <row r="25" spans="8:11">
      <c r="H25" s="1" t="s">
        <v>11</v>
      </c>
      <c r="I25" s="1">
        <f>input_NeedAnalysis_WealthProtectionNeed_PersonalAccidentProtection_ExistingResources</f>
        <v>30000</v>
      </c>
      <c r="J25" s="1" t="b">
        <f>IF(OR(I25&lt;'Fracture Need'!J9,I25&gt;'Fracture Need'!K9),FALSE,TRUE)</f>
        <v>1</v>
      </c>
      <c r="K25" s="53" t="str">
        <f>IF(J25=FALSE,VLOOKUP(H25,'Fracture Need'!$H$13:$I$18,2,0),"")</f>
        <v/>
      </c>
    </row>
    <row r="26" spans="8:11">
      <c r="H26" s="1" t="s">
        <v>237</v>
      </c>
      <c r="I26" s="1">
        <f>input_NeedAnalysis_WealthProtectionNeed_PersonalAccidentProtection_TotalShortfall</f>
        <v>170000</v>
      </c>
      <c r="J26" s="1" t="b">
        <f>IF(OR(I26&lt;'Fracture Need'!J10,I26&gt;'Fracture Need'!K10),FALSE,TRUE)</f>
        <v>1</v>
      </c>
      <c r="K26" s="53" t="str">
        <f>IF(J26=FALSE,VLOOKUP(H26,'Fracture Need'!$H$13:$I$18,2,0),"")</f>
        <v/>
      </c>
    </row>
  </sheetData>
  <phoneticPr fontId="2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482</vt:i4>
      </vt:variant>
    </vt:vector>
  </HeadingPairs>
  <TitlesOfParts>
    <vt:vector size="503" baseType="lpstr">
      <vt:lpstr>Validation Input Received</vt:lpstr>
      <vt:lpstr>Death Protection</vt:lpstr>
      <vt:lpstr>Dependent Death Protection</vt:lpstr>
      <vt:lpstr>Total Permanent Disability</vt:lpstr>
      <vt:lpstr>Critical Illness</vt:lpstr>
      <vt:lpstr>Hospital</vt:lpstr>
      <vt:lpstr>Long-Term Care</vt:lpstr>
      <vt:lpstr>Personal Accident</vt:lpstr>
      <vt:lpstr>Fracture Need</vt:lpstr>
      <vt:lpstr>Loss of Income</vt:lpstr>
      <vt:lpstr>Gender Related Illness</vt:lpstr>
      <vt:lpstr>Retirement</vt:lpstr>
      <vt:lpstr>Savings</vt:lpstr>
      <vt:lpstr>Children Education</vt:lpstr>
      <vt:lpstr>Children Savings</vt:lpstr>
      <vt:lpstr>Personal Details</vt:lpstr>
      <vt:lpstr>Financial Details</vt:lpstr>
      <vt:lpstr>Dependent Details</vt:lpstr>
      <vt:lpstr>Risk Profile</vt:lpstr>
      <vt:lpstr>Customer Knowledge</vt:lpstr>
      <vt:lpstr>Hopes &amp; Dreams</vt:lpstr>
      <vt:lpstr>input_CKA_EducationQualification_IsSelected</vt:lpstr>
      <vt:lpstr>input_CKA_EducationQualification_Selection</vt:lpstr>
      <vt:lpstr>input_CKA_InvestmentExperience_IsSelected</vt:lpstr>
      <vt:lpstr>input_CKA_InvestmentExperience_Selection</vt:lpstr>
      <vt:lpstr>input_CKA_ResultDescription</vt:lpstr>
      <vt:lpstr>input_CKA_WorkExperience_IsSelected</vt:lpstr>
      <vt:lpstr>input_CKA_WorkExperience_Selection</vt:lpstr>
      <vt:lpstr>input_Dependents_Dependents_1_AgeNextBirthday</vt:lpstr>
      <vt:lpstr>input_Dependents_Dependents_1_Dob</vt:lpstr>
      <vt:lpstr>input_Dependents_Dependents_1_Gender</vt:lpstr>
      <vt:lpstr>input_Dependents_Dependents_1_OccupationCode</vt:lpstr>
      <vt:lpstr>input_Dependents_Dependents_1_OtherOccupation</vt:lpstr>
      <vt:lpstr>input_Dependents_Dependents_1_Relationship</vt:lpstr>
      <vt:lpstr>input_Dependents_Dependents_1_YearsOfSupport</vt:lpstr>
      <vt:lpstr>input_Dependents_Dependents_2_AgeNextBirthday</vt:lpstr>
      <vt:lpstr>input_Dependents_Dependents_2_Dob</vt:lpstr>
      <vt:lpstr>input_Dependents_Dependents_2_Gender</vt:lpstr>
      <vt:lpstr>input_Dependents_Dependents_2_OccupationCode</vt:lpstr>
      <vt:lpstr>input_Dependents_Dependents_2_OtherOccupation</vt:lpstr>
      <vt:lpstr>input_Dependents_Dependents_2_Relationship</vt:lpstr>
      <vt:lpstr>input_Dependents_Dependents_2_YearsOfSupport</vt:lpstr>
      <vt:lpstr>input_Dependents_Dependents_3_AgeNextBirthday</vt:lpstr>
      <vt:lpstr>input_Dependents_Dependents_3_Dob</vt:lpstr>
      <vt:lpstr>input_Dependents_Dependents_3_Gender</vt:lpstr>
      <vt:lpstr>input_Dependents_Dependents_3_OccupationCode</vt:lpstr>
      <vt:lpstr>input_Dependents_Dependents_3_OtherOccupation</vt:lpstr>
      <vt:lpstr>input_Dependents_Dependents_3_Relationship</vt:lpstr>
      <vt:lpstr>input_Dependents_Dependents_3_YearsOfSupport</vt:lpstr>
      <vt:lpstr>input_Dependents_Dependents_4_AgeNextBirthday</vt:lpstr>
      <vt:lpstr>input_Dependents_Dependents_4_Dob</vt:lpstr>
      <vt:lpstr>input_Dependents_Dependents_4_Gender</vt:lpstr>
      <vt:lpstr>input_Dependents_Dependents_4_OccupationCode</vt:lpstr>
      <vt:lpstr>input_Dependents_Dependents_4_OtherOccupation</vt:lpstr>
      <vt:lpstr>input_Dependents_Dependents_4_Relationship</vt:lpstr>
      <vt:lpstr>input_Dependents_Dependents_4_YearsOfSupport</vt:lpstr>
      <vt:lpstr>input_Dependents_Dependents_5_AgeNextBirthday</vt:lpstr>
      <vt:lpstr>input_Dependents_Dependents_5_Dob</vt:lpstr>
      <vt:lpstr>input_Dependents_Dependents_5_Gender</vt:lpstr>
      <vt:lpstr>input_Dependents_Dependents_5_OccupationCode</vt:lpstr>
      <vt:lpstr>input_Dependents_Dependents_5_OtherOccupation</vt:lpstr>
      <vt:lpstr>input_Dependents_Dependents_5_Relationship</vt:lpstr>
      <vt:lpstr>input_Dependents_Dependents_5_YearsOfSupport</vt:lpstr>
      <vt:lpstr>input_Dependents_Dependents_6_AgeNextBirthday</vt:lpstr>
      <vt:lpstr>input_Dependents_Dependents_6_Dob</vt:lpstr>
      <vt:lpstr>input_Dependents_Dependents_6_Gender</vt:lpstr>
      <vt:lpstr>input_Dependents_Dependents_6_OccupationCode</vt:lpstr>
      <vt:lpstr>input_Dependents_Dependents_6_OtherOccupation</vt:lpstr>
      <vt:lpstr>input_Dependents_Dependents_6_Relationship</vt:lpstr>
      <vt:lpstr>input_Dependents_Dependents_6_YearsOfSupport</vt:lpstr>
      <vt:lpstr>input_Dependents_Dependents_7_AgeNextBirthday</vt:lpstr>
      <vt:lpstr>input_Dependents_Dependents_7_Dob</vt:lpstr>
      <vt:lpstr>input_Dependents_Dependents_7_Gender</vt:lpstr>
      <vt:lpstr>input_Dependents_Dependents_7_OccupationCode</vt:lpstr>
      <vt:lpstr>input_Dependents_Dependents_7_OtherOccupation</vt:lpstr>
      <vt:lpstr>input_Dependents_Dependents_7_Relationship</vt:lpstr>
      <vt:lpstr>input_Dependents_Dependents_7_YearsOfSupport</vt:lpstr>
      <vt:lpstr>input_Dependents_Dependents_8_AgeNextBirthday</vt:lpstr>
      <vt:lpstr>input_Dependents_Dependents_8_Dob</vt:lpstr>
      <vt:lpstr>input_Dependents_Dependents_8_Gender</vt:lpstr>
      <vt:lpstr>input_Dependents_Dependents_8_OccupationCode</vt:lpstr>
      <vt:lpstr>input_Dependents_Dependents_8_OtherOccupation</vt:lpstr>
      <vt:lpstr>input_Dependents_Dependents_8_Relationship</vt:lpstr>
      <vt:lpstr>input_Dependents_Dependents_8_YearsOfSupport</vt:lpstr>
      <vt:lpstr>input_Dependents_DependentsDisclosed</vt:lpstr>
      <vt:lpstr>input_Dependents_HaveFinancialSupportDependents</vt:lpstr>
      <vt:lpstr>input_Dependents_ReasonDependentUndisclosed</vt:lpstr>
      <vt:lpstr>input_Dependents_ReasonDependentUndisclosedOthers</vt:lpstr>
      <vt:lpstr>input_F_CKA_selected</vt:lpstr>
      <vt:lpstr>input_F_DDT_selected</vt:lpstr>
      <vt:lpstr>input_F_FDT_selected</vt:lpstr>
      <vt:lpstr>input_F_HAD_selected</vt:lpstr>
      <vt:lpstr>input_F_PDT_selected</vt:lpstr>
      <vt:lpstr>input_F_RPQ_selected</vt:lpstr>
      <vt:lpstr>input_FinancialDetail_AssetAndLiability_Assets_1_AssetType</vt:lpstr>
      <vt:lpstr>input_FinancialDetail_AssetAndLiability_Assets_1_AssetValue</vt:lpstr>
      <vt:lpstr>input_FinancialDetail_AssetAndLiability_Assets_1_OtherAssetType</vt:lpstr>
      <vt:lpstr>input_FinancialDetail_AssetAndLiability_Assets_1_Roi</vt:lpstr>
      <vt:lpstr>input_FinancialDetail_AssetAndLiability_Assets_10_AssetType</vt:lpstr>
      <vt:lpstr>input_FinancialDetail_AssetAndLiability_Assets_10_AssetValue</vt:lpstr>
      <vt:lpstr>input_FinancialDetail_AssetAndLiability_Assets_10_OtherAssetType</vt:lpstr>
      <vt:lpstr>input_FinancialDetail_AssetAndLiability_Assets_10_Roi</vt:lpstr>
      <vt:lpstr>input_FinancialDetail_AssetAndLiability_Assets_11_AssetType</vt:lpstr>
      <vt:lpstr>input_FinancialDetail_AssetAndLiability_Assets_11_AssetValue</vt:lpstr>
      <vt:lpstr>input_FinancialDetail_AssetAndLiability_Assets_11_OtherAssetType</vt:lpstr>
      <vt:lpstr>input_FinancialDetail_AssetAndLiability_Assets_11_Roi</vt:lpstr>
      <vt:lpstr>input_FinancialDetail_AssetAndLiability_Assets_12_AssetType</vt:lpstr>
      <vt:lpstr>input_FinancialDetail_AssetAndLiability_Assets_12_AssetValue</vt:lpstr>
      <vt:lpstr>input_FinancialDetail_AssetAndLiability_Assets_12_OtherAssetType</vt:lpstr>
      <vt:lpstr>input_FinancialDetail_AssetAndLiability_Assets_12_Roi</vt:lpstr>
      <vt:lpstr>input_FinancialDetail_AssetAndLiability_Assets_2_AssetType</vt:lpstr>
      <vt:lpstr>input_FinancialDetail_AssetAndLiability_Assets_2_AssetValue</vt:lpstr>
      <vt:lpstr>input_FinancialDetail_AssetAndLiability_Assets_2_OtherAssetType</vt:lpstr>
      <vt:lpstr>input_FinancialDetail_AssetAndLiability_Assets_2_Roi</vt:lpstr>
      <vt:lpstr>input_FinancialDetail_AssetAndLiability_Assets_3_AssetType</vt:lpstr>
      <vt:lpstr>input_FinancialDetail_AssetAndLiability_Assets_3_AssetValue</vt:lpstr>
      <vt:lpstr>input_FinancialDetail_AssetAndLiability_Assets_3_OtherAssetType</vt:lpstr>
      <vt:lpstr>input_FinancialDetail_AssetAndLiability_Assets_3_Roi</vt:lpstr>
      <vt:lpstr>input_FinancialDetail_AssetAndLiability_Assets_4_AssetType</vt:lpstr>
      <vt:lpstr>input_FinancialDetail_AssetAndLiability_Assets_4_AssetValue</vt:lpstr>
      <vt:lpstr>input_FinancialDetail_AssetAndLiability_Assets_4_OtherAssetType</vt:lpstr>
      <vt:lpstr>input_FinancialDetail_AssetAndLiability_Assets_4_Roi</vt:lpstr>
      <vt:lpstr>input_FinancialDetail_AssetAndLiability_Assets_5_AssetType</vt:lpstr>
      <vt:lpstr>input_FinancialDetail_AssetAndLiability_Assets_5_AssetValue</vt:lpstr>
      <vt:lpstr>input_FinancialDetail_AssetAndLiability_Assets_5_OtherAssetType</vt:lpstr>
      <vt:lpstr>input_FinancialDetail_AssetAndLiability_Assets_5_Roi</vt:lpstr>
      <vt:lpstr>input_FinancialDetail_AssetAndLiability_Assets_6_AssetType</vt:lpstr>
      <vt:lpstr>input_FinancialDetail_AssetAndLiability_Assets_6_AssetValue</vt:lpstr>
      <vt:lpstr>input_FinancialDetail_AssetAndLiability_Assets_6_OtherAssetType</vt:lpstr>
      <vt:lpstr>input_FinancialDetail_AssetAndLiability_Assets_6_Roi</vt:lpstr>
      <vt:lpstr>input_FinancialDetail_AssetAndLiability_Assets_7_AssetType</vt:lpstr>
      <vt:lpstr>input_FinancialDetail_AssetAndLiability_Assets_7_AssetValue</vt:lpstr>
      <vt:lpstr>input_FinancialDetail_AssetAndLiability_Assets_7_OtherAssetType</vt:lpstr>
      <vt:lpstr>input_FinancialDetail_AssetAndLiability_Assets_7_Roi</vt:lpstr>
      <vt:lpstr>input_FinancialDetail_AssetAndLiability_Assets_8_AssetType</vt:lpstr>
      <vt:lpstr>input_FinancialDetail_AssetAndLiability_Assets_8_AssetValue</vt:lpstr>
      <vt:lpstr>input_FinancialDetail_AssetAndLiability_Assets_8_OtherAssetType</vt:lpstr>
      <vt:lpstr>input_FinancialDetail_AssetAndLiability_Assets_8_Roi</vt:lpstr>
      <vt:lpstr>input_FinancialDetail_AssetAndLiability_Assets_9_AssetType</vt:lpstr>
      <vt:lpstr>input_FinancialDetail_AssetAndLiability_Assets_9_AssetValue</vt:lpstr>
      <vt:lpstr>input_FinancialDetail_AssetAndLiability_Assets_9_OtherAssetType</vt:lpstr>
      <vt:lpstr>input_FinancialDetail_AssetAndLiability_Assets_9_Roi</vt:lpstr>
      <vt:lpstr>input_FinancialDetail_AssetAndLiability_Disclosure_Disclose</vt:lpstr>
      <vt:lpstr>input_FinancialDetail_AssetAndLiability_Disclosure_DiscloseReason</vt:lpstr>
      <vt:lpstr>input_FinancialDetail_AssetAndLiability_Disclosure_OtherReason</vt:lpstr>
      <vt:lpstr>input_FinancialDetail_AssetAndLiability_Liabilities_1_LiabilityType</vt:lpstr>
      <vt:lpstr>input_FinancialDetail_AssetAndLiability_Liabilities_1_LiabilityValue</vt:lpstr>
      <vt:lpstr>input_FinancialDetail_AssetAndLiability_Liabilities_1_OtherLiabilityType</vt:lpstr>
      <vt:lpstr>input_FinancialDetail_AssetAndLiability_Liabilities_2_LiabilityType</vt:lpstr>
      <vt:lpstr>input_FinancialDetail_AssetAndLiability_Liabilities_2_LiabilityValue</vt:lpstr>
      <vt:lpstr>input_FinancialDetail_AssetAndLiability_Liabilities_2_OtherLiabilityType</vt:lpstr>
      <vt:lpstr>input_FinancialDetail_AssetAndLiability_Liabilities_3_LiabilityType</vt:lpstr>
      <vt:lpstr>input_FinancialDetail_AssetAndLiability_Liabilities_3_LiabilityValue</vt:lpstr>
      <vt:lpstr>input_FinancialDetail_AssetAndLiability_Liabilities_3_OtherLiabilityType</vt:lpstr>
      <vt:lpstr>input_FinancialDetail_AssetAndLiability_Liabilities_4_LiabilityType</vt:lpstr>
      <vt:lpstr>input_FinancialDetail_AssetAndLiability_Liabilities_4_LiabilityValue</vt:lpstr>
      <vt:lpstr>input_FinancialDetail_AssetAndLiability_Liabilities_4_OtherLiabilityType</vt:lpstr>
      <vt:lpstr>input_FinancialDetail_AssetAndLiability_Liabilities_5_LiabilityType</vt:lpstr>
      <vt:lpstr>input_FinancialDetail_AssetAndLiability_Liabilities_5_LiabilityValue</vt:lpstr>
      <vt:lpstr>input_FinancialDetail_AssetAndLiability_Liabilities_5_OtherLiabilityType</vt:lpstr>
      <vt:lpstr>input_FinancialDetail_AssetAndLiability_Liabilities_6_LiabilityType</vt:lpstr>
      <vt:lpstr>input_FinancialDetail_AssetAndLiability_Liabilities_6_LiabilityValue</vt:lpstr>
      <vt:lpstr>input_FinancialDetail_AssetAndLiability_Liabilities_6_OtherLiabilityType</vt:lpstr>
      <vt:lpstr>input_FinancialDetail_AssetAndLiability_SignificantChangeDeclaration_IsExpected</vt:lpstr>
      <vt:lpstr>input_FinancialDetail_AssetAndLiability_SignificantChangeDeclaration_ReasonForChange</vt:lpstr>
      <vt:lpstr>input_FinancialDetail_Budget_AnnualAmount_Cash</vt:lpstr>
      <vt:lpstr>input_FinancialDetail_Budget_AnnualAmount_Cpfma</vt:lpstr>
      <vt:lpstr>input_FinancialDetail_Budget_AnnualAmount_Cpfoa</vt:lpstr>
      <vt:lpstr>input_FinancialDetail_Budget_AnnualAmount_Cpfsa</vt:lpstr>
      <vt:lpstr>input_FinancialDetail_Budget_AnnualAmount_Srs</vt:lpstr>
      <vt:lpstr>input_FinancialDetail_Budget_LumpSumAmount_Cash</vt:lpstr>
      <vt:lpstr>input_FinancialDetail_Budget_LumpSumAmount_Cpfma</vt:lpstr>
      <vt:lpstr>input_FinancialDetail_Budget_LumpSumAmount_Cpfoa</vt:lpstr>
      <vt:lpstr>input_FinancialDetail_Budget_LumpSumAmount_Cpfsa</vt:lpstr>
      <vt:lpstr>input_FinancialDetail_Budget_LumpSumAmount_Srs</vt:lpstr>
      <vt:lpstr>input_FinancialDetail_ExistingInsurance_ConsentToRetrieveInsurance</vt:lpstr>
      <vt:lpstr>input_FinancialDetail_ExistingInsurance_ExistingPolicies_Disclosure_Disclose</vt:lpstr>
      <vt:lpstr>input_FinancialDetail_ExistingInsurance_ExistingPolicies_Disclosure_DiscloseReason</vt:lpstr>
      <vt:lpstr>input_FinancialDetail_ExistingInsurance_ExistingPolicies_Disclosure_OtherReason</vt:lpstr>
      <vt:lpstr>input_FinancialDetail_ExistingInsurance_ExistingPolicies_WealthAccumulationInsurance_1_Benefits_CriticalIllness</vt:lpstr>
      <vt:lpstr>input_FinancialDetail_ExistingInsurance_ExistingPolicies_WealthAccumulationInsurance_1_Benefits_Death</vt:lpstr>
      <vt:lpstr>input_FinancialDetail_ExistingInsurance_ExistingPolicies_WealthAccumulationInsurance_1_Benefits_EducationRetirementSavings</vt:lpstr>
      <vt:lpstr>input_FinancialDetail_ExistingInsurance_ExistingPolicies_WealthAccumulationInsurance_1_Benefits_Fracture</vt:lpstr>
      <vt:lpstr>input_FinancialDetail_ExistingInsurance_ExistingPolicies_WealthAccumulationInsurance_1_Benefits_GenderRelatedIllness</vt:lpstr>
      <vt:lpstr>input_FinancialDetail_ExistingInsurance_ExistingPolicies_WealthAccumulationInsurance_1_Benefits_HospitalType</vt:lpstr>
      <vt:lpstr>input_FinancialDetail_ExistingInsurance_ExistingPolicies_WealthAccumulationInsurance_1_Benefits_HospitalWardType</vt:lpstr>
      <vt:lpstr>input_FinancialDetail_ExistingInsurance_ExistingPolicies_WealthAccumulationInsurance_1_Benefits_LongTermCare</vt:lpstr>
      <vt:lpstr>input_FinancialDetail_ExistingInsurance_ExistingPolicies_WealthAccumulationInsurance_1_Benefits_LossOfIncome</vt:lpstr>
      <vt:lpstr>input_FinancialDetail_ExistingInsurance_ExistingPolicies_WealthAccumulationInsurance_1_Benefits_PersonalAccident</vt:lpstr>
      <vt:lpstr>input_FinancialDetail_ExistingInsurance_ExistingPolicies_WealthAccumulationInsurance_1_Benefits_TotalPermanentDisability</vt:lpstr>
      <vt:lpstr>input_FinancialDetail_ExistingInsurance_ExistingPolicies_WealthAccumulationInsurance_1_CurrentCashValue</vt:lpstr>
      <vt:lpstr>input_FinancialDetail_ExistingInsurance_ExistingPolicies_WealthAccumulationInsurance_1_DeductibleAndCoInsurance</vt:lpstr>
      <vt:lpstr>input_FinancialDetail_ExistingInsurance_ExistingPolicies_WealthAccumulationInsurance_1_InsuranceCompany</vt:lpstr>
      <vt:lpstr>input_FinancialDetail_ExistingInsurance_ExistingPolicies_WealthAccumulationInsurance_1_LifeAssured</vt:lpstr>
      <vt:lpstr>input_FinancialDetail_ExistingInsurance_ExistingPolicies_WealthAccumulationInsurance_1_MaturityDate</vt:lpstr>
      <vt:lpstr>input_FinancialDetail_ExistingInsurance_ExistingPolicies_WealthAccumulationInsurance_1_PolicyName</vt:lpstr>
      <vt:lpstr>input_FinancialDetail_ExistingInsurance_ExistingPolicies_WealthAccumulationInsurance_1_PolicyNumber</vt:lpstr>
      <vt:lpstr>input_FinancialDetail_ExistingInsurance_ExistingPolicies_WealthAccumulationInsurance_1_PolicyTerm</vt:lpstr>
      <vt:lpstr>input_FinancialDetail_ExistingInsurance_ExistingPolicies_WealthAccumulationInsurance_1_PolicyType</vt:lpstr>
      <vt:lpstr>input_FinancialDetail_ExistingInsurance_ExistingPolicies_WealthAccumulationInsurance_1_ProjectedMaturityValue</vt:lpstr>
      <vt:lpstr>input_FinancialDetail_ExistingInsurance_ExistingPolicies_WealthAccumulationInsurance_1_RegularPremium</vt:lpstr>
      <vt:lpstr>input_FinancialDetail_ExistingInsurance_ExistingPolicies_WealthAccumulationInsurance_1_SinglePremium</vt:lpstr>
      <vt:lpstr>input_FinancialDetail_ExistingInsurance_ExistingPolicies_WealthAccumulationInsurance_1_WealthAccumulationGoal</vt:lpstr>
      <vt:lpstr>input_FinancialDetail_ExistingInsurance_ExistingPolicies_WealthProtectionInsurance_1_Benefits_CriticalIllness</vt:lpstr>
      <vt:lpstr>input_FinancialDetail_ExistingInsurance_ExistingPolicies_WealthProtectionInsurance_1_Benefits_Death</vt:lpstr>
      <vt:lpstr>input_FinancialDetail_ExistingInsurance_ExistingPolicies_WealthProtectionInsurance_1_Benefits_Fracture</vt:lpstr>
      <vt:lpstr>input_FinancialDetail_ExistingInsurance_ExistingPolicies_WealthProtectionInsurance_1_Benefits_GenderRelatedIllness</vt:lpstr>
      <vt:lpstr>input_FinancialDetail_ExistingInsurance_ExistingPolicies_WealthProtectionInsurance_1_Benefits_HospitalType</vt:lpstr>
      <vt:lpstr>input_FinancialDetail_ExistingInsurance_ExistingPolicies_WealthProtectionInsurance_1_Benefits_HospitalWardType</vt:lpstr>
      <vt:lpstr>input_FinancialDetail_ExistingInsurance_ExistingPolicies_WealthProtectionInsurance_1_Benefits_LongTermCare</vt:lpstr>
      <vt:lpstr>input_FinancialDetail_ExistingInsurance_ExistingPolicies_WealthProtectionInsurance_1_Benefits_LossOfIncome</vt:lpstr>
      <vt:lpstr>input_FinancialDetail_ExistingInsurance_ExistingPolicies_WealthProtectionInsurance_1_Benefits_PersonalAccident</vt:lpstr>
      <vt:lpstr>input_FinancialDetail_ExistingInsurance_ExistingPolicies_WealthProtectionInsurance_1_Benefits_TotalPermanentDisability</vt:lpstr>
      <vt:lpstr>input_FinancialDetail_ExistingInsurance_ExistingPolicies_WealthProtectionInsurance_1_DeductibleAndCoInsurance</vt:lpstr>
      <vt:lpstr>input_FinancialDetail_ExistingInsurance_ExistingPolicies_WealthProtectionInsurance_1_InsuranceCompany</vt:lpstr>
      <vt:lpstr>input_FinancialDetail_ExistingInsurance_ExistingPolicies_WealthProtectionInsurance_1_LifeAssured</vt:lpstr>
      <vt:lpstr>input_FinancialDetail_ExistingInsurance_ExistingPolicies_WealthProtectionInsurance_1_PolicyName</vt:lpstr>
      <vt:lpstr>input_FinancialDetail_ExistingInsurance_ExistingPolicies_WealthProtectionInsurance_1_PolicyNumber</vt:lpstr>
      <vt:lpstr>input_FinancialDetail_ExistingInsurance_ExistingPolicies_WealthProtectionInsurance_1_PolicyTerm</vt:lpstr>
      <vt:lpstr>input_FinancialDetail_ExistingInsurance_ExistingPolicies_WealthProtectionInsurance_1_PolicyType</vt:lpstr>
      <vt:lpstr>input_FinancialDetail_ExistingInsurance_ExistingPolicies_WealthProtectionInsurance_1_RegularPremium</vt:lpstr>
      <vt:lpstr>input_FinancialDetail_ExistingInsurance_ExistingPolicies_WealthProtectionInsurance_1_SinglePremium</vt:lpstr>
      <vt:lpstr>input_FinancialDetail_ExistingInsurance_HaveExistingInsurance</vt:lpstr>
      <vt:lpstr>input_FinancialDetail_ExistingInsurance_ReasonNotConsentToRetrieveInsurance</vt:lpstr>
      <vt:lpstr>input_FinancialDetail_IncomeAndExpense_Disclosure_Disclose</vt:lpstr>
      <vt:lpstr>input_FinancialDetail_IncomeAndExpense_Disclosure_DiscloseReason</vt:lpstr>
      <vt:lpstr>input_FinancialDetail_IncomeAndExpense_Disclosure_OtherReason</vt:lpstr>
      <vt:lpstr>input_FinancialDetail_IncomeAndExpense_ExpenseOverview_Expense_1_AnnualAmount</vt:lpstr>
      <vt:lpstr>input_FinancialDetail_IncomeAndExpense_ExpenseOverview_Expense_1_Description</vt:lpstr>
      <vt:lpstr>input_FinancialDetail_IncomeAndExpense_ExpenseOverview_Expense_1_Frequency</vt:lpstr>
      <vt:lpstr>input_FinancialDetail_IncomeAndExpense_ExpenseOverview_Expense_1_MonthlyAmount</vt:lpstr>
      <vt:lpstr>input_FinancialDetail_IncomeAndExpense_ExpenseOverview_Expense_1_Type</vt:lpstr>
      <vt:lpstr>input_FinancialDetail_IncomeAndExpense_ExpenseOverview_Expense_2_AnnualAmount</vt:lpstr>
      <vt:lpstr>input_FinancialDetail_IncomeAndExpense_ExpenseOverview_Expense_2_Description</vt:lpstr>
      <vt:lpstr>input_FinancialDetail_IncomeAndExpense_ExpenseOverview_Expense_2_Frequency</vt:lpstr>
      <vt:lpstr>input_FinancialDetail_IncomeAndExpense_ExpenseOverview_Expense_2_MonthlyAmount</vt:lpstr>
      <vt:lpstr>input_FinancialDetail_IncomeAndExpense_ExpenseOverview_Expense_2_Type</vt:lpstr>
      <vt:lpstr>input_FinancialDetail_IncomeAndExpense_ExpenseOverview_Expense_3_AnnualAmount</vt:lpstr>
      <vt:lpstr>input_FinancialDetail_IncomeAndExpense_ExpenseOverview_Expense_3_Description</vt:lpstr>
      <vt:lpstr>input_FinancialDetail_IncomeAndExpense_ExpenseOverview_Expense_3_Frequency</vt:lpstr>
      <vt:lpstr>input_FinancialDetail_IncomeAndExpense_ExpenseOverview_Expense_3_MonthlyAmount</vt:lpstr>
      <vt:lpstr>input_FinancialDetail_IncomeAndExpense_ExpenseOverview_Expense_3_Type</vt:lpstr>
      <vt:lpstr>input_FinancialDetail_IncomeAndExpense_ExpenseOverview_Expense_4_AnnualAmount</vt:lpstr>
      <vt:lpstr>input_FinancialDetail_IncomeAndExpense_ExpenseOverview_Expense_4_Description</vt:lpstr>
      <vt:lpstr>input_FinancialDetail_IncomeAndExpense_ExpenseOverview_Expense_4_Frequency</vt:lpstr>
      <vt:lpstr>input_FinancialDetail_IncomeAndExpense_ExpenseOverview_Expense_4_MonthlyAmount</vt:lpstr>
      <vt:lpstr>input_FinancialDetail_IncomeAndExpense_ExpenseOverview_Expense_4_Type</vt:lpstr>
      <vt:lpstr>input_FinancialDetail_IncomeAndExpense_ExpenseOverview_Expense_5_AnnualAmount</vt:lpstr>
      <vt:lpstr>input_FinancialDetail_IncomeAndExpense_ExpenseOverview_Expense_5_Description</vt:lpstr>
      <vt:lpstr>input_FinancialDetail_IncomeAndExpense_ExpenseOverview_Expense_5_Frequency</vt:lpstr>
      <vt:lpstr>input_FinancialDetail_IncomeAndExpense_ExpenseOverview_Expense_5_MonthlyAmount</vt:lpstr>
      <vt:lpstr>input_FinancialDetail_IncomeAndExpense_ExpenseOverview_Expense_5_Type</vt:lpstr>
      <vt:lpstr>input_FinancialDetail_IncomeAndExpense_ExpenseOverview_TotalAnnualExpenses</vt:lpstr>
      <vt:lpstr>input_FinancialDetail_IncomeAndExpense_IncomeOverview_AnnualBonusAmount</vt:lpstr>
      <vt:lpstr>input_FinancialDetail_IncomeAndExpense_IncomeOverview_AnnualEmployeeCPFContribution</vt:lpstr>
      <vt:lpstr>input_FinancialDetail_IncomeAndExpense_IncomeOverview_AnnualIncomeBeforeCPF</vt:lpstr>
      <vt:lpstr>input_FinancialDetail_IncomeAndExpense_IncomeOverview_MonthlyIncomeBeforeCPF</vt:lpstr>
      <vt:lpstr>input_FinancialDetail_IncomeAndExpense_IncomeOverview_NetAnnualIncome</vt:lpstr>
      <vt:lpstr>input_FinancialDetail_IncomeAndExpense_IncomeOverview_PassiveIncome_1_AnnualAmount</vt:lpstr>
      <vt:lpstr>input_FinancialDetail_IncomeAndExpense_IncomeOverview_PassiveIncome_1_Description</vt:lpstr>
      <vt:lpstr>input_FinancialDetail_IncomeAndExpense_IncomeOverview_PassiveIncome_1_Frequency</vt:lpstr>
      <vt:lpstr>input_FinancialDetail_IncomeAndExpense_IncomeOverview_PassiveIncome_1_MonthlyAmount</vt:lpstr>
      <vt:lpstr>input_FinancialDetail_IncomeAndExpense_IncomeOverview_PassiveIncome_1_Type</vt:lpstr>
      <vt:lpstr>input_FinancialDetail_IncomeAndExpense_IncomeOverview_PassiveIncome_2_AnnualAmount</vt:lpstr>
      <vt:lpstr>input_FinancialDetail_IncomeAndExpense_IncomeOverview_PassiveIncome_2_Description</vt:lpstr>
      <vt:lpstr>input_FinancialDetail_IncomeAndExpense_IncomeOverview_PassiveIncome_2_Frequency</vt:lpstr>
      <vt:lpstr>input_FinancialDetail_IncomeAndExpense_IncomeOverview_PassiveIncome_2_MonthlyAmount</vt:lpstr>
      <vt:lpstr>input_FinancialDetail_IncomeAndExpense_IncomeOverview_PassiveIncome_2_Type</vt:lpstr>
      <vt:lpstr>input_FinancialDetail_IncomeAndExpense_IncomeOverview_PassiveIncome_3_AnnualAmount</vt:lpstr>
      <vt:lpstr>input_FinancialDetail_IncomeAndExpense_IncomeOverview_PassiveIncome_3_Description</vt:lpstr>
      <vt:lpstr>input_FinancialDetail_IncomeAndExpense_IncomeOverview_PassiveIncome_3_Frequency</vt:lpstr>
      <vt:lpstr>input_FinancialDetail_IncomeAndExpense_IncomeOverview_PassiveIncome_3_MonthlyAmount</vt:lpstr>
      <vt:lpstr>input_FinancialDetail_IncomeAndExpense_IncomeOverview_PassiveIncome_3_Type</vt:lpstr>
      <vt:lpstr>input_FinancialDetail_IncomeAndExpense_IncomeOverview_TotalTakeHomeAnnualIncome</vt:lpstr>
      <vt:lpstr>input_FinancialDetail_IncomeAndExpense_SignificantChangeDeclaration_IsExpected</vt:lpstr>
      <vt:lpstr>input_FinancialDetail_IncomeAndExpense_SignificantChangeDeclaration_ReasonForChange</vt:lpstr>
      <vt:lpstr>input_HopesAndDreams_Accumulation_ChildrenEducationSavings</vt:lpstr>
      <vt:lpstr>input_HopesAndDreams_Accumulation_ChildrenSavings</vt:lpstr>
      <vt:lpstr>input_HopesAndDreams_Accumulation_RetirementAccumulation</vt:lpstr>
      <vt:lpstr>input_HopesAndDreams_Accumulation_SavingsAccumulation</vt:lpstr>
      <vt:lpstr>input_HopesAndDreams_Protection_CriticalIllnessProtection</vt:lpstr>
      <vt:lpstr>input_HopesAndDreams_Protection_DeathProtection</vt:lpstr>
      <vt:lpstr>input_HopesAndDreams_Protection_FractureNeedProtection</vt:lpstr>
      <vt:lpstr>input_HopesAndDreams_Protection_GenderRelatedIllnessProtection</vt:lpstr>
      <vt:lpstr>input_HopesAndDreams_Protection_HospitalProtection</vt:lpstr>
      <vt:lpstr>input_HopesAndDreams_Protection_LongTermCareProtection</vt:lpstr>
      <vt:lpstr>input_HopesAndDreams_Protection_LossOfIncomeProtection</vt:lpstr>
      <vt:lpstr>input_HopesAndDreams_Protection_PersonalAccidentProtection</vt:lpstr>
      <vt:lpstr>input_HopesAndDreams_Protection_TotalPermanentDisabilityProtection</vt:lpstr>
      <vt:lpstr>input_HopesAndDreams_Protection_WaiverOfPremium</vt:lpstr>
      <vt:lpstr>input_N_CRI_selected</vt:lpstr>
      <vt:lpstr>input_N_CSV_selected</vt:lpstr>
      <vt:lpstr>input_N_DIC_selected</vt:lpstr>
      <vt:lpstr>input_N_EDU_selected</vt:lpstr>
      <vt:lpstr>input_N_FTE_selected</vt:lpstr>
      <vt:lpstr>input_N_HOS_selected</vt:lpstr>
      <vt:lpstr>input_N_INC_selected</vt:lpstr>
      <vt:lpstr>input_N_LOI_selected</vt:lpstr>
      <vt:lpstr>input_N_LTC_selected</vt:lpstr>
      <vt:lpstr>input_N_MFI_selected</vt:lpstr>
      <vt:lpstr>input_N_PAD_selected</vt:lpstr>
      <vt:lpstr>input_N_RET_selected</vt:lpstr>
      <vt:lpstr>input_N_SAV_selected</vt:lpstr>
      <vt:lpstr>input_N_TPD_selected</vt:lpstr>
      <vt:lpstr>input_NeedAnalysis_WealthAccumulationNeed_ChildrenEducationSavings_AmountNeeded</vt:lpstr>
      <vt:lpstr>input_NeedAnalysis_WealthAccumulationNeed_ChildrenEducationSavings_CapitalSumRequired</vt:lpstr>
      <vt:lpstr>input_NeedAnalysis_WealthAccumulationNeed_ChildrenEducationSavings_CountryOfStudy</vt:lpstr>
      <vt:lpstr>input_NeedAnalysis_WealthAccumulationNeed_ChildrenEducationSavings_ExistingResources</vt:lpstr>
      <vt:lpstr>input_NeedAnalysis_WealthAccumulationNeed_ChildrenEducationSavings_InflationRate</vt:lpstr>
      <vt:lpstr>input_NeedAnalysis_WealthAccumulationNeed_ChildrenEducationSavings_ResourceBreakdown_ExistingAssets</vt:lpstr>
      <vt:lpstr>input_NeedAnalysis_WealthAccumulationNeed_ChildrenEducationSavings_ResourceBreakdown_ExistingInsurance</vt:lpstr>
      <vt:lpstr>input_NeedAnalysis_WealthAccumulationNeed_ChildrenEducationSavings_ToAddressNow</vt:lpstr>
      <vt:lpstr>input_NeedAnalysis_WealthAccumulationNeed_ChildrenEducationSavings_TotalShortfall</vt:lpstr>
      <vt:lpstr>input_NeedAnalysis_WealthAccumulationNeed_ChildrenEducationSavings_YearsToGoal</vt:lpstr>
      <vt:lpstr>input_NeedAnalysis_WealthAccumulationNeed_ChildrenSavings_AmountNeeded</vt:lpstr>
      <vt:lpstr>input_NeedAnalysis_WealthAccumulationNeed_ChildrenSavings_CapitalSumRequired</vt:lpstr>
      <vt:lpstr>input_NeedAnalysis_WealthAccumulationNeed_ChildrenSavings_ExistingResources</vt:lpstr>
      <vt:lpstr>input_NeedAnalysis_WealthAccumulationNeed_ChildrenSavings_ResourceBreakdown_ExistingAssets</vt:lpstr>
      <vt:lpstr>input_NeedAnalysis_WealthAccumulationNeed_ChildrenSavings_ResourceBreakdown_ExistingInsurance</vt:lpstr>
      <vt:lpstr>input_NeedAnalysis_WealthAccumulationNeed_ChildrenSavings_ToAddressNow</vt:lpstr>
      <vt:lpstr>input_NeedAnalysis_WealthAccumulationNeed_ChildrenSavings_TotalShortfall</vt:lpstr>
      <vt:lpstr>input_NeedAnalysis_WealthAccumulationNeed_ChildrenSavings_YearsToGoal</vt:lpstr>
      <vt:lpstr>input_NeedAnalysis_WealthAccumulationNeed_RetirementAccumulation_AgeNextBirthday</vt:lpstr>
      <vt:lpstr>input_NeedAnalysis_WealthAccumulationNeed_RetirementAccumulation_AnnualExpense</vt:lpstr>
      <vt:lpstr>input_NeedAnalysis_WealthAccumulationNeed_RetirementAccumulation_AnnualIncome</vt:lpstr>
      <vt:lpstr>input_NeedAnalysis_WealthAccumulationNeed_RetirementAccumulation_AnnualIncomeRequiredAtRetirement</vt:lpstr>
      <vt:lpstr>input_NeedAnalysis_WealthAccumulationNeed_RetirementAccumulation_CapitalSumRequired</vt:lpstr>
      <vt:lpstr>input_NeedAnalysis_WealthAccumulationNeed_RetirementAccumulation_DurationOfGoal</vt:lpstr>
      <vt:lpstr>input_NeedAnalysis_WealthAccumulationNeed_RetirementAccumulation_ExistingResources</vt:lpstr>
      <vt:lpstr>input_NeedAnalysis_WealthAccumulationNeed_RetirementAccumulation_ExpensesAtRetirement</vt:lpstr>
      <vt:lpstr>input_NeedAnalysis_WealthAccumulationNeed_RetirementAccumulation_InflationAdjustedRateOfReturn</vt:lpstr>
      <vt:lpstr>input_NeedAnalysis_WealthAccumulationNeed_RetirementAccumulation_PreferredMethod</vt:lpstr>
      <vt:lpstr>input_NeedAnalysis_WealthAccumulationNeed_RetirementAccumulation_ProjectedAnnualIncomeRequiredAtRetirement</vt:lpstr>
      <vt:lpstr>input_NeedAnalysis_WealthAccumulationNeed_RetirementAccumulation_RateOfIncomeIncrement</vt:lpstr>
      <vt:lpstr>input_NeedAnalysis_WealthAccumulationNeed_RetirementAccumulation_ResourceBreakdown_ExistingAssets</vt:lpstr>
      <vt:lpstr>input_NeedAnalysis_WealthAccumulationNeed_RetirementAccumulation_ResourceBreakdown_ExistingInsurance</vt:lpstr>
      <vt:lpstr>input_NeedAnalysis_WealthAccumulationNeed_RetirementAccumulation_RetirementAge</vt:lpstr>
      <vt:lpstr>input_NeedAnalysis_WealthAccumulationNeed_RetirementAccumulation_ToAddressNow</vt:lpstr>
      <vt:lpstr>input_NeedAnalysis_WealthAccumulationNeed_RetirementAccumulation_TotalShortfall</vt:lpstr>
      <vt:lpstr>input_NeedAnalysis_WealthAccumulationNeed_RetirementAccumulation_YearsToGoal</vt:lpstr>
      <vt:lpstr>input_NeedAnalysis_WealthAccumulationNeed_SavingsAccumulation_AmountNeeded</vt:lpstr>
      <vt:lpstr>input_NeedAnalysis_WealthAccumulationNeed_SavingsAccumulation_CapitalSumRequired</vt:lpstr>
      <vt:lpstr>input_NeedAnalysis_WealthAccumulationNeed_SavingsAccumulation_ExistingResources</vt:lpstr>
      <vt:lpstr>input_NeedAnalysis_WealthAccumulationNeed_SavingsAccumulation_ResourceBreakdown_ExistingAssets</vt:lpstr>
      <vt:lpstr>input_NeedAnalysis_WealthAccumulationNeed_SavingsAccumulation_ResourceBreakdown_ExistingInsurance</vt:lpstr>
      <vt:lpstr>input_NeedAnalysis_WealthAccumulationNeed_SavingsAccumulation_ToAddressNow</vt:lpstr>
      <vt:lpstr>input_NeedAnalysis_WealthAccumulationNeed_SavingsAccumulation_TotalShortfall</vt:lpstr>
      <vt:lpstr>input_NeedAnalysis_WealthAccumulationNeed_SavingsAccumulation_YearsToGoal</vt:lpstr>
      <vt:lpstr>input_NeedAnalysis_WealthProtectionNeed_CriticalIllnessProtection_CapitalSumRequired</vt:lpstr>
      <vt:lpstr>input_NeedAnalysis_WealthProtectionNeed_CriticalIllnessProtection_DesiredAnnualIncomeRequirements</vt:lpstr>
      <vt:lpstr>input_NeedAnalysis_WealthProtectionNeed_CriticalIllnessProtection_DurationOfGoal</vt:lpstr>
      <vt:lpstr>input_NeedAnalysis_WealthProtectionNeed_CriticalIllnessProtection_EstimatedTreatmentCosts</vt:lpstr>
      <vt:lpstr>input_NeedAnalysis_WealthProtectionNeed_CriticalIllnessProtection_ExistingResources</vt:lpstr>
      <vt:lpstr>input_NeedAnalysis_WealthProtectionNeed_CriticalIllnessProtection_InflationAdjustedRateOfReturn</vt:lpstr>
      <vt:lpstr>input_NeedAnalysis_WealthProtectionNeed_CriticalIllnessProtection_ResourceBreakdown_ExistingAssets</vt:lpstr>
      <vt:lpstr>input_NeedAnalysis_WealthProtectionNeed_CriticalIllnessProtection_ResourceBreakdown_ExistingInsurance</vt:lpstr>
      <vt:lpstr>input_NeedAnalysis_WealthProtectionNeed_CriticalIllnessProtection_ToAddressNow</vt:lpstr>
      <vt:lpstr>input_NeedAnalysis_WealthProtectionNeed_CriticalIllnessProtection_TotalCashNeeds</vt:lpstr>
      <vt:lpstr>input_NeedAnalysis_WealthProtectionNeed_CriticalIllnessProtection_TotalShortfall</vt:lpstr>
      <vt:lpstr>input_NeedAnalysis_WealthProtectionNeed_DeathProtection_CapitalSumRequired</vt:lpstr>
      <vt:lpstr>input_NeedAnalysis_WealthProtectionNeed_DeathProtection_DesiredAnnualIncomeReplacement</vt:lpstr>
      <vt:lpstr>input_NeedAnalysis_WealthProtectionNeed_DeathProtection_DurationOfGoal</vt:lpstr>
      <vt:lpstr>input_NeedAnalysis_WealthProtectionNeed_DeathProtection_EmergencyFund</vt:lpstr>
      <vt:lpstr>input_NeedAnalysis_WealthProtectionNeed_DeathProtection_ExistingResources</vt:lpstr>
      <vt:lpstr>input_NeedAnalysis_WealthProtectionNeed_DeathProtection_FinalExpenses</vt:lpstr>
      <vt:lpstr>input_NeedAnalysis_WealthProtectionNeed_DeathProtection_InflationAdjustedRateOfReturn</vt:lpstr>
      <vt:lpstr>input_NeedAnalysis_WealthProtectionNeed_DeathProtection_MortgagePayment</vt:lpstr>
      <vt:lpstr>input_NeedAnalysis_WealthProtectionNeed_DeathProtection_Others</vt:lpstr>
      <vt:lpstr>input_NeedAnalysis_WealthProtectionNeed_DeathProtection_PersonalDebts</vt:lpstr>
      <vt:lpstr>input_NeedAnalysis_WealthProtectionNeed_DeathProtection_ResourceBreakdown_ExistingAssets</vt:lpstr>
      <vt:lpstr>input_NeedAnalysis_WealthProtectionNeed_DeathProtection_ResourceBreakdown_ExistingInsurance</vt:lpstr>
      <vt:lpstr>input_NeedAnalysis_WealthProtectionNeed_DeathProtection_ToAddressNow</vt:lpstr>
      <vt:lpstr>input_NeedAnalysis_WealthProtectionNeed_DeathProtection_TotalCashNeeds</vt:lpstr>
      <vt:lpstr>input_NeedAnalysis_WealthProtectionNeed_DeathProtection_TotalShortfall</vt:lpstr>
      <vt:lpstr>input_NeedAnalysis_WealthProtectionNeed_DependentDeathProtection_CapitalSumRequired</vt:lpstr>
      <vt:lpstr>input_NeedAnalysis_WealthProtectionNeed_DependentDeathProtection_ExistingResources</vt:lpstr>
      <vt:lpstr>input_NeedAnalysis_WealthProtectionNeed_DependentDeathProtection_FinalExpenses</vt:lpstr>
      <vt:lpstr>input_NeedAnalysis_WealthProtectionNeed_DependentDeathProtection_Loans</vt:lpstr>
      <vt:lpstr>input_NeedAnalysis_WealthProtectionNeed_DependentDeathProtection_Others</vt:lpstr>
      <vt:lpstr>input_NeedAnalysis_WealthProtectionNeed_DependentDeathProtection_ResourceBreakdown_ExistingAssets</vt:lpstr>
      <vt:lpstr>input_NeedAnalysis_WealthProtectionNeed_DependentDeathProtection_ResourceBreakdown_ExistingInsurance</vt:lpstr>
      <vt:lpstr>input_NeedAnalysis_WealthProtectionNeed_DependentDeathProtection_ToAddressNow</vt:lpstr>
      <vt:lpstr>input_NeedAnalysis_WealthProtectionNeed_DependentDeathProtection_TotalCashNeeds</vt:lpstr>
      <vt:lpstr>input_NeedAnalysis_WealthProtectionNeed_DependentDeathProtection_TotalShortfall</vt:lpstr>
      <vt:lpstr>input_NeedAnalysis_WealthProtectionNeed_FractureNeedProtection_AmountNeeded</vt:lpstr>
      <vt:lpstr>input_NeedAnalysis_WealthProtectionNeed_FractureNeedProtection_CapitalSumRequired</vt:lpstr>
      <vt:lpstr>input_NeedAnalysis_WealthProtectionNeed_FractureNeedProtection_ExistingResources</vt:lpstr>
      <vt:lpstr>input_NeedAnalysis_WealthProtectionNeed_FractureNeedProtection_ResourceBreakdown_ExistingAssets</vt:lpstr>
      <vt:lpstr>input_NeedAnalysis_WealthProtectionNeed_FractureNeedProtection_ResourceBreakdown_ExistingInsurance</vt:lpstr>
      <vt:lpstr>input_NeedAnalysis_WealthProtectionNeed_FractureNeedProtection_ToAddressNow</vt:lpstr>
      <vt:lpstr>input_NeedAnalysis_WealthProtectionNeed_FractureNeedProtection_TotalShortfall</vt:lpstr>
      <vt:lpstr>input_NeedAnalysis_WealthProtectionNeed_GenderRelatedIllnessProtection_AmountNeeded</vt:lpstr>
      <vt:lpstr>input_NeedAnalysis_WealthProtectionNeed_GenderRelatedIllnessProtection_CapitalSumRequired</vt:lpstr>
      <vt:lpstr>input_NeedAnalysis_WealthProtectionNeed_GenderRelatedIllnessProtection_ExistingResources</vt:lpstr>
      <vt:lpstr>input_NeedAnalysis_WealthProtectionNeed_GenderRelatedIllnessProtection_ResourceBreakdown_ExistingAssets</vt:lpstr>
      <vt:lpstr>input_NeedAnalysis_WealthProtectionNeed_GenderRelatedIllnessProtection_ResourceBreakdown_ExistingInsurance</vt:lpstr>
      <vt:lpstr>input_NeedAnalysis_WealthProtectionNeed_GenderRelatedIllnessProtection_ToAddressNow</vt:lpstr>
      <vt:lpstr>input_NeedAnalysis_WealthProtectionNeed_GenderRelatedIllnessProtection_TotalShortfall</vt:lpstr>
      <vt:lpstr>input_NeedAnalysis_WealthProtectionNeed_HospitalProtection_DeductibleAndCoInsurance</vt:lpstr>
      <vt:lpstr>input_NeedAnalysis_WealthProtectionNeed_HospitalProtection_HospitalType</vt:lpstr>
      <vt:lpstr>input_NeedAnalysis_WealthProtectionNeed_HospitalProtection_HospitalWardType</vt:lpstr>
      <vt:lpstr>input_NeedAnalysis_WealthProtectionNeed_IsPremiumSupport</vt:lpstr>
      <vt:lpstr>input_NeedAnalysis_WealthProtectionNeed_LongTermCareProtection_CapitalSumRequired</vt:lpstr>
      <vt:lpstr>input_NeedAnalysis_WealthProtectionNeed_LongTermCareProtection_ExistingResources</vt:lpstr>
      <vt:lpstr>input_NeedAnalysis_WealthProtectionNeed_LongTermCareProtection_ReplacementIncomeNeededPerMonth</vt:lpstr>
      <vt:lpstr>input_NeedAnalysis_WealthProtectionNeed_LongTermCareProtection_ResourceBreakdown_ExistingAssets</vt:lpstr>
      <vt:lpstr>input_NeedAnalysis_WealthProtectionNeed_LongTermCareProtection_ResourceBreakdown_ExistingInsurance</vt:lpstr>
      <vt:lpstr>input_NeedAnalysis_WealthProtectionNeed_LongTermCareProtection_ToAddressNow</vt:lpstr>
      <vt:lpstr>input_NeedAnalysis_WealthProtectionNeed_LongTermCareProtection_TotalShortfall</vt:lpstr>
      <vt:lpstr>input_NeedAnalysis_WealthProtectionNeed_LossOfIncomeProtection_AmountNeeded</vt:lpstr>
      <vt:lpstr>input_NeedAnalysis_WealthProtectionNeed_LossOfIncomeProtection_CapitalSumRequired</vt:lpstr>
      <vt:lpstr>input_NeedAnalysis_WealthProtectionNeed_LossOfIncomeProtection_ExistingResources</vt:lpstr>
      <vt:lpstr>input_NeedAnalysis_WealthProtectionNeed_LossOfIncomeProtection_ResourceBreakdown_ExistingAssets</vt:lpstr>
      <vt:lpstr>input_NeedAnalysis_WealthProtectionNeed_LossOfIncomeProtection_ResourceBreakdown_ExistingInsurance</vt:lpstr>
      <vt:lpstr>input_NeedAnalysis_WealthProtectionNeed_LossOfIncomeProtection_ToAddressNow</vt:lpstr>
      <vt:lpstr>input_NeedAnalysis_WealthProtectionNeed_LossOfIncomeProtection_TotalShortfall</vt:lpstr>
      <vt:lpstr>input_NeedAnalysis_WealthProtectionNeed_PersonalAccidentProtection_AmountNeeded</vt:lpstr>
      <vt:lpstr>input_NeedAnalysis_WealthProtectionNeed_PersonalAccidentProtection_CapitalSumRequired</vt:lpstr>
      <vt:lpstr>input_NeedAnalysis_WealthProtectionNeed_PersonalAccidentProtection_ExistingResources</vt:lpstr>
      <vt:lpstr>input_NeedAnalysis_WealthProtectionNeed_PersonalAccidentProtection_ResourceBreakdown_ExistingAssets</vt:lpstr>
      <vt:lpstr>input_NeedAnalysis_WealthProtectionNeed_PersonalAccidentProtection_ResourceBreakdown_ExistingInsurance</vt:lpstr>
      <vt:lpstr>input_NeedAnalysis_WealthProtectionNeed_PersonalAccidentProtection_ToAddressNow</vt:lpstr>
      <vt:lpstr>input_NeedAnalysis_WealthProtectionNeed_PersonalAccidentProtection_TotalShortfall</vt:lpstr>
      <vt:lpstr>input_NeedAnalysis_WealthProtectionNeed_PremiumSupportAcknowledgement</vt:lpstr>
      <vt:lpstr>input_NeedAnalysis_WealthProtectionNeed_TotalPermanentDisabilityProtection_CapitalSumRequired</vt:lpstr>
      <vt:lpstr>input_NeedAnalysis_WealthProtectionNeed_TotalPermanentDisabilityProtection_DesiredAnnualIncomeReplacement</vt:lpstr>
      <vt:lpstr>input_NeedAnalysis_WealthProtectionNeed_TotalPermanentDisabilityProtection_DurationOfGoal</vt:lpstr>
      <vt:lpstr>input_NeedAnalysis_WealthProtectionNeed_TotalPermanentDisabilityProtection_ExistingResources</vt:lpstr>
      <vt:lpstr>input_NeedAnalysis_WealthProtectionNeed_TotalPermanentDisabilityProtection_InflationAdjustedRateOfReturn</vt:lpstr>
      <vt:lpstr>input_NeedAnalysis_WealthProtectionNeed_TotalPermanentDisabilityProtection_MedicalExpenses</vt:lpstr>
      <vt:lpstr>input_NeedAnalysis_WealthProtectionNeed_TotalPermanentDisabilityProtection_ResourceBreakdown_ExistingAssets</vt:lpstr>
      <vt:lpstr>input_NeedAnalysis_WealthProtectionNeed_TotalPermanentDisabilityProtection_ResourceBreakdown_ExistingInsurance</vt:lpstr>
      <vt:lpstr>input_NeedAnalysis_WealthProtectionNeed_TotalPermanentDisabilityProtection_ToAddressNow</vt:lpstr>
      <vt:lpstr>input_NeedAnalysis_WealthProtectionNeed_TotalPermanentDisabilityProtection_TotalCashNeeds</vt:lpstr>
      <vt:lpstr>input_NeedAnalysis_WealthProtectionNeed_TotalPermanentDisabilityProtection_TotalShortfall</vt:lpstr>
      <vt:lpstr>input_PersonalDetails_AgeNextBirthday</vt:lpstr>
      <vt:lpstr>input_PersonalDetails_CountryOfBirth</vt:lpstr>
      <vt:lpstr>input_PersonalDetails_Dob</vt:lpstr>
      <vt:lpstr>input_PersonalDetails_EducationCode</vt:lpstr>
      <vt:lpstr>input_PersonalDetails_EmploymentType</vt:lpstr>
      <vt:lpstr>input_PersonalDetails_EnglishProficiency</vt:lpstr>
      <vt:lpstr>input_PersonalDetails_Gender</vt:lpstr>
      <vt:lpstr>input_PersonalDetails_MaritalStatus</vt:lpstr>
      <vt:lpstr>input_PersonalDetails_MedicalConditionDisclosure_MedicalCondition</vt:lpstr>
      <vt:lpstr>input_PersonalDetails_MedicalConditionDisclosure_MedicalConditionInfo</vt:lpstr>
      <vt:lpstr>input_PersonalDetails_Nationality</vt:lpstr>
      <vt:lpstr>input_PersonalDetails_OccupationCode</vt:lpstr>
      <vt:lpstr>input_PersonalDetails_OtherOccupation</vt:lpstr>
      <vt:lpstr>input_PersonalDetails_PrNationality</vt:lpstr>
      <vt:lpstr>input_PersonalDetails_SelfEmployed</vt:lpstr>
      <vt:lpstr>input_PersonalDetails_Smoker</vt:lpstr>
      <vt:lpstr>input_PersonalDetails_Title</vt:lpstr>
      <vt:lpstr>input_PersonalDetails_TrustedIndividual_Accompanied</vt:lpstr>
      <vt:lpstr>input_PersonalDetails_TrustedIndividual_TrusteeRelationship</vt:lpstr>
      <vt:lpstr>input_PersonalDetails_TypeOfPass</vt:lpstr>
      <vt:lpstr>input_RPQ_AcceptableLoss</vt:lpstr>
      <vt:lpstr>input_RPQ_HoldInvestmentUntil</vt:lpstr>
      <vt:lpstr>input_RPQ_RiskiestAssetSelection</vt:lpstr>
      <vt:lpstr>input_RPQ_RiskProfile</vt:lpstr>
      <vt:lpstr>input_RPQ_RiskProfileSummary</vt:lpstr>
      <vt:lpstr>input_RPQ_RiskTotalScore</vt:lpstr>
      <vt:lpstr>input_RPQ_YearsOfInvestmentExperience</vt:lpstr>
      <vt:lpstr>input_RPQ_YearsToManageWithoutIncome</vt:lpstr>
      <vt:lpstr>input_RPQ_YearsToRetire</vt:lpstr>
      <vt:lpstr>output_CKA_Validation</vt:lpstr>
      <vt:lpstr>output_CKA_ValidationMessage</vt:lpstr>
      <vt:lpstr>output_Dependents_Dependents_Validation</vt:lpstr>
      <vt:lpstr>output_Dependents_Dependents_ValidationMessage</vt:lpstr>
      <vt:lpstr>output_FinancialDetail_FinancialDetails_Validation</vt:lpstr>
      <vt:lpstr>output_FinancialDetail_FinancialDetails_ValidationMessage</vt:lpstr>
      <vt:lpstr>output_NeedAnalysis_WealthAccumulationNeed_ChildrenEducationSavings_Validation</vt:lpstr>
      <vt:lpstr>output_NeedAnalysis_WealthAccumulationNeed_ChildrenEducationSavings_ValidationMessage</vt:lpstr>
      <vt:lpstr>output_NeedAnalysis_WealthAccumulationNeed_ChildrenSavings_Validation</vt:lpstr>
      <vt:lpstr>output_NeedAnalysis_WealthAccumulationNeed_ChildrenSavings_ValidationMessage</vt:lpstr>
      <vt:lpstr>output_NeedAnalysis_WealthAccumulationNeed_RetirementAccumulation_Validation</vt:lpstr>
      <vt:lpstr>output_NeedAnalysis_WealthAccumulationNeed_RetirementAccumulation_ValidationMessage</vt:lpstr>
      <vt:lpstr>output_NeedAnalysis_WealthAccumulationNeed_SavingsAccumulation_Validation</vt:lpstr>
      <vt:lpstr>output_NeedAnalysis_WealthAccumulationNeed_SavingsAccumulation_ValidationMessage</vt:lpstr>
      <vt:lpstr>output_NeedAnalysis_WealthProtectionNeed_CriticalIllnessProtection_Validation</vt:lpstr>
      <vt:lpstr>output_NeedAnalysis_WealthProtectionNeed_CriticalIllnessProtection_ValidationMessage</vt:lpstr>
      <vt:lpstr>output_NeedAnalysis_WealthProtectionNeed_DeathProtection_Validation</vt:lpstr>
      <vt:lpstr>output_NeedAnalysis_WealthProtectionNeed_DeathProtection_ValidationMessage</vt:lpstr>
      <vt:lpstr>output_NeedAnalysis_WealthProtectionNeed_DependentDeathProtection_Validation</vt:lpstr>
      <vt:lpstr>output_NeedAnalysis_WealthProtectionNeed_DependentDeathProtection_ValidationMessage</vt:lpstr>
      <vt:lpstr>output_NeedAnalysis_WealthProtectionNeed_FractureNeedProtection_Validation</vt:lpstr>
      <vt:lpstr>output_NeedAnalysis_WealthProtectionNeed_FractureNeedProtection_ValidationMessage</vt:lpstr>
      <vt:lpstr>output_NeedAnalysis_WealthProtectionNeed_GenderRelatedIllnessProtection_Validation</vt:lpstr>
      <vt:lpstr>output_NeedAnalysis_WealthProtectionNeed_GenderRelatedIllnessProtection_ValidationMessage</vt:lpstr>
      <vt:lpstr>output_NeedAnalysis_WealthProtectionNeed_HospitalProtection_Validation</vt:lpstr>
      <vt:lpstr>output_NeedAnalysis_WealthProtectionNeed_HospitalProtection_ValidationMessage</vt:lpstr>
      <vt:lpstr>output_NeedAnalysis_WealthProtectionNeed_LongTermCareProtection_Validation</vt:lpstr>
      <vt:lpstr>output_NeedAnalysis_WealthProtectionNeed_LongTermCareProtection_ValidationMessage</vt:lpstr>
      <vt:lpstr>output_NeedAnalysis_WealthProtectionNeed_LossOfIncomeProtection_Validation</vt:lpstr>
      <vt:lpstr>output_NeedAnalysis_WealthProtectionNeed_LossOfIncomeProtection_ValidationMessage</vt:lpstr>
      <vt:lpstr>output_NeedAnalysis_WealthProtectionNeed_PersonalAccidentProtection_Validation</vt:lpstr>
      <vt:lpstr>output_NeedAnalysis_WealthProtectionNeed_PersonalAccidentProtection_ValidationMessage</vt:lpstr>
      <vt:lpstr>output_NeedAnalysis_WealthProtectionNeed_TotalPermanentDisabilityProtection_Validation</vt:lpstr>
      <vt:lpstr>output_NeedAnalysis_WealthProtectionNeed_TotalPermanentDisabilityProtection_ValidationMessage</vt:lpstr>
      <vt:lpstr>output_PersonalDetails_PersonalDetails_Validation</vt:lpstr>
      <vt:lpstr>output_PersonalDetails_PersonalDetails_ValidationMessage</vt:lpstr>
      <vt:lpstr>output_RPQ_Validation</vt:lpstr>
      <vt:lpstr>output_RPQ_ValidationMessage</vt:lpstr>
      <vt:lpstr>output_Success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360F</cp:lastModifiedBy>
  <dcterms:created xsi:type="dcterms:W3CDTF">2023-03-31T02:44:30Z</dcterms:created>
  <dcterms:modified xsi:type="dcterms:W3CDTF">2023-07-26T16:52:28Z</dcterms:modified>
</cp:coreProperties>
</file>