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1"/>
  <workbookPr dateCompatibility="0" defaultThemeVersion="166925"/>
  <mc:AlternateContent xmlns:mc="http://schemas.openxmlformats.org/markup-compatibility/2006">
    <mc:Choice Requires="x15">
      <x15ac:absPath xmlns:x15ac="http://schemas.microsoft.com/office/spreadsheetml/2010/11/ac" url="/Volumes/Backup/Finances &amp; Investments/Helen Davies/Valuations/Defence/General Dynamics/"/>
    </mc:Choice>
  </mc:AlternateContent>
  <xr:revisionPtr revIDLastSave="0" documentId="13_ncr:9_{DD12A8B2-76F1-0942-8363-EFD12FCE46E7}" xr6:coauthVersionLast="47" xr6:coauthVersionMax="47" xr10:uidLastSave="{00000000-0000-0000-0000-000000000000}"/>
  <bookViews>
    <workbookView xWindow="0" yWindow="500" windowWidth="44800" windowHeight="24700" activeTab="3" xr2:uid="{00000000-000D-0000-FFFF-FFFF00000000}"/>
  </bookViews>
  <sheets>
    <sheet name="Income Statement" sheetId="1" r:id="rId1"/>
    <sheet name="Balance Sheet" sheetId="2" r:id="rId2"/>
    <sheet name="Cash Flow" sheetId="3" r:id="rId3"/>
    <sheet name="DCF" sheetId="4" r:id="rId4"/>
  </sheets>
  <definedNames>
    <definedName name="_xlnm._FilterDatabase" localSheetId="1">'Balance Sheet'!$A$1:$F$99</definedName>
    <definedName name="_xlnm._FilterDatabase" localSheetId="2">'Cash Flow'!$A$1:$G$84</definedName>
    <definedName name="_xlnm._FilterDatabase" localSheetId="0">'Income Statement'!$A$1:$G$59</definedName>
  </definedNames>
  <calcPr calcId="191029" iterateDelta="1E-4"/>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N3" i="4" l="1"/>
  <c r="F13" i="4"/>
  <c r="E13" i="4"/>
  <c r="D13" i="4"/>
  <c r="C13" i="4"/>
  <c r="J5" i="4"/>
  <c r="I5" i="4"/>
  <c r="H5" i="4"/>
  <c r="G5" i="4"/>
  <c r="F21" i="4"/>
  <c r="E21" i="4"/>
  <c r="D21" i="4"/>
  <c r="C21" i="4"/>
  <c r="C34" i="4" a="1"/>
  <c r="C34" i="4" s="1"/>
  <c r="C36" i="4" a="1"/>
  <c r="C36" i="4" s="1"/>
  <c r="C37" i="4"/>
  <c r="N12" i="4" a="1"/>
  <c r="N12" i="4" s="1"/>
  <c r="N14" i="4" s="1"/>
  <c r="N4" i="4" a="1"/>
  <c r="N4" i="4" s="1"/>
  <c r="C38" i="4" s="1"/>
  <c r="F17" i="4"/>
  <c r="E17" i="4"/>
  <c r="D17" i="4"/>
  <c r="C17" i="4"/>
  <c r="F14" i="4"/>
  <c r="E14" i="4"/>
  <c r="D14" i="4"/>
  <c r="C14" i="4"/>
  <c r="F9" i="4"/>
  <c r="E9" i="4"/>
  <c r="D9" i="4"/>
  <c r="C9" i="4"/>
  <c r="F8" i="4"/>
  <c r="E8" i="4"/>
  <c r="D8" i="4"/>
  <c r="C8" i="4"/>
  <c r="F7" i="4"/>
  <c r="E7" i="4"/>
  <c r="D7" i="4"/>
  <c r="C7" i="4"/>
  <c r="F6" i="4"/>
  <c r="E6" i="4"/>
  <c r="D6" i="4"/>
  <c r="C6" i="4"/>
  <c r="F5" i="4"/>
  <c r="E5" i="4"/>
  <c r="D5" i="4"/>
  <c r="C5" i="4"/>
  <c r="C27" i="4"/>
  <c r="D3" i="4"/>
  <c r="E3" i="4" s="1"/>
  <c r="F22" i="4" l="1"/>
  <c r="F28" i="4" s="1"/>
  <c r="C22" i="4"/>
  <c r="D22" i="4"/>
  <c r="D24" i="4" s="1"/>
  <c r="C40" i="4"/>
  <c r="C39" i="4"/>
  <c r="D10" i="4"/>
  <c r="N9" i="4"/>
  <c r="E10" i="4"/>
  <c r="N8" i="4"/>
  <c r="C10" i="4"/>
  <c r="E22" i="4"/>
  <c r="E28" i="4" s="1"/>
  <c r="F10" i="4"/>
  <c r="F3" i="4"/>
  <c r="E27" i="4"/>
  <c r="D27" i="4"/>
  <c r="N5" i="4"/>
  <c r="N10" i="4" l="1"/>
  <c r="N15" i="4" s="1"/>
  <c r="C31" i="4" s="1"/>
  <c r="K29" i="4" s="1"/>
  <c r="D28" i="4"/>
  <c r="F24" i="4"/>
  <c r="G9" i="4"/>
  <c r="G10" i="4" s="1"/>
  <c r="E24" i="4"/>
  <c r="C28" i="4"/>
  <c r="C24" i="4"/>
  <c r="H9" i="4"/>
  <c r="G3" i="4"/>
  <c r="F27" i="4"/>
  <c r="G22" i="4" l="1"/>
  <c r="G28" i="4" s="1"/>
  <c r="G29" i="4"/>
  <c r="H29" i="4"/>
  <c r="I29" i="4"/>
  <c r="J29" i="4"/>
  <c r="G27" i="4"/>
  <c r="H3" i="4"/>
  <c r="H22" i="4"/>
  <c r="H10" i="4"/>
  <c r="J9" i="4"/>
  <c r="I9" i="4"/>
  <c r="G24" i="4" l="1"/>
  <c r="G30" i="4"/>
  <c r="I10" i="4"/>
  <c r="I22" i="4"/>
  <c r="J22" i="4"/>
  <c r="J10" i="4"/>
  <c r="H28" i="4"/>
  <c r="H30" i="4" s="1"/>
  <c r="H24" i="4"/>
  <c r="H27" i="4"/>
  <c r="I3" i="4"/>
  <c r="I27" i="4" l="1"/>
  <c r="J3" i="4"/>
  <c r="J27" i="4" s="1"/>
  <c r="K28" i="4"/>
  <c r="K30" i="4" s="1"/>
  <c r="J28" i="4"/>
  <c r="J30" i="4" s="1"/>
  <c r="J24" i="4"/>
  <c r="I24" i="4"/>
  <c r="I28" i="4"/>
  <c r="I30" i="4" s="1"/>
  <c r="C33" i="4" l="1"/>
  <c r="C35" i="4" s="1"/>
</calcChain>
</file>

<file path=xl/metadata.xml><?xml version="1.0" encoding="utf-8"?>
<metadata xmlns="http://purl.oclc.org/ooxml/spreadsheetml/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<sst xmlns="http://purl.oclc.org/ooxml/spreadsheetml/main" count="456" uniqueCount="292">
  <si>
    <t>TTM</t>
  </si>
  <si>
    <t>Gross Profit</t>
  </si>
  <si>
    <t xml:space="preserve">    Total Revenue</t>
  </si>
  <si>
    <t xml:space="preserve">        Business Revenue</t>
  </si>
  <si>
    <t xml:space="preserve">    Cost of Revenue</t>
  </si>
  <si>
    <t xml:space="preserve">        Cost of Goods and Services</t>
  </si>
  <si>
    <t>Operating Income/Expenses</t>
  </si>
  <si>
    <t xml:space="preserve">    Selling, General and Administrative Expenses</t>
  </si>
  <si>
    <t xml:space="preserve">        General and Administrative Expenses</t>
  </si>
  <si>
    <t>Total Operating Profit/Loss</t>
  </si>
  <si>
    <t>Non-Operating Income/Expenses, Total</t>
  </si>
  <si>
    <t xml:space="preserve">    Total Net Finance Income/Expense</t>
  </si>
  <si>
    <t xml:space="preserve">        Net Interest Income/Expense</t>
  </si>
  <si>
    <t xml:space="preserve">            Interest Expense Net of Capitalized Interest</t>
  </si>
  <si>
    <t>Pretax Income</t>
  </si>
  <si>
    <t>Provision for Income Tax</t>
  </si>
  <si>
    <t>Net Income from Continuing Operations</t>
  </si>
  <si>
    <t>Discontinued Operations</t>
  </si>
  <si>
    <t>Net Income after Extraordinary Items and Discontinued Operations</t>
  </si>
  <si>
    <t>Net Income after Non-Controlling/Minority Interests</t>
  </si>
  <si>
    <t>Net Income Available to Common Stockholders</t>
  </si>
  <si>
    <t>Diluted Net Income Available to Common Stockholders</t>
  </si>
  <si>
    <t>Basic EPS</t>
  </si>
  <si>
    <t>Diluted EPS</t>
  </si>
  <si>
    <t>Basic WASO</t>
  </si>
  <si>
    <t>Diluted WASO</t>
  </si>
  <si>
    <t>Total Assets</t>
  </si>
  <si>
    <t xml:space="preserve">    Total Current Assets</t>
  </si>
  <si>
    <t xml:space="preserve">        Cash, Cash Equivalents and Short Term Investments</t>
  </si>
  <si>
    <t xml:space="preserve">            Cash and Cash Equivalents</t>
  </si>
  <si>
    <t xml:space="preserve">        Inventories</t>
  </si>
  <si>
    <t xml:space="preserve">        Trade and Other Receivables, Current</t>
  </si>
  <si>
    <t xml:space="preserve">            Trade/Accounts Receivable, Current</t>
  </si>
  <si>
    <t xml:space="preserve">    Total Non-Current Assets</t>
  </si>
  <si>
    <t xml:space="preserve">        Net Property, Plant and Equipment</t>
  </si>
  <si>
    <t xml:space="preserve">            Gross Property, Plant and Equipment</t>
  </si>
  <si>
    <t xml:space="preserve">                Properties</t>
  </si>
  <si>
    <t xml:space="preserve">                    Land and Improvements</t>
  </si>
  <si>
    <t xml:space="preserve">                    Buildings and Improvements</t>
  </si>
  <si>
    <t xml:space="preserve">                Machinery, Furniture and Equipment</t>
  </si>
  <si>
    <t xml:space="preserve">            Accumulated Depreciation and Impairment</t>
  </si>
  <si>
    <t xml:space="preserve">                Accumulated Depreciation</t>
  </si>
  <si>
    <t xml:space="preserve">        Net Intangible Assets</t>
  </si>
  <si>
    <t xml:space="preserve">            Gross Goodwill and Other Intangible Assets</t>
  </si>
  <si>
    <t xml:space="preserve">                Goodwill</t>
  </si>
  <si>
    <t xml:space="preserve">                Intangibles other than Goodwill</t>
  </si>
  <si>
    <t xml:space="preserve">            Accumulated Amortization and Impairment</t>
  </si>
  <si>
    <t xml:space="preserve">                Accumulated Amortization of Intangible Assets</t>
  </si>
  <si>
    <t xml:space="preserve">                    Accumulated Amortization of Intangibles other than Goodwill</t>
  </si>
  <si>
    <t>Total Liabilities</t>
  </si>
  <si>
    <t xml:space="preserve">    Total Current Liabilities</t>
  </si>
  <si>
    <t xml:space="preserve">        Payables and Accrued Expenses, Current</t>
  </si>
  <si>
    <t xml:space="preserve">            Trade and Other Payables, Current</t>
  </si>
  <si>
    <t xml:space="preserve">                Trade/Accounts Payable, Current</t>
  </si>
  <si>
    <t xml:space="preserve">        Financial Liabilities, Current</t>
  </si>
  <si>
    <t xml:space="preserve">            Current Debt and Capital Lease Obligation</t>
  </si>
  <si>
    <t xml:space="preserve">                Current Portion of Long Term Debt and Capital Lease</t>
  </si>
  <si>
    <t xml:space="preserve">        Provisions, Current</t>
  </si>
  <si>
    <t xml:space="preserve">            Provision for Employee Entitlements, Current</t>
  </si>
  <si>
    <t xml:space="preserve">        Deferred Liabilities, Current</t>
  </si>
  <si>
    <t xml:space="preserve">            Deferred Income/Customer Advances/Billings in Excess of Cost, Current</t>
  </si>
  <si>
    <t xml:space="preserve">    Total Non-Current Liabilities</t>
  </si>
  <si>
    <t xml:space="preserve">        Financial Liabilities, Non-Current</t>
  </si>
  <si>
    <t xml:space="preserve">            Long Term Debt and Capital Lease Obligation</t>
  </si>
  <si>
    <t xml:space="preserve">                Long Term Debt</t>
  </si>
  <si>
    <t xml:space="preserve">                Capital Lease Obligations, Non-Current</t>
  </si>
  <si>
    <t xml:space="preserve">        Provisions, Non-Current</t>
  </si>
  <si>
    <t xml:space="preserve">            Provision for Employee Entitlements, Non-Current</t>
  </si>
  <si>
    <t xml:space="preserve">                Pension and Other Post-Retirement Benefit Plans, Non-Current</t>
  </si>
  <si>
    <t xml:space="preserve">        Tax Liabilities, Non-Current</t>
  </si>
  <si>
    <t xml:space="preserve">            Deferred Tax Liabilities, Non-Current</t>
  </si>
  <si>
    <t xml:space="preserve">        Other Non-Current Liabilities</t>
  </si>
  <si>
    <t>Total Equity</t>
  </si>
  <si>
    <t xml:space="preserve">    Equity Attributable to Parent Stockholders</t>
  </si>
  <si>
    <t xml:space="preserve">        Paid in Capital</t>
  </si>
  <si>
    <t xml:space="preserve">            Capital Stock</t>
  </si>
  <si>
    <t xml:space="preserve">                Common Stock</t>
  </si>
  <si>
    <t xml:space="preserve">                Additional Paid in Capital/Share Premium</t>
  </si>
  <si>
    <t xml:space="preserve">        Retained Earnings/Accumulated Deficit</t>
  </si>
  <si>
    <t xml:space="preserve">        Reserves/Accumulated Comprehensive Income/Losses</t>
  </si>
  <si>
    <t>Cash Flow from Operating Activities, Indirect</t>
  </si>
  <si>
    <t>Cash Flow from Investing Activities</t>
  </si>
  <si>
    <t>Cash Flow from Financing Activities</t>
  </si>
  <si>
    <t>Cash and Cash Equivalents, End of Period</t>
  </si>
  <si>
    <t>Actual</t>
  </si>
  <si>
    <t>Debt Structure</t>
  </si>
  <si>
    <t>Total Debt</t>
  </si>
  <si>
    <t>Income Statement</t>
  </si>
  <si>
    <t>Market Cap</t>
  </si>
  <si>
    <t>Revenue</t>
  </si>
  <si>
    <t>Total</t>
  </si>
  <si>
    <t>Interest Expense</t>
  </si>
  <si>
    <t>Required Return</t>
  </si>
  <si>
    <t>Income Tax Provision</t>
  </si>
  <si>
    <t>Weighted Average Cost of Debt</t>
  </si>
  <si>
    <t>Net Income</t>
  </si>
  <si>
    <t>Tax Rate</t>
  </si>
  <si>
    <t>Net Profit Margins</t>
  </si>
  <si>
    <t>Tax-Adjusted Cost of Debt</t>
  </si>
  <si>
    <t>Risk-Free Rate*</t>
  </si>
  <si>
    <t>Balance Sheet</t>
  </si>
  <si>
    <t>Beta</t>
  </si>
  <si>
    <t>Short/Current Debt</t>
  </si>
  <si>
    <t>Expected Return of the Market**</t>
  </si>
  <si>
    <t>Long Term Debt</t>
  </si>
  <si>
    <t>Capital Asset Pricing Model</t>
  </si>
  <si>
    <t>WACC</t>
  </si>
  <si>
    <t>Cash Flow</t>
  </si>
  <si>
    <t>Continuing Operating Activities</t>
  </si>
  <si>
    <t>Property, Plant &amp; Equipment (Current)</t>
  </si>
  <si>
    <t>Property, Plant &amp; Equipment (Prior)</t>
  </si>
  <si>
    <t>Depreciation</t>
  </si>
  <si>
    <t>Capital Expenditures</t>
  </si>
  <si>
    <t>Free Cash Flow to Equity</t>
  </si>
  <si>
    <t>FCFE to Profit Margins (%)</t>
  </si>
  <si>
    <t>Discounted Free Cash Flow Valuation</t>
  </si>
  <si>
    <t>Terminal Value</t>
  </si>
  <si>
    <t>Free Cash Flow</t>
  </si>
  <si>
    <t>Discount Factor</t>
  </si>
  <si>
    <t>PV of Future Cash Flow</t>
  </si>
  <si>
    <t>Perpetual Growth Rate</t>
  </si>
  <si>
    <t>Today's Value</t>
  </si>
  <si>
    <t>Shares Out***</t>
  </si>
  <si>
    <t>Fair Value of Equity</t>
  </si>
  <si>
    <t>Market Price</t>
  </si>
  <si>
    <t>Book Value</t>
  </si>
  <si>
    <t>P/B Ratio</t>
  </si>
  <si>
    <t>BVPS</t>
  </si>
  <si>
    <t>P/E Ratio</t>
  </si>
  <si>
    <t/>
  </si>
  <si>
    <t xml:space="preserve">    Regular Dividend Per Share Calc</t>
  </si>
  <si>
    <t>Total Dividend Per Share</t>
  </si>
  <si>
    <t>Diluted Weighted Average Shares Outstanding</t>
  </si>
  <si>
    <t>Basic Weighted Average Shares Outstanding</t>
  </si>
  <si>
    <t xml:space="preserve">    Diluted EPS from Discontinued Operations</t>
  </si>
  <si>
    <t xml:space="preserve">    Diluted EPS from Continuing Operations</t>
  </si>
  <si>
    <t xml:space="preserve">    Basic EPS from Discontinued Operations</t>
  </si>
  <si>
    <t xml:space="preserve">    Basic EPS from Continuing Operations</t>
  </si>
  <si>
    <t xml:space="preserve">        Total Revenue as Reported, Supplemental</t>
  </si>
  <si>
    <t xml:space="preserve">    Reported Normalized and Operating Income/Expense Supplemental Section</t>
  </si>
  <si>
    <t>Income Statement Supplemental Section</t>
  </si>
  <si>
    <t>Debt Maturity Schedule Total</t>
  </si>
  <si>
    <t xml:space="preserve">    Debt due in Year 3</t>
  </si>
  <si>
    <t xml:space="preserve">    Debt due in Year 5</t>
  </si>
  <si>
    <t xml:space="preserve">    Debt - Interests Charges and Other Adjustments</t>
  </si>
  <si>
    <t xml:space="preserve">    Debt due Beyond</t>
  </si>
  <si>
    <t xml:space="preserve">    Debt due in Year 1</t>
  </si>
  <si>
    <t>Other Contractual Obligations Maturity Schedule Total</t>
  </si>
  <si>
    <t xml:space="preserve">    Other Contractual Obligations due in Year 1</t>
  </si>
  <si>
    <t xml:space="preserve">    Other Contractual Obligations due in Year 3</t>
  </si>
  <si>
    <t xml:space="preserve">    Other Contractual Obligations due in Year 5</t>
  </si>
  <si>
    <t xml:space="preserve">    Other Contractual Obligations due Beyond</t>
  </si>
  <si>
    <t>Total Lease Liability</t>
  </si>
  <si>
    <t xml:space="preserve">    Total Lease Liability - Due in year 1</t>
  </si>
  <si>
    <t xml:space="preserve">    Total Lease Liability - Due in year 5</t>
  </si>
  <si>
    <t xml:space="preserve">    Total Lease Liability - Beyond</t>
  </si>
  <si>
    <t xml:space="preserve">    Total Lease Liability - Interest Charges and Other Adjustments</t>
  </si>
  <si>
    <t xml:space="preserve">    Total Lease Liability - Due in year 2</t>
  </si>
  <si>
    <t xml:space="preserve">    Total Lease Liability - Due in year 3</t>
  </si>
  <si>
    <t xml:space="preserve">    Total Lease Liability - Due in year 4</t>
  </si>
  <si>
    <t>Total Contractual Obligations</t>
  </si>
  <si>
    <t xml:space="preserve">    Total Contractual Obligations due in year 1</t>
  </si>
  <si>
    <t xml:space="preserve">    Total Contractual Obligations due in year 3</t>
  </si>
  <si>
    <t xml:space="preserve">    Total Contractual Obligations due in year 5</t>
  </si>
  <si>
    <t xml:space="preserve">    Total Contractual Obligations due Beyond</t>
  </si>
  <si>
    <t xml:space="preserve">    Total Contractual Obligations - Interests Charges and Other Adjustments</t>
  </si>
  <si>
    <t xml:space="preserve">    Total Contractual Obligations due in year 2</t>
  </si>
  <si>
    <t xml:space="preserve">    Total Contractual Obligations due in year 4</t>
  </si>
  <si>
    <t>Cash Flow Supplemental Section</t>
  </si>
  <si>
    <t xml:space="preserve">    Other Income/Expense, Non-Operating</t>
  </si>
  <si>
    <t xml:space="preserve">        Total Operating Profit/Loss as Reported, Supplemental</t>
  </si>
  <si>
    <t xml:space="preserve">        Reported Normalized Income</t>
  </si>
  <si>
    <t xml:space="preserve">        Reported Effective Tax Rate</t>
  </si>
  <si>
    <t>Reported Normalized Diluted EPS</t>
  </si>
  <si>
    <t>Fiscal year ends in Dec 31 | USD</t>
  </si>
  <si>
    <t xml:space="preserve">            Raw Materials, Consumables and Supplies</t>
  </si>
  <si>
    <t xml:space="preserve">            Work-in-Process</t>
  </si>
  <si>
    <t xml:space="preserve">            Accrued Income/Unbilled Revenue/Cost in Excess of Billings, Current</t>
  </si>
  <si>
    <t xml:space="preserve">                    Plant and Machinery</t>
  </si>
  <si>
    <t xml:space="preserve">        Other Non-Current Assets</t>
  </si>
  <si>
    <t xml:space="preserve">        Other Current Liabilities</t>
  </si>
  <si>
    <t xml:space="preserve">    Debt due in Year 2</t>
  </si>
  <si>
    <t xml:space="preserve">    Debt due in Year 4</t>
  </si>
  <si>
    <t>Operating Lease Obligation Maturity Schedule Total</t>
  </si>
  <si>
    <t xml:space="preserve">    Operating Lease due in Year 1</t>
  </si>
  <si>
    <t xml:space="preserve">    Operating Lease due in Year 2</t>
  </si>
  <si>
    <t xml:space="preserve">    Operating Lease due in Year 3</t>
  </si>
  <si>
    <t xml:space="preserve">    Operating Lease due in Year 4</t>
  </si>
  <si>
    <t xml:space="preserve">    Operating Lease due in Year 5</t>
  </si>
  <si>
    <t xml:space="preserve">    Operating Lease due Beyond</t>
  </si>
  <si>
    <t xml:space="preserve">    Operating Lease - Interests Charges and Other Adjustments</t>
  </si>
  <si>
    <r>
      <t xml:space="preserve">Financials </t>
    </r>
    <r>
      <rPr>
        <sz val="10"/>
        <color theme="1"/>
        <rFont val="Arial"/>
        <family val="2"/>
      </rPr>
      <t>(All Values in US$Millions)</t>
    </r>
  </si>
  <si>
    <t>Projected***</t>
  </si>
  <si>
    <t>***Projected Revenues calculated using Compound Annual Growth Rate (CAGR)</t>
  </si>
  <si>
    <t>*This comes from the 10yr Bond Yield</t>
  </si>
  <si>
    <t>GD_cash-flow_Annual_As_Originally_Reported</t>
  </si>
  <si>
    <t xml:space="preserve">    Net Cash Flow from Continuing Operating Activities, Indirect</t>
  </si>
  <si>
    <t xml:space="preserve">        Cash Generated from Operating Activities</t>
  </si>
  <si>
    <t xml:space="preserve">            Income/Loss before Non-Cash Adjustment</t>
  </si>
  <si>
    <t xml:space="preserve">            Total Adjustments for Non-Cash Items</t>
  </si>
  <si>
    <t xml:space="preserve">                Depreciation, Amortization and Depletion, Non-Cash Adjustment</t>
  </si>
  <si>
    <t xml:space="preserve">                    Depreciation and Amortization, Non-Cash Adjustment</t>
  </si>
  <si>
    <t xml:space="preserve">                        Depreciation, Non-Cash Adjustment</t>
  </si>
  <si>
    <t xml:space="preserve">                        Amortization, Non-Cash Adjustment</t>
  </si>
  <si>
    <t xml:space="preserve">                Stock-Based Compensation, Non-Cash Adjustment</t>
  </si>
  <si>
    <t xml:space="preserve">                Taxes, Non-Cash Adjustment</t>
  </si>
  <si>
    <t xml:space="preserve">                Other Non-Cash Items</t>
  </si>
  <si>
    <t xml:space="preserve">                Excess Tax Benefit from Stock-Based Compensation, Non-Cash Adjustment</t>
  </si>
  <si>
    <t xml:space="preserve">                Irregular Income/Loss, Non-Cash Adjustment</t>
  </si>
  <si>
    <t xml:space="preserve">                    Impairment of Goodwill, Non-Cash Adjustment</t>
  </si>
  <si>
    <t xml:space="preserve">                    Impairment/Write Off/Write Down of Capital Assets Loss/Reversal, Non-Cash Adjustment</t>
  </si>
  <si>
    <t xml:space="preserve">            Changes in Operating Capital</t>
  </si>
  <si>
    <t xml:space="preserve">                Change in Inventories</t>
  </si>
  <si>
    <t xml:space="preserve">                Change in Trade and Other Receivables</t>
  </si>
  <si>
    <t xml:space="preserve">                    Change in Trade/Accounts Receivable</t>
  </si>
  <si>
    <t xml:space="preserve">                    Change in Accrued Income/Unbilled Revenue/Cost in Excess of Billings</t>
  </si>
  <si>
    <t xml:space="preserve">                Change in Other Current Assets</t>
  </si>
  <si>
    <t xml:space="preserve">                Change in Payables and Accrued Expenses</t>
  </si>
  <si>
    <t xml:space="preserve">                    Change in Trade and Other Payables</t>
  </si>
  <si>
    <t xml:space="preserve">                        Change in Trade/Accounts Payable</t>
  </si>
  <si>
    <t xml:space="preserve">                Change in Deferred Assets/Liabilities</t>
  </si>
  <si>
    <t xml:space="preserve">                Change in Other Current Liabilities</t>
  </si>
  <si>
    <t xml:space="preserve">                Change in Other Operating Capital</t>
  </si>
  <si>
    <t xml:space="preserve">        Other Operating Cash Flow</t>
  </si>
  <si>
    <t xml:space="preserve">    Cash Flow from Continuing Investing Activities</t>
  </si>
  <si>
    <t xml:space="preserve">        Capital Expenditure, Reported</t>
  </si>
  <si>
    <t xml:space="preserve">        Purchase/Sale of Business, Net</t>
  </si>
  <si>
    <t xml:space="preserve">            Purchase/Acquisition of Business</t>
  </si>
  <si>
    <t xml:space="preserve">        Purchase/Sale of Other Non-Current Assets, Net</t>
  </si>
  <si>
    <t xml:space="preserve">            Sales of Other Non-Current Assets</t>
  </si>
  <si>
    <t xml:space="preserve">        Other Investing Cash Flow</t>
  </si>
  <si>
    <t xml:space="preserve">        Purchase/Sale of Investments, Net</t>
  </si>
  <si>
    <t xml:space="preserve">            Sale of Investments</t>
  </si>
  <si>
    <t xml:space="preserve">            Purchase of Investments</t>
  </si>
  <si>
    <t xml:space="preserve">    Cash Flow from Continuing Financing Activities</t>
  </si>
  <si>
    <t xml:space="preserve">        Issuance of/Payments for Common Stock, Net</t>
  </si>
  <si>
    <t xml:space="preserve">            Payments for Common Stock</t>
  </si>
  <si>
    <t xml:space="preserve">        Issuance of/Repayments for Debt, Net</t>
  </si>
  <si>
    <t xml:space="preserve">            Issuance of/Repayments for Short Term Debt, Net</t>
  </si>
  <si>
    <t xml:space="preserve">                Proceeds from Issuance of Short Term Debt</t>
  </si>
  <si>
    <t xml:space="preserve">                Repayments for Short Term Debt</t>
  </si>
  <si>
    <t xml:space="preserve">            Issuance of/Repayments for Long Term Debt, Net</t>
  </si>
  <si>
    <t xml:space="preserve">                Proceeds from Issuance of Long Term Debt</t>
  </si>
  <si>
    <t xml:space="preserve">                Repayments for Long Term Debt</t>
  </si>
  <si>
    <t xml:space="preserve">        Cash Dividends and Interest Paid</t>
  </si>
  <si>
    <t xml:space="preserve">            Cash Dividends Paid</t>
  </si>
  <si>
    <t xml:space="preserve">                Common Stock Dividends Paid</t>
  </si>
  <si>
    <t xml:space="preserve">        Other Financing Cash Flow</t>
  </si>
  <si>
    <t xml:space="preserve">        Proceeds from Issuance/Exercising of Stock Options/Warrants</t>
  </si>
  <si>
    <t>Cash Flow from Discontinued Operation, Included in Net Change in Cash</t>
  </si>
  <si>
    <t xml:space="preserve">    Change in Cash</t>
  </si>
  <si>
    <t xml:space="preserve">    Cash and Cash Equivalents, Beginning of Period</t>
  </si>
  <si>
    <t xml:space="preserve">    Change in Cash as Reported, Supplemental</t>
  </si>
  <si>
    <t>GD_balance-sheet_Annual_As_Originally_Reported</t>
  </si>
  <si>
    <t xml:space="preserve">            Finished Goods and Merchandise</t>
  </si>
  <si>
    <t xml:space="preserve">        Other Current Assets</t>
  </si>
  <si>
    <t xml:space="preserve">                Construction in Progress and Advance Payments</t>
  </si>
  <si>
    <t xml:space="preserve">                    Trademarks and Patents</t>
  </si>
  <si>
    <t xml:space="preserve">                    Software and Technology</t>
  </si>
  <si>
    <t xml:space="preserve">                    Other Intangible Assets</t>
  </si>
  <si>
    <t xml:space="preserve">                        Accumulated Amortization of Trademarks and Patents</t>
  </si>
  <si>
    <t xml:space="preserve">                        Accumulated Amortization of Software and Technology</t>
  </si>
  <si>
    <t xml:space="preserve">                        Accumulated Amortization of Other Intangible Assets</t>
  </si>
  <si>
    <t xml:space="preserve">            Accrued Expenses, Current</t>
  </si>
  <si>
    <t xml:space="preserve">                Current Debt</t>
  </si>
  <si>
    <t xml:space="preserve">                    Capital Lease Obligations, Current</t>
  </si>
  <si>
    <t xml:space="preserve">            Derivative and Hedging Liabilities, Current</t>
  </si>
  <si>
    <t xml:space="preserve">                Pension and Other Post-Retirement Benefit Plans, Current</t>
  </si>
  <si>
    <t xml:space="preserve">                Other Employee-Related Liabilities, Current</t>
  </si>
  <si>
    <t xml:space="preserve">        Tax Liabilities, Current</t>
  </si>
  <si>
    <t xml:space="preserve">            Deferred Tax Liabilities, Current</t>
  </si>
  <si>
    <t xml:space="preserve">        Deferred Liabilities, Non-Current</t>
  </si>
  <si>
    <t xml:space="preserve">            Deferred Income/Customer Advances/Billings in Excess of Cost, Non-Current</t>
  </si>
  <si>
    <t xml:space="preserve">                    Common Stock, with Par Value</t>
  </si>
  <si>
    <t xml:space="preserve">                    Additional Paid in Capital/Share Premium for Common Stock</t>
  </si>
  <si>
    <t xml:space="preserve">            Treasury Stock</t>
  </si>
  <si>
    <t>Capital Lease Obligation Maturity Schedule Total</t>
  </si>
  <si>
    <t xml:space="preserve">    Capital Lease due in Year 1</t>
  </si>
  <si>
    <t xml:space="preserve">    Capital Lease due in Year 2</t>
  </si>
  <si>
    <t xml:space="preserve">    Capital Lease due in Year 3</t>
  </si>
  <si>
    <t xml:space="preserve">    Capital Lease due in Year 4</t>
  </si>
  <si>
    <t xml:space="preserve">    Capital Lease due in Year 5</t>
  </si>
  <si>
    <t xml:space="preserve">    Capital Lease due Beyond</t>
  </si>
  <si>
    <t xml:space="preserve">    Capital Lease - Interests Charges and Other Adjustments</t>
  </si>
  <si>
    <t>GD_income-statement_Annual_As_Originally_Reported</t>
  </si>
  <si>
    <t xml:space="preserve">            Interest Income</t>
  </si>
  <si>
    <t xml:space="preserve">    Irregular Income/Expenses</t>
  </si>
  <si>
    <t xml:space="preserve">        Goodwill Impairment/Write Off</t>
  </si>
  <si>
    <t xml:space="preserve">        Operating Expense as Reported, Supplemental</t>
  </si>
  <si>
    <t xml:space="preserve">        Reported Normalized Operating Profit</t>
  </si>
  <si>
    <t>**This value comes from the average rate of return of the market and should be adjusted depending on which index your stock is being compared</t>
  </si>
  <si>
    <t>All values from financial statements are obtained through Morningstar; when financial statements are downloaded from Morningstar in .xslx, they have consistent formatting, making analysis quicker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</si>
</sst>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quot; &quot;;&quot;(&quot;#,##0&quot;)&quot;"/>
    <numFmt numFmtId="165" formatCode="&quot;$&quot;#,##0.00&quot; &quot;;&quot;($&quot;#,##0.00&quot;)&quot;"/>
    <numFmt numFmtId="166" formatCode="[$-409]#,##0&quot; &quot;;[$-409]&quot;(&quot;#,##0&quot;)&quot;"/>
    <numFmt numFmtId="167" formatCode="[$-409]#,##0.00&quot; &quot;;[$-409]&quot;(&quot;#,##0.00&quot;)&quot;"/>
    <numFmt numFmtId="168" formatCode="0.000"/>
    <numFmt numFmtId="169" formatCode="0.0000"/>
    <numFmt numFmtId="170" formatCode="#,##0.00;&quot;(&quot;#,##0.00&quot;)&quot;"/>
    <numFmt numFmtId="171" formatCode="0.000%"/>
  </numFmts>
  <fonts count="26">
    <font>
      <sz val="10"/>
      <color theme="1"/>
      <name val="Arial2"/>
      <family val="2"/>
    </font>
    <font>
      <sz val="10"/>
      <color theme="1"/>
      <name val="Arial2"/>
      <family val="2"/>
    </font>
    <font>
      <b/>
      <sz val="10"/>
      <color rgb="FF000000"/>
      <name val="Arial2"/>
      <family val="2"/>
    </font>
    <font>
      <sz val="10"/>
      <color rgb="FFFFFFFF"/>
      <name val="Arial2"/>
      <family val="2"/>
    </font>
    <font>
      <sz val="10"/>
      <color rgb="FFCC0000"/>
      <name val="Arial2"/>
      <family val="2"/>
    </font>
    <font>
      <b/>
      <sz val="10"/>
      <color rgb="FFFFFFFF"/>
      <name val="Arial2"/>
      <family val="2"/>
    </font>
    <font>
      <i/>
      <sz val="10"/>
      <color rgb="FF808080"/>
      <name val="Arial2"/>
      <family val="2"/>
    </font>
    <font>
      <sz val="10"/>
      <color rgb="FF006600"/>
      <name val="Arial2"/>
      <family val="2"/>
    </font>
    <font>
      <b/>
      <sz val="24"/>
      <color rgb="FF000000"/>
      <name val="Arial2"/>
      <family val="2"/>
    </font>
    <font>
      <sz val="18"/>
      <color rgb="FF000000"/>
      <name val="Arial2"/>
      <family val="2"/>
    </font>
    <font>
      <sz val="12"/>
      <color rgb="FF000000"/>
      <name val="Arial2"/>
      <family val="2"/>
    </font>
    <font>
      <u/>
      <sz val="10"/>
      <color rgb="FF0000EE"/>
      <name val="Arial2"/>
      <family val="2"/>
    </font>
    <font>
      <sz val="10"/>
      <color rgb="FF996600"/>
      <name val="Arial2"/>
      <family val="2"/>
    </font>
    <font>
      <sz val="10"/>
      <color rgb="FF333333"/>
      <name val="Arial2"/>
      <family val="2"/>
    </font>
    <font>
      <b/>
      <i/>
      <u/>
      <sz val="10"/>
      <color rgb="FF000000"/>
      <name val="Arial2"/>
      <family val="2"/>
    </font>
    <font>
      <sz val="10"/>
      <color rgb="FF5EB91E"/>
      <name val="Arial2"/>
      <family val="2"/>
    </font>
    <font>
      <b/>
      <sz val="10"/>
      <color rgb="FFFF0000"/>
      <name val="Arial2"/>
      <family val="2"/>
    </font>
    <font>
      <sz val="10"/>
      <color rgb="FF00A933"/>
      <name val="Arial2"/>
      <family val="2"/>
    </font>
    <font>
      <b/>
      <sz val="10"/>
      <color theme="1"/>
      <name val="Arial"/>
      <family val="2"/>
    </font>
    <font>
      <sz val="10"/>
      <color theme="1"/>
      <name val="Arial"/>
      <family val="2"/>
    </font>
    <font>
      <b/>
      <sz val="11"/>
      <color rgb="FF000000"/>
      <name val="Calibri"/>
      <family val="2"/>
    </font>
    <font>
      <sz val="10"/>
      <color theme="1"/>
      <name val="Arial2"/>
    </font>
    <font>
      <b/>
      <sz val="10"/>
      <color rgb="FF000000"/>
      <name val="Arial1"/>
    </font>
    <font>
      <sz val="11"/>
      <color rgb="FF000000"/>
      <name val="Calibri"/>
      <family val="2"/>
    </font>
    <font>
      <b/>
      <sz val="10"/>
      <name val="Arial"/>
    </font>
    <font>
      <sz val="10"/>
      <name val="Arial"/>
    </font>
  </fonts>
  <fills count="11">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FF"/>
        <bgColor rgb="FFFFFFFF"/>
      </patternFill>
    </fill>
    <fill>
      <patternFill patternType="solid">
        <fgColor rgb="FFB4C7E7"/>
        <bgColor rgb="FFB4C7E7"/>
      </patternFill>
    </fill>
  </fills>
  <borders count="4">
    <border>
      <start/>
      <end/>
      <top/>
      <bottom/>
      <diagonal/>
    </border>
    <border>
      <start style="thin">
        <color rgb="FF808080"/>
      </start>
      <end style="thin">
        <color rgb="FF808080"/>
      </end>
      <top style="thin">
        <color rgb="FF808080"/>
      </top>
      <bottom style="thin">
        <color rgb="FF808080"/>
      </bottom>
      <diagonal/>
    </border>
    <border>
      <start/>
      <end style="thin">
        <color rgb="FF000000"/>
      </end>
      <top/>
      <bottom/>
      <diagonal/>
    </border>
    <border>
      <start/>
      <end style="thin">
        <color auto="1"/>
      </end>
      <top/>
      <bottom/>
      <diagonal/>
    </border>
  </borders>
  <cellStyleXfs count="22">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15" fillId="0" borderId="0"/>
    <xf numFmtId="0" fontId="16" fillId="0" borderId="0"/>
    <xf numFmtId="0" fontId="17" fillId="0" borderId="0"/>
    <xf numFmtId="0" fontId="4" fillId="0" borderId="0"/>
  </cellStyleXfs>
  <cellXfs count="46">
    <xf numFmtId="0" fontId="0" fillId="0" borderId="0" xfId="0"/>
    <xf numFmtId="0" fontId="19" fillId="0" borderId="0" xfId="0" applyFont="1" applyBorder="1" applyAlignment="1" applyProtection="1"/>
    <xf numFmtId="3" fontId="19" fillId="0" borderId="0" xfId="0" applyNumberFormat="1" applyFont="1" applyBorder="1" applyAlignment="1" applyProtection="1">
      <alignment horizontal="right"/>
    </xf>
    <xf numFmtId="166" fontId="19" fillId="0" borderId="0" xfId="0" applyNumberFormat="1" applyFont="1" applyBorder="1" applyAlignment="1" applyProtection="1"/>
    <xf numFmtId="0" fontId="0" fillId="9" borderId="0" xfId="0" applyFill="1"/>
    <xf numFmtId="0" fontId="20" fillId="10" borderId="0" xfId="0" applyFont="1" applyFill="1" applyBorder="1" applyAlignment="1" applyProtection="1"/>
    <xf numFmtId="0" fontId="20" fillId="10" borderId="2" xfId="0" applyFont="1" applyFill="1" applyBorder="1" applyAlignment="1" applyProtection="1">
      <alignment horizontal="center" vertical="center"/>
    </xf>
    <xf numFmtId="0" fontId="20" fillId="10" borderId="0" xfId="0" applyFont="1" applyFill="1" applyBorder="1" applyAlignment="1" applyProtection="1">
      <alignment horizontal="center" vertical="center"/>
    </xf>
    <xf numFmtId="0" fontId="19" fillId="10" borderId="0" xfId="0" applyFont="1" applyFill="1" applyBorder="1" applyAlignment="1" applyProtection="1"/>
    <xf numFmtId="0" fontId="19" fillId="9" borderId="0" xfId="0" applyFont="1" applyFill="1" applyBorder="1" applyAlignment="1" applyProtection="1"/>
    <xf numFmtId="164" fontId="19" fillId="9" borderId="0" xfId="0" applyNumberFormat="1" applyFont="1" applyFill="1" applyBorder="1" applyAlignment="1" applyProtection="1">
      <alignment horizontal="center" vertical="center"/>
    </xf>
    <xf numFmtId="164" fontId="19" fillId="9" borderId="2" xfId="0" applyNumberFormat="1" applyFont="1" applyFill="1" applyBorder="1" applyAlignment="1" applyProtection="1">
      <alignment horizontal="center" vertical="center"/>
    </xf>
    <xf numFmtId="0" fontId="19" fillId="9" borderId="0" xfId="0" applyFont="1" applyFill="1" applyBorder="1" applyAlignment="1" applyProtection="1">
      <alignment horizontal="center" vertical="center"/>
    </xf>
    <xf numFmtId="10" fontId="19" fillId="9" borderId="0" xfId="0" applyNumberFormat="1" applyFont="1" applyFill="1" applyBorder="1" applyAlignment="1" applyProtection="1">
      <alignment horizontal="center" vertical="center"/>
    </xf>
    <xf numFmtId="10" fontId="19" fillId="9" borderId="2" xfId="0" applyNumberFormat="1" applyFont="1" applyFill="1" applyBorder="1" applyAlignment="1" applyProtection="1">
      <alignment horizontal="center" vertical="center"/>
    </xf>
    <xf numFmtId="0" fontId="19" fillId="9" borderId="2" xfId="0" applyFont="1" applyFill="1" applyBorder="1" applyAlignment="1" applyProtection="1">
      <alignment horizontal="center" vertical="center"/>
    </xf>
    <xf numFmtId="171" fontId="19" fillId="9" borderId="0" xfId="0" applyNumberFormat="1" applyFont="1" applyFill="1" applyBorder="1" applyAlignment="1" applyProtection="1">
      <alignment horizontal="center" vertical="center"/>
    </xf>
    <xf numFmtId="169" fontId="19" fillId="9" borderId="0" xfId="0" applyNumberFormat="1" applyFont="1" applyFill="1" applyBorder="1" applyAlignment="1" applyProtection="1">
      <alignment horizontal="center" vertical="center"/>
    </xf>
    <xf numFmtId="0" fontId="19" fillId="10" borderId="0" xfId="0" applyFont="1" applyFill="1" applyBorder="1" applyAlignment="1" applyProtection="1">
      <alignment horizontal="center" vertical="center"/>
    </xf>
    <xf numFmtId="0" fontId="20" fillId="10" borderId="0" xfId="0" applyFont="1" applyFill="1" applyBorder="1" applyAlignment="1" applyProtection="1">
      <alignment horizontal="center"/>
    </xf>
    <xf numFmtId="164" fontId="19" fillId="9" borderId="0" xfId="0" applyNumberFormat="1" applyFont="1" applyFill="1" applyBorder="1" applyAlignment="1" applyProtection="1">
      <alignment horizontal="center"/>
    </xf>
    <xf numFmtId="168" fontId="19" fillId="9" borderId="0" xfId="0" applyNumberFormat="1" applyFont="1" applyFill="1" applyBorder="1" applyAlignment="1" applyProtection="1">
      <alignment horizontal="center" vertical="center"/>
    </xf>
    <xf numFmtId="0" fontId="20" fillId="9" borderId="0" xfId="0" applyFont="1" applyFill="1" applyBorder="1" applyAlignment="1" applyProtection="1"/>
    <xf numFmtId="164" fontId="20" fillId="9" borderId="0" xfId="0" applyNumberFormat="1" applyFont="1" applyFill="1" applyBorder="1" applyAlignment="1" applyProtection="1">
      <alignment horizontal="center" vertical="center"/>
    </xf>
    <xf numFmtId="164" fontId="19" fillId="9" borderId="0" xfId="0" applyNumberFormat="1" applyFont="1" applyFill="1" applyBorder="1" applyAlignment="1" applyProtection="1"/>
    <xf numFmtId="0" fontId="21" fillId="9" borderId="0" xfId="0" applyFont="1" applyFill="1" applyBorder="1" applyAlignment="1" applyProtection="1"/>
    <xf numFmtId="165" fontId="22" fillId="9" borderId="0" xfId="0" applyNumberFormat="1" applyFont="1" applyFill="1" applyBorder="1" applyAlignment="1" applyProtection="1">
      <alignment horizontal="center" vertical="center"/>
    </xf>
    <xf numFmtId="0" fontId="23" fillId="9" borderId="0" xfId="0" applyFont="1" applyFill="1" applyBorder="1" applyAlignment="1" applyProtection="1"/>
    <xf numFmtId="165" fontId="23" fillId="9" borderId="0" xfId="0" applyNumberFormat="1" applyFont="1" applyFill="1" applyBorder="1" applyAlignment="1" applyProtection="1">
      <alignment horizontal="center" vertical="center"/>
    </xf>
    <xf numFmtId="166" fontId="19" fillId="9" borderId="0" xfId="0" applyNumberFormat="1" applyFont="1" applyFill="1" applyBorder="1" applyAlignment="1" applyProtection="1">
      <alignment horizontal="center" vertical="center"/>
    </xf>
    <xf numFmtId="166" fontId="19" fillId="9" borderId="0" xfId="0" applyNumberFormat="1" applyFont="1" applyFill="1" applyBorder="1" applyAlignment="1" applyProtection="1"/>
    <xf numFmtId="170" fontId="19" fillId="9" borderId="0" xfId="0" applyNumberFormat="1" applyFont="1" applyFill="1" applyBorder="1" applyAlignment="1" applyProtection="1">
      <alignment horizontal="center" vertical="center"/>
    </xf>
    <xf numFmtId="167" fontId="19" fillId="9" borderId="0" xfId="0" applyNumberFormat="1" applyFont="1" applyFill="1" applyBorder="1" applyAlignment="1" applyProtection="1">
      <alignment horizontal="center" vertical="center"/>
    </xf>
    <xf numFmtId="0" fontId="18" fillId="9" borderId="0" xfId="0" applyFont="1" applyFill="1" applyBorder="1" applyAlignment="1" applyProtection="1"/>
    <xf numFmtId="166" fontId="18" fillId="9" borderId="0" xfId="0" applyNumberFormat="1" applyFont="1" applyFill="1" applyBorder="1" applyAlignment="1" applyProtection="1">
      <alignment horizontal="center" vertical="center"/>
    </xf>
    <xf numFmtId="0" fontId="24" fillId="0" borderId="0" xfId="0" applyFont="1" applyAlignment="1">
      <alignment horizontal="center"/>
    </xf>
    <xf numFmtId="0" fontId="24" fillId="0" borderId="0" xfId="0" applyNumberFormat="1" applyFont="1" applyAlignment="1">
      <alignment horizontal="center"/>
    </xf>
    <xf numFmtId="0" fontId="0" fillId="0" borderId="0" xfId="0" applyNumberFormat="1" applyAlignment="1">
      <alignment horizontal="right"/>
    </xf>
    <xf numFmtId="3" fontId="0" fillId="0" borderId="0" xfId="0" applyNumberFormat="1" applyAlignment="1">
      <alignment horizontal="right"/>
    </xf>
    <xf numFmtId="0" fontId="25" fillId="0" borderId="0" xfId="0" applyFont="1"/>
    <xf numFmtId="0" fontId="25" fillId="0" borderId="0" xfId="0" applyNumberFormat="1" applyFont="1" applyAlignment="1">
      <alignment horizontal="right"/>
    </xf>
    <xf numFmtId="3" fontId="25" fillId="0" borderId="0" xfId="0" applyNumberFormat="1" applyFont="1" applyAlignment="1">
      <alignment horizontal="right"/>
    </xf>
    <xf numFmtId="0" fontId="20" fillId="10" borderId="3" xfId="0" applyFont="1" applyFill="1" applyBorder="1" applyAlignment="1" applyProtection="1">
      <alignment horizontal="center" vertical="center"/>
    </xf>
    <xf numFmtId="164" fontId="19" fillId="9" borderId="3" xfId="0" applyNumberFormat="1" applyFont="1" applyFill="1" applyBorder="1" applyAlignment="1" applyProtection="1">
      <alignment horizontal="center" vertical="center"/>
    </xf>
    <xf numFmtId="0" fontId="20" fillId="10" borderId="2" xfId="0" applyFont="1" applyFill="1" applyBorder="1" applyAlignment="1" applyProtection="1">
      <alignment horizontal="center" vertical="center"/>
    </xf>
    <xf numFmtId="0" fontId="20" fillId="10" borderId="0" xfId="0" applyFont="1" applyFill="1" applyBorder="1" applyAlignment="1" applyProtection="1">
      <alignment horizontal="center" vertical="center"/>
    </xf>
  </cellXfs>
  <cellStyles count="22">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Untitled1" xfId="18" xr:uid="{00000000-0005-0000-0000-000012000000}"/>
    <cellStyle name="Untitled2" xfId="19" xr:uid="{00000000-0005-0000-0000-000013000000}"/>
    <cellStyle name="Untitled3" xfId="20" xr:uid="{00000000-0005-0000-0000-000014000000}"/>
    <cellStyle name="Warning" xfId="21" xr:uid="{00000000-0005-0000-0000-000015000000}"/>
  </cellStyles>
  <dxfs count="2">
    <dxf>
      <font>
        <color rgb="FF00A933"/>
        <family val="2"/>
      </font>
    </dxf>
    <dxf>
      <font>
        <b/>
        <color rgb="FFFF0000"/>
        <family val="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eetMetadata" Target="metadata.xml"/><Relationship Id="rId13" Type="http://schemas.microsoft.com/office/2017/06/relationships/rdSupportingPropertyBag" Target="richData/rdsupportingpropertybag.xml"/><Relationship Id="rId3" Type="http://purl.oclc.org/ooxml/officeDocument/relationships/worksheet" Target="worksheets/sheet3.xml"/><Relationship Id="rId7" Type="http://purl.oclc.org/ooxml/officeDocument/relationships/sharedStrings" Target="sharedStrings.xml"/><Relationship Id="rId12" Type="http://schemas.microsoft.com/office/2017/06/relationships/rdSupportingPropertyBagStructure" Target="richData/rdsupportingpropertybagstructure.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11" Type="http://schemas.microsoft.com/office/2017/06/relationships/richStyles" Target="richData/richStyles.xml"/><Relationship Id="rId5" Type="http://purl.oclc.org/ooxml/officeDocument/relationships/theme" Target="theme/theme1.xml"/><Relationship Id="rId15" Type="http://purl.oclc.org/ooxml/officeDocument/relationships/calcChain" Target="calcChain.xml"/><Relationship Id="rId10" Type="http://schemas.microsoft.com/office/2017/06/relationships/rdRichValueStructure" Target="richData/rdrichvaluestructure.xml"/><Relationship Id="rId4" Type="http://purl.oclc.org/ooxml/officeDocument/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https://www.bing.com/financeapi/forcetrigger?t=a1tppr&amp;q=XNYS%3aGD&amp;form=skydnc</v>
    <v>Learn more on Bing</v>
  </rv>
  <rv s="1">
    <v>0</v>
    <v>GENERAL DYNAMICS CORPORATION (XNYS:GD)</v>
    <v>2</v>
    <v>3</v>
    <v>Finance</v>
    <v>4</v>
    <v>en-US</v>
    <v>a1tppr</v>
    <v>268435456</v>
    <v>1</v>
    <v>Powered by Refinitiv</v>
    <v>214.7</v>
    <v>146.53</v>
    <v>1.0336000000000001</v>
    <v>-2.44</v>
    <v>-1.1675999999999999E-2</v>
    <v>-0.04</v>
    <v>-1.9369999999999999E-4</v>
    <v>USD</v>
    <v>General Dynamics Corporation is a global aerospace and defense company. The Company offers a portfolio of products and services in business aviation; ship construction and repair; land combat vehicles, weapons systems and munitions; and technology products and services. It operates Its operating segments include Aerospace, Marine Systems, Combat Systems and Technologies. Its Aerospace segment produces business jets and the standard bearer in aircraft repair, support and completion services. Its Marine Systems segment designs and builds nuclear-powered submarines and offers in surface combatants and auxiliary ship design and construction for the United States Navy. Its Combat Systems segment manufactures land combat solutions, including wheeled and tracked combat vehicles, weapons systems and munitions. Its Technologies segment provides a spectrum of services, technologies and products to market that seeks solutions combining electronic hardware with specialized software.</v>
    <v>100700</v>
    <v>New York Stock Exchange</v>
    <v>XNYS</v>
    <v>XNYS</v>
    <v>11011 Sunset Hills Rd, RESTON, VA, 20190-5311 US</v>
    <v>210.89500000000001</v>
    <v>Aerospace &amp; Defense</v>
    <v>Stock</v>
    <v>44582.911074582815</v>
    <v>0</v>
    <v>206.32</v>
    <v>57670680000</v>
    <v>GENERAL DYNAMICS CORPORATION</v>
    <v>GENERAL DYNAMICS CORPORATION</v>
    <v>209.26</v>
    <v>17.9434</v>
    <v>208.98</v>
    <v>206.54</v>
    <v>206.5</v>
    <v>279222800</v>
    <v>GD</v>
    <v>GENERAL DYNAMICS CORPORATION (XNYS:GD)</v>
    <v>1237277</v>
    <v>1001217</v>
    <v>1952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purl.oclc.org/ooxml/spreadsheetml/main" mc:Ignorable="x">
  <dxfs count="7">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workbookViewId="0"/>
  </sheetViews>
  <sheetFormatPr baseColWidth="10" defaultRowHeight="13"/>
  <cols>
    <col min="1" max="1" width="63.6640625" bestFit="1" customWidth="1"/>
    <col min="2" max="7" width="14.1640625" style="3" bestFit="1" customWidth="1"/>
    <col min="8" max="64" width="12.83203125" customWidth="1"/>
  </cols>
  <sheetData>
    <row r="1" spans="1:7">
      <c r="A1" s="35" t="s">
        <v>284</v>
      </c>
      <c r="B1" s="36">
        <v>2016</v>
      </c>
      <c r="C1" s="36">
        <v>2017</v>
      </c>
      <c r="D1" s="36">
        <v>2018</v>
      </c>
      <c r="E1" s="36">
        <v>2019</v>
      </c>
      <c r="F1" s="36">
        <v>2020</v>
      </c>
      <c r="G1" s="35" t="s">
        <v>0</v>
      </c>
    </row>
    <row r="2" spans="1:7">
      <c r="A2" t="s">
        <v>1</v>
      </c>
      <c r="B2" s="38">
        <v>6249000000</v>
      </c>
      <c r="C2" s="38">
        <v>6187000000</v>
      </c>
      <c r="D2" s="38">
        <v>6715000000</v>
      </c>
      <c r="E2" s="38">
        <v>7059000000</v>
      </c>
      <c r="F2" s="38">
        <v>6325000000</v>
      </c>
      <c r="G2" s="38">
        <v>6492000000</v>
      </c>
    </row>
    <row r="3" spans="1:7">
      <c r="A3" t="s">
        <v>2</v>
      </c>
      <c r="B3" s="38">
        <v>31353000000</v>
      </c>
      <c r="C3" s="38">
        <v>30973000000</v>
      </c>
      <c r="D3" s="38">
        <v>36193000000</v>
      </c>
      <c r="E3" s="38">
        <v>39350000000</v>
      </c>
      <c r="F3" s="38">
        <v>37925000000</v>
      </c>
      <c r="G3" s="38">
        <v>38658000000</v>
      </c>
    </row>
    <row r="4" spans="1:7">
      <c r="A4" t="s">
        <v>3</v>
      </c>
      <c r="B4" s="38">
        <v>31353000000</v>
      </c>
      <c r="C4" s="38">
        <v>30973000000</v>
      </c>
      <c r="D4" s="38">
        <v>36193000000</v>
      </c>
      <c r="E4" s="38">
        <v>39350000000</v>
      </c>
      <c r="F4" s="38">
        <v>37925000000</v>
      </c>
      <c r="G4" s="38">
        <v>38658000000</v>
      </c>
    </row>
    <row r="5" spans="1:7">
      <c r="A5" t="s">
        <v>4</v>
      </c>
      <c r="B5" s="38">
        <v>-25104000000</v>
      </c>
      <c r="C5" s="38">
        <v>-24786000000</v>
      </c>
      <c r="D5" s="38">
        <v>-29478000000</v>
      </c>
      <c r="E5" s="38">
        <v>-32291000000</v>
      </c>
      <c r="F5" s="38">
        <v>-31600000000</v>
      </c>
      <c r="G5" s="38">
        <v>-32166000000</v>
      </c>
    </row>
    <row r="6" spans="1:7">
      <c r="A6" t="s">
        <v>5</v>
      </c>
      <c r="B6" s="38">
        <v>-25104000000</v>
      </c>
      <c r="C6" s="38">
        <v>-24786000000</v>
      </c>
      <c r="D6" s="38">
        <v>-29478000000</v>
      </c>
      <c r="E6" s="38">
        <v>-32291000000</v>
      </c>
      <c r="F6" s="38">
        <v>-31600000000</v>
      </c>
      <c r="G6" s="38">
        <v>-32166000000</v>
      </c>
    </row>
    <row r="7" spans="1:7">
      <c r="A7" t="s">
        <v>6</v>
      </c>
      <c r="B7" s="38">
        <v>-1940000000</v>
      </c>
      <c r="C7" s="38">
        <v>-2010000000</v>
      </c>
      <c r="D7" s="38">
        <v>-2258000000</v>
      </c>
      <c r="E7" s="38">
        <v>-2411000000</v>
      </c>
      <c r="F7" s="38">
        <v>-2192000000</v>
      </c>
      <c r="G7" s="38">
        <v>-2248000000</v>
      </c>
    </row>
    <row r="8" spans="1:7">
      <c r="A8" t="s">
        <v>7</v>
      </c>
      <c r="B8" s="38">
        <v>-1940000000</v>
      </c>
      <c r="C8" s="38">
        <v>-2010000000</v>
      </c>
      <c r="D8" s="38">
        <v>-2258000000</v>
      </c>
      <c r="E8" s="38">
        <v>-2411000000</v>
      </c>
      <c r="F8" s="38">
        <v>-2192000000</v>
      </c>
      <c r="G8" s="38">
        <v>-2248000000</v>
      </c>
    </row>
    <row r="9" spans="1:7">
      <c r="A9" t="s">
        <v>8</v>
      </c>
      <c r="B9" s="38">
        <v>-1940000000</v>
      </c>
      <c r="C9" s="38">
        <v>-2010000000</v>
      </c>
      <c r="D9" s="38">
        <v>-2258000000</v>
      </c>
      <c r="E9" s="38">
        <v>-2411000000</v>
      </c>
      <c r="F9" s="38">
        <v>-2192000000</v>
      </c>
      <c r="G9" s="38">
        <v>-2248000000</v>
      </c>
    </row>
    <row r="10" spans="1:7">
      <c r="A10" t="s">
        <v>9</v>
      </c>
      <c r="B10" s="38">
        <v>4309000000</v>
      </c>
      <c r="C10" s="38">
        <v>4177000000</v>
      </c>
      <c r="D10" s="38">
        <v>4457000000</v>
      </c>
      <c r="E10" s="38">
        <v>4648000000</v>
      </c>
      <c r="F10" s="38">
        <v>4133000000</v>
      </c>
      <c r="G10" s="38">
        <v>4244000000</v>
      </c>
    </row>
    <row r="11" spans="1:7">
      <c r="A11" t="s">
        <v>10</v>
      </c>
      <c r="B11" s="38">
        <v>-78000000</v>
      </c>
      <c r="C11" s="38">
        <v>-100000000</v>
      </c>
      <c r="D11" s="38">
        <v>-372000000</v>
      </c>
      <c r="E11" s="38">
        <v>-446000000</v>
      </c>
      <c r="F11" s="38">
        <v>-395000000</v>
      </c>
      <c r="G11" s="38">
        <v>-318000000</v>
      </c>
    </row>
    <row r="12" spans="1:7">
      <c r="A12" t="s">
        <v>11</v>
      </c>
      <c r="B12" s="38">
        <v>-91000000</v>
      </c>
      <c r="C12" s="38">
        <v>-103000000</v>
      </c>
      <c r="D12" s="38">
        <v>-356000000</v>
      </c>
      <c r="E12" s="38">
        <v>-460000000</v>
      </c>
      <c r="F12" s="38">
        <v>-477000000</v>
      </c>
      <c r="G12" s="38">
        <v>-451000000</v>
      </c>
    </row>
    <row r="13" spans="1:7">
      <c r="A13" t="s">
        <v>12</v>
      </c>
      <c r="B13" s="38">
        <v>-91000000</v>
      </c>
      <c r="C13" s="38">
        <v>-103000000</v>
      </c>
      <c r="D13" s="38">
        <v>-356000000</v>
      </c>
      <c r="E13" s="38">
        <v>-460000000</v>
      </c>
      <c r="F13" s="38">
        <v>-477000000</v>
      </c>
      <c r="G13" s="38">
        <v>-451000000</v>
      </c>
    </row>
    <row r="14" spans="1:7">
      <c r="A14" t="s">
        <v>13</v>
      </c>
      <c r="B14" s="38">
        <v>-99000000</v>
      </c>
      <c r="C14" s="38">
        <v>-117000000</v>
      </c>
      <c r="D14" s="38">
        <v>-374000000</v>
      </c>
      <c r="E14" s="38">
        <v>-472000000</v>
      </c>
      <c r="F14" s="38">
        <v>-489000000</v>
      </c>
      <c r="G14" t="s">
        <v>129</v>
      </c>
    </row>
    <row r="15" spans="1:7">
      <c r="A15" t="s">
        <v>285</v>
      </c>
      <c r="B15" s="38">
        <v>8000000</v>
      </c>
      <c r="C15" s="38">
        <v>14000000</v>
      </c>
      <c r="D15" s="38">
        <v>18000000</v>
      </c>
      <c r="E15" s="38">
        <v>12000000</v>
      </c>
      <c r="F15" s="38">
        <v>12000000</v>
      </c>
      <c r="G15" t="s">
        <v>129</v>
      </c>
    </row>
    <row r="16" spans="1:7">
      <c r="A16" t="s">
        <v>169</v>
      </c>
      <c r="B16" s="38">
        <v>13000000</v>
      </c>
      <c r="C16" s="38">
        <v>3000000</v>
      </c>
      <c r="D16" s="38">
        <v>-16000000</v>
      </c>
      <c r="E16" s="38">
        <v>14000000</v>
      </c>
      <c r="F16" s="38">
        <v>82000000</v>
      </c>
      <c r="G16" s="38">
        <v>133000000</v>
      </c>
    </row>
    <row r="17" spans="1:7">
      <c r="A17" t="s">
        <v>286</v>
      </c>
      <c r="B17" t="s">
        <v>129</v>
      </c>
      <c r="C17" t="s">
        <v>129</v>
      </c>
      <c r="D17" t="s">
        <v>129</v>
      </c>
      <c r="E17" t="s">
        <v>129</v>
      </c>
      <c r="F17" t="s">
        <v>129</v>
      </c>
      <c r="G17" t="s">
        <v>129</v>
      </c>
    </row>
    <row r="18" spans="1:7">
      <c r="A18" t="s">
        <v>287</v>
      </c>
      <c r="B18" t="s">
        <v>129</v>
      </c>
      <c r="C18" t="s">
        <v>129</v>
      </c>
      <c r="D18" t="s">
        <v>129</v>
      </c>
      <c r="E18" t="s">
        <v>129</v>
      </c>
      <c r="F18" t="s">
        <v>129</v>
      </c>
      <c r="G18" t="s">
        <v>129</v>
      </c>
    </row>
    <row r="19" spans="1:7">
      <c r="A19" t="s">
        <v>14</v>
      </c>
      <c r="B19" s="38">
        <v>4231000000</v>
      </c>
      <c r="C19" s="38">
        <v>4077000000</v>
      </c>
      <c r="D19" s="38">
        <v>4085000000</v>
      </c>
      <c r="E19" s="38">
        <v>4202000000</v>
      </c>
      <c r="F19" s="38">
        <v>3738000000</v>
      </c>
      <c r="G19" s="38">
        <v>3926000000</v>
      </c>
    </row>
    <row r="20" spans="1:7">
      <c r="A20" t="s">
        <v>15</v>
      </c>
      <c r="B20" s="38">
        <v>-1169000000</v>
      </c>
      <c r="C20" s="38">
        <v>-1165000000</v>
      </c>
      <c r="D20" s="38">
        <v>-727000000</v>
      </c>
      <c r="E20" s="38">
        <v>-718000000</v>
      </c>
      <c r="F20" s="38">
        <v>-571000000</v>
      </c>
      <c r="G20" s="38">
        <v>-619000000</v>
      </c>
    </row>
    <row r="21" spans="1:7">
      <c r="A21" t="s">
        <v>16</v>
      </c>
      <c r="B21" s="38">
        <v>3062000000</v>
      </c>
      <c r="C21" s="38">
        <v>2912000000</v>
      </c>
      <c r="D21" s="38">
        <v>3358000000</v>
      </c>
      <c r="E21" s="38">
        <v>3484000000</v>
      </c>
      <c r="F21" s="38">
        <v>3167000000</v>
      </c>
      <c r="G21" s="38">
        <v>3307000000</v>
      </c>
    </row>
    <row r="22" spans="1:7">
      <c r="A22" t="s">
        <v>17</v>
      </c>
      <c r="B22" s="38">
        <v>-107000000</v>
      </c>
      <c r="C22" s="37">
        <v>0</v>
      </c>
      <c r="D22" s="38">
        <v>-13000000</v>
      </c>
      <c r="E22" s="37">
        <v>0</v>
      </c>
      <c r="F22" s="37">
        <v>0</v>
      </c>
      <c r="G22" s="37">
        <v>0</v>
      </c>
    </row>
    <row r="23" spans="1:7">
      <c r="A23" t="s">
        <v>18</v>
      </c>
      <c r="B23" s="38">
        <v>2955000000</v>
      </c>
      <c r="C23" s="38">
        <v>2912000000</v>
      </c>
      <c r="D23" s="38">
        <v>3345000000</v>
      </c>
      <c r="E23" s="38">
        <v>3484000000</v>
      </c>
      <c r="F23" s="38">
        <v>3167000000</v>
      </c>
      <c r="G23" s="38">
        <v>3307000000</v>
      </c>
    </row>
    <row r="24" spans="1:7">
      <c r="A24" t="s">
        <v>19</v>
      </c>
      <c r="B24" s="38">
        <v>2955000000</v>
      </c>
      <c r="C24" s="38">
        <v>2912000000</v>
      </c>
      <c r="D24" s="38">
        <v>3345000000</v>
      </c>
      <c r="E24" s="38">
        <v>3484000000</v>
      </c>
      <c r="F24" s="38">
        <v>3167000000</v>
      </c>
      <c r="G24" s="38">
        <v>3307000000</v>
      </c>
    </row>
    <row r="25" spans="1:7">
      <c r="A25" t="s">
        <v>20</v>
      </c>
      <c r="B25" s="38">
        <v>2955000000</v>
      </c>
      <c r="C25" s="38">
        <v>2912000000</v>
      </c>
      <c r="D25" s="38">
        <v>3345000000</v>
      </c>
      <c r="E25" s="38">
        <v>3484000000</v>
      </c>
      <c r="F25" s="38">
        <v>3167000000</v>
      </c>
      <c r="G25" s="38">
        <v>3307000000</v>
      </c>
    </row>
    <row r="26" spans="1:7">
      <c r="A26" t="s">
        <v>21</v>
      </c>
      <c r="B26" s="38">
        <v>2955000000</v>
      </c>
      <c r="C26" s="38">
        <v>2912000000</v>
      </c>
      <c r="D26" s="38">
        <v>3345000000</v>
      </c>
      <c r="E26" s="38">
        <v>3484000000</v>
      </c>
      <c r="F26" s="38">
        <v>3167000000</v>
      </c>
      <c r="G26" s="38">
        <v>3307000000</v>
      </c>
    </row>
    <row r="27" spans="1:7">
      <c r="A27" t="s">
        <v>140</v>
      </c>
      <c r="B27" t="s">
        <v>129</v>
      </c>
      <c r="C27" t="s">
        <v>129</v>
      </c>
      <c r="D27" t="s">
        <v>129</v>
      </c>
      <c r="E27" t="s">
        <v>129</v>
      </c>
      <c r="F27" t="s">
        <v>129</v>
      </c>
      <c r="G27" t="s">
        <v>129</v>
      </c>
    </row>
    <row r="28" spans="1:7">
      <c r="A28" t="s">
        <v>139</v>
      </c>
      <c r="B28" t="s">
        <v>129</v>
      </c>
      <c r="C28" t="s">
        <v>129</v>
      </c>
      <c r="D28" t="s">
        <v>129</v>
      </c>
      <c r="E28" t="s">
        <v>129</v>
      </c>
      <c r="F28" t="s">
        <v>129</v>
      </c>
      <c r="G28" t="s">
        <v>129</v>
      </c>
    </row>
    <row r="29" spans="1:7">
      <c r="A29" t="s">
        <v>138</v>
      </c>
      <c r="B29" s="38">
        <v>31353000000</v>
      </c>
      <c r="C29" s="38">
        <v>30973000000</v>
      </c>
      <c r="D29" s="38">
        <v>36193000000</v>
      </c>
      <c r="E29" s="38">
        <v>39350000000</v>
      </c>
      <c r="F29" s="38">
        <v>37925000000</v>
      </c>
      <c r="G29" s="38">
        <v>38658000000</v>
      </c>
    </row>
    <row r="30" spans="1:7">
      <c r="A30" t="s">
        <v>288</v>
      </c>
      <c r="B30" s="38">
        <v>27044000000</v>
      </c>
      <c r="C30" s="38">
        <v>26796000000</v>
      </c>
      <c r="D30" s="38">
        <v>-31736000000</v>
      </c>
      <c r="E30" s="38">
        <v>-34702000000</v>
      </c>
      <c r="F30" s="38">
        <v>-33792000000</v>
      </c>
      <c r="G30" s="38">
        <v>-34414000000</v>
      </c>
    </row>
    <row r="31" spans="1:7">
      <c r="A31" t="s">
        <v>170</v>
      </c>
      <c r="B31" s="38">
        <v>4309000000</v>
      </c>
      <c r="C31" s="38">
        <v>4177000000</v>
      </c>
      <c r="D31" s="38">
        <v>4457000000</v>
      </c>
      <c r="E31" s="38">
        <v>4648000000</v>
      </c>
      <c r="F31" s="38">
        <v>4133000000</v>
      </c>
      <c r="G31" s="38">
        <v>4244000000</v>
      </c>
    </row>
    <row r="32" spans="1:7">
      <c r="A32" t="s">
        <v>172</v>
      </c>
      <c r="B32" s="37">
        <v>0.27600000000000002</v>
      </c>
      <c r="C32" s="37">
        <v>0.28599999999999998</v>
      </c>
      <c r="D32" s="37">
        <v>0.17799999999999999</v>
      </c>
      <c r="E32" s="37">
        <v>0.17100000000000001</v>
      </c>
      <c r="F32" s="37">
        <v>0.153</v>
      </c>
      <c r="G32" t="s">
        <v>129</v>
      </c>
    </row>
    <row r="33" spans="1:7">
      <c r="A33" t="s">
        <v>171</v>
      </c>
      <c r="B33" t="s">
        <v>129</v>
      </c>
      <c r="C33" s="38">
        <v>3031000000</v>
      </c>
      <c r="D33" t="s">
        <v>129</v>
      </c>
      <c r="E33" t="s">
        <v>129</v>
      </c>
      <c r="F33" t="s">
        <v>129</v>
      </c>
      <c r="G33" t="s">
        <v>129</v>
      </c>
    </row>
    <row r="34" spans="1:7">
      <c r="A34" t="s">
        <v>289</v>
      </c>
      <c r="B34" t="s">
        <v>129</v>
      </c>
      <c r="C34" t="s">
        <v>129</v>
      </c>
      <c r="D34" t="s">
        <v>129</v>
      </c>
      <c r="E34" t="s">
        <v>129</v>
      </c>
      <c r="F34" t="s">
        <v>129</v>
      </c>
      <c r="G34" t="s">
        <v>129</v>
      </c>
    </row>
    <row r="35" spans="1:7">
      <c r="A35" t="s">
        <v>22</v>
      </c>
      <c r="B35" s="37">
        <v>9.6999999999999993</v>
      </c>
      <c r="C35" s="37">
        <v>9.73</v>
      </c>
      <c r="D35" s="37">
        <v>11.33</v>
      </c>
      <c r="E35" s="37">
        <v>12.09</v>
      </c>
      <c r="F35" s="37">
        <v>11.04</v>
      </c>
      <c r="G35" s="37">
        <v>11.7</v>
      </c>
    </row>
    <row r="36" spans="1:7">
      <c r="A36" t="s">
        <v>137</v>
      </c>
      <c r="B36" s="37">
        <v>10.050000000000001</v>
      </c>
      <c r="C36" s="37">
        <v>9.73</v>
      </c>
      <c r="D36" s="37">
        <v>11.37</v>
      </c>
      <c r="E36" s="37">
        <v>12.09</v>
      </c>
      <c r="F36" s="37">
        <v>11.04</v>
      </c>
      <c r="G36" s="37">
        <v>11.7</v>
      </c>
    </row>
    <row r="37" spans="1:7">
      <c r="A37" t="s">
        <v>136</v>
      </c>
      <c r="B37" s="37">
        <v>-0.35</v>
      </c>
      <c r="C37" s="37">
        <v>0</v>
      </c>
      <c r="D37" s="37">
        <v>-0.04</v>
      </c>
      <c r="E37" s="37">
        <v>0</v>
      </c>
      <c r="F37" s="37">
        <v>0</v>
      </c>
      <c r="G37" s="37">
        <v>0</v>
      </c>
    </row>
    <row r="38" spans="1:7">
      <c r="A38" t="s">
        <v>23</v>
      </c>
      <c r="B38" s="37">
        <v>9.52</v>
      </c>
      <c r="C38" s="37">
        <v>9.56</v>
      </c>
      <c r="D38" s="37">
        <v>11.18</v>
      </c>
      <c r="E38" s="37">
        <v>11.98</v>
      </c>
      <c r="F38" s="37">
        <v>11</v>
      </c>
      <c r="G38" s="37">
        <v>11.65</v>
      </c>
    </row>
    <row r="39" spans="1:7">
      <c r="A39" t="s">
        <v>135</v>
      </c>
      <c r="B39" s="37">
        <v>9.8699999999999992</v>
      </c>
      <c r="C39" s="37">
        <v>9.56</v>
      </c>
      <c r="D39" s="37">
        <v>11.22</v>
      </c>
      <c r="E39" s="37">
        <v>11.98</v>
      </c>
      <c r="F39" s="37">
        <v>11</v>
      </c>
      <c r="G39" s="37">
        <v>11.64</v>
      </c>
    </row>
    <row r="40" spans="1:7">
      <c r="A40" t="s">
        <v>134</v>
      </c>
      <c r="B40" s="37">
        <v>-0.35</v>
      </c>
      <c r="C40" s="37">
        <v>0</v>
      </c>
      <c r="D40" s="37">
        <v>-0.04</v>
      </c>
      <c r="E40" s="37">
        <v>0</v>
      </c>
      <c r="F40" s="37">
        <v>0</v>
      </c>
      <c r="G40" s="37">
        <v>0</v>
      </c>
    </row>
    <row r="41" spans="1:7">
      <c r="A41" t="s">
        <v>133</v>
      </c>
      <c r="B41" s="38">
        <v>304707000</v>
      </c>
      <c r="C41" s="38">
        <v>299172000</v>
      </c>
      <c r="D41" s="38">
        <v>295262000</v>
      </c>
      <c r="E41" s="38">
        <v>288286000</v>
      </c>
      <c r="F41" s="38">
        <v>286922000</v>
      </c>
      <c r="G41" s="38">
        <v>282430250</v>
      </c>
    </row>
    <row r="42" spans="1:7">
      <c r="A42" t="s">
        <v>132</v>
      </c>
      <c r="B42" s="38">
        <v>310387000</v>
      </c>
      <c r="C42" s="38">
        <v>304637000</v>
      </c>
      <c r="D42" s="38">
        <v>299160000</v>
      </c>
      <c r="E42" s="38">
        <v>290836000</v>
      </c>
      <c r="F42" s="38">
        <v>287913000</v>
      </c>
      <c r="G42" s="38">
        <v>283691250</v>
      </c>
    </row>
    <row r="43" spans="1:7">
      <c r="A43" t="s">
        <v>131</v>
      </c>
      <c r="B43" s="37">
        <v>3.04</v>
      </c>
      <c r="C43" s="37">
        <v>2.52</v>
      </c>
      <c r="D43" s="37">
        <v>3.63</v>
      </c>
      <c r="E43" s="37">
        <v>3.99</v>
      </c>
      <c r="F43" s="37">
        <v>4.32</v>
      </c>
      <c r="G43" s="37">
        <v>5.77</v>
      </c>
    </row>
    <row r="44" spans="1:7">
      <c r="A44" t="s">
        <v>130</v>
      </c>
      <c r="B44" s="37">
        <v>3.04</v>
      </c>
      <c r="C44" s="37">
        <v>2.52</v>
      </c>
      <c r="D44" s="37">
        <v>3.63</v>
      </c>
      <c r="E44" s="37">
        <v>3.99</v>
      </c>
      <c r="F44" s="37">
        <v>4.32</v>
      </c>
      <c r="G44" s="37">
        <v>5.77</v>
      </c>
    </row>
    <row r="45" spans="1:7">
      <c r="A45" t="s">
        <v>173</v>
      </c>
      <c r="B45" t="s">
        <v>129</v>
      </c>
      <c r="C45" s="37">
        <v>9.9499999999999993</v>
      </c>
      <c r="D45" t="s">
        <v>129</v>
      </c>
      <c r="E45" t="s">
        <v>129</v>
      </c>
      <c r="F45" t="s">
        <v>129</v>
      </c>
      <c r="G45" t="s">
        <v>129</v>
      </c>
    </row>
    <row r="46" spans="1:7">
      <c r="A46" t="s">
        <v>22</v>
      </c>
      <c r="B46" s="37">
        <v>9.6999999999999993</v>
      </c>
      <c r="C46" s="37">
        <v>9.73</v>
      </c>
      <c r="D46" s="37">
        <v>11.33</v>
      </c>
      <c r="E46" s="37">
        <v>12.09</v>
      </c>
      <c r="F46" s="37">
        <v>11.04</v>
      </c>
      <c r="G46" s="37">
        <v>11.7</v>
      </c>
    </row>
    <row r="47" spans="1:7">
      <c r="A47" t="s">
        <v>23</v>
      </c>
      <c r="B47" s="37">
        <v>9.52</v>
      </c>
      <c r="C47" s="37">
        <v>9.56</v>
      </c>
      <c r="D47" s="37">
        <v>11.18</v>
      </c>
      <c r="E47" s="37">
        <v>11.98</v>
      </c>
      <c r="F47" s="37">
        <v>11</v>
      </c>
      <c r="G47" s="37">
        <v>11.64</v>
      </c>
    </row>
    <row r="48" spans="1:7">
      <c r="A48" t="s">
        <v>24</v>
      </c>
      <c r="B48" s="38">
        <v>304707000</v>
      </c>
      <c r="C48" s="38">
        <v>299172000</v>
      </c>
      <c r="D48" s="38">
        <v>295262000</v>
      </c>
      <c r="E48" s="38">
        <v>288286000</v>
      </c>
      <c r="F48" s="38">
        <v>286922000</v>
      </c>
      <c r="G48" s="38">
        <v>282430250</v>
      </c>
    </row>
    <row r="49" spans="1:7">
      <c r="A49" t="s">
        <v>25</v>
      </c>
      <c r="B49" s="38">
        <v>310387000</v>
      </c>
      <c r="C49" s="38">
        <v>304637000</v>
      </c>
      <c r="D49" s="38">
        <v>299160000</v>
      </c>
      <c r="E49" s="38">
        <v>290836000</v>
      </c>
      <c r="F49" s="38">
        <v>287913000</v>
      </c>
      <c r="G49" s="38">
        <v>283691250</v>
      </c>
    </row>
    <row r="50" spans="1:7">
      <c r="A50" t="s">
        <v>174</v>
      </c>
      <c r="B50"/>
      <c r="C50"/>
      <c r="D50"/>
      <c r="E50"/>
      <c r="F50"/>
      <c r="G50"/>
    </row>
    <row r="51" spans="1:7">
      <c r="A51" s="39"/>
      <c r="B51" s="39"/>
      <c r="C51" s="39"/>
      <c r="D51" s="39"/>
      <c r="E51" s="39"/>
      <c r="F51" s="39"/>
      <c r="G51" s="39"/>
    </row>
    <row r="52" spans="1:7">
      <c r="A52" s="39"/>
      <c r="B52" s="39"/>
      <c r="C52" s="39"/>
      <c r="D52" s="39"/>
      <c r="E52" s="39"/>
      <c r="F52" s="39"/>
      <c r="G52" s="39"/>
    </row>
    <row r="53" spans="1:7">
      <c r="A53" s="39"/>
      <c r="B53" s="41"/>
      <c r="C53" s="41"/>
      <c r="D53" s="41"/>
      <c r="E53" s="41"/>
      <c r="F53" s="41"/>
      <c r="G53" s="41"/>
    </row>
    <row r="54" spans="1:7">
      <c r="A54" s="39"/>
      <c r="B54" s="39"/>
      <c r="C54" s="39"/>
      <c r="D54" s="41"/>
      <c r="E54" s="41"/>
      <c r="F54" s="41"/>
      <c r="G54" s="39"/>
    </row>
    <row r="55" spans="1:7">
      <c r="A55" s="39"/>
      <c r="B55" s="40"/>
      <c r="C55" s="40"/>
      <c r="D55" s="40"/>
      <c r="E55" s="40"/>
      <c r="F55" s="40"/>
      <c r="G55" s="40"/>
    </row>
    <row r="56" spans="1:7">
      <c r="A56" s="39"/>
      <c r="B56" s="40"/>
      <c r="C56" s="40"/>
      <c r="D56" s="40"/>
      <c r="E56" s="40"/>
      <c r="F56" s="40"/>
      <c r="G56" s="40"/>
    </row>
    <row r="57" spans="1:7">
      <c r="A57" s="39"/>
      <c r="B57" s="39"/>
      <c r="C57" s="39"/>
      <c r="D57" s="40"/>
      <c r="E57" s="40"/>
      <c r="F57" s="40"/>
      <c r="G57" s="40"/>
    </row>
    <row r="58" spans="1:7">
      <c r="A58" s="39"/>
      <c r="B58" s="40"/>
      <c r="C58" s="40"/>
      <c r="D58" s="40"/>
      <c r="E58" s="40"/>
      <c r="F58" s="40"/>
      <c r="G58" s="40"/>
    </row>
    <row r="59" spans="1:7">
      <c r="A59" s="39"/>
      <c r="B59" s="40"/>
      <c r="C59" s="40"/>
      <c r="D59" s="40"/>
      <c r="E59" s="40"/>
      <c r="F59" s="40"/>
      <c r="G59" s="40"/>
    </row>
    <row r="60" spans="1:7">
      <c r="A60" s="39"/>
      <c r="B60" s="39"/>
      <c r="C60" s="39"/>
      <c r="D60" s="40"/>
      <c r="E60" s="40"/>
      <c r="F60" s="40"/>
      <c r="G60" s="40"/>
    </row>
    <row r="61" spans="1:7">
      <c r="A61" s="39"/>
      <c r="B61" s="41"/>
      <c r="C61" s="41"/>
      <c r="D61" s="41"/>
      <c r="E61" s="41"/>
      <c r="F61" s="41"/>
      <c r="G61" s="41"/>
    </row>
    <row r="62" spans="1:7">
      <c r="A62" s="39"/>
      <c r="B62" s="41"/>
      <c r="C62" s="41"/>
      <c r="D62" s="41"/>
      <c r="E62" s="41"/>
      <c r="F62" s="41"/>
      <c r="G62" s="41"/>
    </row>
    <row r="63" spans="1:7">
      <c r="A63" s="39"/>
      <c r="B63" s="40"/>
      <c r="C63" s="40"/>
      <c r="D63" s="40"/>
      <c r="E63" s="40"/>
      <c r="F63" s="40"/>
      <c r="G63" s="39"/>
    </row>
    <row r="64" spans="1:7">
      <c r="A64" s="39"/>
      <c r="B64" s="40"/>
      <c r="C64" s="40"/>
      <c r="D64" s="40"/>
      <c r="E64" s="40"/>
      <c r="F64" s="40"/>
      <c r="G64" s="39"/>
    </row>
    <row r="65" spans="1:7">
      <c r="A65" s="39"/>
      <c r="B65" s="40"/>
      <c r="C65" s="40"/>
      <c r="D65" s="40"/>
      <c r="E65" s="40"/>
      <c r="F65" s="40"/>
      <c r="G65" s="40"/>
    </row>
    <row r="66" spans="1:7">
      <c r="A66" s="39"/>
      <c r="B66" s="40"/>
      <c r="C66" s="40"/>
      <c r="D66" s="40"/>
      <c r="E66" s="40"/>
      <c r="F66" s="40"/>
      <c r="G66" s="40"/>
    </row>
    <row r="67" spans="1:7">
      <c r="A67" s="39"/>
      <c r="B67" s="41"/>
      <c r="C67" s="41"/>
      <c r="D67" s="41"/>
      <c r="E67" s="41"/>
      <c r="F67" s="41"/>
      <c r="G67" s="41"/>
    </row>
    <row r="68" spans="1:7">
      <c r="A68" s="39"/>
      <c r="B68" s="41"/>
      <c r="C68" s="41"/>
      <c r="D68" s="41"/>
      <c r="E68" s="41"/>
      <c r="F68" s="41"/>
      <c r="G68" s="41"/>
    </row>
    <row r="69" spans="1:7">
      <c r="A69" s="39"/>
      <c r="B69" s="39"/>
      <c r="C69" s="39"/>
      <c r="D69" s="39"/>
      <c r="E69" s="39"/>
      <c r="F69" s="39"/>
      <c r="G69" s="39"/>
    </row>
  </sheetData>
  <pageMargins left="0.74999999999999989" right="0.74999999999999989" top="1.393700787401575" bottom="1.393700787401575" header="1" footer="1"/>
  <pageSetup paperSize="0" fitToWidth="0" fitToHeight="0" pageOrder="overThenDown" orientation="portrait" horizontalDpi="0" verticalDpi="0" copies="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6"/>
  <sheetViews>
    <sheetView workbookViewId="0">
      <selection activeCell="A47" sqref="A47"/>
    </sheetView>
  </sheetViews>
  <sheetFormatPr baseColWidth="10" defaultRowHeight="13"/>
  <cols>
    <col min="1" max="1" width="67.6640625" bestFit="1" customWidth="1"/>
    <col min="2" max="6" width="14.1640625" style="3" bestFit="1" customWidth="1"/>
    <col min="7" max="64" width="12.83203125" customWidth="1"/>
  </cols>
  <sheetData>
    <row r="1" spans="1:6">
      <c r="A1" s="35" t="s">
        <v>253</v>
      </c>
      <c r="B1" s="36">
        <v>2016</v>
      </c>
      <c r="C1" s="36">
        <v>2017</v>
      </c>
      <c r="D1" s="36">
        <v>2018</v>
      </c>
      <c r="E1" s="36">
        <v>2019</v>
      </c>
      <c r="F1" s="36">
        <v>2020</v>
      </c>
    </row>
    <row r="2" spans="1:6">
      <c r="A2" t="s">
        <v>26</v>
      </c>
      <c r="B2" s="38">
        <v>32872000000</v>
      </c>
      <c r="C2" s="38">
        <v>35046000000</v>
      </c>
      <c r="D2" s="38">
        <v>45408000000</v>
      </c>
      <c r="E2" s="38">
        <v>48841000000</v>
      </c>
      <c r="F2" s="38">
        <v>51308000000</v>
      </c>
    </row>
    <row r="3" spans="1:6">
      <c r="A3" t="s">
        <v>27</v>
      </c>
      <c r="B3" s="38">
        <v>15447000000</v>
      </c>
      <c r="C3" s="38">
        <v>18328000000</v>
      </c>
      <c r="D3" s="38">
        <v>18189000000</v>
      </c>
      <c r="E3" s="38">
        <v>19780000000</v>
      </c>
      <c r="F3" s="38">
        <v>21543000000</v>
      </c>
    </row>
    <row r="4" spans="1:6">
      <c r="A4" t="s">
        <v>28</v>
      </c>
      <c r="B4" s="38">
        <v>2334000000</v>
      </c>
      <c r="C4" s="38">
        <v>2983000000</v>
      </c>
      <c r="D4" s="38">
        <v>963000000</v>
      </c>
      <c r="E4" s="38">
        <v>902000000</v>
      </c>
      <c r="F4" s="38">
        <v>2824000000</v>
      </c>
    </row>
    <row r="5" spans="1:6">
      <c r="A5" t="s">
        <v>29</v>
      </c>
      <c r="B5" s="38">
        <v>2334000000</v>
      </c>
      <c r="C5" s="38">
        <v>2983000000</v>
      </c>
      <c r="D5" s="38">
        <v>963000000</v>
      </c>
      <c r="E5" s="38">
        <v>902000000</v>
      </c>
      <c r="F5" s="38">
        <v>2824000000</v>
      </c>
    </row>
    <row r="6" spans="1:6">
      <c r="A6" t="s">
        <v>30</v>
      </c>
      <c r="B6" s="38">
        <v>8805000000</v>
      </c>
      <c r="C6" s="38">
        <v>5303000000</v>
      </c>
      <c r="D6" s="38">
        <v>5977000000</v>
      </c>
      <c r="E6" s="38">
        <v>6306000000</v>
      </c>
      <c r="F6" s="38">
        <v>5745000000</v>
      </c>
    </row>
    <row r="7" spans="1:6">
      <c r="A7" t="s">
        <v>175</v>
      </c>
      <c r="B7" s="38">
        <v>1415000000</v>
      </c>
      <c r="C7" s="38">
        <v>1357000000</v>
      </c>
      <c r="D7" s="38">
        <v>1504000000</v>
      </c>
      <c r="E7" s="38">
        <v>1733000000</v>
      </c>
      <c r="F7" s="38">
        <v>1712000000</v>
      </c>
    </row>
    <row r="8" spans="1:6">
      <c r="A8" t="s">
        <v>176</v>
      </c>
      <c r="B8" s="38">
        <v>2058000000</v>
      </c>
      <c r="C8" s="38">
        <v>3872000000</v>
      </c>
      <c r="D8" s="38">
        <v>4357000000</v>
      </c>
      <c r="E8" s="38">
        <v>4419000000</v>
      </c>
      <c r="F8" s="38">
        <v>3990000000</v>
      </c>
    </row>
    <row r="9" spans="1:6">
      <c r="A9" t="s">
        <v>254</v>
      </c>
      <c r="B9" s="38">
        <v>50000000</v>
      </c>
      <c r="C9" s="38">
        <v>74000000</v>
      </c>
      <c r="D9" s="38">
        <v>116000000</v>
      </c>
      <c r="E9" s="38">
        <v>154000000</v>
      </c>
      <c r="F9" s="38">
        <v>43000000</v>
      </c>
    </row>
    <row r="10" spans="1:6">
      <c r="A10" t="s">
        <v>31</v>
      </c>
      <c r="B10" s="38">
        <v>3611000000</v>
      </c>
      <c r="C10" s="38">
        <v>8857000000</v>
      </c>
      <c r="D10" s="38">
        <v>10335000000</v>
      </c>
      <c r="E10" s="38">
        <v>11401000000</v>
      </c>
      <c r="F10" s="38">
        <v>11185000000</v>
      </c>
    </row>
    <row r="11" spans="1:6">
      <c r="A11" t="s">
        <v>32</v>
      </c>
      <c r="B11" s="38">
        <v>3611000000</v>
      </c>
      <c r="C11" s="38">
        <v>3617000000</v>
      </c>
      <c r="D11" s="38">
        <v>3759000000</v>
      </c>
      <c r="E11" s="38">
        <v>3544000000</v>
      </c>
      <c r="F11" s="38">
        <v>3161000000</v>
      </c>
    </row>
    <row r="12" spans="1:6">
      <c r="A12" t="s">
        <v>177</v>
      </c>
      <c r="B12" t="s">
        <v>129</v>
      </c>
      <c r="C12" s="38">
        <v>5240000000</v>
      </c>
      <c r="D12" s="38">
        <v>6576000000</v>
      </c>
      <c r="E12" s="38">
        <v>7857000000</v>
      </c>
      <c r="F12" s="38">
        <v>8024000000</v>
      </c>
    </row>
    <row r="13" spans="1:6">
      <c r="A13" t="s">
        <v>255</v>
      </c>
      <c r="B13" s="38">
        <v>697000000</v>
      </c>
      <c r="C13" s="38">
        <v>1185000000</v>
      </c>
      <c r="D13" s="38">
        <v>914000000</v>
      </c>
      <c r="E13" s="38">
        <v>1171000000</v>
      </c>
      <c r="F13" s="38">
        <v>1789000000</v>
      </c>
    </row>
    <row r="14" spans="1:6">
      <c r="A14" t="s">
        <v>33</v>
      </c>
      <c r="B14" s="38">
        <v>17425000000</v>
      </c>
      <c r="C14" s="38">
        <v>16718000000</v>
      </c>
      <c r="D14" s="38">
        <v>27219000000</v>
      </c>
      <c r="E14" s="38">
        <v>29061000000</v>
      </c>
      <c r="F14" s="38">
        <v>29765000000</v>
      </c>
    </row>
    <row r="15" spans="1:6">
      <c r="A15" t="s">
        <v>34</v>
      </c>
      <c r="B15" s="38">
        <v>3467000000</v>
      </c>
      <c r="C15" s="38">
        <v>3517000000</v>
      </c>
      <c r="D15" s="38">
        <v>4348000000</v>
      </c>
      <c r="E15" s="38">
        <v>4475000000</v>
      </c>
      <c r="F15" s="38">
        <v>5100000000</v>
      </c>
    </row>
    <row r="16" spans="1:6">
      <c r="A16" t="s">
        <v>35</v>
      </c>
      <c r="B16" s="38">
        <v>7929000000</v>
      </c>
      <c r="C16" s="38">
        <v>8237000000</v>
      </c>
      <c r="D16" s="38">
        <v>9403000000</v>
      </c>
      <c r="E16" s="38">
        <v>9761000000</v>
      </c>
      <c r="F16" s="38">
        <v>10714000000</v>
      </c>
    </row>
    <row r="17" spans="1:6">
      <c r="A17" t="s">
        <v>36</v>
      </c>
      <c r="B17" s="38">
        <v>3078000000</v>
      </c>
      <c r="C17" s="38">
        <v>3194000000</v>
      </c>
      <c r="D17" s="38">
        <v>3397000000</v>
      </c>
      <c r="E17" s="38">
        <v>3632000000</v>
      </c>
      <c r="F17" s="38">
        <v>3971000000</v>
      </c>
    </row>
    <row r="18" spans="1:6">
      <c r="A18" t="s">
        <v>37</v>
      </c>
      <c r="B18" s="38">
        <v>333000000</v>
      </c>
      <c r="C18" s="38">
        <v>357000000</v>
      </c>
      <c r="D18" s="38">
        <v>386000000</v>
      </c>
      <c r="E18" s="38">
        <v>400000000</v>
      </c>
      <c r="F18" s="38">
        <v>413000000</v>
      </c>
    </row>
    <row r="19" spans="1:6">
      <c r="A19" t="s">
        <v>38</v>
      </c>
      <c r="B19" s="38">
        <v>2745000000</v>
      </c>
      <c r="C19" s="38">
        <v>2837000000</v>
      </c>
      <c r="D19" s="38">
        <v>3011000000</v>
      </c>
      <c r="E19" s="38">
        <v>3232000000</v>
      </c>
      <c r="F19" s="38">
        <v>3558000000</v>
      </c>
    </row>
    <row r="20" spans="1:6">
      <c r="A20" t="s">
        <v>39</v>
      </c>
      <c r="B20" s="38">
        <v>4582000000</v>
      </c>
      <c r="C20" s="38">
        <v>4736000000</v>
      </c>
      <c r="D20" s="38">
        <v>5534000000</v>
      </c>
      <c r="E20" s="38">
        <v>5441000000</v>
      </c>
      <c r="F20" s="38">
        <v>5941000000</v>
      </c>
    </row>
    <row r="21" spans="1:6">
      <c r="A21" t="s">
        <v>178</v>
      </c>
      <c r="B21" s="38">
        <v>4582000000</v>
      </c>
      <c r="C21" s="38">
        <v>4736000000</v>
      </c>
      <c r="D21" s="38">
        <v>5534000000</v>
      </c>
      <c r="E21" s="38">
        <v>5441000000</v>
      </c>
      <c r="F21" s="38">
        <v>5941000000</v>
      </c>
    </row>
    <row r="22" spans="1:6">
      <c r="A22" t="s">
        <v>256</v>
      </c>
      <c r="B22" s="38">
        <v>269000000</v>
      </c>
      <c r="C22" s="38">
        <v>307000000</v>
      </c>
      <c r="D22" s="38">
        <v>472000000</v>
      </c>
      <c r="E22" s="38">
        <v>688000000</v>
      </c>
      <c r="F22" s="38">
        <v>802000000</v>
      </c>
    </row>
    <row r="23" spans="1:6">
      <c r="A23" t="s">
        <v>40</v>
      </c>
      <c r="B23" s="38">
        <v>-4462000000</v>
      </c>
      <c r="C23" s="38">
        <v>-4720000000</v>
      </c>
      <c r="D23" s="38">
        <v>-5055000000</v>
      </c>
      <c r="E23" s="38">
        <v>-5286000000</v>
      </c>
      <c r="F23" s="38">
        <v>-5614000000</v>
      </c>
    </row>
    <row r="24" spans="1:6">
      <c r="A24" t="s">
        <v>41</v>
      </c>
      <c r="B24" s="38">
        <v>-4462000000</v>
      </c>
      <c r="C24" s="38">
        <v>-4720000000</v>
      </c>
      <c r="D24" s="38">
        <v>-5055000000</v>
      </c>
      <c r="E24" s="38">
        <v>-5286000000</v>
      </c>
      <c r="F24" s="38">
        <v>-5614000000</v>
      </c>
    </row>
    <row r="25" spans="1:6">
      <c r="A25" t="s">
        <v>42</v>
      </c>
      <c r="B25" s="38">
        <v>12123000000</v>
      </c>
      <c r="C25" s="38">
        <v>12616000000</v>
      </c>
      <c r="D25" s="38">
        <v>22179000000</v>
      </c>
      <c r="E25" s="38">
        <v>21992000000</v>
      </c>
      <c r="F25" s="38">
        <v>22170000000</v>
      </c>
    </row>
    <row r="26" spans="1:6">
      <c r="A26" t="s">
        <v>43</v>
      </c>
      <c r="B26" s="38">
        <v>13799000000</v>
      </c>
      <c r="C26" s="38">
        <v>14355000000</v>
      </c>
      <c r="D26" s="38">
        <v>24158000000</v>
      </c>
      <c r="E26" s="38">
        <v>24250000000</v>
      </c>
      <c r="F26" s="38">
        <v>24263000000</v>
      </c>
    </row>
    <row r="27" spans="1:6">
      <c r="A27" t="s">
        <v>44</v>
      </c>
      <c r="B27" s="38">
        <v>11445000000</v>
      </c>
      <c r="C27" s="38">
        <v>11914000000</v>
      </c>
      <c r="D27" s="38">
        <v>19594000000</v>
      </c>
      <c r="E27" s="38">
        <v>19677000000</v>
      </c>
      <c r="F27" s="38">
        <v>20053000000</v>
      </c>
    </row>
    <row r="28" spans="1:6">
      <c r="A28" t="s">
        <v>45</v>
      </c>
      <c r="B28" s="38">
        <v>2354000000</v>
      </c>
      <c r="C28" s="38">
        <v>2441000000</v>
      </c>
      <c r="D28" s="38">
        <v>4564000000</v>
      </c>
      <c r="E28" s="38">
        <v>4573000000</v>
      </c>
      <c r="F28" s="38">
        <v>4210000000</v>
      </c>
    </row>
    <row r="29" spans="1:6">
      <c r="A29" t="s">
        <v>257</v>
      </c>
      <c r="B29" s="38">
        <v>446000000</v>
      </c>
      <c r="C29" s="38">
        <v>465000000</v>
      </c>
      <c r="D29" s="38">
        <v>469000000</v>
      </c>
      <c r="E29" s="38">
        <v>474000000</v>
      </c>
      <c r="F29" s="38">
        <v>516000000</v>
      </c>
    </row>
    <row r="30" spans="1:6">
      <c r="A30" t="s">
        <v>258</v>
      </c>
      <c r="B30" s="38">
        <v>121000000</v>
      </c>
      <c r="C30" s="38">
        <v>137000000</v>
      </c>
      <c r="D30" s="38">
        <v>165000000</v>
      </c>
      <c r="E30" s="38">
        <v>164000000</v>
      </c>
      <c r="F30" s="38">
        <v>134000000</v>
      </c>
    </row>
    <row r="31" spans="1:6">
      <c r="A31" t="s">
        <v>259</v>
      </c>
      <c r="B31" s="38">
        <v>1787000000</v>
      </c>
      <c r="C31" s="38">
        <v>1839000000</v>
      </c>
      <c r="D31" s="38">
        <v>3930000000</v>
      </c>
      <c r="E31" s="38">
        <v>3935000000</v>
      </c>
      <c r="F31" s="38">
        <v>3560000000</v>
      </c>
    </row>
    <row r="32" spans="1:6">
      <c r="A32" t="s">
        <v>46</v>
      </c>
      <c r="B32" s="38">
        <v>-1676000000</v>
      </c>
      <c r="C32" s="38">
        <v>-1739000000</v>
      </c>
      <c r="D32" s="38">
        <v>-1979000000</v>
      </c>
      <c r="E32" s="38">
        <v>-2258000000</v>
      </c>
      <c r="F32" s="38">
        <v>-2093000000</v>
      </c>
    </row>
    <row r="33" spans="1:6">
      <c r="A33" t="s">
        <v>47</v>
      </c>
      <c r="B33" s="38">
        <v>-1676000000</v>
      </c>
      <c r="C33" s="38">
        <v>-1739000000</v>
      </c>
      <c r="D33" s="38">
        <v>-1979000000</v>
      </c>
      <c r="E33" s="38">
        <v>-2258000000</v>
      </c>
      <c r="F33" s="38">
        <v>-2093000000</v>
      </c>
    </row>
    <row r="34" spans="1:6">
      <c r="A34" t="s">
        <v>48</v>
      </c>
      <c r="B34" s="38">
        <v>-1676000000</v>
      </c>
      <c r="C34" s="38">
        <v>-1739000000</v>
      </c>
      <c r="D34" s="38">
        <v>-1979000000</v>
      </c>
      <c r="E34" s="38">
        <v>-2258000000</v>
      </c>
      <c r="F34" s="38">
        <v>-2093000000</v>
      </c>
    </row>
    <row r="35" spans="1:6">
      <c r="A35" t="s">
        <v>260</v>
      </c>
      <c r="B35" s="38">
        <v>-139000000</v>
      </c>
      <c r="C35" s="38">
        <v>-160000000</v>
      </c>
      <c r="D35" s="38">
        <v>-177000000</v>
      </c>
      <c r="E35" s="38">
        <v>-195000000</v>
      </c>
      <c r="F35" s="38">
        <v>-229000000</v>
      </c>
    </row>
    <row r="36" spans="1:6">
      <c r="A36" t="s">
        <v>261</v>
      </c>
      <c r="B36" s="38">
        <v>-102000000</v>
      </c>
      <c r="C36" s="38">
        <v>-105000000</v>
      </c>
      <c r="D36" s="38">
        <v>-116000000</v>
      </c>
      <c r="E36" s="38">
        <v>-126000000</v>
      </c>
      <c r="F36" s="38">
        <v>-106000000</v>
      </c>
    </row>
    <row r="37" spans="1:6">
      <c r="A37" t="s">
        <v>262</v>
      </c>
      <c r="B37" s="38">
        <v>-1435000000</v>
      </c>
      <c r="C37" s="38">
        <v>-1474000000</v>
      </c>
      <c r="D37" s="38">
        <v>-1686000000</v>
      </c>
      <c r="E37" s="38">
        <v>-1937000000</v>
      </c>
      <c r="F37" s="38">
        <v>-1758000000</v>
      </c>
    </row>
    <row r="38" spans="1:6">
      <c r="A38" t="s">
        <v>179</v>
      </c>
      <c r="B38" s="38">
        <v>1835000000</v>
      </c>
      <c r="C38" s="38">
        <v>585000000</v>
      </c>
      <c r="D38" s="38">
        <v>692000000</v>
      </c>
      <c r="E38" s="38">
        <v>2594000000</v>
      </c>
      <c r="F38" s="38">
        <v>2495000000</v>
      </c>
    </row>
    <row r="39" spans="1:6">
      <c r="A39" t="s">
        <v>49</v>
      </c>
      <c r="B39" s="38">
        <v>21896000000</v>
      </c>
      <c r="C39" s="38">
        <v>23611000000</v>
      </c>
      <c r="D39" s="38">
        <v>33676000000</v>
      </c>
      <c r="E39" s="38">
        <v>35264000000</v>
      </c>
      <c r="F39" s="38">
        <v>35647000000</v>
      </c>
    </row>
    <row r="40" spans="1:6">
      <c r="A40" t="s">
        <v>50</v>
      </c>
      <c r="B40" s="38">
        <v>12846000000</v>
      </c>
      <c r="C40" s="38">
        <v>13099000000</v>
      </c>
      <c r="D40" s="38">
        <v>14739000000</v>
      </c>
      <c r="E40" s="38">
        <v>16801000000</v>
      </c>
      <c r="F40" s="38">
        <v>15964000000</v>
      </c>
    </row>
    <row r="41" spans="1:6">
      <c r="A41" t="s">
        <v>51</v>
      </c>
      <c r="B41" s="38">
        <v>3233000000</v>
      </c>
      <c r="C41" s="38">
        <v>3993000000</v>
      </c>
      <c r="D41" s="38">
        <v>4131000000</v>
      </c>
      <c r="E41" s="38">
        <v>4103000000</v>
      </c>
      <c r="F41" s="38">
        <v>3959000000</v>
      </c>
    </row>
    <row r="42" spans="1:6">
      <c r="A42" t="s">
        <v>52</v>
      </c>
      <c r="B42" s="38">
        <v>2538000000</v>
      </c>
      <c r="C42" s="38">
        <v>3207000000</v>
      </c>
      <c r="D42" s="38">
        <v>3179000000</v>
      </c>
      <c r="E42" s="38">
        <v>3162000000</v>
      </c>
      <c r="F42" s="38">
        <v>2952000000</v>
      </c>
    </row>
    <row r="43" spans="1:6">
      <c r="A43" t="s">
        <v>53</v>
      </c>
      <c r="B43" s="38">
        <v>2538000000</v>
      </c>
      <c r="C43" s="38">
        <v>3207000000</v>
      </c>
      <c r="D43" s="38">
        <v>3179000000</v>
      </c>
      <c r="E43" s="38">
        <v>3162000000</v>
      </c>
      <c r="F43" s="38">
        <v>2952000000</v>
      </c>
    </row>
    <row r="44" spans="1:6">
      <c r="A44" t="s">
        <v>263</v>
      </c>
      <c r="B44" s="38">
        <v>695000000</v>
      </c>
      <c r="C44" s="38">
        <v>786000000</v>
      </c>
      <c r="D44" s="38">
        <v>952000000</v>
      </c>
      <c r="E44" s="38">
        <v>941000000</v>
      </c>
      <c r="F44" s="38">
        <v>1007000000</v>
      </c>
    </row>
    <row r="45" spans="1:6">
      <c r="A45" t="s">
        <v>54</v>
      </c>
      <c r="B45" s="38">
        <v>1421000000</v>
      </c>
      <c r="C45" s="38">
        <v>182000000</v>
      </c>
      <c r="D45" s="38">
        <v>1114000000</v>
      </c>
      <c r="E45" s="38">
        <v>3204000000</v>
      </c>
      <c r="F45" s="38">
        <v>3344000000</v>
      </c>
    </row>
    <row r="46" spans="1:6">
      <c r="A46" t="s">
        <v>55</v>
      </c>
      <c r="B46" s="38">
        <v>900000000</v>
      </c>
      <c r="C46" s="38">
        <v>2000000</v>
      </c>
      <c r="D46" s="38">
        <v>973000000</v>
      </c>
      <c r="E46" s="38">
        <v>3172000000</v>
      </c>
      <c r="F46" s="38">
        <v>3265000000</v>
      </c>
    </row>
    <row r="47" spans="1:6">
      <c r="A47" t="s">
        <v>264</v>
      </c>
      <c r="B47" t="s">
        <v>129</v>
      </c>
      <c r="C47" t="s">
        <v>129</v>
      </c>
      <c r="D47" t="s">
        <v>129</v>
      </c>
      <c r="E47" s="38">
        <v>2920000000</v>
      </c>
      <c r="F47" s="38">
        <v>3003000000</v>
      </c>
    </row>
    <row r="48" spans="1:6">
      <c r="A48" t="s">
        <v>56</v>
      </c>
      <c r="B48" t="s">
        <v>129</v>
      </c>
      <c r="C48" t="s">
        <v>129</v>
      </c>
      <c r="D48" t="s">
        <v>129</v>
      </c>
      <c r="E48" s="38">
        <v>252000000</v>
      </c>
      <c r="F48" s="38">
        <v>262000000</v>
      </c>
    </row>
    <row r="49" spans="1:6">
      <c r="A49" t="s">
        <v>265</v>
      </c>
      <c r="B49" t="s">
        <v>129</v>
      </c>
      <c r="C49" t="s">
        <v>129</v>
      </c>
      <c r="D49" t="s">
        <v>129</v>
      </c>
      <c r="E49" s="38">
        <v>252000000</v>
      </c>
      <c r="F49" s="38">
        <v>262000000</v>
      </c>
    </row>
    <row r="50" spans="1:6">
      <c r="A50" t="s">
        <v>266</v>
      </c>
      <c r="B50" s="38">
        <v>521000000</v>
      </c>
      <c r="C50" s="38">
        <v>180000000</v>
      </c>
      <c r="D50" s="38">
        <v>141000000</v>
      </c>
      <c r="E50" s="38">
        <v>32000000</v>
      </c>
      <c r="F50" s="38">
        <v>79000000</v>
      </c>
    </row>
    <row r="51" spans="1:6">
      <c r="A51" t="s">
        <v>57</v>
      </c>
      <c r="B51" s="38">
        <v>640000000</v>
      </c>
      <c r="C51" s="38">
        <v>615000000</v>
      </c>
      <c r="D51" s="38">
        <v>516000000</v>
      </c>
      <c r="E51" s="38">
        <v>602000000</v>
      </c>
      <c r="F51" s="38">
        <v>644000000</v>
      </c>
    </row>
    <row r="52" spans="1:6">
      <c r="A52" t="s">
        <v>58</v>
      </c>
      <c r="B52" s="38">
        <v>640000000</v>
      </c>
      <c r="C52" s="38">
        <v>615000000</v>
      </c>
      <c r="D52" s="38">
        <v>516000000</v>
      </c>
      <c r="E52" s="38">
        <v>602000000</v>
      </c>
      <c r="F52" s="38">
        <v>644000000</v>
      </c>
    </row>
    <row r="53" spans="1:6">
      <c r="A53" t="s">
        <v>267</v>
      </c>
      <c r="B53" s="38">
        <v>303000000</v>
      </c>
      <c r="C53" s="38">
        <v>295000000</v>
      </c>
      <c r="D53" s="38">
        <v>272000000</v>
      </c>
      <c r="E53" s="38">
        <v>296000000</v>
      </c>
      <c r="F53" s="38">
        <v>306000000</v>
      </c>
    </row>
    <row r="54" spans="1:6">
      <c r="A54" t="s">
        <v>268</v>
      </c>
      <c r="B54" s="38">
        <v>337000000</v>
      </c>
      <c r="C54" s="38">
        <v>320000000</v>
      </c>
      <c r="D54" s="38">
        <v>244000000</v>
      </c>
      <c r="E54" s="38">
        <v>306000000</v>
      </c>
      <c r="F54" s="38">
        <v>338000000</v>
      </c>
    </row>
    <row r="55" spans="1:6">
      <c r="A55" t="s">
        <v>59</v>
      </c>
      <c r="B55" s="38">
        <v>4939000000</v>
      </c>
      <c r="C55" s="38">
        <v>6992000000</v>
      </c>
      <c r="D55" s="38">
        <v>7270000000</v>
      </c>
      <c r="E55" s="38">
        <v>7148000000</v>
      </c>
      <c r="F55" s="38">
        <v>6276000000</v>
      </c>
    </row>
    <row r="56" spans="1:6">
      <c r="A56" t="s">
        <v>60</v>
      </c>
      <c r="B56" s="38">
        <v>4939000000</v>
      </c>
      <c r="C56" s="38">
        <v>6992000000</v>
      </c>
      <c r="D56" s="38">
        <v>7270000000</v>
      </c>
      <c r="E56" s="38">
        <v>7148000000</v>
      </c>
      <c r="F56" s="38">
        <v>6276000000</v>
      </c>
    </row>
    <row r="57" spans="1:6">
      <c r="A57" t="s">
        <v>180</v>
      </c>
      <c r="B57" s="38">
        <v>1355000000</v>
      </c>
      <c r="C57" s="38">
        <v>1317000000</v>
      </c>
      <c r="D57" s="38">
        <v>1708000000</v>
      </c>
      <c r="E57" s="38">
        <v>1744000000</v>
      </c>
      <c r="F57" s="38">
        <v>1741000000</v>
      </c>
    </row>
    <row r="58" spans="1:6">
      <c r="A58" t="s">
        <v>269</v>
      </c>
      <c r="B58" s="38">
        <v>1258000000</v>
      </c>
      <c r="C58" t="s">
        <v>129</v>
      </c>
      <c r="D58" t="s">
        <v>129</v>
      </c>
      <c r="E58" t="s">
        <v>129</v>
      </c>
      <c r="F58" t="s">
        <v>129</v>
      </c>
    </row>
    <row r="59" spans="1:6">
      <c r="A59" t="s">
        <v>270</v>
      </c>
      <c r="B59" s="38">
        <v>1258000000</v>
      </c>
      <c r="C59" t="s">
        <v>129</v>
      </c>
      <c r="D59" t="s">
        <v>129</v>
      </c>
      <c r="E59" t="s">
        <v>129</v>
      </c>
      <c r="F59" t="s">
        <v>129</v>
      </c>
    </row>
    <row r="60" spans="1:6">
      <c r="A60" t="s">
        <v>61</v>
      </c>
      <c r="B60" s="38">
        <v>9050000000</v>
      </c>
      <c r="C60" s="38">
        <v>10512000000</v>
      </c>
      <c r="D60" s="38">
        <v>18937000000</v>
      </c>
      <c r="E60" s="38">
        <v>18463000000</v>
      </c>
      <c r="F60" s="38">
        <v>19683000000</v>
      </c>
    </row>
    <row r="61" spans="1:6">
      <c r="A61" t="s">
        <v>62</v>
      </c>
      <c r="B61" s="38">
        <v>2988000000</v>
      </c>
      <c r="C61" s="38">
        <v>3980000000</v>
      </c>
      <c r="D61" s="38">
        <v>11444000000</v>
      </c>
      <c r="E61" s="38">
        <v>10261000000</v>
      </c>
      <c r="F61" s="38">
        <v>11144000000</v>
      </c>
    </row>
    <row r="62" spans="1:6">
      <c r="A62" t="s">
        <v>63</v>
      </c>
      <c r="B62" s="38">
        <v>2988000000</v>
      </c>
      <c r="C62" s="38">
        <v>3980000000</v>
      </c>
      <c r="D62" s="38">
        <v>11444000000</v>
      </c>
      <c r="E62" s="38">
        <v>10261000000</v>
      </c>
      <c r="F62" s="38">
        <v>11144000000</v>
      </c>
    </row>
    <row r="63" spans="1:6">
      <c r="A63" t="s">
        <v>64</v>
      </c>
      <c r="B63" s="38">
        <v>2988000000</v>
      </c>
      <c r="C63" s="38">
        <v>3980000000</v>
      </c>
      <c r="D63" s="38">
        <v>11444000000</v>
      </c>
      <c r="E63" s="38">
        <v>9010000000</v>
      </c>
      <c r="F63" s="38">
        <v>9995000000</v>
      </c>
    </row>
    <row r="64" spans="1:6">
      <c r="A64" t="s">
        <v>65</v>
      </c>
      <c r="B64" t="s">
        <v>129</v>
      </c>
      <c r="C64" t="s">
        <v>129</v>
      </c>
      <c r="D64" t="s">
        <v>129</v>
      </c>
      <c r="E64" s="38">
        <v>1251000000</v>
      </c>
      <c r="F64" s="38">
        <v>1149000000</v>
      </c>
    </row>
    <row r="65" spans="1:6">
      <c r="A65" t="s">
        <v>66</v>
      </c>
      <c r="B65" s="38">
        <v>4393000000</v>
      </c>
      <c r="C65" s="38">
        <v>4408000000</v>
      </c>
      <c r="D65" s="38">
        <v>4422000000</v>
      </c>
      <c r="E65" s="38">
        <v>5172000000</v>
      </c>
      <c r="F65" s="38">
        <v>5182000000</v>
      </c>
    </row>
    <row r="66" spans="1:6">
      <c r="A66" t="s">
        <v>67</v>
      </c>
      <c r="B66" s="38">
        <v>4393000000</v>
      </c>
      <c r="C66" s="38">
        <v>4408000000</v>
      </c>
      <c r="D66" s="38">
        <v>4422000000</v>
      </c>
      <c r="E66" s="38">
        <v>5172000000</v>
      </c>
      <c r="F66" s="38">
        <v>5182000000</v>
      </c>
    </row>
    <row r="67" spans="1:6">
      <c r="A67" t="s">
        <v>68</v>
      </c>
      <c r="B67" s="38">
        <v>4393000000</v>
      </c>
      <c r="C67" s="38">
        <v>4408000000</v>
      </c>
      <c r="D67" s="38">
        <v>4422000000</v>
      </c>
      <c r="E67" s="38">
        <v>5172000000</v>
      </c>
      <c r="F67" s="38">
        <v>5182000000</v>
      </c>
    </row>
    <row r="68" spans="1:6">
      <c r="A68" t="s">
        <v>69</v>
      </c>
      <c r="B68" s="38">
        <v>72000000</v>
      </c>
      <c r="C68" s="38">
        <v>244000000</v>
      </c>
      <c r="D68" s="38">
        <v>577000000</v>
      </c>
      <c r="E68" s="38">
        <v>481000000</v>
      </c>
      <c r="F68" s="38">
        <v>461000000</v>
      </c>
    </row>
    <row r="69" spans="1:6">
      <c r="A69" t="s">
        <v>70</v>
      </c>
      <c r="B69" s="38">
        <v>72000000</v>
      </c>
      <c r="C69" s="38">
        <v>244000000</v>
      </c>
      <c r="D69" s="38">
        <v>577000000</v>
      </c>
      <c r="E69" s="38">
        <v>481000000</v>
      </c>
      <c r="F69" s="38">
        <v>461000000</v>
      </c>
    </row>
    <row r="70" spans="1:6">
      <c r="A70" t="s">
        <v>271</v>
      </c>
      <c r="B70" s="38">
        <v>418000000</v>
      </c>
      <c r="C70" s="38">
        <v>814000000</v>
      </c>
      <c r="D70" s="38">
        <v>726000000</v>
      </c>
      <c r="E70" s="38">
        <v>709000000</v>
      </c>
      <c r="F70" s="38">
        <v>872000000</v>
      </c>
    </row>
    <row r="71" spans="1:6">
      <c r="A71" t="s">
        <v>272</v>
      </c>
      <c r="B71" s="38">
        <v>418000000</v>
      </c>
      <c r="C71" s="38">
        <v>814000000</v>
      </c>
      <c r="D71" s="38">
        <v>726000000</v>
      </c>
      <c r="E71" s="38">
        <v>709000000</v>
      </c>
      <c r="F71" s="38">
        <v>872000000</v>
      </c>
    </row>
    <row r="72" spans="1:6">
      <c r="A72" t="s">
        <v>71</v>
      </c>
      <c r="B72" s="38">
        <v>1179000000</v>
      </c>
      <c r="C72" s="38">
        <v>1066000000</v>
      </c>
      <c r="D72" s="38">
        <v>1768000000</v>
      </c>
      <c r="E72" s="38">
        <v>1840000000</v>
      </c>
      <c r="F72" s="38">
        <v>2024000000</v>
      </c>
    </row>
    <row r="73" spans="1:6">
      <c r="A73" t="s">
        <v>72</v>
      </c>
      <c r="B73" s="38">
        <v>10976000000</v>
      </c>
      <c r="C73" s="38">
        <v>11435000000</v>
      </c>
      <c r="D73" s="38">
        <v>11732000000</v>
      </c>
      <c r="E73" s="38">
        <v>13577000000</v>
      </c>
      <c r="F73" s="38">
        <v>15661000000</v>
      </c>
    </row>
    <row r="74" spans="1:6">
      <c r="A74" t="s">
        <v>73</v>
      </c>
      <c r="B74" s="38">
        <v>10976000000</v>
      </c>
      <c r="C74" s="38">
        <v>11435000000</v>
      </c>
      <c r="D74" s="38">
        <v>11732000000</v>
      </c>
      <c r="E74" s="38">
        <v>13577000000</v>
      </c>
      <c r="F74" s="38">
        <v>15661000000</v>
      </c>
    </row>
    <row r="75" spans="1:6">
      <c r="A75" t="s">
        <v>74</v>
      </c>
      <c r="B75" s="38">
        <v>-10855000000</v>
      </c>
      <c r="C75" s="38">
        <v>-12189000000</v>
      </c>
      <c r="D75" s="38">
        <v>-13816000000</v>
      </c>
      <c r="E75" s="38">
        <v>-13837000000</v>
      </c>
      <c r="F75" s="38">
        <v>-14287000000</v>
      </c>
    </row>
    <row r="76" spans="1:6">
      <c r="A76" t="s">
        <v>75</v>
      </c>
      <c r="B76" s="38">
        <v>3301000000</v>
      </c>
      <c r="C76" s="38">
        <v>3354000000</v>
      </c>
      <c r="D76" s="38">
        <v>3428000000</v>
      </c>
      <c r="E76" s="38">
        <v>3521000000</v>
      </c>
      <c r="F76" s="38">
        <v>3606000000</v>
      </c>
    </row>
    <row r="77" spans="1:6">
      <c r="A77" t="s">
        <v>76</v>
      </c>
      <c r="B77" s="38">
        <v>482000000</v>
      </c>
      <c r="C77" s="38">
        <v>482000000</v>
      </c>
      <c r="D77" s="38">
        <v>482000000</v>
      </c>
      <c r="E77" s="38">
        <v>482000000</v>
      </c>
      <c r="F77" s="38">
        <v>482000000</v>
      </c>
    </row>
    <row r="78" spans="1:6">
      <c r="A78" t="s">
        <v>273</v>
      </c>
      <c r="B78" t="s">
        <v>129</v>
      </c>
      <c r="C78" t="s">
        <v>129</v>
      </c>
      <c r="D78" t="s">
        <v>129</v>
      </c>
      <c r="E78" t="s">
        <v>129</v>
      </c>
      <c r="F78" t="s">
        <v>129</v>
      </c>
    </row>
    <row r="79" spans="1:6">
      <c r="A79" t="s">
        <v>77</v>
      </c>
      <c r="B79" s="38">
        <v>2819000000</v>
      </c>
      <c r="C79" s="38">
        <v>2872000000</v>
      </c>
      <c r="D79" s="38">
        <v>2946000000</v>
      </c>
      <c r="E79" s="38">
        <v>3039000000</v>
      </c>
      <c r="F79" s="38">
        <v>3124000000</v>
      </c>
    </row>
    <row r="80" spans="1:6">
      <c r="A80" t="s">
        <v>274</v>
      </c>
      <c r="B80" s="38">
        <v>2819000000</v>
      </c>
      <c r="C80" s="38">
        <v>2872000000</v>
      </c>
      <c r="D80" s="38">
        <v>2946000000</v>
      </c>
      <c r="E80" s="38">
        <v>3039000000</v>
      </c>
      <c r="F80" s="38">
        <v>3124000000</v>
      </c>
    </row>
    <row r="81" spans="1:6">
      <c r="A81" t="s">
        <v>275</v>
      </c>
      <c r="B81" s="38">
        <v>-14156000000</v>
      </c>
      <c r="C81" s="38">
        <v>-15543000000</v>
      </c>
      <c r="D81" s="38">
        <v>-17244000000</v>
      </c>
      <c r="E81" s="38">
        <v>-17358000000</v>
      </c>
      <c r="F81" s="38">
        <v>-17893000000</v>
      </c>
    </row>
    <row r="82" spans="1:6">
      <c r="A82" t="s">
        <v>78</v>
      </c>
      <c r="B82" s="38">
        <v>25227000000</v>
      </c>
      <c r="C82" s="38">
        <v>26444000000</v>
      </c>
      <c r="D82" s="38">
        <v>29326000000</v>
      </c>
      <c r="E82" s="38">
        <v>31633000000</v>
      </c>
      <c r="F82" s="38">
        <v>33498000000</v>
      </c>
    </row>
    <row r="83" spans="1:6">
      <c r="A83" t="s">
        <v>79</v>
      </c>
      <c r="B83" s="38">
        <v>-3396000000</v>
      </c>
      <c r="C83" s="38">
        <v>-2820000000</v>
      </c>
      <c r="D83" s="38">
        <v>-3778000000</v>
      </c>
      <c r="E83" s="38">
        <v>-4219000000</v>
      </c>
      <c r="F83" s="38">
        <v>-3550000000</v>
      </c>
    </row>
    <row r="84" spans="1:6">
      <c r="A84" t="s">
        <v>141</v>
      </c>
      <c r="B84" s="38">
        <v>3888000000</v>
      </c>
      <c r="C84" s="38">
        <v>3982000000</v>
      </c>
      <c r="D84" s="38">
        <v>12417000000</v>
      </c>
      <c r="E84" s="38">
        <v>11930000000</v>
      </c>
      <c r="F84" s="38">
        <v>12998000000</v>
      </c>
    </row>
    <row r="85" spans="1:6">
      <c r="A85" t="s">
        <v>146</v>
      </c>
      <c r="B85" s="38">
        <v>902000000</v>
      </c>
      <c r="C85" s="38">
        <v>2000000</v>
      </c>
      <c r="D85" s="38">
        <v>973000000</v>
      </c>
      <c r="E85" s="38">
        <v>2922000000</v>
      </c>
      <c r="F85" s="38">
        <v>3006000000</v>
      </c>
    </row>
    <row r="86" spans="1:6">
      <c r="A86" t="s">
        <v>181</v>
      </c>
      <c r="B86" s="38">
        <v>1000000</v>
      </c>
      <c r="C86" s="38">
        <v>3000000</v>
      </c>
      <c r="D86" s="38">
        <v>2501000000</v>
      </c>
      <c r="E86" s="38">
        <v>3009000000</v>
      </c>
      <c r="F86" s="38">
        <v>1010000000</v>
      </c>
    </row>
    <row r="87" spans="1:6">
      <c r="A87" t="s">
        <v>142</v>
      </c>
      <c r="B87" s="38">
        <v>1000000</v>
      </c>
      <c r="C87" s="38">
        <v>3000000</v>
      </c>
      <c r="D87" s="38">
        <v>3002000000</v>
      </c>
      <c r="E87" s="38">
        <v>1009000000</v>
      </c>
      <c r="F87" s="38">
        <v>1255000000</v>
      </c>
    </row>
    <row r="88" spans="1:6">
      <c r="A88" t="s">
        <v>182</v>
      </c>
      <c r="B88" s="38">
        <v>1000000</v>
      </c>
      <c r="C88" s="38">
        <v>503000000</v>
      </c>
      <c r="D88" s="38">
        <v>1002000000</v>
      </c>
      <c r="E88" s="38">
        <v>1255000000</v>
      </c>
      <c r="F88" s="38">
        <v>505000000</v>
      </c>
    </row>
    <row r="89" spans="1:6">
      <c r="A89" t="s">
        <v>143</v>
      </c>
      <c r="B89" s="38">
        <v>501000000</v>
      </c>
      <c r="C89" s="38">
        <v>1003000000</v>
      </c>
      <c r="D89" s="38">
        <v>1252000000</v>
      </c>
      <c r="E89" s="38">
        <v>505000000</v>
      </c>
      <c r="F89" s="38">
        <v>1503000000</v>
      </c>
    </row>
    <row r="90" spans="1:6">
      <c r="A90" t="s">
        <v>145</v>
      </c>
      <c r="B90" s="38">
        <v>2518000000</v>
      </c>
      <c r="C90" s="38">
        <v>2518000000</v>
      </c>
      <c r="D90" s="38">
        <v>3788000000</v>
      </c>
      <c r="E90" s="38">
        <v>3305000000</v>
      </c>
      <c r="F90" s="38">
        <v>5838000000</v>
      </c>
    </row>
    <row r="91" spans="1:6">
      <c r="A91" t="s">
        <v>144</v>
      </c>
      <c r="B91" s="38">
        <v>-36000000</v>
      </c>
      <c r="C91" s="38">
        <v>-50000000</v>
      </c>
      <c r="D91" s="38">
        <v>-101000000</v>
      </c>
      <c r="E91" s="38">
        <v>-75000000</v>
      </c>
      <c r="F91" s="38">
        <v>-119000000</v>
      </c>
    </row>
    <row r="92" spans="1:6">
      <c r="A92" t="s">
        <v>276</v>
      </c>
      <c r="B92" s="38">
        <v>30000000</v>
      </c>
      <c r="C92" s="38">
        <v>27000000</v>
      </c>
      <c r="D92" s="38">
        <v>319000000</v>
      </c>
      <c r="E92" s="38">
        <v>354000000</v>
      </c>
      <c r="F92" s="38">
        <v>323000000</v>
      </c>
    </row>
    <row r="93" spans="1:6">
      <c r="A93" t="s">
        <v>277</v>
      </c>
      <c r="B93" s="38">
        <v>2000000</v>
      </c>
      <c r="C93" s="38">
        <v>2000000</v>
      </c>
      <c r="D93" s="38">
        <v>92000000</v>
      </c>
      <c r="E93" s="38">
        <v>91000000</v>
      </c>
      <c r="F93" s="38">
        <v>87000000</v>
      </c>
    </row>
    <row r="94" spans="1:6">
      <c r="A94" t="s">
        <v>278</v>
      </c>
      <c r="B94" t="s">
        <v>129</v>
      </c>
      <c r="C94" t="s">
        <v>129</v>
      </c>
      <c r="D94" s="38">
        <v>84000000</v>
      </c>
      <c r="E94" s="38">
        <v>83000000</v>
      </c>
      <c r="F94" s="38">
        <v>86000000</v>
      </c>
    </row>
    <row r="95" spans="1:6">
      <c r="A95" t="s">
        <v>279</v>
      </c>
      <c r="B95" s="38">
        <v>5000000</v>
      </c>
      <c r="C95" s="38">
        <v>4000000</v>
      </c>
      <c r="D95" s="38">
        <v>78000000</v>
      </c>
      <c r="E95" s="38">
        <v>83000000</v>
      </c>
      <c r="F95" s="38">
        <v>38000000</v>
      </c>
    </row>
    <row r="96" spans="1:6">
      <c r="A96" t="s">
        <v>280</v>
      </c>
      <c r="B96" t="s">
        <v>129</v>
      </c>
      <c r="C96" t="s">
        <v>129</v>
      </c>
      <c r="D96" s="38">
        <v>79000000</v>
      </c>
      <c r="E96" s="38">
        <v>36000000</v>
      </c>
      <c r="F96" s="38">
        <v>21000000</v>
      </c>
    </row>
    <row r="97" spans="1:6">
      <c r="A97" t="s">
        <v>281</v>
      </c>
      <c r="B97" s="38">
        <v>4000000</v>
      </c>
      <c r="C97" s="38">
        <v>4000000</v>
      </c>
      <c r="D97" s="38">
        <v>30000000</v>
      </c>
      <c r="E97" s="38">
        <v>19000000</v>
      </c>
      <c r="F97" s="38">
        <v>19000000</v>
      </c>
    </row>
    <row r="98" spans="1:6">
      <c r="A98" t="s">
        <v>282</v>
      </c>
      <c r="B98" s="38">
        <v>19000000</v>
      </c>
      <c r="C98" s="38">
        <v>17000000</v>
      </c>
      <c r="D98" s="38">
        <v>70000000</v>
      </c>
      <c r="E98" s="38">
        <v>131000000</v>
      </c>
      <c r="F98" s="38">
        <v>145000000</v>
      </c>
    </row>
    <row r="99" spans="1:6">
      <c r="A99" t="s">
        <v>283</v>
      </c>
      <c r="B99" t="s">
        <v>129</v>
      </c>
      <c r="C99" t="s">
        <v>129</v>
      </c>
      <c r="D99" s="38">
        <v>-114000000</v>
      </c>
      <c r="E99" s="38">
        <v>-89000000</v>
      </c>
      <c r="F99" s="38">
        <v>-73000000</v>
      </c>
    </row>
    <row r="100" spans="1:6">
      <c r="A100" t="s">
        <v>183</v>
      </c>
      <c r="B100" s="38">
        <v>1187000000</v>
      </c>
      <c r="C100" s="38">
        <v>1359000000</v>
      </c>
      <c r="D100" s="38">
        <v>1689000000</v>
      </c>
      <c r="E100" s="38">
        <v>1503000000</v>
      </c>
      <c r="F100" s="38">
        <v>1411000000</v>
      </c>
    </row>
    <row r="101" spans="1:6">
      <c r="A101" t="s">
        <v>184</v>
      </c>
      <c r="B101" s="38">
        <v>241000000</v>
      </c>
      <c r="C101" s="38">
        <v>258000000</v>
      </c>
      <c r="D101" s="38">
        <v>297000000</v>
      </c>
      <c r="E101" s="38">
        <v>302000000</v>
      </c>
      <c r="F101" s="38">
        <v>298000000</v>
      </c>
    </row>
    <row r="102" spans="1:6">
      <c r="A102" t="s">
        <v>185</v>
      </c>
      <c r="B102" s="38">
        <v>195000000</v>
      </c>
      <c r="C102" s="38">
        <v>215000000</v>
      </c>
      <c r="D102" s="38">
        <v>234000000</v>
      </c>
      <c r="E102" s="38">
        <v>261000000</v>
      </c>
      <c r="F102" s="38">
        <v>252000000</v>
      </c>
    </row>
    <row r="103" spans="1:6">
      <c r="A103" t="s">
        <v>186</v>
      </c>
      <c r="B103" s="38">
        <v>144000000</v>
      </c>
      <c r="C103" s="38">
        <v>148000000</v>
      </c>
      <c r="D103" s="38">
        <v>196000000</v>
      </c>
      <c r="E103" s="38">
        <v>212000000</v>
      </c>
      <c r="F103" s="38">
        <v>192000000</v>
      </c>
    </row>
    <row r="104" spans="1:6">
      <c r="A104" t="s">
        <v>187</v>
      </c>
      <c r="B104" s="38">
        <v>92000000</v>
      </c>
      <c r="C104" s="38">
        <v>118000000</v>
      </c>
      <c r="D104" s="38">
        <v>154000000</v>
      </c>
      <c r="E104" s="38">
        <v>163000000</v>
      </c>
      <c r="F104" s="38">
        <v>156000000</v>
      </c>
    </row>
    <row r="105" spans="1:6">
      <c r="A105" t="s">
        <v>188</v>
      </c>
      <c r="B105" s="38">
        <v>72000000</v>
      </c>
      <c r="C105" s="38">
        <v>94000000</v>
      </c>
      <c r="D105" s="38">
        <v>110000000</v>
      </c>
      <c r="E105" s="38">
        <v>136000000</v>
      </c>
      <c r="F105" s="38">
        <v>107000000</v>
      </c>
    </row>
    <row r="106" spans="1:6">
      <c r="A106" t="s">
        <v>189</v>
      </c>
      <c r="B106" s="38">
        <v>443000000</v>
      </c>
      <c r="C106" s="38">
        <v>526000000</v>
      </c>
      <c r="D106" s="38">
        <v>698000000</v>
      </c>
      <c r="E106" s="38">
        <v>790000000</v>
      </c>
      <c r="F106" s="38">
        <v>705000000</v>
      </c>
    </row>
    <row r="107" spans="1:6">
      <c r="A107" t="s">
        <v>190</v>
      </c>
      <c r="B107" t="s">
        <v>129</v>
      </c>
      <c r="C107" t="s">
        <v>129</v>
      </c>
      <c r="D107" t="s">
        <v>129</v>
      </c>
      <c r="E107" s="38">
        <v>-361000000</v>
      </c>
      <c r="F107" s="38">
        <v>-299000000</v>
      </c>
    </row>
    <row r="108" spans="1:6">
      <c r="A108" t="s">
        <v>147</v>
      </c>
      <c r="B108" s="38">
        <v>45368000000</v>
      </c>
      <c r="C108" s="38">
        <v>47957000000</v>
      </c>
      <c r="D108" s="38">
        <v>50641000000</v>
      </c>
      <c r="E108" s="38">
        <v>71049000000</v>
      </c>
      <c r="F108" s="38">
        <v>66723000000</v>
      </c>
    </row>
    <row r="109" spans="1:6">
      <c r="A109" t="s">
        <v>148</v>
      </c>
      <c r="B109" s="38">
        <v>15347000000</v>
      </c>
      <c r="C109" s="38">
        <v>19151000000</v>
      </c>
      <c r="D109" s="38">
        <v>20171000000</v>
      </c>
      <c r="E109" s="38">
        <v>25691000000</v>
      </c>
      <c r="F109" s="38">
        <v>21994000000</v>
      </c>
    </row>
    <row r="110" spans="1:6">
      <c r="A110" t="s">
        <v>149</v>
      </c>
      <c r="B110" s="38">
        <v>12482000000</v>
      </c>
      <c r="C110" s="38">
        <v>11613000000</v>
      </c>
      <c r="D110" s="38">
        <v>12133000000</v>
      </c>
      <c r="E110" s="38">
        <v>20060000000</v>
      </c>
      <c r="F110" s="38">
        <v>19162000000</v>
      </c>
    </row>
    <row r="111" spans="1:6">
      <c r="A111" t="s">
        <v>150</v>
      </c>
      <c r="B111" s="38">
        <v>5294000000</v>
      </c>
      <c r="C111" s="38">
        <v>4018000000</v>
      </c>
      <c r="D111" s="38">
        <v>4851000000</v>
      </c>
      <c r="E111" s="38">
        <v>8282000000</v>
      </c>
      <c r="F111" s="38">
        <v>7537000000</v>
      </c>
    </row>
    <row r="112" spans="1:6">
      <c r="A112" t="s">
        <v>151</v>
      </c>
      <c r="B112" s="38">
        <v>12245000000</v>
      </c>
      <c r="C112" s="38">
        <v>13175000000</v>
      </c>
      <c r="D112" s="38">
        <v>13486000000</v>
      </c>
      <c r="E112" s="38">
        <v>17016000000</v>
      </c>
      <c r="F112" s="38">
        <v>18030000000</v>
      </c>
    </row>
    <row r="113" spans="1:6">
      <c r="A113" t="s">
        <v>152</v>
      </c>
      <c r="B113" s="38">
        <v>1217000000</v>
      </c>
      <c r="C113" s="38">
        <v>1386000000</v>
      </c>
      <c r="D113" s="38">
        <v>2008000000</v>
      </c>
      <c r="E113" s="38">
        <v>1857000000</v>
      </c>
      <c r="F113" s="38">
        <v>1734000000</v>
      </c>
    </row>
    <row r="114" spans="1:6">
      <c r="A114" t="s">
        <v>153</v>
      </c>
      <c r="B114" s="38">
        <v>243000000</v>
      </c>
      <c r="C114" s="38">
        <v>260000000</v>
      </c>
      <c r="D114" s="38">
        <v>389000000</v>
      </c>
      <c r="E114" s="38">
        <v>393000000</v>
      </c>
      <c r="F114" s="38">
        <v>385000000</v>
      </c>
    </row>
    <row r="115" spans="1:6">
      <c r="A115" t="s">
        <v>157</v>
      </c>
      <c r="B115" s="38">
        <v>195000000</v>
      </c>
      <c r="C115" s="38">
        <v>215000000</v>
      </c>
      <c r="D115" s="38">
        <v>318000000</v>
      </c>
      <c r="E115" s="38">
        <v>344000000</v>
      </c>
      <c r="F115" s="38">
        <v>338000000</v>
      </c>
    </row>
    <row r="116" spans="1:6">
      <c r="A116" t="s">
        <v>158</v>
      </c>
      <c r="B116" s="38">
        <v>149000000</v>
      </c>
      <c r="C116" s="38">
        <v>152000000</v>
      </c>
      <c r="D116" s="38">
        <v>274000000</v>
      </c>
      <c r="E116" s="38">
        <v>295000000</v>
      </c>
      <c r="F116" s="38">
        <v>230000000</v>
      </c>
    </row>
    <row r="117" spans="1:6">
      <c r="A117" t="s">
        <v>159</v>
      </c>
      <c r="B117" s="38">
        <v>92000000</v>
      </c>
      <c r="C117" s="38">
        <v>118000000</v>
      </c>
      <c r="D117" s="38">
        <v>233000000</v>
      </c>
      <c r="E117" s="38">
        <v>199000000</v>
      </c>
      <c r="F117" s="38">
        <v>177000000</v>
      </c>
    </row>
    <row r="118" spans="1:6">
      <c r="A118" t="s">
        <v>154</v>
      </c>
      <c r="B118" s="38">
        <v>76000000</v>
      </c>
      <c r="C118" s="38">
        <v>98000000</v>
      </c>
      <c r="D118" s="38">
        <v>140000000</v>
      </c>
      <c r="E118" s="38">
        <v>155000000</v>
      </c>
      <c r="F118" s="38">
        <v>126000000</v>
      </c>
    </row>
    <row r="119" spans="1:6">
      <c r="A119" t="s">
        <v>155</v>
      </c>
      <c r="B119" s="38">
        <v>462000000</v>
      </c>
      <c r="C119" s="38">
        <v>543000000</v>
      </c>
      <c r="D119" s="38">
        <v>768000000</v>
      </c>
      <c r="E119" s="38">
        <v>921000000</v>
      </c>
      <c r="F119" s="38">
        <v>850000000</v>
      </c>
    </row>
    <row r="120" spans="1:6">
      <c r="A120" t="s">
        <v>156</v>
      </c>
      <c r="B120" t="s">
        <v>129</v>
      </c>
      <c r="C120" t="s">
        <v>129</v>
      </c>
      <c r="D120" s="38">
        <v>-114000000</v>
      </c>
      <c r="E120" s="38">
        <v>-450000000</v>
      </c>
      <c r="F120" s="38">
        <v>-372000000</v>
      </c>
    </row>
    <row r="121" spans="1:6">
      <c r="A121" t="s">
        <v>160</v>
      </c>
      <c r="B121" s="38">
        <v>50473000000</v>
      </c>
      <c r="C121" s="38">
        <v>53325000000</v>
      </c>
      <c r="D121" s="38">
        <v>65066000000</v>
      </c>
      <c r="E121" s="38">
        <v>84836000000</v>
      </c>
      <c r="F121" s="38">
        <v>81455000000</v>
      </c>
    </row>
    <row r="122" spans="1:6">
      <c r="A122" t="s">
        <v>161</v>
      </c>
      <c r="B122" s="38">
        <v>16492000000</v>
      </c>
      <c r="C122" s="38">
        <v>19413000000</v>
      </c>
      <c r="D122" s="38">
        <v>21533000000</v>
      </c>
      <c r="E122" s="38">
        <v>29006000000</v>
      </c>
      <c r="F122" s="38">
        <v>25385000000</v>
      </c>
    </row>
    <row r="123" spans="1:6">
      <c r="A123" t="s">
        <v>166</v>
      </c>
      <c r="B123" s="38">
        <v>196000000</v>
      </c>
      <c r="C123" s="38">
        <v>218000000</v>
      </c>
      <c r="D123" s="38">
        <v>2819000000</v>
      </c>
      <c r="E123" s="38">
        <v>3353000000</v>
      </c>
      <c r="F123" s="38">
        <v>1348000000</v>
      </c>
    </row>
    <row r="124" spans="1:6">
      <c r="A124" t="s">
        <v>162</v>
      </c>
      <c r="B124" s="38">
        <v>12632000000</v>
      </c>
      <c r="C124" s="38">
        <v>11768000000</v>
      </c>
      <c r="D124" s="38">
        <v>15409000000</v>
      </c>
      <c r="E124" s="38">
        <v>21364000000</v>
      </c>
      <c r="F124" s="38">
        <v>20647000000</v>
      </c>
    </row>
    <row r="125" spans="1:6">
      <c r="A125" t="s">
        <v>167</v>
      </c>
      <c r="B125" s="38">
        <v>93000000</v>
      </c>
      <c r="C125" s="38">
        <v>621000000</v>
      </c>
      <c r="D125" s="38">
        <v>1235000000</v>
      </c>
      <c r="E125" s="38">
        <v>1454000000</v>
      </c>
      <c r="F125" s="38">
        <v>682000000</v>
      </c>
    </row>
    <row r="126" spans="1:6">
      <c r="A126" t="s">
        <v>163</v>
      </c>
      <c r="B126" s="38">
        <v>5871000000</v>
      </c>
      <c r="C126" s="38">
        <v>5119000000</v>
      </c>
      <c r="D126" s="38">
        <v>6243000000</v>
      </c>
      <c r="E126" s="38">
        <v>8942000000</v>
      </c>
      <c r="F126" s="38">
        <v>9166000000</v>
      </c>
    </row>
    <row r="127" spans="1:6">
      <c r="A127" t="s">
        <v>164</v>
      </c>
      <c r="B127" s="38">
        <v>15225000000</v>
      </c>
      <c r="C127" s="38">
        <v>16236000000</v>
      </c>
      <c r="D127" s="38">
        <v>18042000000</v>
      </c>
      <c r="E127" s="38">
        <v>21242000000</v>
      </c>
      <c r="F127" s="38">
        <v>24718000000</v>
      </c>
    </row>
    <row r="128" spans="1:6">
      <c r="A128" t="s">
        <v>165</v>
      </c>
      <c r="B128" s="38">
        <v>-36000000</v>
      </c>
      <c r="C128" s="38">
        <v>-50000000</v>
      </c>
      <c r="D128" s="38">
        <v>-215000000</v>
      </c>
      <c r="E128" s="38">
        <v>-525000000</v>
      </c>
      <c r="F128" s="38">
        <v>-491000000</v>
      </c>
    </row>
    <row r="129" spans="1:6">
      <c r="A129" t="s">
        <v>174</v>
      </c>
      <c r="B129"/>
      <c r="C129"/>
      <c r="D129"/>
      <c r="E129"/>
      <c r="F129"/>
    </row>
    <row r="130" spans="1:6">
      <c r="B130" s="38"/>
      <c r="C130" s="38"/>
      <c r="D130" s="38"/>
      <c r="E130" s="38"/>
      <c r="F130" s="38"/>
    </row>
    <row r="131" spans="1:6">
      <c r="B131" s="38"/>
      <c r="C131" s="38"/>
      <c r="D131" s="38"/>
      <c r="E131" s="38"/>
      <c r="F131" s="38"/>
    </row>
    <row r="132" spans="1:6">
      <c r="B132"/>
      <c r="C132"/>
      <c r="D132" s="38"/>
      <c r="E132" s="38"/>
      <c r="F132" s="38"/>
    </row>
    <row r="133" spans="1:6">
      <c r="B133"/>
      <c r="C133"/>
      <c r="D133" s="38"/>
      <c r="E133" s="38"/>
      <c r="F133" s="38"/>
    </row>
    <row r="134" spans="1:6">
      <c r="B134" s="38"/>
      <c r="C134" s="38"/>
      <c r="D134" s="38"/>
      <c r="E134" s="38"/>
      <c r="F134" s="38"/>
    </row>
    <row r="135" spans="1:6">
      <c r="B135" s="38"/>
      <c r="C135" s="38"/>
      <c r="D135" s="38"/>
      <c r="E135"/>
      <c r="F135"/>
    </row>
    <row r="136" spans="1:6">
      <c r="B136" s="38"/>
      <c r="C136" s="38"/>
      <c r="D136" s="38"/>
      <c r="E136"/>
      <c r="F136"/>
    </row>
    <row r="137" spans="1:6">
      <c r="B137" s="38"/>
      <c r="C137"/>
      <c r="D137" s="38"/>
      <c r="E137"/>
      <c r="F137"/>
    </row>
    <row r="138" spans="1:6">
      <c r="B138" s="38"/>
      <c r="C138" s="38"/>
      <c r="D138" s="38"/>
      <c r="E138" s="38"/>
      <c r="F138" s="38"/>
    </row>
    <row r="139" spans="1:6">
      <c r="B139" s="38"/>
      <c r="C139" s="38"/>
      <c r="D139" s="38"/>
      <c r="E139" s="38"/>
      <c r="F139" s="38"/>
    </row>
    <row r="140" spans="1:6">
      <c r="B140" s="38"/>
      <c r="C140" s="38"/>
      <c r="D140" s="38"/>
      <c r="E140" s="38"/>
      <c r="F140" s="38"/>
    </row>
    <row r="141" spans="1:6">
      <c r="B141" s="38"/>
      <c r="C141" s="38"/>
      <c r="D141" s="38"/>
      <c r="E141" s="38"/>
      <c r="F141" s="38"/>
    </row>
    <row r="142" spans="1:6">
      <c r="B142"/>
      <c r="C142"/>
      <c r="D142" s="38"/>
      <c r="E142" s="38"/>
      <c r="F142" s="38"/>
    </row>
    <row r="143" spans="1:6">
      <c r="B143" s="38"/>
      <c r="C143" s="38"/>
      <c r="D143" s="38"/>
      <c r="E143" s="38"/>
      <c r="F143" s="38"/>
    </row>
    <row r="144" spans="1:6">
      <c r="B144" s="38"/>
      <c r="C144" s="38"/>
      <c r="D144" s="38"/>
      <c r="E144"/>
      <c r="F144"/>
    </row>
    <row r="145" spans="2:6">
      <c r="B145" s="38"/>
      <c r="C145"/>
      <c r="D145" s="38"/>
      <c r="E145"/>
      <c r="F145"/>
    </row>
    <row r="146" spans="2:6">
      <c r="B146"/>
      <c r="C146"/>
      <c r="D146"/>
      <c r="E146"/>
      <c r="F146"/>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6"/>
  <sheetViews>
    <sheetView workbookViewId="0"/>
  </sheetViews>
  <sheetFormatPr baseColWidth="10" defaultRowHeight="13"/>
  <cols>
    <col min="1" max="1" width="80.83203125" bestFit="1" customWidth="1"/>
    <col min="2" max="3" width="13.1640625" bestFit="1" customWidth="1"/>
    <col min="4" max="4" width="14.1640625" bestFit="1" customWidth="1"/>
    <col min="5" max="7" width="13.1640625" bestFit="1" customWidth="1"/>
    <col min="8" max="64" width="12.83203125" customWidth="1"/>
  </cols>
  <sheetData>
    <row r="1" spans="1:7">
      <c r="A1" s="35" t="s">
        <v>195</v>
      </c>
      <c r="B1" s="36">
        <v>2016</v>
      </c>
      <c r="C1" s="36">
        <v>2017</v>
      </c>
      <c r="D1" s="36">
        <v>2018</v>
      </c>
      <c r="E1" s="36">
        <v>2019</v>
      </c>
      <c r="F1" s="36">
        <v>2020</v>
      </c>
      <c r="G1" s="35" t="s">
        <v>0</v>
      </c>
    </row>
    <row r="2" spans="1:7">
      <c r="A2" t="s">
        <v>80</v>
      </c>
      <c r="B2" s="38">
        <v>2198000000</v>
      </c>
      <c r="C2" s="38">
        <v>3879000000</v>
      </c>
      <c r="D2" s="38">
        <v>3148000000</v>
      </c>
      <c r="E2" s="38">
        <v>2981000000</v>
      </c>
      <c r="F2" s="38">
        <v>3858000000</v>
      </c>
      <c r="G2" s="38">
        <v>5151000000</v>
      </c>
    </row>
    <row r="3" spans="1:7">
      <c r="A3" t="s">
        <v>196</v>
      </c>
      <c r="B3" s="38">
        <v>2198000000</v>
      </c>
      <c r="C3" s="38">
        <v>3879000000</v>
      </c>
      <c r="D3" s="38">
        <v>3148000000</v>
      </c>
      <c r="E3" s="38">
        <v>2981000000</v>
      </c>
      <c r="F3" s="38">
        <v>3858000000</v>
      </c>
      <c r="G3" s="38">
        <v>5151000000</v>
      </c>
    </row>
    <row r="4" spans="1:7">
      <c r="A4" t="s">
        <v>197</v>
      </c>
      <c r="B4" s="38">
        <v>2356000000</v>
      </c>
      <c r="C4" s="38">
        <v>3641000000</v>
      </c>
      <c r="D4" s="38">
        <v>3433000000</v>
      </c>
      <c r="E4" s="38">
        <v>2944000000</v>
      </c>
      <c r="F4" s="38">
        <v>4089000000</v>
      </c>
      <c r="G4" s="38">
        <v>5383000000</v>
      </c>
    </row>
    <row r="5" spans="1:7">
      <c r="A5" t="s">
        <v>198</v>
      </c>
      <c r="B5" s="38">
        <v>2955000000</v>
      </c>
      <c r="C5" s="38">
        <v>2912000000</v>
      </c>
      <c r="D5" s="38">
        <v>3345000000</v>
      </c>
      <c r="E5" s="38">
        <v>3484000000</v>
      </c>
      <c r="F5" s="38">
        <v>3167000000</v>
      </c>
      <c r="G5" s="38">
        <v>3307000000</v>
      </c>
    </row>
    <row r="6" spans="1:7">
      <c r="A6" t="s">
        <v>199</v>
      </c>
      <c r="B6" s="38">
        <v>1037000000</v>
      </c>
      <c r="C6" s="38">
        <v>965000000</v>
      </c>
      <c r="D6" s="38">
        <v>913000000</v>
      </c>
      <c r="E6" s="38">
        <v>1054000000</v>
      </c>
      <c r="F6" s="38">
        <v>879000000</v>
      </c>
      <c r="G6" s="38">
        <v>965000000</v>
      </c>
    </row>
    <row r="7" spans="1:7">
      <c r="A7" t="s">
        <v>200</v>
      </c>
      <c r="B7" s="38">
        <v>454000000</v>
      </c>
      <c r="C7" s="38">
        <v>441000000</v>
      </c>
      <c r="D7" s="38">
        <v>763000000</v>
      </c>
      <c r="E7" s="38">
        <v>829000000</v>
      </c>
      <c r="F7" s="38">
        <v>878000000</v>
      </c>
      <c r="G7" s="38">
        <v>885000000</v>
      </c>
    </row>
    <row r="8" spans="1:7">
      <c r="A8" t="s">
        <v>201</v>
      </c>
      <c r="B8" s="38">
        <v>454000000</v>
      </c>
      <c r="C8" s="38">
        <v>441000000</v>
      </c>
      <c r="D8" s="38">
        <v>763000000</v>
      </c>
      <c r="E8" s="38">
        <v>829000000</v>
      </c>
      <c r="F8" s="38">
        <v>878000000</v>
      </c>
      <c r="G8" s="38">
        <v>885000000</v>
      </c>
    </row>
    <row r="9" spans="1:7">
      <c r="A9" t="s">
        <v>202</v>
      </c>
      <c r="B9" s="38">
        <v>366000000</v>
      </c>
      <c r="C9" s="38">
        <v>362000000</v>
      </c>
      <c r="D9" s="38">
        <v>493000000</v>
      </c>
      <c r="E9" s="38">
        <v>466000000</v>
      </c>
      <c r="F9" s="38">
        <v>523000000</v>
      </c>
      <c r="G9" s="38">
        <v>555000000</v>
      </c>
    </row>
    <row r="10" spans="1:7">
      <c r="A10" t="s">
        <v>203</v>
      </c>
      <c r="B10" s="38">
        <v>88000000</v>
      </c>
      <c r="C10" s="38">
        <v>79000000</v>
      </c>
      <c r="D10" s="38">
        <v>270000000</v>
      </c>
      <c r="E10" s="38">
        <v>363000000</v>
      </c>
      <c r="F10" s="38">
        <v>355000000</v>
      </c>
      <c r="G10" s="38">
        <v>330000000</v>
      </c>
    </row>
    <row r="11" spans="1:7">
      <c r="A11" t="s">
        <v>204</v>
      </c>
      <c r="B11" s="38">
        <v>100000000</v>
      </c>
      <c r="C11" s="38">
        <v>123000000</v>
      </c>
      <c r="D11" s="38">
        <v>140000000</v>
      </c>
      <c r="E11" s="38">
        <v>133000000</v>
      </c>
      <c r="F11" s="38">
        <v>128000000</v>
      </c>
      <c r="G11" s="38">
        <v>133000000</v>
      </c>
    </row>
    <row r="12" spans="1:7">
      <c r="A12" t="s">
        <v>205</v>
      </c>
      <c r="B12" s="38">
        <v>376000000</v>
      </c>
      <c r="C12" s="38">
        <v>401000000</v>
      </c>
      <c r="D12" s="38">
        <v>-3000000</v>
      </c>
      <c r="E12" s="38">
        <v>92000000</v>
      </c>
      <c r="F12" s="38">
        <v>-127000000</v>
      </c>
      <c r="G12" s="38">
        <v>-53000000</v>
      </c>
    </row>
    <row r="13" spans="1:7">
      <c r="A13" t="s">
        <v>206</v>
      </c>
      <c r="B13" s="38">
        <v>107000000</v>
      </c>
      <c r="C13" s="37">
        <v>0</v>
      </c>
      <c r="D13" s="38">
        <v>13000000</v>
      </c>
      <c r="E13" s="37">
        <v>0</v>
      </c>
      <c r="F13" s="37">
        <v>0</v>
      </c>
      <c r="G13" t="s">
        <v>129</v>
      </c>
    </row>
    <row r="14" spans="1:7">
      <c r="A14" t="s">
        <v>207</v>
      </c>
      <c r="B14" t="s">
        <v>129</v>
      </c>
      <c r="C14" t="s">
        <v>129</v>
      </c>
      <c r="D14" t="s">
        <v>129</v>
      </c>
      <c r="E14" t="s">
        <v>129</v>
      </c>
      <c r="F14" t="s">
        <v>129</v>
      </c>
      <c r="G14" t="s">
        <v>129</v>
      </c>
    </row>
    <row r="15" spans="1:7">
      <c r="A15" t="s">
        <v>208</v>
      </c>
      <c r="B15" t="s">
        <v>129</v>
      </c>
      <c r="C15" t="s">
        <v>129</v>
      </c>
      <c r="D15" t="s">
        <v>129</v>
      </c>
      <c r="E15" t="s">
        <v>129</v>
      </c>
      <c r="F15" t="s">
        <v>129</v>
      </c>
      <c r="G15" t="s">
        <v>129</v>
      </c>
    </row>
    <row r="16" spans="1:7">
      <c r="A16" t="s">
        <v>209</v>
      </c>
      <c r="B16" t="s">
        <v>129</v>
      </c>
      <c r="C16" t="s">
        <v>129</v>
      </c>
      <c r="D16" t="s">
        <v>129</v>
      </c>
      <c r="E16" t="s">
        <v>129</v>
      </c>
      <c r="F16" t="s">
        <v>129</v>
      </c>
      <c r="G16" t="s">
        <v>129</v>
      </c>
    </row>
    <row r="17" spans="1:7">
      <c r="A17" t="s">
        <v>210</v>
      </c>
      <c r="B17" t="s">
        <v>129</v>
      </c>
      <c r="C17" t="s">
        <v>129</v>
      </c>
      <c r="D17" t="s">
        <v>129</v>
      </c>
      <c r="E17" t="s">
        <v>129</v>
      </c>
      <c r="F17" t="s">
        <v>129</v>
      </c>
      <c r="G17" t="s">
        <v>129</v>
      </c>
    </row>
    <row r="18" spans="1:7">
      <c r="A18" t="s">
        <v>211</v>
      </c>
      <c r="B18" s="38">
        <v>-1636000000</v>
      </c>
      <c r="C18" s="38">
        <v>-236000000</v>
      </c>
      <c r="D18" s="38">
        <v>-825000000</v>
      </c>
      <c r="E18" s="38">
        <v>-1594000000</v>
      </c>
      <c r="F18" s="38">
        <v>43000000</v>
      </c>
      <c r="G18" s="38">
        <v>1111000000</v>
      </c>
    </row>
    <row r="19" spans="1:7">
      <c r="A19" t="s">
        <v>212</v>
      </c>
      <c r="B19" s="38">
        <v>-1187000000</v>
      </c>
      <c r="C19" s="38">
        <v>-182000000</v>
      </c>
      <c r="D19" s="38">
        <v>-591000000</v>
      </c>
      <c r="E19" s="38">
        <v>-376000000</v>
      </c>
      <c r="F19" s="38">
        <v>502000000</v>
      </c>
      <c r="G19" s="38">
        <v>730000000</v>
      </c>
    </row>
    <row r="20" spans="1:7">
      <c r="A20" t="s">
        <v>213</v>
      </c>
      <c r="B20" s="38">
        <v>-161000000</v>
      </c>
      <c r="C20" s="38">
        <v>-1182000000</v>
      </c>
      <c r="D20" s="38">
        <v>-383000000</v>
      </c>
      <c r="E20" s="38">
        <v>-1127000000</v>
      </c>
      <c r="F20" s="38">
        <v>255000000</v>
      </c>
      <c r="G20" s="38">
        <v>711000000</v>
      </c>
    </row>
    <row r="21" spans="1:7">
      <c r="A21" t="s">
        <v>214</v>
      </c>
      <c r="B21" s="38">
        <v>-161000000</v>
      </c>
      <c r="C21" s="38">
        <v>-195000000</v>
      </c>
      <c r="D21" s="38">
        <v>417000000</v>
      </c>
      <c r="E21" s="38">
        <v>176000000</v>
      </c>
      <c r="F21" s="38">
        <v>371000000</v>
      </c>
      <c r="G21" s="38">
        <v>840000000</v>
      </c>
    </row>
    <row r="22" spans="1:7">
      <c r="A22" t="s">
        <v>215</v>
      </c>
      <c r="B22" t="s">
        <v>129</v>
      </c>
      <c r="C22" s="38">
        <v>-987000000</v>
      </c>
      <c r="D22" s="38">
        <v>-800000000</v>
      </c>
      <c r="E22" s="38">
        <v>-1303000000</v>
      </c>
      <c r="F22" s="38">
        <v>-116000000</v>
      </c>
      <c r="G22" s="38">
        <v>-129000000</v>
      </c>
    </row>
    <row r="23" spans="1:7">
      <c r="A23" t="s">
        <v>216</v>
      </c>
      <c r="B23" t="s">
        <v>129</v>
      </c>
      <c r="C23" s="38">
        <v>207000000</v>
      </c>
      <c r="D23" s="38">
        <v>310000000</v>
      </c>
      <c r="E23" s="38">
        <v>8000000</v>
      </c>
      <c r="F23" s="38">
        <v>208000000</v>
      </c>
      <c r="G23" t="s">
        <v>129</v>
      </c>
    </row>
    <row r="24" spans="1:7">
      <c r="A24" t="s">
        <v>217</v>
      </c>
      <c r="B24" s="38">
        <v>567000000</v>
      </c>
      <c r="C24" s="38">
        <v>657000000</v>
      </c>
      <c r="D24" s="38">
        <v>-197000000</v>
      </c>
      <c r="E24" s="38">
        <v>6000000</v>
      </c>
      <c r="F24" s="38">
        <v>-215000000</v>
      </c>
      <c r="G24" s="38">
        <v>52000000</v>
      </c>
    </row>
    <row r="25" spans="1:7">
      <c r="A25" t="s">
        <v>218</v>
      </c>
      <c r="B25" s="38">
        <v>567000000</v>
      </c>
      <c r="C25" s="38">
        <v>657000000</v>
      </c>
      <c r="D25" s="38">
        <v>-197000000</v>
      </c>
      <c r="E25" s="38">
        <v>6000000</v>
      </c>
      <c r="F25" s="38">
        <v>-215000000</v>
      </c>
      <c r="G25" s="38">
        <v>52000000</v>
      </c>
    </row>
    <row r="26" spans="1:7">
      <c r="A26" t="s">
        <v>219</v>
      </c>
      <c r="B26" s="38">
        <v>567000000</v>
      </c>
      <c r="C26" s="38">
        <v>657000000</v>
      </c>
      <c r="D26" s="38">
        <v>-197000000</v>
      </c>
      <c r="E26" s="38">
        <v>6000000</v>
      </c>
      <c r="F26" s="38">
        <v>-215000000</v>
      </c>
      <c r="G26" s="38">
        <v>52000000</v>
      </c>
    </row>
    <row r="27" spans="1:7">
      <c r="A27" t="s">
        <v>220</v>
      </c>
      <c r="B27" s="38">
        <v>-825000000</v>
      </c>
      <c r="C27" s="38">
        <v>264000000</v>
      </c>
      <c r="D27" s="38">
        <v>36000000</v>
      </c>
      <c r="E27" s="38">
        <v>-105000000</v>
      </c>
      <c r="F27" s="38">
        <v>-707000000</v>
      </c>
      <c r="G27" s="38">
        <v>427000000</v>
      </c>
    </row>
    <row r="28" spans="1:7">
      <c r="A28" t="s">
        <v>221</v>
      </c>
      <c r="B28" s="38">
        <v>-30000000</v>
      </c>
      <c r="C28" t="s">
        <v>129</v>
      </c>
      <c r="D28" t="s">
        <v>129</v>
      </c>
      <c r="E28" t="s">
        <v>129</v>
      </c>
      <c r="F28" t="s">
        <v>129</v>
      </c>
      <c r="G28" t="s">
        <v>129</v>
      </c>
    </row>
    <row r="29" spans="1:7">
      <c r="A29" t="s">
        <v>222</v>
      </c>
      <c r="B29" t="s">
        <v>129</v>
      </c>
      <c r="C29" t="s">
        <v>129</v>
      </c>
      <c r="D29" t="s">
        <v>129</v>
      </c>
      <c r="E29" t="s">
        <v>129</v>
      </c>
      <c r="F29" t="s">
        <v>129</v>
      </c>
      <c r="G29" t="s">
        <v>129</v>
      </c>
    </row>
    <row r="30" spans="1:7">
      <c r="A30" t="s">
        <v>223</v>
      </c>
      <c r="B30" s="38">
        <v>-158000000</v>
      </c>
      <c r="C30" s="38">
        <v>238000000</v>
      </c>
      <c r="D30" s="38">
        <v>-285000000</v>
      </c>
      <c r="E30" s="38">
        <v>37000000</v>
      </c>
      <c r="F30" s="38">
        <v>-231000000</v>
      </c>
      <c r="G30" s="38">
        <v>-232000000</v>
      </c>
    </row>
    <row r="31" spans="1:7">
      <c r="A31" t="s">
        <v>81</v>
      </c>
      <c r="B31" s="38">
        <v>-426000000</v>
      </c>
      <c r="C31" s="38">
        <v>-791000000</v>
      </c>
      <c r="D31" s="38">
        <v>-10234000000</v>
      </c>
      <c r="E31" s="38">
        <v>-994000000</v>
      </c>
      <c r="F31" s="38">
        <v>-974000000</v>
      </c>
      <c r="G31" s="38">
        <v>-886000000</v>
      </c>
    </row>
    <row r="32" spans="1:7">
      <c r="A32" t="s">
        <v>224</v>
      </c>
      <c r="B32" s="38">
        <v>-426000000</v>
      </c>
      <c r="C32" s="38">
        <v>-791000000</v>
      </c>
      <c r="D32" s="38">
        <v>-10234000000</v>
      </c>
      <c r="E32" s="38">
        <v>-994000000</v>
      </c>
      <c r="F32" s="38">
        <v>-974000000</v>
      </c>
      <c r="G32" s="38">
        <v>-886000000</v>
      </c>
    </row>
    <row r="33" spans="1:7">
      <c r="A33" t="s">
        <v>225</v>
      </c>
      <c r="B33" s="38">
        <v>-392000000</v>
      </c>
      <c r="C33" s="38">
        <v>-428000000</v>
      </c>
      <c r="D33" s="38">
        <v>-690000000</v>
      </c>
      <c r="E33" s="38">
        <v>-987000000</v>
      </c>
      <c r="F33" s="38">
        <v>-967000000</v>
      </c>
      <c r="G33" s="38">
        <v>-847000000</v>
      </c>
    </row>
    <row r="34" spans="1:7">
      <c r="A34" t="s">
        <v>226</v>
      </c>
      <c r="B34" t="s">
        <v>129</v>
      </c>
      <c r="C34" s="38">
        <v>-399000000</v>
      </c>
      <c r="D34" s="38">
        <v>-10099000000</v>
      </c>
      <c r="E34" s="38">
        <v>-19000000</v>
      </c>
      <c r="F34" s="38">
        <v>-203000000</v>
      </c>
      <c r="G34" t="s">
        <v>129</v>
      </c>
    </row>
    <row r="35" spans="1:7">
      <c r="A35" t="s">
        <v>227</v>
      </c>
      <c r="B35" t="s">
        <v>129</v>
      </c>
      <c r="C35" s="38">
        <v>-399000000</v>
      </c>
      <c r="D35" s="38">
        <v>-10099000000</v>
      </c>
      <c r="E35" s="38">
        <v>-19000000</v>
      </c>
      <c r="F35" s="38">
        <v>-203000000</v>
      </c>
      <c r="G35" t="s">
        <v>129</v>
      </c>
    </row>
    <row r="36" spans="1:7">
      <c r="A36" t="s">
        <v>228</v>
      </c>
      <c r="B36" s="38">
        <v>9000000</v>
      </c>
      <c r="C36" s="38">
        <v>50000000</v>
      </c>
      <c r="D36" s="38">
        <v>562000000</v>
      </c>
      <c r="E36" s="38">
        <v>14000000</v>
      </c>
      <c r="F36" s="38">
        <v>171000000</v>
      </c>
      <c r="G36" t="s">
        <v>129</v>
      </c>
    </row>
    <row r="37" spans="1:7">
      <c r="A37" t="s">
        <v>229</v>
      </c>
      <c r="B37" s="38">
        <v>9000000</v>
      </c>
      <c r="C37" s="38">
        <v>50000000</v>
      </c>
      <c r="D37" s="38">
        <v>562000000</v>
      </c>
      <c r="E37" s="38">
        <v>14000000</v>
      </c>
      <c r="F37" s="38">
        <v>171000000</v>
      </c>
      <c r="G37" t="s">
        <v>129</v>
      </c>
    </row>
    <row r="38" spans="1:7">
      <c r="A38" t="s">
        <v>230</v>
      </c>
      <c r="B38" s="38">
        <v>-43000000</v>
      </c>
      <c r="C38" s="38">
        <v>-14000000</v>
      </c>
      <c r="D38" s="38">
        <v>-7000000</v>
      </c>
      <c r="E38" s="38">
        <v>-2000000</v>
      </c>
      <c r="F38" s="38">
        <v>25000000</v>
      </c>
      <c r="G38" s="38">
        <v>-7000000</v>
      </c>
    </row>
    <row r="39" spans="1:7">
      <c r="A39" t="s">
        <v>231</v>
      </c>
      <c r="B39" s="37">
        <v>0</v>
      </c>
      <c r="C39" s="37">
        <v>0</v>
      </c>
      <c r="D39" t="s">
        <v>129</v>
      </c>
      <c r="E39" t="s">
        <v>129</v>
      </c>
      <c r="F39" t="s">
        <v>129</v>
      </c>
      <c r="G39" t="s">
        <v>129</v>
      </c>
    </row>
    <row r="40" spans="1:7">
      <c r="A40" t="s">
        <v>232</v>
      </c>
      <c r="B40" s="37">
        <v>0</v>
      </c>
      <c r="C40" s="37">
        <v>0</v>
      </c>
      <c r="D40" t="s">
        <v>129</v>
      </c>
      <c r="E40" t="s">
        <v>129</v>
      </c>
      <c r="F40" t="s">
        <v>129</v>
      </c>
      <c r="G40" t="s">
        <v>129</v>
      </c>
    </row>
    <row r="41" spans="1:7">
      <c r="A41" t="s">
        <v>233</v>
      </c>
      <c r="B41" s="37">
        <v>0</v>
      </c>
      <c r="C41" t="s">
        <v>129</v>
      </c>
      <c r="D41" t="s">
        <v>129</v>
      </c>
      <c r="E41" t="s">
        <v>129</v>
      </c>
      <c r="F41" t="s">
        <v>129</v>
      </c>
      <c r="G41" t="s">
        <v>129</v>
      </c>
    </row>
    <row r="42" spans="1:7">
      <c r="A42" t="s">
        <v>82</v>
      </c>
      <c r="B42" s="38">
        <v>-2169000000</v>
      </c>
      <c r="C42" s="38">
        <v>-2399000000</v>
      </c>
      <c r="D42" s="38">
        <v>5086000000</v>
      </c>
      <c r="E42" s="38">
        <v>-1997000000</v>
      </c>
      <c r="F42" s="38">
        <v>-903000000</v>
      </c>
      <c r="G42" s="38">
        <v>-2560000000</v>
      </c>
    </row>
    <row r="43" spans="1:7">
      <c r="A43" t="s">
        <v>234</v>
      </c>
      <c r="B43" s="38">
        <v>-2169000000</v>
      </c>
      <c r="C43" s="38">
        <v>-2399000000</v>
      </c>
      <c r="D43" s="38">
        <v>5086000000</v>
      </c>
      <c r="E43" s="38">
        <v>-1997000000</v>
      </c>
      <c r="F43" s="38">
        <v>-903000000</v>
      </c>
      <c r="G43" s="38">
        <v>-2560000000</v>
      </c>
    </row>
    <row r="44" spans="1:7">
      <c r="A44" t="s">
        <v>235</v>
      </c>
      <c r="B44" s="38">
        <v>-1996000000</v>
      </c>
      <c r="C44" s="38">
        <v>-1558000000</v>
      </c>
      <c r="D44" s="38">
        <v>-1769000000</v>
      </c>
      <c r="E44" s="38">
        <v>-231000000</v>
      </c>
      <c r="F44" s="38">
        <v>-587000000</v>
      </c>
      <c r="G44" s="38">
        <v>-1577000000</v>
      </c>
    </row>
    <row r="45" spans="1:7">
      <c r="A45" t="s">
        <v>236</v>
      </c>
      <c r="B45" s="38">
        <v>-1996000000</v>
      </c>
      <c r="C45" s="38">
        <v>-1558000000</v>
      </c>
      <c r="D45" s="38">
        <v>-1769000000</v>
      </c>
      <c r="E45" s="38">
        <v>-231000000</v>
      </c>
      <c r="F45" s="38">
        <v>-587000000</v>
      </c>
      <c r="G45" s="38">
        <v>-1577000000</v>
      </c>
    </row>
    <row r="46" spans="1:7">
      <c r="A46" t="s">
        <v>237</v>
      </c>
      <c r="B46" s="38">
        <v>492000000</v>
      </c>
      <c r="C46" s="38">
        <v>85000000</v>
      </c>
      <c r="D46" s="38">
        <v>8312000000</v>
      </c>
      <c r="E46" s="38">
        <v>-850000000</v>
      </c>
      <c r="F46" s="38">
        <v>1019000000</v>
      </c>
      <c r="G46" s="38">
        <v>53000000</v>
      </c>
    </row>
    <row r="47" spans="1:7">
      <c r="A47" t="s">
        <v>238</v>
      </c>
      <c r="B47" t="s">
        <v>129</v>
      </c>
      <c r="C47" t="s">
        <v>129</v>
      </c>
      <c r="D47" s="38">
        <v>851000000</v>
      </c>
      <c r="E47" t="s">
        <v>129</v>
      </c>
      <c r="F47" s="38">
        <v>-441000000</v>
      </c>
      <c r="G47" s="38">
        <v>1556000000</v>
      </c>
    </row>
    <row r="48" spans="1:7">
      <c r="A48" t="s">
        <v>239</v>
      </c>
      <c r="B48" t="s">
        <v>129</v>
      </c>
      <c r="C48" t="s">
        <v>129</v>
      </c>
      <c r="D48" s="38">
        <v>851000000</v>
      </c>
      <c r="E48" t="s">
        <v>129</v>
      </c>
      <c r="F48" s="38">
        <v>420000000</v>
      </c>
      <c r="G48" s="38">
        <v>1997000000</v>
      </c>
    </row>
    <row r="49" spans="1:7">
      <c r="A49" t="s">
        <v>240</v>
      </c>
      <c r="B49" t="s">
        <v>129</v>
      </c>
      <c r="C49" t="s">
        <v>129</v>
      </c>
      <c r="D49" t="s">
        <v>129</v>
      </c>
      <c r="E49" t="s">
        <v>129</v>
      </c>
      <c r="F49" s="38">
        <v>-861000000</v>
      </c>
      <c r="G49" s="38">
        <v>-441000000</v>
      </c>
    </row>
    <row r="50" spans="1:7">
      <c r="A50" t="s">
        <v>241</v>
      </c>
      <c r="B50" s="38">
        <v>492000000</v>
      </c>
      <c r="C50" s="38">
        <v>85000000</v>
      </c>
      <c r="D50" s="38">
        <v>7461000000</v>
      </c>
      <c r="E50" s="38">
        <v>-850000000</v>
      </c>
      <c r="F50" s="38">
        <v>1460000000</v>
      </c>
      <c r="G50" s="38">
        <v>-1503000000</v>
      </c>
    </row>
    <row r="51" spans="1:7">
      <c r="A51" t="s">
        <v>242</v>
      </c>
      <c r="B51" s="38">
        <v>992000000</v>
      </c>
      <c r="C51" s="38">
        <v>985000000</v>
      </c>
      <c r="D51" s="38">
        <v>7461000000</v>
      </c>
      <c r="E51" s="37">
        <v>0</v>
      </c>
      <c r="F51" s="38">
        <v>3960000000</v>
      </c>
      <c r="G51" s="38">
        <v>1497000000</v>
      </c>
    </row>
    <row r="52" spans="1:7">
      <c r="A52" t="s">
        <v>243</v>
      </c>
      <c r="B52" s="38">
        <v>-500000000</v>
      </c>
      <c r="C52" s="38">
        <v>-900000000</v>
      </c>
      <c r="D52" s="37">
        <v>0</v>
      </c>
      <c r="E52" s="38">
        <v>-850000000</v>
      </c>
      <c r="F52" s="38">
        <v>-2500000000</v>
      </c>
      <c r="G52" s="38">
        <v>-3000000000</v>
      </c>
    </row>
    <row r="53" spans="1:7">
      <c r="A53" t="s">
        <v>244</v>
      </c>
      <c r="B53" s="38">
        <v>-911000000</v>
      </c>
      <c r="C53" s="38">
        <v>-986000000</v>
      </c>
      <c r="D53" s="38">
        <v>-1075000000</v>
      </c>
      <c r="E53" s="38">
        <v>-1152000000</v>
      </c>
      <c r="F53" s="38">
        <v>-1240000000</v>
      </c>
      <c r="G53" s="38">
        <v>-1298000000</v>
      </c>
    </row>
    <row r="54" spans="1:7">
      <c r="A54" t="s">
        <v>245</v>
      </c>
      <c r="B54" s="38">
        <v>-911000000</v>
      </c>
      <c r="C54" s="38">
        <v>-986000000</v>
      </c>
      <c r="D54" s="38">
        <v>-1075000000</v>
      </c>
      <c r="E54" s="38">
        <v>-1152000000</v>
      </c>
      <c r="F54" s="38">
        <v>-1240000000</v>
      </c>
      <c r="G54" s="38">
        <v>-1298000000</v>
      </c>
    </row>
    <row r="55" spans="1:7">
      <c r="A55" t="s">
        <v>246</v>
      </c>
      <c r="B55" s="38">
        <v>-911000000</v>
      </c>
      <c r="C55" s="38">
        <v>-986000000</v>
      </c>
      <c r="D55" s="38">
        <v>-1075000000</v>
      </c>
      <c r="E55" s="38">
        <v>-1152000000</v>
      </c>
      <c r="F55" s="38">
        <v>-1240000000</v>
      </c>
      <c r="G55" t="s">
        <v>129</v>
      </c>
    </row>
    <row r="56" spans="1:7">
      <c r="A56" t="s">
        <v>247</v>
      </c>
      <c r="B56" s="38">
        <v>-46000000</v>
      </c>
      <c r="C56" s="38">
        <v>-103000000</v>
      </c>
      <c r="D56" s="38">
        <v>-518000000</v>
      </c>
      <c r="E56" s="38">
        <v>236000000</v>
      </c>
      <c r="F56" s="38">
        <v>-95000000</v>
      </c>
      <c r="G56" s="38">
        <v>262000000</v>
      </c>
    </row>
    <row r="57" spans="1:7">
      <c r="A57" t="s">
        <v>248</v>
      </c>
      <c r="B57" s="38">
        <v>292000000</v>
      </c>
      <c r="C57" s="38">
        <v>163000000</v>
      </c>
      <c r="D57" s="38">
        <v>136000000</v>
      </c>
      <c r="E57" t="s">
        <v>129</v>
      </c>
      <c r="F57" t="s">
        <v>129</v>
      </c>
      <c r="G57" t="s">
        <v>129</v>
      </c>
    </row>
    <row r="58" spans="1:7">
      <c r="A58" t="s">
        <v>249</v>
      </c>
      <c r="B58" s="38">
        <v>-54000000</v>
      </c>
      <c r="C58" s="38">
        <v>-40000000</v>
      </c>
      <c r="D58" s="38">
        <v>-20000000</v>
      </c>
      <c r="E58" s="38">
        <v>-51000000</v>
      </c>
      <c r="F58" s="38">
        <v>-59000000</v>
      </c>
      <c r="G58" s="38">
        <v>-35000000</v>
      </c>
    </row>
    <row r="59" spans="1:7">
      <c r="A59" t="s">
        <v>83</v>
      </c>
      <c r="B59" s="38">
        <v>2334000000</v>
      </c>
      <c r="C59" s="38">
        <v>2983000000</v>
      </c>
      <c r="D59" s="38">
        <v>963000000</v>
      </c>
      <c r="E59" s="38">
        <v>902000000</v>
      </c>
      <c r="F59" s="38">
        <v>2824000000</v>
      </c>
      <c r="G59" s="38">
        <v>3139000000</v>
      </c>
    </row>
    <row r="60" spans="1:7">
      <c r="A60" t="s">
        <v>250</v>
      </c>
      <c r="B60" s="38">
        <v>-451000000</v>
      </c>
      <c r="C60" s="38">
        <v>649000000</v>
      </c>
      <c r="D60" s="38">
        <v>-2020000000</v>
      </c>
      <c r="E60" s="38">
        <v>-61000000</v>
      </c>
      <c r="F60" s="38">
        <v>1922000000</v>
      </c>
      <c r="G60" s="38">
        <v>1670000000</v>
      </c>
    </row>
    <row r="61" spans="1:7">
      <c r="A61" t="s">
        <v>251</v>
      </c>
      <c r="B61" s="38">
        <v>2785000000</v>
      </c>
      <c r="C61" s="38">
        <v>2334000000</v>
      </c>
      <c r="D61" s="38">
        <v>2983000000</v>
      </c>
      <c r="E61" s="38">
        <v>963000000</v>
      </c>
      <c r="F61" s="38">
        <v>902000000</v>
      </c>
      <c r="G61" s="38">
        <v>1469000000</v>
      </c>
    </row>
    <row r="62" spans="1:7">
      <c r="A62" t="s">
        <v>168</v>
      </c>
      <c r="B62" t="s">
        <v>129</v>
      </c>
      <c r="C62" t="s">
        <v>129</v>
      </c>
      <c r="D62" t="s">
        <v>129</v>
      </c>
      <c r="E62" t="s">
        <v>129</v>
      </c>
      <c r="F62" t="s">
        <v>129</v>
      </c>
      <c r="G62" t="s">
        <v>129</v>
      </c>
    </row>
    <row r="63" spans="1:7">
      <c r="A63" t="s">
        <v>252</v>
      </c>
      <c r="B63" s="38">
        <v>-451000000</v>
      </c>
      <c r="C63" s="38">
        <v>649000000</v>
      </c>
      <c r="D63" s="38">
        <v>-2020000000</v>
      </c>
      <c r="E63" s="38">
        <v>-61000000</v>
      </c>
      <c r="F63" s="38">
        <v>1922000000</v>
      </c>
      <c r="G63" s="38">
        <v>1670000000</v>
      </c>
    </row>
    <row r="64" spans="1:7">
      <c r="A64" t="s">
        <v>174</v>
      </c>
    </row>
    <row r="66" spans="1:7">
      <c r="D66" s="38"/>
      <c r="E66" s="38"/>
      <c r="F66" s="38"/>
      <c r="G66" s="37"/>
    </row>
    <row r="67" spans="1:7">
      <c r="B67" s="38"/>
      <c r="C67" s="38"/>
      <c r="D67" s="38"/>
      <c r="E67" s="38"/>
      <c r="F67" s="38"/>
      <c r="G67" s="38"/>
    </row>
    <row r="68" spans="1:7">
      <c r="B68" s="38"/>
      <c r="C68" s="38"/>
      <c r="D68" s="38"/>
      <c r="E68" s="38"/>
      <c r="F68" s="38"/>
      <c r="G68" s="38"/>
    </row>
    <row r="69" spans="1:7">
      <c r="B69" s="38"/>
      <c r="C69" s="38"/>
      <c r="D69" s="38"/>
      <c r="E69" s="38"/>
      <c r="F69" s="38"/>
      <c r="G69" s="38"/>
    </row>
    <row r="70" spans="1:7">
      <c r="B70" s="38"/>
      <c r="C70" s="38"/>
      <c r="D70" s="38"/>
      <c r="E70" s="38"/>
      <c r="F70" s="38"/>
      <c r="G70" s="38"/>
    </row>
    <row r="72" spans="1:7">
      <c r="B72" s="38"/>
      <c r="C72" s="38"/>
      <c r="D72" s="38"/>
      <c r="E72" s="38"/>
      <c r="F72" s="38"/>
      <c r="G72" s="38"/>
    </row>
    <row r="73" spans="1:7">
      <c r="F73" s="38"/>
      <c r="G73" s="38"/>
    </row>
    <row r="74" spans="1:7">
      <c r="B74" s="38"/>
      <c r="C74" s="38"/>
      <c r="D74" s="38"/>
      <c r="E74" s="38"/>
      <c r="F74" s="38"/>
      <c r="G74" s="38"/>
    </row>
    <row r="75" spans="1:7">
      <c r="B75" s="38"/>
      <c r="C75" s="38"/>
      <c r="D75" s="38"/>
      <c r="E75" s="38"/>
    </row>
    <row r="77" spans="1:7">
      <c r="A77" s="1"/>
      <c r="B77" s="1"/>
      <c r="C77" s="1"/>
      <c r="D77" s="1"/>
      <c r="E77" s="2"/>
      <c r="F77" s="2"/>
      <c r="G77" s="2"/>
    </row>
    <row r="78" spans="1:7">
      <c r="A78" s="1"/>
      <c r="B78" s="2"/>
      <c r="C78" s="2"/>
      <c r="D78" s="2"/>
      <c r="E78" s="2"/>
      <c r="F78" s="2"/>
      <c r="G78" s="2"/>
    </row>
    <row r="79" spans="1:7">
      <c r="A79" s="1"/>
      <c r="B79" s="2"/>
      <c r="C79" s="2"/>
      <c r="D79" s="2"/>
      <c r="E79" s="2"/>
      <c r="F79" s="2"/>
      <c r="G79" s="2"/>
    </row>
    <row r="80" spans="1:7">
      <c r="A80" s="1"/>
      <c r="B80" s="2"/>
      <c r="C80" s="2"/>
      <c r="D80" s="2"/>
      <c r="E80" s="2"/>
      <c r="F80" s="2"/>
      <c r="G80" s="2"/>
    </row>
    <row r="81" spans="1:7">
      <c r="A81" s="1"/>
      <c r="B81" s="2"/>
      <c r="C81" s="2"/>
      <c r="D81" s="2"/>
      <c r="E81" s="2"/>
      <c r="F81" s="2"/>
      <c r="G81" s="2"/>
    </row>
    <row r="82" spans="1:7">
      <c r="A82" s="1"/>
      <c r="B82" s="2"/>
      <c r="C82" s="2"/>
      <c r="D82" s="2"/>
      <c r="E82" s="2"/>
      <c r="F82" s="2"/>
      <c r="G82" s="2"/>
    </row>
    <row r="83" spans="1:7">
      <c r="A83" s="1"/>
      <c r="B83" s="1"/>
      <c r="C83" s="1"/>
      <c r="D83" s="1"/>
      <c r="E83" s="1"/>
      <c r="F83" s="2"/>
      <c r="G83" s="2"/>
    </row>
    <row r="84" spans="1:7">
      <c r="A84" s="1"/>
      <c r="B84" s="2"/>
      <c r="C84" s="2"/>
      <c r="D84" s="2"/>
      <c r="E84" s="2"/>
      <c r="F84" s="2"/>
      <c r="G84" s="2"/>
    </row>
    <row r="85" spans="1:7">
      <c r="A85" s="1"/>
      <c r="B85" s="2"/>
      <c r="C85" s="2"/>
      <c r="D85" s="2"/>
      <c r="E85" s="2"/>
      <c r="F85" s="1"/>
      <c r="G85" s="2"/>
    </row>
    <row r="86" spans="1:7">
      <c r="A86" s="1"/>
      <c r="B86" s="1"/>
      <c r="C86" s="1"/>
      <c r="D86" s="1"/>
      <c r="E86" s="1"/>
      <c r="F86" s="1"/>
      <c r="G86" s="1"/>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MJ1048576"/>
  <sheetViews>
    <sheetView tabSelected="1" workbookViewId="0">
      <selection activeCell="N11" sqref="N11"/>
    </sheetView>
  </sheetViews>
  <sheetFormatPr baseColWidth="10" defaultRowHeight="14" customHeight="1"/>
  <cols>
    <col min="1" max="1" width="4.1640625" style="4" customWidth="1"/>
    <col min="2" max="2" width="52.1640625" style="4" customWidth="1"/>
    <col min="3" max="3" width="24.1640625" style="4" customWidth="1"/>
    <col min="4" max="5" width="20.83203125" style="4" customWidth="1"/>
    <col min="6" max="6" width="21.33203125" style="4" customWidth="1"/>
    <col min="7" max="8" width="20.83203125" style="4" customWidth="1"/>
    <col min="9" max="9" width="23.1640625" style="4" customWidth="1"/>
    <col min="10" max="11" width="29.33203125" style="4" customWidth="1"/>
    <col min="12" max="12" width="12.83203125" style="4" customWidth="1"/>
    <col min="13" max="13" width="42" style="4" customWidth="1"/>
    <col min="14" max="14" width="21.33203125" style="4" customWidth="1"/>
    <col min="15" max="1024" width="12.83203125" style="4" customWidth="1"/>
  </cols>
  <sheetData>
    <row r="2" spans="2:15" ht="14" customHeight="1">
      <c r="B2" s="5" t="e" vm="1">
        <v>#VALUE!</v>
      </c>
      <c r="C2" s="44" t="s">
        <v>84</v>
      </c>
      <c r="D2" s="44"/>
      <c r="E2" s="44"/>
      <c r="F2" s="44"/>
      <c r="G2" s="45" t="s">
        <v>192</v>
      </c>
      <c r="H2" s="45"/>
      <c r="I2" s="45"/>
      <c r="J2" s="45"/>
      <c r="K2" s="8"/>
      <c r="L2" s="9"/>
      <c r="M2" s="5" t="s">
        <v>85</v>
      </c>
      <c r="N2" s="8"/>
      <c r="O2" s="9"/>
    </row>
    <row r="3" spans="2:15" ht="14" customHeight="1">
      <c r="B3" s="5" t="s">
        <v>191</v>
      </c>
      <c r="C3" s="7">
        <v>2017</v>
      </c>
      <c r="D3" s="7">
        <f t="shared" ref="D3:J3" si="0">C3+1</f>
        <v>2018</v>
      </c>
      <c r="E3" s="7">
        <f t="shared" si="0"/>
        <v>2019</v>
      </c>
      <c r="F3" s="6">
        <f t="shared" si="0"/>
        <v>2020</v>
      </c>
      <c r="G3" s="7">
        <f t="shared" si="0"/>
        <v>2021</v>
      </c>
      <c r="H3" s="7">
        <f t="shared" si="0"/>
        <v>2022</v>
      </c>
      <c r="I3" s="7">
        <f t="shared" si="0"/>
        <v>2023</v>
      </c>
      <c r="J3" s="7">
        <f t="shared" si="0"/>
        <v>2024</v>
      </c>
      <c r="K3" s="8"/>
      <c r="L3" s="9"/>
      <c r="M3" s="9" t="s">
        <v>86</v>
      </c>
      <c r="N3" s="10">
        <f>F13+F14</f>
        <v>14147000000</v>
      </c>
      <c r="O3" s="9"/>
    </row>
    <row r="4" spans="2:15" ht="14" customHeight="1">
      <c r="B4" s="5" t="s">
        <v>87</v>
      </c>
      <c r="C4" s="7"/>
      <c r="D4" s="7"/>
      <c r="E4" s="7"/>
      <c r="F4" s="6"/>
      <c r="G4" s="7"/>
      <c r="H4" s="7"/>
      <c r="I4" s="7"/>
      <c r="J4" s="7"/>
      <c r="K4" s="8"/>
      <c r="L4" s="9"/>
      <c r="M4" s="9" t="s">
        <v>88</v>
      </c>
      <c r="N4" s="10" cm="1">
        <f t="array" ref="N4">_FV(B2,"Market cap",TRUE)</f>
        <v>57670680000</v>
      </c>
      <c r="O4" s="9"/>
    </row>
    <row r="5" spans="2:15" ht="14" customHeight="1">
      <c r="B5" s="9" t="s">
        <v>89</v>
      </c>
      <c r="C5" s="10">
        <f>VLOOKUP("    Total Revenue",'Income Statement'!A:G,3,0)</f>
        <v>30973000000</v>
      </c>
      <c r="D5" s="10">
        <f>VLOOKUP("    Total Revenue",'Income Statement'!A:G,4,0)</f>
        <v>36193000000</v>
      </c>
      <c r="E5" s="10">
        <f>VLOOKUP("    Total Revenue",'Income Statement'!A:G,5,0)</f>
        <v>39350000000</v>
      </c>
      <c r="F5" s="11">
        <f>VLOOKUP("    Total Revenue",'Income Statement'!A:G,6,0)</f>
        <v>37925000000</v>
      </c>
      <c r="G5" s="10">
        <f>F5*(1+(F5/C5)^(1/(F3-C3))-1)</f>
        <v>40573240483.069962</v>
      </c>
      <c r="H5" s="10">
        <f>G5*(1+(F5/C5)^(1/(F3-C3))-1)</f>
        <v>43406403251.075211</v>
      </c>
      <c r="I5" s="10">
        <f>H5*(1+(F5/C5)^(1/(F3-C3))-1)</f>
        <v>46437401123.559242</v>
      </c>
      <c r="J5" s="10">
        <f>I5*(1+(F5/C5)^(1/(F3-C3))-1)</f>
        <v>49680048601.053459</v>
      </c>
      <c r="K5" s="9"/>
      <c r="L5" s="9"/>
      <c r="M5" s="9" t="s">
        <v>90</v>
      </c>
      <c r="N5" s="10">
        <f>N3+N4</f>
        <v>71817680000</v>
      </c>
      <c r="O5" s="9"/>
    </row>
    <row r="6" spans="2:15" ht="14" customHeight="1">
      <c r="B6" s="9" t="s">
        <v>91</v>
      </c>
      <c r="C6" s="10">
        <f>-VLOOKUP("            Interest Expense Net of Capitalized Interest",'Income Statement'!A:G,3,0)</f>
        <v>117000000</v>
      </c>
      <c r="D6" s="10">
        <f>-VLOOKUP("            Interest Expense Net of Capitalized Interest",'Income Statement'!A:G,4,0)</f>
        <v>374000000</v>
      </c>
      <c r="E6" s="10">
        <f>-VLOOKUP("            Interest Expense Net of Capitalized Interest",'Income Statement'!A:G,5,0)</f>
        <v>472000000</v>
      </c>
      <c r="F6" s="11">
        <f>-VLOOKUP("            Interest Expense Net of Capitalized Interest",'Income Statement'!A:G,6,0)</f>
        <v>489000000</v>
      </c>
      <c r="G6" s="10"/>
      <c r="H6" s="10"/>
      <c r="I6" s="10"/>
      <c r="J6" s="10"/>
      <c r="K6" s="9"/>
      <c r="L6" s="9"/>
      <c r="M6" s="9"/>
      <c r="N6" s="12"/>
      <c r="O6" s="9"/>
    </row>
    <row r="7" spans="2:15" ht="14" customHeight="1">
      <c r="B7" s="9" t="s">
        <v>14</v>
      </c>
      <c r="C7" s="10">
        <f>VLOOKUP("Pretax Income",'Income Statement'!A:G,3,0)</f>
        <v>4077000000</v>
      </c>
      <c r="D7" s="10">
        <f>VLOOKUP("Pretax Income",'Income Statement'!A:G,4,0)</f>
        <v>4085000000</v>
      </c>
      <c r="E7" s="10">
        <f>VLOOKUP("Pretax Income",'Income Statement'!A:G,5,0)</f>
        <v>4202000000</v>
      </c>
      <c r="F7" s="11">
        <f>VLOOKUP("Pretax Income",'Income Statement'!A:G,6,0)</f>
        <v>3738000000</v>
      </c>
      <c r="G7" s="10"/>
      <c r="H7" s="10"/>
      <c r="I7" s="10"/>
      <c r="J7" s="10"/>
      <c r="K7" s="9"/>
      <c r="L7" s="9"/>
      <c r="M7" s="5" t="s">
        <v>92</v>
      </c>
      <c r="N7" s="8"/>
      <c r="O7" s="9"/>
    </row>
    <row r="8" spans="2:15" ht="14" customHeight="1">
      <c r="B8" s="9" t="s">
        <v>93</v>
      </c>
      <c r="C8" s="10">
        <f>-VLOOKUP("Provision for Income Tax",'Income Statement'!A:G,3,0)</f>
        <v>1165000000</v>
      </c>
      <c r="D8" s="10">
        <f>-VLOOKUP("Provision for Income Tax",'Income Statement'!A:G,4,0)</f>
        <v>727000000</v>
      </c>
      <c r="E8" s="10">
        <f>-VLOOKUP("Provision for Income Tax",'Income Statement'!A:G,5,0)</f>
        <v>718000000</v>
      </c>
      <c r="F8" s="11">
        <f>-VLOOKUP("Provision for Income Tax",'Income Statement'!A:G,6,0)</f>
        <v>571000000</v>
      </c>
      <c r="G8" s="10"/>
      <c r="H8" s="10"/>
      <c r="I8" s="10"/>
      <c r="J8" s="10"/>
      <c r="K8" s="9"/>
      <c r="L8" s="9"/>
      <c r="M8" s="9" t="s">
        <v>94</v>
      </c>
      <c r="N8" s="13">
        <f>(AVERAGE(C6:F6))/N3</f>
        <v>2.5659150349897505E-2</v>
      </c>
      <c r="O8" s="9"/>
    </row>
    <row r="9" spans="2:15" ht="14" customHeight="1">
      <c r="B9" s="9" t="s">
        <v>95</v>
      </c>
      <c r="C9" s="10">
        <f>VLOOKUP("Net Income from Continuing Operations",'Income Statement'!A:G,3,0)</f>
        <v>2912000000</v>
      </c>
      <c r="D9" s="10">
        <f>VLOOKUP("Net Income from Continuing Operations",'Income Statement'!A:G,4,0)</f>
        <v>3358000000</v>
      </c>
      <c r="E9" s="10">
        <f>VLOOKUP("Net Income from Continuing Operations",'Income Statement'!A:G,5,0)</f>
        <v>3484000000</v>
      </c>
      <c r="F9" s="11">
        <f>VLOOKUP("Net Income from Continuing Operations",'Income Statement'!A:G,6,0)</f>
        <v>3167000000</v>
      </c>
      <c r="G9" s="10">
        <f>IFERROR(G5*(MEDIAN($C$10:$F$10)),"")</f>
        <v>3678352265.079174</v>
      </c>
      <c r="H9" s="10">
        <f>IFERROR(H5*(MEDIAN($C$10:$F$10)),"")</f>
        <v>3935205564.4694118</v>
      </c>
      <c r="I9" s="10">
        <f>IFERROR(I5*(MEDIAN($C$10:$F$10)),"")</f>
        <v>4209994508.043046</v>
      </c>
      <c r="J9" s="10">
        <f>IFERROR(J5*(MEDIAN($C$10:$F$10)),"")</f>
        <v>4503971512.3858757</v>
      </c>
      <c r="K9" s="9"/>
      <c r="L9" s="9"/>
      <c r="M9" s="9" t="s">
        <v>96</v>
      </c>
      <c r="N9" s="13">
        <f>F8/F7</f>
        <v>0.15275548421615837</v>
      </c>
      <c r="O9" s="9"/>
    </row>
    <row r="10" spans="2:15" ht="14" customHeight="1">
      <c r="B10" s="9" t="s">
        <v>97</v>
      </c>
      <c r="C10" s="13">
        <f t="shared" ref="C10:J10" si="1">IFERROR(C9/C5, "")</f>
        <v>9.4017369967390949E-2</v>
      </c>
      <c r="D10" s="13">
        <f t="shared" si="1"/>
        <v>9.2780371895117841E-2</v>
      </c>
      <c r="E10" s="13">
        <f t="shared" si="1"/>
        <v>8.8538754764930117E-2</v>
      </c>
      <c r="F10" s="14">
        <f t="shared" si="1"/>
        <v>8.3506921555702038E-2</v>
      </c>
      <c r="G10" s="13">
        <f t="shared" si="1"/>
        <v>9.0659563330023979E-2</v>
      </c>
      <c r="H10" s="13">
        <f t="shared" si="1"/>
        <v>9.0659563330023979E-2</v>
      </c>
      <c r="I10" s="13">
        <f t="shared" si="1"/>
        <v>9.0659563330023979E-2</v>
      </c>
      <c r="J10" s="13">
        <f t="shared" si="1"/>
        <v>9.0659563330023993E-2</v>
      </c>
      <c r="K10" s="9"/>
      <c r="L10" s="9"/>
      <c r="M10" s="9" t="s">
        <v>98</v>
      </c>
      <c r="N10" s="13">
        <f>N8*(1-N9)</f>
        <v>2.1739574413623702E-2</v>
      </c>
      <c r="O10" s="9"/>
    </row>
    <row r="11" spans="2:15" ht="14" customHeight="1">
      <c r="B11" s="9"/>
      <c r="C11" s="12"/>
      <c r="D11" s="12"/>
      <c r="E11" s="12"/>
      <c r="F11" s="15"/>
      <c r="G11" s="12"/>
      <c r="H11" s="12"/>
      <c r="I11" s="12"/>
      <c r="J11" s="12"/>
      <c r="K11" s="9"/>
      <c r="L11" s="9"/>
      <c r="M11" s="9" t="s">
        <v>99</v>
      </c>
      <c r="N11" s="16">
        <v>1.6289999999999999E-2</v>
      </c>
      <c r="O11" s="9"/>
    </row>
    <row r="12" spans="2:15" ht="14" customHeight="1">
      <c r="B12" s="5" t="s">
        <v>100</v>
      </c>
      <c r="C12" s="7"/>
      <c r="D12" s="7"/>
      <c r="E12" s="7"/>
      <c r="F12" s="6"/>
      <c r="G12" s="7"/>
      <c r="H12" s="7"/>
      <c r="I12" s="7"/>
      <c r="J12" s="7"/>
      <c r="K12" s="8"/>
      <c r="L12" s="9"/>
      <c r="M12" s="9" t="s">
        <v>101</v>
      </c>
      <c r="N12" s="17" cm="1">
        <f t="array" ref="N12">_FV(B2,"Beta")</f>
        <v>1.0336000000000001</v>
      </c>
      <c r="O12" s="9"/>
    </row>
    <row r="13" spans="2:15" ht="14" customHeight="1">
      <c r="B13" s="9" t="s">
        <v>102</v>
      </c>
      <c r="C13" s="10" t="str">
        <f>VLOOKUP("                Current Debt", 'Balance Sheet'!A:F, 3, 0)</f>
        <v/>
      </c>
      <c r="D13" s="10" t="str">
        <f>VLOOKUP("                Current Debt", 'Balance Sheet'!A:F, 4, 0)</f>
        <v/>
      </c>
      <c r="E13" s="10">
        <f>VLOOKUP("                Current Debt", 'Balance Sheet'!A:F, 5, 0)</f>
        <v>2920000000</v>
      </c>
      <c r="F13" s="11">
        <f>VLOOKUP("                Current Debt", 'Balance Sheet'!A:F, 6, 0)</f>
        <v>3003000000</v>
      </c>
      <c r="G13" s="10"/>
      <c r="H13" s="10"/>
      <c r="I13" s="10"/>
      <c r="J13" s="10"/>
      <c r="K13" s="9"/>
      <c r="L13" s="9"/>
      <c r="M13" s="9" t="s">
        <v>103</v>
      </c>
      <c r="N13" s="13">
        <v>0.1056</v>
      </c>
      <c r="O13" s="9"/>
    </row>
    <row r="14" spans="2:15" ht="14" customHeight="1">
      <c r="B14" s="9" t="s">
        <v>104</v>
      </c>
      <c r="C14" s="10">
        <f>VLOOKUP("            Long Term Debt and Capital Lease Obligation", 'Balance Sheet'!A:F, 3, 0)</f>
        <v>3980000000</v>
      </c>
      <c r="D14" s="10">
        <f>VLOOKUP("            Long Term Debt and Capital Lease Obligation", 'Balance Sheet'!A:F, 4, 0)</f>
        <v>11444000000</v>
      </c>
      <c r="E14" s="10">
        <f>VLOOKUP("            Long Term Debt and Capital Lease Obligation", 'Balance Sheet'!A:F, 5, 0)</f>
        <v>10261000000</v>
      </c>
      <c r="F14" s="11">
        <f>VLOOKUP("            Long Term Debt and Capital Lease Obligation", 'Balance Sheet'!A:F, 6, 0)</f>
        <v>11144000000</v>
      </c>
      <c r="G14" s="10"/>
      <c r="H14" s="10"/>
      <c r="I14" s="10"/>
      <c r="J14" s="10"/>
      <c r="K14" s="9"/>
      <c r="L14" s="9"/>
      <c r="M14" s="9" t="s">
        <v>105</v>
      </c>
      <c r="N14" s="13">
        <f>N11+N12*(N13-N11)</f>
        <v>0.108600816</v>
      </c>
      <c r="O14" s="9"/>
    </row>
    <row r="15" spans="2:15" ht="14" customHeight="1">
      <c r="B15" s="9"/>
      <c r="C15" s="12"/>
      <c r="D15" s="12"/>
      <c r="E15" s="12"/>
      <c r="F15" s="15"/>
      <c r="G15" s="12"/>
      <c r="H15" s="12"/>
      <c r="I15" s="12"/>
      <c r="J15" s="12"/>
      <c r="K15" s="9"/>
      <c r="L15" s="9"/>
      <c r="M15" s="9" t="s">
        <v>106</v>
      </c>
      <c r="N15" s="13">
        <f>(N3/N5)*N10+(N4/N5)*N14</f>
        <v>9.1490461213790467E-2</v>
      </c>
      <c r="O15" s="9"/>
    </row>
    <row r="16" spans="2:15" ht="14" customHeight="1">
      <c r="B16" s="5" t="s">
        <v>107</v>
      </c>
      <c r="C16" s="7"/>
      <c r="D16" s="7"/>
      <c r="E16" s="7"/>
      <c r="F16" s="42"/>
      <c r="G16" s="7"/>
      <c r="H16" s="7"/>
      <c r="I16" s="7"/>
      <c r="J16" s="7"/>
      <c r="K16" s="8"/>
      <c r="L16" s="9"/>
      <c r="M16" s="9"/>
      <c r="N16" s="9"/>
      <c r="O16" s="9"/>
    </row>
    <row r="17" spans="2:15" ht="14" customHeight="1">
      <c r="B17" s="9" t="s">
        <v>108</v>
      </c>
      <c r="C17" s="10">
        <f>VLOOKUP("Cash Flow from Operating Activities, Indirect", 'Cash Flow'!A:F, 3, 0)</f>
        <v>3879000000</v>
      </c>
      <c r="D17" s="10">
        <f>VLOOKUP("Cash Flow from Operating Activities, Indirect", 'Cash Flow'!A:F, 4, 0)</f>
        <v>3148000000</v>
      </c>
      <c r="E17" s="10">
        <f>VLOOKUP("Cash Flow from Operating Activities, Indirect", 'Cash Flow'!A:F, 5, 0)</f>
        <v>2981000000</v>
      </c>
      <c r="F17" s="43">
        <f>VLOOKUP("Cash Flow from Operating Activities, Indirect", 'Cash Flow'!A:F, 6, 0)</f>
        <v>3858000000</v>
      </c>
      <c r="G17" s="10"/>
      <c r="H17" s="10"/>
      <c r="I17" s="10"/>
      <c r="J17" s="10"/>
      <c r="K17" s="9"/>
      <c r="L17" s="9"/>
      <c r="M17" s="9"/>
      <c r="N17" s="9"/>
      <c r="O17" s="9"/>
    </row>
    <row r="18" spans="2:15" ht="14" customHeight="1">
      <c r="B18" s="9" t="s">
        <v>109</v>
      </c>
      <c r="C18" s="10"/>
      <c r="D18" s="10"/>
      <c r="E18" s="10"/>
      <c r="F18" s="43"/>
      <c r="G18" s="10"/>
      <c r="H18" s="10"/>
      <c r="I18" s="10"/>
      <c r="J18" s="10"/>
      <c r="K18" s="9"/>
      <c r="L18" s="9"/>
      <c r="M18" s="9"/>
      <c r="N18" s="9"/>
      <c r="O18" s="9"/>
    </row>
    <row r="19" spans="2:15" ht="14" customHeight="1">
      <c r="B19" s="9" t="s">
        <v>110</v>
      </c>
      <c r="C19" s="10"/>
      <c r="D19" s="10"/>
      <c r="E19" s="10"/>
      <c r="F19" s="43"/>
      <c r="G19" s="10"/>
      <c r="H19" s="10"/>
      <c r="I19" s="10"/>
      <c r="J19" s="10"/>
      <c r="K19" s="9"/>
      <c r="L19" s="9"/>
      <c r="M19" s="9"/>
      <c r="N19" s="9"/>
      <c r="O19" s="9"/>
    </row>
    <row r="20" spans="2:15" ht="14" customHeight="1">
      <c r="B20" s="9" t="s">
        <v>111</v>
      </c>
      <c r="C20" s="10"/>
      <c r="D20" s="10"/>
      <c r="E20" s="10"/>
      <c r="F20" s="11"/>
      <c r="G20" s="10"/>
      <c r="H20" s="10"/>
      <c r="I20" s="10"/>
      <c r="J20" s="10"/>
      <c r="K20" s="9"/>
      <c r="L20" s="9"/>
      <c r="M20" s="9"/>
      <c r="N20" s="9"/>
      <c r="O20" s="9"/>
    </row>
    <row r="21" spans="2:15" ht="14" customHeight="1">
      <c r="B21" s="9" t="s">
        <v>112</v>
      </c>
      <c r="C21" s="10">
        <f>-VLOOKUP("        Capital Expenditure, Reported", 'Cash Flow'!A:F, 3, 0)</f>
        <v>428000000</v>
      </c>
      <c r="D21" s="10">
        <f>-VLOOKUP("        Capital Expenditure, Reported", 'Cash Flow'!A:F,4,0)</f>
        <v>690000000</v>
      </c>
      <c r="E21" s="10">
        <f>-VLOOKUP("        Capital Expenditure, Reported", 'Cash Flow'!A:F,5,0)</f>
        <v>987000000</v>
      </c>
      <c r="F21" s="11">
        <f>-VLOOKUP("        Capital Expenditure, Reported", 'Cash Flow'!A:F,6,0)</f>
        <v>967000000</v>
      </c>
      <c r="G21" s="10"/>
      <c r="H21" s="10"/>
      <c r="I21" s="10"/>
      <c r="J21" s="10"/>
      <c r="K21" s="9"/>
      <c r="L21" s="9"/>
      <c r="M21" s="9"/>
      <c r="N21" s="9"/>
      <c r="O21" s="9"/>
    </row>
    <row r="22" spans="2:15" ht="14" customHeight="1">
      <c r="B22" s="9" t="s">
        <v>113</v>
      </c>
      <c r="C22" s="10">
        <f>C17+C21</f>
        <v>4307000000</v>
      </c>
      <c r="D22" s="10">
        <f>D17+D21</f>
        <v>3838000000</v>
      </c>
      <c r="E22" s="10">
        <f>E17+E21</f>
        <v>3968000000</v>
      </c>
      <c r="F22" s="11">
        <f>F17+F21</f>
        <v>4825000000</v>
      </c>
      <c r="G22" s="10">
        <f>G9*(AVERAGE($C$24:$F$24))</f>
        <v>4859507083.288022</v>
      </c>
      <c r="H22" s="10">
        <f>H9*(AVERAGE($C$24:$F$24))</f>
        <v>5198838484.3619461</v>
      </c>
      <c r="I22" s="10">
        <f>I9*(AVERAGE($C$24:$F$24))</f>
        <v>5561864840.0436707</v>
      </c>
      <c r="J22" s="10">
        <f>J9*(AVERAGE($C$24:$F$24))</f>
        <v>5950240730.1100407</v>
      </c>
      <c r="K22" s="9"/>
      <c r="L22" s="9"/>
      <c r="M22" s="9"/>
      <c r="N22" s="9"/>
      <c r="O22" s="9"/>
    </row>
    <row r="23" spans="2:15" ht="14" customHeight="1">
      <c r="B23" s="9"/>
      <c r="C23" s="10"/>
      <c r="D23" s="10"/>
      <c r="E23" s="10"/>
      <c r="F23" s="11"/>
      <c r="G23" s="10"/>
      <c r="H23" s="10"/>
      <c r="I23" s="10"/>
      <c r="J23" s="10"/>
      <c r="K23" s="9"/>
      <c r="L23" s="9"/>
      <c r="M23" s="9"/>
      <c r="N23" s="9"/>
      <c r="O23" s="9"/>
    </row>
    <row r="24" spans="2:15" ht="14" customHeight="1">
      <c r="B24" s="9" t="s">
        <v>114</v>
      </c>
      <c r="C24" s="13">
        <f>ABS(IFERROR(C22/C9,""))</f>
        <v>1.4790521978021978</v>
      </c>
      <c r="D24" s="13">
        <f>ABS(IFERROR(D22/D9,""))</f>
        <v>1.1429422275163788</v>
      </c>
      <c r="E24" s="13">
        <f>ABS(IFERROR(E22/E9,""))</f>
        <v>1.1389207807118256</v>
      </c>
      <c r="F24" s="14">
        <f>ABS(IFERROR(F22/F9,""))</f>
        <v>1.5235238395958319</v>
      </c>
      <c r="G24" s="13">
        <f>IFERROR(G22/G9,"")</f>
        <v>1.3211097614065586</v>
      </c>
      <c r="H24" s="13">
        <f>IFERROR(H22/H9,"")</f>
        <v>1.3211097614065586</v>
      </c>
      <c r="I24" s="13">
        <f>IFERROR(I22/I9,"")</f>
        <v>1.3211097614065586</v>
      </c>
      <c r="J24" s="13">
        <f>IFERROR(J22/J9,"")</f>
        <v>1.3211097614065586</v>
      </c>
      <c r="K24" s="9"/>
      <c r="L24" s="9"/>
      <c r="M24" s="9"/>
      <c r="N24" s="9"/>
      <c r="O24" s="9"/>
    </row>
    <row r="25" spans="2:15" ht="14" customHeight="1">
      <c r="B25" s="9"/>
      <c r="C25" s="12"/>
      <c r="D25" s="12"/>
      <c r="E25" s="12"/>
      <c r="F25" s="12"/>
      <c r="G25" s="12"/>
      <c r="H25" s="12"/>
      <c r="I25" s="12"/>
      <c r="J25" s="12"/>
      <c r="K25" s="9"/>
      <c r="L25" s="9"/>
      <c r="M25" s="9"/>
      <c r="N25" s="9"/>
      <c r="O25" s="9"/>
    </row>
    <row r="26" spans="2:15" ht="14" customHeight="1">
      <c r="B26" s="5" t="s">
        <v>115</v>
      </c>
      <c r="C26" s="18"/>
      <c r="D26" s="18"/>
      <c r="E26" s="18"/>
      <c r="F26" s="18"/>
      <c r="G26" s="7">
        <v>1</v>
      </c>
      <c r="H26" s="7">
        <v>2</v>
      </c>
      <c r="I26" s="7">
        <v>3</v>
      </c>
      <c r="J26" s="7">
        <v>4</v>
      </c>
      <c r="K26" s="19">
        <v>4</v>
      </c>
      <c r="L26" s="9"/>
      <c r="M26" s="9"/>
      <c r="N26" s="9"/>
      <c r="O26" s="9"/>
    </row>
    <row r="27" spans="2:15" ht="14" customHeight="1">
      <c r="B27" s="8"/>
      <c r="C27" s="7">
        <f t="shared" ref="C27:J27" si="2">C3</f>
        <v>2017</v>
      </c>
      <c r="D27" s="7">
        <f t="shared" si="2"/>
        <v>2018</v>
      </c>
      <c r="E27" s="7">
        <f t="shared" si="2"/>
        <v>2019</v>
      </c>
      <c r="F27" s="7">
        <f t="shared" si="2"/>
        <v>2020</v>
      </c>
      <c r="G27" s="7">
        <f t="shared" si="2"/>
        <v>2021</v>
      </c>
      <c r="H27" s="7">
        <f t="shared" si="2"/>
        <v>2022</v>
      </c>
      <c r="I27" s="7">
        <f t="shared" si="2"/>
        <v>2023</v>
      </c>
      <c r="J27" s="7">
        <f t="shared" si="2"/>
        <v>2024</v>
      </c>
      <c r="K27" s="19" t="s">
        <v>116</v>
      </c>
      <c r="L27" s="9"/>
      <c r="M27" s="9"/>
      <c r="N27" s="9"/>
      <c r="O27" s="9"/>
    </row>
    <row r="28" spans="2:15" ht="14" customHeight="1">
      <c r="B28" s="9" t="s">
        <v>117</v>
      </c>
      <c r="C28" s="10">
        <f t="shared" ref="C28:J28" si="3">C22</f>
        <v>4307000000</v>
      </c>
      <c r="D28" s="10">
        <f t="shared" si="3"/>
        <v>3838000000</v>
      </c>
      <c r="E28" s="10">
        <f t="shared" si="3"/>
        <v>3968000000</v>
      </c>
      <c r="F28" s="10">
        <f t="shared" si="3"/>
        <v>4825000000</v>
      </c>
      <c r="G28" s="10">
        <f t="shared" si="3"/>
        <v>4859507083.288022</v>
      </c>
      <c r="H28" s="10">
        <f t="shared" si="3"/>
        <v>5198838484.3619461</v>
      </c>
      <c r="I28" s="10">
        <f t="shared" si="3"/>
        <v>5561864840.0436707</v>
      </c>
      <c r="J28" s="10">
        <f t="shared" si="3"/>
        <v>5950240730.1100407</v>
      </c>
      <c r="K28" s="20">
        <f>(J22*(1+C32))/(N15-C32)</f>
        <v>91727394231.066452</v>
      </c>
      <c r="L28" s="9"/>
      <c r="M28" s="9"/>
      <c r="N28" s="9"/>
      <c r="O28" s="9"/>
    </row>
    <row r="29" spans="2:15" ht="14" customHeight="1">
      <c r="B29" s="9" t="s">
        <v>118</v>
      </c>
      <c r="C29" s="12"/>
      <c r="D29" s="12"/>
      <c r="E29" s="12"/>
      <c r="F29" s="12"/>
      <c r="G29" s="21">
        <f>(1+$C$31)^G26</f>
        <v>1.0914904612137906</v>
      </c>
      <c r="H29" s="21">
        <f>(1+$C$31)^H26</f>
        <v>1.1913514269206933</v>
      </c>
      <c r="I29" s="21">
        <f>(1+$C$31)^I26</f>
        <v>1.300348718437375</v>
      </c>
      <c r="J29" s="21">
        <f>(1+$C$31)^J26</f>
        <v>1.4193182224259719</v>
      </c>
      <c r="K29" s="21">
        <f>(1+$C$31)^K26</f>
        <v>1.4193182224259719</v>
      </c>
      <c r="L29" s="9"/>
      <c r="M29" s="9"/>
      <c r="N29" s="9"/>
      <c r="O29" s="9"/>
    </row>
    <row r="30" spans="2:15" ht="14" customHeight="1">
      <c r="B30" s="9" t="s">
        <v>119</v>
      </c>
      <c r="C30" s="12"/>
      <c r="D30" s="12"/>
      <c r="E30" s="12"/>
      <c r="F30" s="12"/>
      <c r="G30" s="10">
        <f>G28/G29</f>
        <v>4452175493.9424877</v>
      </c>
      <c r="H30" s="10">
        <f>H28/H29</f>
        <v>4363816055.3510847</v>
      </c>
      <c r="I30" s="10">
        <f>I28/I29</f>
        <v>4277210229.2124734</v>
      </c>
      <c r="J30" s="10">
        <f>J28/J29</f>
        <v>4192323212.7179923</v>
      </c>
      <c r="K30" s="10">
        <f>K28/K29</f>
        <v>64627785919.834984</v>
      </c>
      <c r="L30" s="9"/>
      <c r="M30" s="9"/>
      <c r="N30" s="9"/>
      <c r="O30" s="9"/>
    </row>
    <row r="31" spans="2:15" ht="14" customHeight="1">
      <c r="B31" s="9" t="s">
        <v>92</v>
      </c>
      <c r="C31" s="13">
        <f>N15</f>
        <v>9.1490461213790467E-2</v>
      </c>
      <c r="D31" s="12"/>
      <c r="E31" s="12"/>
      <c r="F31" s="12"/>
      <c r="G31" s="12"/>
      <c r="H31" s="12"/>
      <c r="I31" s="12"/>
      <c r="J31" s="12"/>
      <c r="K31" s="9"/>
      <c r="L31" s="9"/>
      <c r="M31" s="9"/>
      <c r="N31" s="9"/>
      <c r="O31" s="9"/>
    </row>
    <row r="32" spans="2:15" ht="14" customHeight="1">
      <c r="B32" s="9" t="s">
        <v>120</v>
      </c>
      <c r="C32" s="13">
        <v>2.5000000000000001E-2</v>
      </c>
      <c r="D32" s="12"/>
      <c r="E32" s="12"/>
      <c r="F32" s="12"/>
      <c r="G32" s="12"/>
      <c r="H32" s="12"/>
      <c r="I32" s="12"/>
      <c r="J32" s="12"/>
      <c r="K32" s="9"/>
      <c r="L32" s="9"/>
      <c r="M32" s="9"/>
      <c r="N32" s="9"/>
      <c r="O32" s="9"/>
    </row>
    <row r="33" spans="2:15" ht="14" customHeight="1">
      <c r="B33" s="22" t="s">
        <v>121</v>
      </c>
      <c r="C33" s="23">
        <f>SUM(G30:K30)</f>
        <v>81913310911.059021</v>
      </c>
      <c r="D33" s="10"/>
      <c r="E33" s="10"/>
      <c r="F33" s="10"/>
      <c r="G33" s="10"/>
      <c r="H33" s="10"/>
      <c r="I33" s="10"/>
      <c r="J33" s="10"/>
      <c r="K33" s="24"/>
      <c r="L33" s="9"/>
      <c r="M33" s="9"/>
      <c r="N33" s="9"/>
      <c r="O33" s="9"/>
    </row>
    <row r="34" spans="2:15" ht="14" customHeight="1">
      <c r="B34" s="25" t="s">
        <v>122</v>
      </c>
      <c r="C34" s="10" cm="1">
        <f t="array" ref="C34">_FV(B2,"Shares outstanding",TRUE)</f>
        <v>279222800</v>
      </c>
      <c r="D34" s="10"/>
      <c r="E34" s="10"/>
      <c r="F34" s="10"/>
      <c r="G34" s="10"/>
      <c r="H34" s="10"/>
      <c r="I34" s="10"/>
      <c r="J34" s="10"/>
      <c r="K34" s="24"/>
      <c r="L34" s="9"/>
      <c r="M34" s="9"/>
      <c r="N34" s="9"/>
      <c r="O34" s="9"/>
    </row>
    <row r="35" spans="2:15" ht="14" customHeight="1">
      <c r="B35" s="22" t="s">
        <v>123</v>
      </c>
      <c r="C35" s="26">
        <f>C33/C34</f>
        <v>293.36182758377549</v>
      </c>
      <c r="D35" s="10"/>
      <c r="E35" s="10"/>
      <c r="F35" s="10"/>
      <c r="G35" s="10"/>
      <c r="H35" s="10"/>
      <c r="I35" s="10"/>
      <c r="J35" s="10"/>
      <c r="K35" s="24"/>
      <c r="L35" s="9"/>
      <c r="M35" s="9"/>
      <c r="N35" s="9"/>
      <c r="O35" s="9"/>
    </row>
    <row r="36" spans="2:15" ht="14" customHeight="1">
      <c r="B36" s="27" t="s">
        <v>124</v>
      </c>
      <c r="C36" s="28" cm="1">
        <f t="array" ref="C36">_FV(B2,"Previous close",TRUE)</f>
        <v>208.98</v>
      </c>
      <c r="D36" s="10"/>
      <c r="E36" s="10"/>
      <c r="F36" s="10"/>
      <c r="G36" s="10"/>
      <c r="H36" s="10"/>
      <c r="I36" s="10"/>
      <c r="J36" s="10"/>
      <c r="K36" s="24"/>
      <c r="L36" s="9"/>
      <c r="M36" s="9"/>
      <c r="N36" s="9"/>
      <c r="O36" s="9"/>
    </row>
    <row r="37" spans="2:15" ht="14" customHeight="1">
      <c r="B37" s="9" t="s">
        <v>125</v>
      </c>
      <c r="C37" s="29">
        <f>VLOOKUP("Total Assets",'Balance Sheet'!A:G,6,0)-VLOOKUP("Total Liabilities",'Balance Sheet'!A:G,6,0)</f>
        <v>15661000000</v>
      </c>
      <c r="D37" s="29"/>
      <c r="E37" s="29"/>
      <c r="F37" s="29"/>
      <c r="G37" s="29"/>
      <c r="H37" s="29"/>
      <c r="I37" s="29"/>
      <c r="J37" s="29"/>
      <c r="K37" s="30"/>
      <c r="L37" s="9"/>
      <c r="M37" s="9"/>
      <c r="N37" s="9"/>
      <c r="O37" s="9"/>
    </row>
    <row r="38" spans="2:15" ht="14" customHeight="1">
      <c r="B38" s="25" t="s">
        <v>126</v>
      </c>
      <c r="C38" s="31">
        <f>(VLOOKUP("Total Assets",'Balance Sheet'!A:G,6,0)-VLOOKUP("Total Liabilities",'Balance Sheet'!A:G,6,0))/N4</f>
        <v>0.27155913542202031</v>
      </c>
      <c r="D38" s="10"/>
      <c r="E38" s="10"/>
      <c r="F38" s="10"/>
      <c r="G38" s="10"/>
      <c r="H38" s="10"/>
      <c r="I38" s="10"/>
      <c r="J38" s="10"/>
      <c r="K38" s="24"/>
      <c r="L38" s="9"/>
      <c r="M38" s="9"/>
      <c r="N38" s="9"/>
      <c r="O38" s="9"/>
    </row>
    <row r="39" spans="2:15" ht="14" customHeight="1">
      <c r="B39" s="9" t="s">
        <v>127</v>
      </c>
      <c r="C39" s="32">
        <f>C37/C34</f>
        <v>56.087826638798838</v>
      </c>
      <c r="D39" s="29"/>
      <c r="E39" s="29"/>
      <c r="F39" s="29"/>
      <c r="G39" s="29"/>
      <c r="H39" s="29"/>
      <c r="I39" s="29"/>
      <c r="J39" s="29"/>
      <c r="K39" s="30"/>
      <c r="L39" s="9"/>
      <c r="M39" s="9"/>
      <c r="N39" s="9"/>
      <c r="O39" s="9"/>
    </row>
    <row r="40" spans="2:15" ht="14" customHeight="1">
      <c r="B40" s="33" t="s">
        <v>128</v>
      </c>
      <c r="C40" s="34">
        <f>C36/(E9/C34)</f>
        <v>16.74855934098737</v>
      </c>
      <c r="D40" s="29"/>
      <c r="E40" s="29"/>
      <c r="F40" s="29"/>
      <c r="G40" s="29"/>
      <c r="H40" s="29"/>
      <c r="I40" s="29"/>
      <c r="J40" s="29"/>
      <c r="K40" s="30"/>
      <c r="L40" s="9"/>
      <c r="M40" s="9"/>
      <c r="N40" s="9"/>
      <c r="O40" s="9"/>
    </row>
    <row r="41" spans="2:15" ht="14" customHeight="1">
      <c r="B41" s="9"/>
      <c r="C41" s="10"/>
      <c r="D41" s="10"/>
      <c r="E41" s="10"/>
      <c r="F41" s="10"/>
      <c r="G41" s="10"/>
      <c r="H41" s="10"/>
      <c r="I41" s="10"/>
      <c r="J41" s="10"/>
      <c r="K41" s="24"/>
      <c r="L41" s="9"/>
      <c r="M41" s="9"/>
      <c r="N41" s="9"/>
      <c r="O41" s="9"/>
    </row>
    <row r="42" spans="2:15" ht="14" customHeight="1">
      <c r="B42" s="25" t="s">
        <v>291</v>
      </c>
      <c r="C42" s="10"/>
      <c r="D42" s="10"/>
      <c r="E42" s="10"/>
      <c r="F42" s="10"/>
      <c r="G42" s="10"/>
      <c r="H42" s="10"/>
      <c r="I42" s="10"/>
      <c r="J42" s="10"/>
      <c r="K42" s="24"/>
      <c r="L42" s="9"/>
      <c r="M42" s="9"/>
      <c r="N42" s="9"/>
      <c r="O42" s="9"/>
    </row>
    <row r="43" spans="2:15" ht="14" customHeight="1">
      <c r="B43" s="9" t="s">
        <v>194</v>
      </c>
      <c r="C43" s="12"/>
      <c r="D43" s="12"/>
      <c r="E43" s="12"/>
      <c r="F43" s="12"/>
      <c r="G43" s="12"/>
      <c r="H43" s="12"/>
      <c r="I43" s="12"/>
      <c r="J43" s="12"/>
      <c r="K43" s="9"/>
      <c r="L43" s="9"/>
      <c r="M43" s="9"/>
      <c r="N43" s="9"/>
      <c r="O43" s="9"/>
    </row>
    <row r="44" spans="2:15" ht="14" customHeight="1">
      <c r="B44" s="25" t="s">
        <v>290</v>
      </c>
      <c r="C44" s="12"/>
      <c r="D44" s="12"/>
      <c r="E44" s="12"/>
      <c r="F44" s="12"/>
      <c r="G44" s="12"/>
      <c r="H44" s="12"/>
      <c r="I44" s="12"/>
      <c r="J44" s="12"/>
      <c r="K44" s="9"/>
      <c r="L44" s="9"/>
      <c r="M44" s="9"/>
      <c r="N44" s="9"/>
      <c r="O44" s="9"/>
    </row>
    <row r="45" spans="2:15" ht="14" customHeight="1">
      <c r="B45" s="25" t="s">
        <v>193</v>
      </c>
    </row>
    <row r="1048576" ht="12.75" customHeight="1"/>
  </sheetData>
  <mergeCells count="2">
    <mergeCell ref="C2:F2"/>
    <mergeCell ref="G2:J2"/>
  </mergeCells>
  <conditionalFormatting sqref="C35">
    <cfRule type="cellIs" dxfId="1" priority="2" stopIfTrue="1" operator="lessThan">
      <formula>C36</formula>
    </cfRule>
  </conditionalFormatting>
  <conditionalFormatting sqref="C35">
    <cfRule type="cellIs" dxfId="0" priority="1" stopIfTrue="1" operator="greaterThan">
      <formula>C36</formula>
    </cfRule>
  </conditionalFormatting>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docProps/app.xml><?xml version="1.0" encoding="utf-8"?>
<Properties xmlns="http://purl.oclc.org/ooxml/officeDocument/extendedProperties" xmlns:vt="http://purl.oclc.org/ooxml/officeDocument/docPropsVTypes">
  <TotalTime>175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Income Statement</vt:lpstr>
      <vt:lpstr>Balance Sheet</vt:lpstr>
      <vt:lpstr>Cash Flow</vt:lpstr>
      <vt:lpstr>DCF</vt:lpstr>
      <vt:lpstr>'Balance Sheet'!_FilterDatabase</vt:lpstr>
      <vt:lpstr>'Cash Flow'!_FilterDatabase</vt:lpstr>
      <vt:lpstr>'Income Statement'!_FilterDatabase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47</cp:revision>
  <dcterms:created xsi:type="dcterms:W3CDTF">2021-01-22T20:02:59Z</dcterms:created>
  <dcterms:modified xsi:type="dcterms:W3CDTF">2022-01-29T06:46:54Z</dcterms:modified>
</cp:coreProperties>
</file>

<file path=docProps/custom.xml><?xml version="1.0" encoding="utf-8"?>
<Properties xmlns="http://purl.oclc.org/ooxml/officeDocument/customProperties" xmlns:vt="http://purl.oclc.org/ooxml/officeDocument/docPropsVTypes">
  <property fmtid="{D5CDD505-2E9C-101B-9397-08002B2CF9AE}" pid="2" name="AppVersion">
    <vt:lpwstr>15.0000</vt:lpwstr>
  </property>
</Properties>
</file>