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ing\Downloads\"/>
    </mc:Choice>
  </mc:AlternateContent>
  <xr:revisionPtr revIDLastSave="0" documentId="8_{5225B357-69CC-4122-A8D9-D66ABC4C5CDF}" xr6:coauthVersionLast="47" xr6:coauthVersionMax="47" xr10:uidLastSave="{00000000-0000-0000-0000-000000000000}"/>
  <bookViews>
    <workbookView xWindow="-120" yWindow="-120" windowWidth="29040" windowHeight="15720" xr2:uid="{2B2EF980-34C3-4156-BAF6-5448124610CB}"/>
  </bookViews>
  <sheets>
    <sheet name="Import Heater" sheetId="40" r:id="rId1"/>
    <sheet name="Import Tank" sheetId="41" r:id="rId2"/>
    <sheet name="Pump" sheetId="42" r:id="rId3"/>
    <sheet name="Stack Economizer" sheetId="43" r:id="rId4"/>
  </sheets>
  <definedNames>
    <definedName name="_xlnm.Print_Area" localSheetId="0">'Import Heater'!$B$1:$I$13</definedName>
    <definedName name="_xlnm.Print_Area" localSheetId="3">'Stack Economizer'!$B$1:$G$13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41" l="1"/>
  <c r="H4" i="43"/>
  <c r="G1" i="42"/>
  <c r="B12" i="40"/>
  <c r="I14" i="40"/>
  <c r="I16" i="40" s="1"/>
  <c r="I15" i="40"/>
  <c r="J4" i="40"/>
  <c r="C9" i="40"/>
  <c r="C14" i="40" s="1"/>
  <c r="C6" i="40"/>
  <c r="C4" i="40"/>
  <c r="C3" i="40"/>
  <c r="C2" i="40"/>
  <c r="C7" i="40" l="1"/>
  <c r="I17" i="40"/>
  <c r="B5" i="40"/>
  <c r="C5" i="40"/>
  <c r="B6" i="40"/>
  <c r="D6" i="40"/>
  <c r="D7" i="40"/>
  <c r="B5" i="41"/>
  <c r="C15" i="40" s="1"/>
  <c r="A5" i="41"/>
  <c r="B15" i="40" s="1"/>
  <c r="O33" i="41"/>
  <c r="O32" i="41"/>
  <c r="O31" i="41"/>
  <c r="O30" i="41"/>
  <c r="O29" i="41"/>
  <c r="O24" i="41"/>
  <c r="O25" i="41"/>
  <c r="O26" i="41"/>
  <c r="O27" i="41"/>
  <c r="O28" i="41"/>
  <c r="D4" i="40"/>
  <c r="B9" i="40" l="1"/>
  <c r="B14" i="40" s="1"/>
  <c r="D2" i="40"/>
  <c r="B2" i="40"/>
  <c r="B4" i="42"/>
  <c r="A4" i="42"/>
  <c r="B3" i="42"/>
  <c r="B2" i="42"/>
  <c r="C3" i="42"/>
  <c r="A3" i="42"/>
  <c r="C2" i="42"/>
  <c r="A2" i="42"/>
  <c r="O23" i="41"/>
  <c r="O18" i="41"/>
  <c r="O19" i="41"/>
  <c r="O20" i="41"/>
  <c r="O21" i="41"/>
  <c r="O22" i="41"/>
  <c r="O17" i="41"/>
  <c r="O12" i="41"/>
  <c r="I7" i="41" s="1"/>
  <c r="B3" i="41" s="1"/>
  <c r="O13" i="41"/>
  <c r="O14" i="41"/>
  <c r="O15" i="41"/>
  <c r="O16" i="41"/>
  <c r="O11" i="41"/>
  <c r="O6" i="41"/>
  <c r="O7" i="41"/>
  <c r="O8" i="41"/>
  <c r="O9" i="41"/>
  <c r="O10" i="41"/>
  <c r="O5" i="41"/>
  <c r="B2" i="41"/>
  <c r="A3" i="41"/>
  <c r="C3" i="41"/>
  <c r="C2" i="41"/>
  <c r="A2" i="41"/>
  <c r="M2" i="41"/>
  <c r="M3" i="41" s="1"/>
  <c r="M4" i="41" s="1"/>
  <c r="M5" i="41" s="1"/>
  <c r="M6" i="41" s="1"/>
  <c r="M7" i="41" s="1"/>
  <c r="M8" i="41" s="1"/>
  <c r="M9" i="41" s="1"/>
  <c r="M10" i="41" s="1"/>
  <c r="M11" i="41" s="1"/>
  <c r="M12" i="41" s="1"/>
  <c r="M13" i="41" s="1"/>
  <c r="M14" i="41" s="1"/>
  <c r="M15" i="41" s="1"/>
  <c r="M16" i="41" s="1"/>
  <c r="M17" i="41" s="1"/>
  <c r="M18" i="41" s="1"/>
  <c r="M19" i="41" s="1"/>
  <c r="M20" i="41" s="1"/>
  <c r="M21" i="41" s="1"/>
  <c r="D5" i="40"/>
  <c r="D3" i="40"/>
  <c r="B7" i="40"/>
  <c r="B4" i="40"/>
  <c r="B3" i="40"/>
</calcChain>
</file>

<file path=xl/sharedStrings.xml><?xml version="1.0" encoding="utf-8"?>
<sst xmlns="http://schemas.openxmlformats.org/spreadsheetml/2006/main" count="158" uniqueCount="84">
  <si>
    <t>Material</t>
  </si>
  <si>
    <t>Job #</t>
  </si>
  <si>
    <t>Dash #</t>
  </si>
  <si>
    <t>Heater Diameter</t>
  </si>
  <si>
    <t>Heater Height</t>
  </si>
  <si>
    <t>Item Number</t>
  </si>
  <si>
    <t>Description</t>
  </si>
  <si>
    <t>Heater Model</t>
  </si>
  <si>
    <t>Stack Diameter</t>
  </si>
  <si>
    <t>Flange Inlet</t>
  </si>
  <si>
    <t>GP</t>
  </si>
  <si>
    <t>RM</t>
  </si>
  <si>
    <t>TE</t>
  </si>
  <si>
    <t>TE-NSF</t>
  </si>
  <si>
    <t>Stack Height</t>
  </si>
  <si>
    <t>Gas Train Size</t>
  </si>
  <si>
    <t>Gas Train Mount</t>
  </si>
  <si>
    <t>BTU</t>
  </si>
  <si>
    <t>FM</t>
  </si>
  <si>
    <t>BM</t>
  </si>
  <si>
    <t>Hand</t>
  </si>
  <si>
    <t>LEFT</t>
  </si>
  <si>
    <t>RIGHT</t>
  </si>
  <si>
    <t>BOM</t>
  </si>
  <si>
    <t>Type</t>
  </si>
  <si>
    <t>HW</t>
  </si>
  <si>
    <t>TW</t>
  </si>
  <si>
    <t>CW</t>
  </si>
  <si>
    <t>CMF</t>
  </si>
  <si>
    <t>RO</t>
  </si>
  <si>
    <t>WW</t>
  </si>
  <si>
    <t>Tank Diameter</t>
  </si>
  <si>
    <t>Tank Height</t>
  </si>
  <si>
    <t>Tank Inches</t>
  </si>
  <si>
    <t># of Pumps</t>
  </si>
  <si>
    <t>TRIPLEX</t>
  </si>
  <si>
    <t>QUADPLEX</t>
  </si>
  <si>
    <t>LP</t>
  </si>
  <si>
    <t>HP</t>
  </si>
  <si>
    <t>MP</t>
  </si>
  <si>
    <t>SIMPLEX</t>
  </si>
  <si>
    <t>DUPLEX</t>
  </si>
  <si>
    <t>Skid Length</t>
  </si>
  <si>
    <t>Skid Width</t>
  </si>
  <si>
    <t>Skid Height</t>
  </si>
  <si>
    <t>Pump Pressure</t>
  </si>
  <si>
    <t>AL6XN</t>
  </si>
  <si>
    <t>Template</t>
  </si>
  <si>
    <t>FG FAB</t>
  </si>
  <si>
    <t>Sub Assy</t>
  </si>
  <si>
    <t>Pegged Supply</t>
  </si>
  <si>
    <t>Phantom</t>
  </si>
  <si>
    <t>Product Type</t>
  </si>
  <si>
    <t>Item</t>
  </si>
  <si>
    <t>Heater A/B</t>
  </si>
  <si>
    <t>A</t>
  </si>
  <si>
    <t>B</t>
  </si>
  <si>
    <t>C</t>
  </si>
  <si>
    <t>D</t>
  </si>
  <si>
    <t>Heater Single/Dual</t>
  </si>
  <si>
    <t>05</t>
  </si>
  <si>
    <t>mailto:gemurphy@kemcosystems.com</t>
  </si>
  <si>
    <t>Thanks so Much!!!!</t>
  </si>
  <si>
    <t>PRECUT - ECONOMIZER, 42X8, 11GA, 316</t>
  </si>
  <si>
    <t>STACK, 16X10, W/1FL, 316</t>
  </si>
  <si>
    <t>SE STACK, 18X10, W/1FL, 316</t>
  </si>
  <si>
    <t>35325-01</t>
  </si>
  <si>
    <t>35325-01.1</t>
  </si>
  <si>
    <t>35325-01.2</t>
  </si>
  <si>
    <t>35325-01.3</t>
  </si>
  <si>
    <t>35325-01.4</t>
  </si>
  <si>
    <t>35325-01.5</t>
  </si>
  <si>
    <t>ECONOMIZER, FAB, 42X12, RM, 316</t>
  </si>
  <si>
    <t>35325-01-000</t>
  </si>
  <si>
    <t>ECONOMIZER, WELD, 42X12, 316</t>
  </si>
  <si>
    <t>35325-01.1-000</t>
  </si>
  <si>
    <t>ECONOMIZER, SHELL, 42X12, 316</t>
  </si>
  <si>
    <t>35325-01.2-000</t>
  </si>
  <si>
    <t>35325-01.3-000</t>
  </si>
  <si>
    <t>35325-01.4-000</t>
  </si>
  <si>
    <t>35325-01.1-A</t>
  </si>
  <si>
    <t>EQ</t>
  </si>
  <si>
    <t>01</t>
  </si>
  <si>
    <t>FGKLHJFGIHJFGHDJH;LDKJH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</si>
</sst>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Open Sans Light"/>
      <family val="2"/>
    </font>
    <font>
      <sz val="11"/>
      <name val="Open Sans Light"/>
      <family val="2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1"/>
      <name val="Open Sans Light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/>
    <xf numFmtId="0" fontId="1" fillId="4" borderId="0" xfId="0" applyFont="1" applyFill="1" applyAlignment="1">
      <alignment horizontal="left" vertical="center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murphy@kemcosystem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A7DD-E492-4E59-8992-367AFD3D2B73}">
  <sheetPr>
    <pageSetUpPr fitToPage="1"/>
  </sheetPr>
  <dimension ref="B1:W22"/>
  <sheetViews>
    <sheetView tabSelected="1" zoomScaleNormal="100" workbookViewId="0">
      <selection activeCell="I3" sqref="I3"/>
    </sheetView>
  </sheetViews>
  <sheetFormatPr defaultColWidth="8.7109375" defaultRowHeight="25.15" customHeight="1" x14ac:dyDescent="0.3"/>
  <cols>
    <col min="1" max="1" width="3.5703125" style="1" customWidth="1"/>
    <col min="2" max="2" width="30.7109375" style="1" customWidth="1"/>
    <col min="3" max="3" width="50.7109375" style="1" customWidth="1"/>
    <col min="4" max="4" width="17.7109375" style="1" customWidth="1"/>
    <col min="5" max="6" width="16.7109375" style="1" customWidth="1"/>
    <col min="7" max="7" width="12.7109375" style="1" customWidth="1"/>
    <col min="8" max="8" width="20.7109375" style="1" customWidth="1"/>
    <col min="9" max="9" width="35.42578125" style="1" bestFit="1" customWidth="1"/>
    <col min="10" max="11" width="0" style="1" hidden="1" customWidth="1"/>
    <col min="12" max="23" width="8.7109375" style="1" hidden="1" customWidth="1"/>
    <col min="24" max="16384" width="8.7109375" style="1"/>
  </cols>
  <sheetData>
    <row r="1" spans="2:23" ht="25.15" customHeight="1" x14ac:dyDescent="0.3">
      <c r="B1" s="3" t="s">
        <v>5</v>
      </c>
      <c r="C1" s="3" t="s">
        <v>6</v>
      </c>
      <c r="D1" s="3" t="s">
        <v>23</v>
      </c>
      <c r="E1" s="3" t="s">
        <v>47</v>
      </c>
      <c r="F1" s="3" t="s">
        <v>52</v>
      </c>
      <c r="H1" s="5" t="s">
        <v>1</v>
      </c>
      <c r="I1" s="11">
        <v>35284</v>
      </c>
      <c r="L1" s="1">
        <v>304</v>
      </c>
      <c r="M1" s="1">
        <v>30</v>
      </c>
      <c r="N1" s="1">
        <v>12</v>
      </c>
      <c r="O1" s="1">
        <v>9.5</v>
      </c>
      <c r="P1" s="1">
        <v>7</v>
      </c>
      <c r="Q1" s="1">
        <v>1</v>
      </c>
      <c r="R1" s="1" t="s">
        <v>10</v>
      </c>
      <c r="S1" s="1">
        <v>1</v>
      </c>
      <c r="T1" s="1" t="s">
        <v>19</v>
      </c>
      <c r="U1" s="1">
        <v>1.2</v>
      </c>
      <c r="V1" s="1" t="s">
        <v>21</v>
      </c>
    </row>
    <row r="2" spans="2:23" ht="25.15" customHeight="1" x14ac:dyDescent="0.3">
      <c r="B2" s="2" t="str">
        <f>CONCATENATE($I$1,"-",$I$2)</f>
        <v>35284-01</v>
      </c>
      <c r="C2" s="4" t="str">
        <f>IF(I13=0,CONCATENATE("HEATER, FAB, ",I3,"X",I4,", ",I7,", ",I8),CONCATENATE("HEATER ",I13,", FAB, ",I3,"X",I4,", ",I7,", ",I8))</f>
        <v>HEATER, FAB, 42X12, RM, 316</v>
      </c>
      <c r="D2" s="2" t="str">
        <f>CONCATENATE($I$1,"-",$I$2,"-000")</f>
        <v>35284-01-000</v>
      </c>
      <c r="E2" s="2" t="s">
        <v>48</v>
      </c>
      <c r="F2" s="2" t="s">
        <v>53</v>
      </c>
      <c r="H2" s="5" t="s">
        <v>2</v>
      </c>
      <c r="I2" s="10" t="s">
        <v>82</v>
      </c>
      <c r="L2" s="1">
        <v>316</v>
      </c>
      <c r="M2" s="1">
        <v>42</v>
      </c>
      <c r="N2" s="1">
        <v>18</v>
      </c>
      <c r="O2" s="1">
        <v>10</v>
      </c>
      <c r="P2" s="1">
        <v>8</v>
      </c>
      <c r="Q2" s="1">
        <v>1.25</v>
      </c>
      <c r="R2" s="1" t="s">
        <v>11</v>
      </c>
      <c r="S2" s="1">
        <v>1.5</v>
      </c>
      <c r="T2" s="1" t="s">
        <v>18</v>
      </c>
      <c r="U2" s="1">
        <v>2</v>
      </c>
      <c r="V2" s="1" t="s">
        <v>22</v>
      </c>
      <c r="W2" s="1" t="s">
        <v>55</v>
      </c>
    </row>
    <row r="3" spans="2:23" ht="25.15" customHeight="1" x14ac:dyDescent="0.3">
      <c r="B3" s="2" t="str">
        <f>CONCATENATE($I$1,"-",$I$2,".1")</f>
        <v>35284-01.1</v>
      </c>
      <c r="C3" s="4" t="str">
        <f>IF(I13=0,CONCATENATE("HEATER, WELD, ",I3,"X",I4,", ",I8),CONCATENATE("HEATER ",I13,", WELD, ",I3,"X",I4,", ",I8))</f>
        <v>HEATER, WELD, 42X12, 316</v>
      </c>
      <c r="D3" s="2" t="str">
        <f>CONCATENATE($I$1,"-",$I$2,".1","-000")</f>
        <v>35284-01.1-000</v>
      </c>
      <c r="E3" s="2" t="s">
        <v>49</v>
      </c>
      <c r="F3" s="2" t="s">
        <v>50</v>
      </c>
      <c r="H3" s="5" t="s">
        <v>3</v>
      </c>
      <c r="I3" s="11">
        <v>42</v>
      </c>
      <c r="L3" s="1" t="s">
        <v>46</v>
      </c>
      <c r="M3" s="1">
        <v>54</v>
      </c>
      <c r="N3" s="1">
        <v>24</v>
      </c>
      <c r="O3" s="1">
        <v>12</v>
      </c>
      <c r="P3" s="1">
        <v>8.5</v>
      </c>
      <c r="Q3" s="1">
        <v>1.5</v>
      </c>
      <c r="R3" s="1" t="s">
        <v>12</v>
      </c>
      <c r="S3" s="1">
        <v>2</v>
      </c>
      <c r="U3" s="1">
        <v>3</v>
      </c>
      <c r="W3" s="1" t="s">
        <v>56</v>
      </c>
    </row>
    <row r="4" spans="2:23" ht="25.15" customHeight="1" x14ac:dyDescent="0.3">
      <c r="B4" s="2" t="str">
        <f>CONCATENATE($I$1,"-",$I$2,".2")</f>
        <v>35284-01.2</v>
      </c>
      <c r="C4" s="4" t="str">
        <f>IF(I13=0,CONCATENATE("HEATER, SHELL, ",I3,"X",I4,", ",I8),CONCATENATE("HEATER ",I13,", SHELL, ",I3,"X",I4,", ",I8))</f>
        <v>HEATER, SHELL, 42X12, 316</v>
      </c>
      <c r="D4" s="2" t="str">
        <f>CONCATENATE($I$1,"-",$I$2,".2","-000")</f>
        <v>35284-01.2-000</v>
      </c>
      <c r="E4" s="2" t="s">
        <v>49</v>
      </c>
      <c r="F4" s="2" t="s">
        <v>51</v>
      </c>
      <c r="H4" s="5" t="s">
        <v>4</v>
      </c>
      <c r="I4" s="11">
        <v>12</v>
      </c>
      <c r="J4" s="1">
        <f>128/12</f>
        <v>10.666666666666666</v>
      </c>
      <c r="M4" s="1">
        <v>60</v>
      </c>
      <c r="N4" s="1">
        <v>30</v>
      </c>
      <c r="O4" s="1">
        <v>18</v>
      </c>
      <c r="P4" s="1">
        <v>9</v>
      </c>
      <c r="Q4" s="1">
        <v>2</v>
      </c>
      <c r="R4" s="1" t="s">
        <v>13</v>
      </c>
      <c r="S4" s="1">
        <v>2.5</v>
      </c>
      <c r="U4" s="1">
        <v>4.5</v>
      </c>
      <c r="W4" s="1" t="s">
        <v>57</v>
      </c>
    </row>
    <row r="5" spans="2:23" ht="25.15" customHeight="1" x14ac:dyDescent="0.3">
      <c r="B5" s="2" t="str">
        <f>CONCATENATE($I$1,"-",$I$2,".3")</f>
        <v>35284-01.3</v>
      </c>
      <c r="C5" s="4" t="str">
        <f>IF(I13=0,CONCATENATE("HEATER, STACK, ",I5,"X",I15,", W/",I6,"FL"),CONCATENATE("HEATER ",I13,", STACK, ",I5,"X",I15,", W/",I6,"FL"))</f>
        <v>HEATER, STACK, 18X10, W/2FL</v>
      </c>
      <c r="D5" s="2" t="str">
        <f>CONCATENATE($I$1,"-",$I$2,".3","-000")</f>
        <v>35284-01.3-000</v>
      </c>
      <c r="E5" s="2" t="s">
        <v>49</v>
      </c>
      <c r="F5" s="2" t="s">
        <v>51</v>
      </c>
      <c r="H5" s="5" t="s">
        <v>8</v>
      </c>
      <c r="I5" s="11">
        <v>18</v>
      </c>
      <c r="M5" s="1">
        <v>76</v>
      </c>
      <c r="N5" s="1">
        <v>36</v>
      </c>
      <c r="O5" s="1">
        <v>24</v>
      </c>
      <c r="P5" s="1">
        <v>10</v>
      </c>
      <c r="Q5" s="1">
        <v>2.5</v>
      </c>
      <c r="S5" s="1">
        <v>3</v>
      </c>
      <c r="U5" s="1">
        <v>5.5</v>
      </c>
      <c r="W5" s="1" t="s">
        <v>58</v>
      </c>
    </row>
    <row r="6" spans="2:23" ht="25.15" customHeight="1" x14ac:dyDescent="0.3">
      <c r="B6" s="2" t="str">
        <f>CONCATENATE($I$1,"-",$I$2,".4")</f>
        <v>35284-01.4</v>
      </c>
      <c r="C6" s="4" t="str">
        <f>IF(I13=0,CONCATENATE("GAS TRAIN, ",I9,", ",I10,", ","SIEMENS",", ",I11,"MBTU, ",I12),CONCATENATE("GAS TRAIN, HTR ",I13, ", ",I9,", ",I10,", ","SIEMENS",", ",I11,"MBTU, ",I12))</f>
        <v>GAS TRAIN, 2, FM, SIEMENS, 4.5MBTU, LEFT</v>
      </c>
      <c r="D6" s="2" t="str">
        <f>CONCATENATE($I$1,"-",$I$2,".4","-000")</f>
        <v>35284-01.4-000</v>
      </c>
      <c r="E6" s="2" t="s">
        <v>49</v>
      </c>
      <c r="F6" s="2" t="s">
        <v>50</v>
      </c>
      <c r="H6" s="5" t="s">
        <v>9</v>
      </c>
      <c r="I6" s="11">
        <v>2</v>
      </c>
      <c r="M6" s="1">
        <v>84</v>
      </c>
      <c r="P6" s="1">
        <v>11</v>
      </c>
      <c r="Q6" s="1">
        <v>3</v>
      </c>
      <c r="U6" s="1">
        <v>6</v>
      </c>
      <c r="W6" s="1">
        <v>1</v>
      </c>
    </row>
    <row r="7" spans="2:23" ht="25.15" customHeight="1" x14ac:dyDescent="0.3">
      <c r="B7" s="2" t="str">
        <f>CONCATENATE($I$1,"-",$I$2,".5")</f>
        <v>35284-01.5</v>
      </c>
      <c r="C7" s="4" t="str">
        <f>IF(I14="SINGLE",I16,I17)</f>
        <v>HEATER, MOD PIPING, RM</v>
      </c>
      <c r="D7" s="2" t="str">
        <f>CONCATENATE($I$1,"-",$I$2,".5","-000")</f>
        <v>35284-01.5-000</v>
      </c>
      <c r="E7" s="2" t="s">
        <v>49</v>
      </c>
      <c r="F7" s="2" t="s">
        <v>51</v>
      </c>
      <c r="H7" s="5" t="s">
        <v>7</v>
      </c>
      <c r="I7" s="11" t="s">
        <v>11</v>
      </c>
      <c r="M7" s="1">
        <v>96</v>
      </c>
      <c r="P7" s="1">
        <v>12</v>
      </c>
      <c r="Q7" s="1">
        <v>4</v>
      </c>
      <c r="U7" s="1">
        <v>7</v>
      </c>
      <c r="W7" s="1">
        <v>2</v>
      </c>
    </row>
    <row r="8" spans="2:23" ht="25.15" customHeight="1" x14ac:dyDescent="0.3">
      <c r="B8" s="6"/>
      <c r="C8" s="7"/>
      <c r="D8" s="6"/>
      <c r="E8" s="6"/>
      <c r="F8" s="6"/>
      <c r="H8" s="5" t="s">
        <v>0</v>
      </c>
      <c r="I8" s="11">
        <v>316</v>
      </c>
      <c r="P8" s="1">
        <v>13</v>
      </c>
      <c r="Q8" s="1">
        <v>6</v>
      </c>
      <c r="U8" s="1">
        <v>8</v>
      </c>
      <c r="W8" s="1">
        <v>3</v>
      </c>
    </row>
    <row r="9" spans="2:23" ht="25.15" customHeight="1" x14ac:dyDescent="0.3">
      <c r="B9" s="2" t="str">
        <f>CONCATENATE($I$1,"-",$I$2,".1-A")</f>
        <v>35284-01.1-A</v>
      </c>
      <c r="C9" s="4" t="str">
        <f>IF(I13=0,CONCATENATE("PRECUT HTR",I3,", ",I5,"STACK, 11GA, ",I8),CONCATENATE("PRECUT HTR",I13,I3,", ",I5,"STACK, 11GA, ",I8))</f>
        <v>PRECUT HTR42, 18STACK, 11GA, 316</v>
      </c>
      <c r="H9" s="5" t="s">
        <v>15</v>
      </c>
      <c r="I9" s="11">
        <v>2</v>
      </c>
      <c r="P9" s="1">
        <v>14</v>
      </c>
      <c r="U9" s="1">
        <v>9</v>
      </c>
      <c r="W9" s="1">
        <v>4</v>
      </c>
    </row>
    <row r="10" spans="2:23" ht="25.15" customHeight="1" x14ac:dyDescent="0.3">
      <c r="H10" s="5" t="s">
        <v>16</v>
      </c>
      <c r="I10" s="11" t="s">
        <v>18</v>
      </c>
      <c r="P10" s="1">
        <v>15</v>
      </c>
      <c r="U10" s="1">
        <v>9.9</v>
      </c>
    </row>
    <row r="11" spans="2:23" ht="25.15" customHeight="1" x14ac:dyDescent="0.3">
      <c r="B11" s="16" t="s">
        <v>61</v>
      </c>
      <c r="C11" s="16"/>
      <c r="H11" s="5" t="s">
        <v>17</v>
      </c>
      <c r="I11" s="11">
        <v>4.5</v>
      </c>
      <c r="P11" s="1">
        <v>16</v>
      </c>
      <c r="U11" s="1">
        <v>10</v>
      </c>
    </row>
    <row r="12" spans="2:23" ht="25.15" customHeight="1" x14ac:dyDescent="0.3">
      <c r="B12" s="1" t="str">
        <f>_xlfn.CONCAT("Hi George,  Can you setup P/Ns for Job: ", $I$1)</f>
        <v>Hi George,  Can you setup P/Ns for Job: 35284</v>
      </c>
      <c r="C12" s="6"/>
      <c r="D12" s="14"/>
      <c r="H12" s="5" t="s">
        <v>20</v>
      </c>
      <c r="I12" s="11" t="s">
        <v>21</v>
      </c>
      <c r="P12" s="1">
        <v>17</v>
      </c>
      <c r="U12" s="1">
        <v>10.5</v>
      </c>
    </row>
    <row r="13" spans="2:23" ht="25.15" customHeight="1" x14ac:dyDescent="0.3">
      <c r="C13" s="6"/>
      <c r="H13" s="5" t="s">
        <v>54</v>
      </c>
      <c r="I13" s="11"/>
      <c r="P13" s="1">
        <v>18</v>
      </c>
      <c r="U13" s="1">
        <v>11</v>
      </c>
    </row>
    <row r="14" spans="2:23" ht="25.15" customHeight="1" x14ac:dyDescent="0.3">
      <c r="B14" s="1" t="str">
        <f>B9</f>
        <v>35284-01.1-A</v>
      </c>
      <c r="C14" s="1" t="str">
        <f>C9</f>
        <v>PRECUT HTR42, 18STACK, 11GA, 316</v>
      </c>
      <c r="H14" s="3" t="s">
        <v>59</v>
      </c>
      <c r="I14" s="4" t="str">
        <f>IF(I11&lt;15,"SINGLE","DUAL")</f>
        <v>SINGLE</v>
      </c>
      <c r="P14" s="1">
        <v>19</v>
      </c>
      <c r="U14" s="1">
        <v>12</v>
      </c>
    </row>
    <row r="15" spans="2:23" ht="25.15" customHeight="1" x14ac:dyDescent="0.3">
      <c r="B15" s="1" t="str">
        <f>'Import Tank'!A5</f>
        <v>35284-01-A</v>
      </c>
      <c r="C15" s="1" t="str">
        <f>'Import Tank'!B5</f>
        <v>PRECUT TANK72X12, 11GA, 304</v>
      </c>
      <c r="H15" s="3" t="s">
        <v>14</v>
      </c>
      <c r="I15" s="4">
        <f>VLOOKUP(I5,N1:O5,2)</f>
        <v>10</v>
      </c>
      <c r="P15" s="1">
        <v>20</v>
      </c>
      <c r="U15" s="1">
        <v>12.5</v>
      </c>
    </row>
    <row r="16" spans="2:23" ht="25.15" customHeight="1" x14ac:dyDescent="0.3">
      <c r="H16" s="3" t="s">
        <v>6</v>
      </c>
      <c r="I16" s="4" t="str">
        <f>IF(AND(I14="SINGLE",I13=0),CONCATENATE("HEATER, MOD PIPING, ",I7),CONCATENATE("HEATER ",I13,", MOD PIPING, ",I7))</f>
        <v>HEATER, MOD PIPING, RM</v>
      </c>
      <c r="U16" s="1">
        <v>15</v>
      </c>
    </row>
    <row r="17" spans="2:21" ht="25.15" customHeight="1" x14ac:dyDescent="0.3">
      <c r="B17" s="1" t="s">
        <v>62</v>
      </c>
      <c r="H17" s="3" t="s">
        <v>6</v>
      </c>
      <c r="I17" s="4" t="str">
        <f>IF(AND(I14="SINGLE",I13=0),CONCATENATE("HEATER, MOD PIPING, ",I14," ,",I7),CONCATENATE("HEATER ",I13,", MOD PIPING, ",I14,", ",I7))</f>
        <v>HEATER, MOD PIPING, SINGLE ,RM</v>
      </c>
      <c r="U17" s="1">
        <v>18</v>
      </c>
    </row>
    <row r="18" spans="2:21" ht="25.15" customHeight="1" x14ac:dyDescent="0.3">
      <c r="U18" s="1">
        <v>19</v>
      </c>
    </row>
    <row r="19" spans="2:21" ht="25.15" customHeight="1" x14ac:dyDescent="0.3">
      <c r="U19" s="1">
        <v>20</v>
      </c>
    </row>
    <row r="20" spans="2:21" ht="25.15" customHeight="1" x14ac:dyDescent="0.3">
      <c r="U20" s="1">
        <v>21</v>
      </c>
    </row>
    <row r="21" spans="2:21" ht="25.15" customHeight="1" x14ac:dyDescent="0.3">
      <c r="U21" s="1">
        <v>25</v>
      </c>
    </row>
    <row r="22" spans="2:21" ht="25.15" customHeight="1" x14ac:dyDescent="0.3">
      <c r="U22" s="1">
        <v>30</v>
      </c>
    </row>
  </sheetData>
  <mergeCells count="1">
    <mergeCell ref="B11:C11"/>
  </mergeCells>
  <dataValidations count="11">
    <dataValidation type="list" allowBlank="1" showInputMessage="1" showErrorMessage="1" sqref="I3" xr:uid="{5F085CAA-AFDC-4AD2-B51E-770CAE0B26F6}">
      <formula1>$M$1:$M$7</formula1>
    </dataValidation>
    <dataValidation type="list" allowBlank="1" showInputMessage="1" showErrorMessage="1" sqref="I5" xr:uid="{DC950C9C-4FDB-4826-B337-36345F95963E}">
      <formula1>$N$1:$N$5</formula1>
    </dataValidation>
    <dataValidation type="list" allowBlank="1" showInputMessage="1" showErrorMessage="1" sqref="I6" xr:uid="{B840CD41-8F5B-471B-B7F9-BCB845040D2D}">
      <formula1>$Q$1:$Q$8</formula1>
    </dataValidation>
    <dataValidation type="list" allowBlank="1" showInputMessage="1" showErrorMessage="1" sqref="I7" xr:uid="{5FCF5626-56F6-4C38-919A-0E9A527DF7CD}">
      <formula1>$R$1:$R$4</formula1>
    </dataValidation>
    <dataValidation type="list" allowBlank="1" showInputMessage="1" showErrorMessage="1" sqref="I8" xr:uid="{6E732954-1F59-4F7C-AA77-EB08475CD067}">
      <formula1>$L$1:$L$3</formula1>
    </dataValidation>
    <dataValidation type="list" allowBlank="1" showInputMessage="1" showErrorMessage="1" sqref="I9" xr:uid="{F52CC5E0-6E66-4D8D-BEFE-03D5F1C1DD45}">
      <formula1>$S$1:$S$5</formula1>
    </dataValidation>
    <dataValidation type="list" allowBlank="1" showInputMessage="1" showErrorMessage="1" sqref="I10" xr:uid="{B73277D6-0143-4447-AFBF-D29C91657408}">
      <formula1>$T$1:$T$2</formula1>
    </dataValidation>
    <dataValidation type="list" allowBlank="1" showInputMessage="1" showErrorMessage="1" sqref="I12" xr:uid="{07E3BAF9-8318-4465-BB4D-04BA74EB362C}">
      <formula1>$V$1:$V$2</formula1>
    </dataValidation>
    <dataValidation type="list" allowBlank="1" showInputMessage="1" showErrorMessage="1" sqref="I13" xr:uid="{576B7D99-17C1-493A-AFA3-1E0DCDB79054}">
      <formula1>$W$1:$W$9</formula1>
    </dataValidation>
    <dataValidation type="list" allowBlank="1" showInputMessage="1" showErrorMessage="1" sqref="I11" xr:uid="{E72531C3-3C80-48C9-BB3F-BBA5B901F25A}">
      <formula1>$U$1:$U$22</formula1>
    </dataValidation>
    <dataValidation type="list" allowBlank="1" showInputMessage="1" showErrorMessage="1" sqref="I4" xr:uid="{CB7A502A-A030-40CF-9ED2-FFADC634DCAC}">
      <formula1>$P$1:$P$15</formula1>
    </dataValidation>
  </dataValidations>
  <hyperlinks>
    <hyperlink ref="B11" r:id="rId1" xr:uid="{FF19D5C4-1F73-48C6-9A1C-17960C46E648}"/>
  </hyperlinks>
  <printOptions horizontalCentered="1" verticalCentered="1"/>
  <pageMargins left="0.7" right="0.7" top="0.75" bottom="0.75" header="0.3" footer="0.3"/>
  <pageSetup scale="65" fitToHeight="0" orientation="landscape" r:id="rId2"/>
  <headerFooter>
    <oddHeader>&amp;C&amp;22 35293
OZINGA, IL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D5D-7D76-4330-AD5F-C5A958E659F1}">
  <dimension ref="A1:P33"/>
  <sheetViews>
    <sheetView zoomScale="130" zoomScaleNormal="130" workbookViewId="0">
      <selection activeCell="C2" sqref="C2"/>
    </sheetView>
  </sheetViews>
  <sheetFormatPr defaultColWidth="8.7109375" defaultRowHeight="25.15" customHeight="1" x14ac:dyDescent="0.3"/>
  <cols>
    <col min="1" max="1" width="30.7109375" style="1" customWidth="1"/>
    <col min="2" max="2" width="45.28515625" style="1" customWidth="1"/>
    <col min="3" max="5" width="16.7109375" style="1" customWidth="1"/>
    <col min="6" max="6" width="8.7109375" style="1"/>
    <col min="7" max="7" width="8.7109375" style="1" customWidth="1"/>
    <col min="8" max="9" width="20.7109375" style="1" customWidth="1"/>
    <col min="10" max="11" width="8.7109375" style="1"/>
    <col min="12" max="16" width="8.7109375" style="1" hidden="1" customWidth="1"/>
    <col min="17" max="17" width="0" style="1" hidden="1" customWidth="1"/>
    <col min="18" max="16384" width="8.7109375" style="1"/>
  </cols>
  <sheetData>
    <row r="1" spans="1:16" ht="25.15" customHeight="1" x14ac:dyDescent="0.3">
      <c r="A1" s="3" t="s">
        <v>5</v>
      </c>
      <c r="B1" s="3" t="s">
        <v>6</v>
      </c>
      <c r="C1" s="3" t="s">
        <v>23</v>
      </c>
      <c r="D1" s="3" t="s">
        <v>47</v>
      </c>
      <c r="E1" s="3" t="s">
        <v>52</v>
      </c>
      <c r="H1" s="5" t="s">
        <v>1</v>
      </c>
      <c r="I1" s="12">
        <f>'Import Heater'!I1</f>
        <v>35284</v>
      </c>
      <c r="L1" s="1">
        <v>304</v>
      </c>
      <c r="M1" s="1">
        <v>48</v>
      </c>
      <c r="N1" s="1">
        <v>3</v>
      </c>
      <c r="O1" s="1">
        <v>36.25</v>
      </c>
      <c r="P1" s="1" t="s">
        <v>25</v>
      </c>
    </row>
    <row r="2" spans="1:16" ht="25.15" customHeight="1" x14ac:dyDescent="0.3">
      <c r="A2" s="2" t="str">
        <f>CONCATENATE($I$1,"-",$I$2)</f>
        <v>35284-01</v>
      </c>
      <c r="B2" s="4" t="str">
        <f>CONCATENATE("TANK, ",I3,"X",I4,", ",I6,", ",I5)</f>
        <v>TANK, 72X12, HW, 304</v>
      </c>
      <c r="C2" s="2" t="str">
        <f>CONCATENATE($I$1,"-",$I$2,"-000")</f>
        <v>35284-01-000</v>
      </c>
      <c r="D2" s="2" t="s">
        <v>48</v>
      </c>
      <c r="E2" s="2" t="s">
        <v>53</v>
      </c>
      <c r="H2" s="5" t="s">
        <v>2</v>
      </c>
      <c r="I2" s="10" t="s">
        <v>82</v>
      </c>
      <c r="L2" s="1">
        <v>316</v>
      </c>
      <c r="M2" s="1">
        <f>M1+6</f>
        <v>54</v>
      </c>
      <c r="N2" s="1">
        <v>4</v>
      </c>
      <c r="O2" s="1">
        <v>48.25</v>
      </c>
      <c r="P2" s="1" t="s">
        <v>26</v>
      </c>
    </row>
    <row r="3" spans="1:16" ht="25.15" customHeight="1" x14ac:dyDescent="0.3">
      <c r="A3" s="2" t="str">
        <f>CONCATENATE($I$1,"-",$I$2,".1")</f>
        <v>35284-01.1</v>
      </c>
      <c r="B3" s="4" t="str">
        <f>CONCATENATE("TANK, SHELL, ",I3,"X",I7,", ",I5)</f>
        <v>TANK, SHELL, 72X143.5, 304</v>
      </c>
      <c r="C3" s="2" t="str">
        <f>CONCATENATE($I$1,"-",$I$2,".1","-000")</f>
        <v>35284-01.1-000</v>
      </c>
      <c r="D3" s="2" t="s">
        <v>49</v>
      </c>
      <c r="E3" s="2" t="s">
        <v>51</v>
      </c>
      <c r="H3" s="5" t="s">
        <v>31</v>
      </c>
      <c r="I3" s="11">
        <v>72</v>
      </c>
      <c r="M3" s="1">
        <f t="shared" ref="M3:M21" si="0">M2+6</f>
        <v>60</v>
      </c>
      <c r="N3" s="1">
        <v>5</v>
      </c>
      <c r="O3" s="1">
        <v>60.25</v>
      </c>
      <c r="P3" s="1" t="s">
        <v>27</v>
      </c>
    </row>
    <row r="4" spans="1:16" ht="25.15" customHeight="1" x14ac:dyDescent="0.3">
      <c r="H4" s="5" t="s">
        <v>32</v>
      </c>
      <c r="I4" s="11">
        <v>12</v>
      </c>
      <c r="M4" s="1">
        <f>M3+6</f>
        <v>66</v>
      </c>
      <c r="N4" s="1">
        <v>6</v>
      </c>
      <c r="O4" s="1">
        <v>72.25</v>
      </c>
      <c r="P4" s="1" t="s">
        <v>28</v>
      </c>
    </row>
    <row r="5" spans="1:16" ht="25.15" customHeight="1" x14ac:dyDescent="0.3">
      <c r="A5" s="2" t="str">
        <f>CONCATENATE($I$1,"-",$I$2,"-A")</f>
        <v>35284-01-A</v>
      </c>
      <c r="B5" s="4" t="str">
        <f>CONCATENATE("PRECUT TANK",I3,"X",I4,", 11GA, ",I5)</f>
        <v>PRECUT TANK72X12, 11GA, 304</v>
      </c>
      <c r="H5" s="5" t="s">
        <v>0</v>
      </c>
      <c r="I5" s="11">
        <v>304</v>
      </c>
      <c r="M5" s="1">
        <f t="shared" si="0"/>
        <v>72</v>
      </c>
      <c r="N5" s="1">
        <v>7</v>
      </c>
      <c r="O5" s="1">
        <f>(N5*12)-0.5</f>
        <v>83.5</v>
      </c>
      <c r="P5" s="1" t="s">
        <v>29</v>
      </c>
    </row>
    <row r="6" spans="1:16" ht="25.15" customHeight="1" x14ac:dyDescent="0.3">
      <c r="H6" s="5" t="s">
        <v>24</v>
      </c>
      <c r="I6" s="11" t="s">
        <v>25</v>
      </c>
      <c r="M6" s="1">
        <f t="shared" si="0"/>
        <v>78</v>
      </c>
      <c r="N6" s="1">
        <v>8</v>
      </c>
      <c r="O6" s="1">
        <f t="shared" ref="O6:O10" si="1">(N6*12)-0.5</f>
        <v>95.5</v>
      </c>
      <c r="P6" s="1" t="s">
        <v>30</v>
      </c>
    </row>
    <row r="7" spans="1:16" ht="25.15" customHeight="1" x14ac:dyDescent="0.3">
      <c r="H7" s="13" t="s">
        <v>33</v>
      </c>
      <c r="I7" s="12">
        <f>VLOOKUP(I4,N1:O23,2)</f>
        <v>143.5</v>
      </c>
      <c r="M7" s="1">
        <f t="shared" si="0"/>
        <v>84</v>
      </c>
      <c r="N7" s="1">
        <v>9</v>
      </c>
      <c r="O7" s="1">
        <f t="shared" si="1"/>
        <v>107.5</v>
      </c>
      <c r="P7" s="1" t="s">
        <v>81</v>
      </c>
    </row>
    <row r="8" spans="1:16" ht="25.15" customHeight="1" x14ac:dyDescent="0.3">
      <c r="M8" s="1">
        <f t="shared" si="0"/>
        <v>90</v>
      </c>
      <c r="N8" s="1">
        <v>10</v>
      </c>
      <c r="O8" s="1">
        <f t="shared" si="1"/>
        <v>119.5</v>
      </c>
    </row>
    <row r="9" spans="1:16" ht="25.15" customHeight="1" x14ac:dyDescent="0.3">
      <c r="M9" s="1">
        <f t="shared" si="0"/>
        <v>96</v>
      </c>
      <c r="N9" s="1">
        <v>11</v>
      </c>
      <c r="O9" s="1">
        <f t="shared" si="1"/>
        <v>131.5</v>
      </c>
    </row>
    <row r="10" spans="1:16" ht="25.15" customHeight="1" x14ac:dyDescent="0.3">
      <c r="M10" s="1">
        <f t="shared" si="0"/>
        <v>102</v>
      </c>
      <c r="N10" s="1">
        <v>12</v>
      </c>
      <c r="O10" s="1">
        <f t="shared" si="1"/>
        <v>143.5</v>
      </c>
    </row>
    <row r="11" spans="1:16" ht="25.15" customHeight="1" x14ac:dyDescent="0.3">
      <c r="M11" s="1">
        <f t="shared" si="0"/>
        <v>108</v>
      </c>
      <c r="N11" s="1">
        <v>13</v>
      </c>
      <c r="O11" s="1">
        <f>(N11*12)-1.25</f>
        <v>154.75</v>
      </c>
    </row>
    <row r="12" spans="1:16" ht="25.15" customHeight="1" x14ac:dyDescent="0.3">
      <c r="M12" s="1">
        <f t="shared" si="0"/>
        <v>114</v>
      </c>
      <c r="N12" s="1">
        <v>14</v>
      </c>
      <c r="O12" s="1">
        <f t="shared" ref="O12:O16" si="2">(N12*12)-1.25</f>
        <v>166.75</v>
      </c>
    </row>
    <row r="13" spans="1:16" ht="25.15" customHeight="1" x14ac:dyDescent="0.3">
      <c r="M13" s="1">
        <f t="shared" si="0"/>
        <v>120</v>
      </c>
      <c r="N13" s="1">
        <v>15</v>
      </c>
      <c r="O13" s="1">
        <f t="shared" si="2"/>
        <v>178.75</v>
      </c>
    </row>
    <row r="14" spans="1:16" ht="25.15" customHeight="1" x14ac:dyDescent="0.3">
      <c r="M14" s="1">
        <f t="shared" si="0"/>
        <v>126</v>
      </c>
      <c r="N14" s="1">
        <v>16</v>
      </c>
      <c r="O14" s="1">
        <f t="shared" si="2"/>
        <v>190.75</v>
      </c>
    </row>
    <row r="15" spans="1:16" ht="25.15" customHeight="1" x14ac:dyDescent="0.3">
      <c r="M15" s="1">
        <f t="shared" si="0"/>
        <v>132</v>
      </c>
      <c r="N15" s="1">
        <v>17</v>
      </c>
      <c r="O15" s="1">
        <f t="shared" si="2"/>
        <v>202.75</v>
      </c>
    </row>
    <row r="16" spans="1:16" ht="25.15" customHeight="1" x14ac:dyDescent="0.3">
      <c r="M16" s="1">
        <f t="shared" si="0"/>
        <v>138</v>
      </c>
      <c r="N16" s="1">
        <v>18</v>
      </c>
      <c r="O16" s="1">
        <f t="shared" si="2"/>
        <v>214.75</v>
      </c>
    </row>
    <row r="17" spans="13:15" ht="25.15" customHeight="1" x14ac:dyDescent="0.3">
      <c r="M17" s="1">
        <f t="shared" si="0"/>
        <v>144</v>
      </c>
      <c r="N17" s="1">
        <v>19</v>
      </c>
      <c r="O17" s="1">
        <f>(N17*12)-2</f>
        <v>226</v>
      </c>
    </row>
    <row r="18" spans="13:15" ht="25.15" customHeight="1" x14ac:dyDescent="0.3">
      <c r="M18" s="1">
        <f t="shared" si="0"/>
        <v>150</v>
      </c>
      <c r="N18" s="1">
        <v>20</v>
      </c>
      <c r="O18" s="1">
        <f t="shared" ref="O18:O22" si="3">(N18*12)-2</f>
        <v>238</v>
      </c>
    </row>
    <row r="19" spans="13:15" ht="25.15" customHeight="1" x14ac:dyDescent="0.3">
      <c r="M19" s="1">
        <f t="shared" si="0"/>
        <v>156</v>
      </c>
      <c r="N19" s="1">
        <v>21</v>
      </c>
      <c r="O19" s="1">
        <f t="shared" si="3"/>
        <v>250</v>
      </c>
    </row>
    <row r="20" spans="13:15" ht="25.15" customHeight="1" x14ac:dyDescent="0.3">
      <c r="M20" s="1">
        <f t="shared" si="0"/>
        <v>162</v>
      </c>
      <c r="N20" s="1">
        <v>22</v>
      </c>
      <c r="O20" s="1">
        <f t="shared" si="3"/>
        <v>262</v>
      </c>
    </row>
    <row r="21" spans="13:15" ht="25.15" customHeight="1" x14ac:dyDescent="0.3">
      <c r="M21" s="1">
        <f t="shared" si="0"/>
        <v>168</v>
      </c>
      <c r="N21" s="1">
        <v>23</v>
      </c>
      <c r="O21" s="1">
        <f t="shared" si="3"/>
        <v>274</v>
      </c>
    </row>
    <row r="22" spans="13:15" ht="25.15" customHeight="1" x14ac:dyDescent="0.3">
      <c r="N22" s="1">
        <v>24</v>
      </c>
      <c r="O22" s="1">
        <f t="shared" si="3"/>
        <v>286</v>
      </c>
    </row>
    <row r="23" spans="13:15" ht="25.15" customHeight="1" x14ac:dyDescent="0.3">
      <c r="N23" s="1">
        <v>25</v>
      </c>
      <c r="O23" s="1">
        <f>(N23*12)-2.75</f>
        <v>297.25</v>
      </c>
    </row>
    <row r="24" spans="13:15" ht="25.15" customHeight="1" x14ac:dyDescent="0.3">
      <c r="N24" s="1">
        <v>26</v>
      </c>
      <c r="O24" s="1">
        <f t="shared" ref="O24:O28" si="4">(N24*12)-2.75</f>
        <v>309.25</v>
      </c>
    </row>
    <row r="25" spans="13:15" ht="25.15" customHeight="1" x14ac:dyDescent="0.3">
      <c r="N25" s="1">
        <v>27</v>
      </c>
      <c r="O25" s="1">
        <f t="shared" si="4"/>
        <v>321.25</v>
      </c>
    </row>
    <row r="26" spans="13:15" ht="25.15" customHeight="1" x14ac:dyDescent="0.3">
      <c r="N26" s="1">
        <v>28</v>
      </c>
      <c r="O26" s="1">
        <f t="shared" si="4"/>
        <v>333.25</v>
      </c>
    </row>
    <row r="27" spans="13:15" ht="25.15" customHeight="1" x14ac:dyDescent="0.3">
      <c r="N27" s="1">
        <v>29</v>
      </c>
      <c r="O27" s="1">
        <f t="shared" si="4"/>
        <v>345.25</v>
      </c>
    </row>
    <row r="28" spans="13:15" ht="25.15" customHeight="1" x14ac:dyDescent="0.3">
      <c r="N28" s="1">
        <v>30</v>
      </c>
      <c r="O28" s="1">
        <f t="shared" si="4"/>
        <v>357.25</v>
      </c>
    </row>
    <row r="29" spans="13:15" ht="25.15" customHeight="1" x14ac:dyDescent="0.3">
      <c r="N29" s="1">
        <v>31</v>
      </c>
      <c r="O29" s="1">
        <f>(N29*12)-3.5</f>
        <v>368.5</v>
      </c>
    </row>
    <row r="30" spans="13:15" ht="25.15" customHeight="1" x14ac:dyDescent="0.3">
      <c r="N30" s="1">
        <v>32</v>
      </c>
      <c r="O30" s="1">
        <f t="shared" ref="O30:O33" si="5">(N30*12)-3.5</f>
        <v>380.5</v>
      </c>
    </row>
    <row r="31" spans="13:15" ht="25.15" customHeight="1" x14ac:dyDescent="0.3">
      <c r="N31" s="1">
        <v>33</v>
      </c>
      <c r="O31" s="1">
        <f t="shared" si="5"/>
        <v>392.5</v>
      </c>
    </row>
    <row r="32" spans="13:15" ht="25.15" customHeight="1" x14ac:dyDescent="0.3">
      <c r="N32" s="1">
        <v>34</v>
      </c>
      <c r="O32" s="1">
        <f t="shared" si="5"/>
        <v>404.5</v>
      </c>
    </row>
    <row r="33" spans="14:15" ht="25.15" customHeight="1" x14ac:dyDescent="0.3">
      <c r="N33" s="1">
        <v>35</v>
      </c>
      <c r="O33" s="1">
        <f t="shared" si="5"/>
        <v>416.5</v>
      </c>
    </row>
  </sheetData>
  <phoneticPr fontId="6" type="noConversion"/>
  <dataValidations count="4">
    <dataValidation type="list" allowBlank="1" showInputMessage="1" showErrorMessage="1" sqref="I5" xr:uid="{AE61A0BE-382E-4F11-ACC8-55DFFE64DAA5}">
      <formula1>$L$1:$L$2</formula1>
    </dataValidation>
    <dataValidation type="list" allowBlank="1" showInputMessage="1" showErrorMessage="1" sqref="I4" xr:uid="{BF383AB6-A70F-4B09-B175-0458E07BF24E}">
      <formula1>$N$1:$N$33</formula1>
    </dataValidation>
    <dataValidation type="list" allowBlank="1" showInputMessage="1" showErrorMessage="1" sqref="I3" xr:uid="{D5B11206-46D9-4494-861F-78AA05B88944}">
      <formula1>$M$1:$M$21</formula1>
    </dataValidation>
    <dataValidation type="list" allowBlank="1" showInputMessage="1" showErrorMessage="1" sqref="I6" xr:uid="{A8587AA8-73C8-4B63-8A05-84E9A25540D9}">
      <formula1>$P$1:$P$9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06F4-AE0F-4BCC-9847-D4171CB00851}">
  <dimension ref="A1:N17"/>
  <sheetViews>
    <sheetView zoomScale="145" zoomScaleNormal="145" workbookViewId="0"/>
  </sheetViews>
  <sheetFormatPr defaultColWidth="8.7109375" defaultRowHeight="25.15" customHeight="1" x14ac:dyDescent="0.3"/>
  <cols>
    <col min="1" max="1" width="30.7109375" style="1" customWidth="1"/>
    <col min="2" max="2" width="45.28515625" style="1" customWidth="1"/>
    <col min="3" max="3" width="16.7109375" style="1" customWidth="1"/>
    <col min="4" max="4" width="8.7109375" style="1"/>
    <col min="5" max="5" width="8.7109375" style="1" customWidth="1"/>
    <col min="6" max="7" width="20.7109375" style="1" customWidth="1"/>
    <col min="8" max="9" width="8.7109375" style="1"/>
    <col min="10" max="10" width="8.7109375" style="1" hidden="1" customWidth="1"/>
    <col min="11" max="11" width="12.5703125" style="1" hidden="1" customWidth="1"/>
    <col min="12" max="14" width="8.7109375" style="1" hidden="1" customWidth="1"/>
    <col min="15" max="16" width="0" style="1" hidden="1" customWidth="1"/>
    <col min="17" max="16384" width="8.7109375" style="1"/>
  </cols>
  <sheetData>
    <row r="1" spans="1:14" ht="25.15" customHeight="1" x14ac:dyDescent="0.3">
      <c r="A1" s="3" t="s">
        <v>5</v>
      </c>
      <c r="B1" s="3" t="s">
        <v>6</v>
      </c>
      <c r="C1" s="3" t="s">
        <v>23</v>
      </c>
      <c r="F1" s="3" t="s">
        <v>1</v>
      </c>
      <c r="G1" s="15">
        <f>'Import Heater'!I1</f>
        <v>35284</v>
      </c>
      <c r="J1" s="1">
        <v>304</v>
      </c>
      <c r="K1" s="1" t="s">
        <v>40</v>
      </c>
      <c r="L1" s="1" t="s">
        <v>37</v>
      </c>
      <c r="M1" s="1" t="s">
        <v>25</v>
      </c>
      <c r="N1" s="1">
        <v>0.5</v>
      </c>
    </row>
    <row r="2" spans="1:14" ht="25.15" customHeight="1" x14ac:dyDescent="0.3">
      <c r="A2" s="2" t="str">
        <f>CONCATENATE($G$1,"-",$G$2)</f>
        <v>35284-05</v>
      </c>
      <c r="B2" s="4" t="str">
        <f>IF(G4="LP",CONCATENATE("PUMP, ",G3,", ",G5,", ",G6,"HP"),CONCATENATE("PUMP, ",G3,", ",G4,", ",G5,", ",G6,"HP"))</f>
        <v>PUMP, SIMPLEX, HW, 2HP</v>
      </c>
      <c r="C2" s="2" t="str">
        <f>CONCATENATE($G$1,"-",$G$2,"-000")</f>
        <v>35284-05-000</v>
      </c>
      <c r="F2" s="3" t="s">
        <v>2</v>
      </c>
      <c r="G2" s="10" t="s">
        <v>60</v>
      </c>
      <c r="J2" s="1">
        <v>316</v>
      </c>
      <c r="K2" s="1" t="s">
        <v>41</v>
      </c>
      <c r="L2" s="1" t="s">
        <v>39</v>
      </c>
      <c r="M2" s="1" t="s">
        <v>26</v>
      </c>
      <c r="N2" s="1">
        <v>0.75</v>
      </c>
    </row>
    <row r="3" spans="1:14" ht="25.15" customHeight="1" x14ac:dyDescent="0.3">
      <c r="A3" s="2" t="str">
        <f>CONCATENATE($G$1,"-",$G$2,".1")</f>
        <v>35284-05.1</v>
      </c>
      <c r="B3" s="4" t="str">
        <f>CONCATENATE("PUMP SKID, ",G3,", ",G8,"X",G9,"X",G10,", ",G7)</f>
        <v>PUMP SKID, SIMPLEX, 60X28X5.78, 304</v>
      </c>
      <c r="C3" s="2" t="str">
        <f>CONCATENATE($G$1,"-",$G$2,".1","-000")</f>
        <v>35284-05.1-000</v>
      </c>
      <c r="F3" s="3" t="s">
        <v>34</v>
      </c>
      <c r="G3" s="11" t="s">
        <v>40</v>
      </c>
      <c r="K3" s="1" t="s">
        <v>35</v>
      </c>
      <c r="L3" s="1" t="s">
        <v>38</v>
      </c>
      <c r="M3" s="1" t="s">
        <v>27</v>
      </c>
      <c r="N3" s="1">
        <v>1</v>
      </c>
    </row>
    <row r="4" spans="1:14" ht="25.15" customHeight="1" x14ac:dyDescent="0.3">
      <c r="A4" s="2" t="str">
        <f>CONCATENATE($G$1,"-",$G$2,".1-A")</f>
        <v>35284-05.1-A</v>
      </c>
      <c r="B4" s="4" t="str">
        <f>IF(G3="SIMPLEX",CONCATENATE("PRECUT, ",G3," PUMP SKID",","," 11GA"),CONCATENATE("PRECUT, ",G3," PUMP SKID",","," 3/16PL"))</f>
        <v>PRECUT, SIMPLEX PUMP SKID, 11GA</v>
      </c>
      <c r="F4" s="3" t="s">
        <v>45</v>
      </c>
      <c r="G4" s="11" t="s">
        <v>37</v>
      </c>
      <c r="K4" s="1" t="s">
        <v>36</v>
      </c>
      <c r="M4" s="1" t="s">
        <v>28</v>
      </c>
      <c r="N4" s="1">
        <v>2</v>
      </c>
    </row>
    <row r="5" spans="1:14" ht="25.15" customHeight="1" x14ac:dyDescent="0.3">
      <c r="F5" s="3" t="s">
        <v>24</v>
      </c>
      <c r="G5" s="11" t="s">
        <v>25</v>
      </c>
      <c r="M5" s="1" t="s">
        <v>29</v>
      </c>
      <c r="N5" s="1">
        <v>3</v>
      </c>
    </row>
    <row r="6" spans="1:14" ht="25.15" customHeight="1" x14ac:dyDescent="0.3">
      <c r="F6" s="3" t="s">
        <v>38</v>
      </c>
      <c r="G6" s="11">
        <v>2</v>
      </c>
      <c r="M6" s="1" t="s">
        <v>30</v>
      </c>
      <c r="N6" s="1">
        <v>5</v>
      </c>
    </row>
    <row r="7" spans="1:14" ht="25.15" customHeight="1" x14ac:dyDescent="0.3">
      <c r="F7" s="3" t="s">
        <v>0</v>
      </c>
      <c r="G7" s="11">
        <v>304</v>
      </c>
      <c r="N7" s="1">
        <v>7.5</v>
      </c>
    </row>
    <row r="8" spans="1:14" ht="25.15" customHeight="1" x14ac:dyDescent="0.3">
      <c r="F8" s="3" t="s">
        <v>42</v>
      </c>
      <c r="G8" s="11">
        <v>60</v>
      </c>
      <c r="N8" s="1">
        <v>10</v>
      </c>
    </row>
    <row r="9" spans="1:14" ht="25.15" customHeight="1" x14ac:dyDescent="0.3">
      <c r="F9" s="3" t="s">
        <v>43</v>
      </c>
      <c r="G9" s="11">
        <v>28</v>
      </c>
      <c r="N9" s="1">
        <v>15</v>
      </c>
    </row>
    <row r="10" spans="1:14" ht="25.15" customHeight="1" x14ac:dyDescent="0.3">
      <c r="F10" s="3" t="s">
        <v>44</v>
      </c>
      <c r="G10" s="11">
        <v>5.78</v>
      </c>
      <c r="N10" s="1">
        <v>20</v>
      </c>
    </row>
    <row r="11" spans="1:14" ht="25.15" customHeight="1" x14ac:dyDescent="0.3">
      <c r="N11" s="1">
        <v>25</v>
      </c>
    </row>
    <row r="12" spans="1:14" ht="25.15" customHeight="1" x14ac:dyDescent="0.3">
      <c r="N12" s="1">
        <v>30</v>
      </c>
    </row>
    <row r="13" spans="1:14" ht="25.15" customHeight="1" x14ac:dyDescent="0.3">
      <c r="N13" s="1">
        <v>40</v>
      </c>
    </row>
    <row r="14" spans="1:14" ht="25.15" customHeight="1" x14ac:dyDescent="0.3">
      <c r="N14" s="1">
        <v>50</v>
      </c>
    </row>
    <row r="15" spans="1:14" ht="25.15" customHeight="1" x14ac:dyDescent="0.3">
      <c r="N15" s="1">
        <v>60</v>
      </c>
    </row>
    <row r="16" spans="1:14" ht="25.15" customHeight="1" x14ac:dyDescent="0.3">
      <c r="N16" s="1">
        <v>75</v>
      </c>
    </row>
    <row r="17" spans="1:14" ht="25.15" customHeight="1" x14ac:dyDescent="0.3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N17" s="1">
        <v>100</v>
      </c>
    </row>
  </sheetData>
  <dataValidations count="7">
    <dataValidation type="list" allowBlank="1" showInputMessage="1" showErrorMessage="1" sqref="G5" xr:uid="{ACD1E4CD-8B75-48A0-9A9F-A0FBD4774917}">
      <formula1>$M$1:$M$9</formula1>
    </dataValidation>
    <dataValidation type="list" allowBlank="1" showInputMessage="1" showErrorMessage="1" sqref="G4" xr:uid="{21422681-9DC0-4FF3-9E50-BB3A4A45F6A7}">
      <formula1>$L$1:$L$3</formula1>
    </dataValidation>
    <dataValidation type="list" allowBlank="1" showInputMessage="1" showErrorMessage="1" sqref="G3" xr:uid="{1FCD4BAD-8011-4B5A-9529-9C90A7692D57}">
      <formula1>$K$1:$K$4</formula1>
    </dataValidation>
    <dataValidation type="list" allowBlank="1" showInputMessage="1" showErrorMessage="1" sqref="G7" xr:uid="{101EADFC-0278-4273-A802-8B1B4EAE48CE}">
      <formula1>$J$1:$J$2</formula1>
    </dataValidation>
    <dataValidation type="list" allowBlank="1" showInputMessage="1" showErrorMessage="1" sqref="G6" xr:uid="{5CDAE7D5-F6BF-488D-90CA-A62F6BF6B03A}">
      <formula1>$N$1:$N$17</formula1>
    </dataValidation>
    <dataValidation type="list" allowBlank="1" showInputMessage="1" showErrorMessage="1" sqref="G4" xr:uid="{03D14784-F87E-4C1B-A3E0-138D0589EE62}">
      <formula1>$M$1:$M$6</formula1>
    </dataValidation>
    <dataValidation type="list" allowBlank="1" showInputMessage="1" showErrorMessage="1" sqref="G5" xr:uid="{B9C01271-BE9F-4552-BC25-74D1FA693B8A}">
      <formula1>$M$1:$M$7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D131-3934-4BA1-9E53-99123CE6A30A}">
  <sheetPr>
    <pageSetUpPr fitToPage="1"/>
  </sheetPr>
  <dimension ref="B1:U22"/>
  <sheetViews>
    <sheetView zoomScaleNormal="100" workbookViewId="0">
      <selection activeCell="A10" sqref="A10"/>
    </sheetView>
  </sheetViews>
  <sheetFormatPr defaultColWidth="8.7109375" defaultRowHeight="25.15" customHeight="1" x14ac:dyDescent="0.3"/>
  <cols>
    <col min="1" max="1" width="3.5703125" style="1" customWidth="1"/>
    <col min="2" max="2" width="30.7109375" style="1" customWidth="1"/>
    <col min="3" max="3" width="50.7109375" style="1" customWidth="1"/>
    <col min="4" max="4" width="17.7109375" style="1" customWidth="1"/>
    <col min="5" max="6" width="16.7109375" style="1" customWidth="1"/>
    <col min="7" max="7" width="12.7109375" style="1" customWidth="1"/>
    <col min="8" max="21" width="8.7109375" style="1" hidden="1" customWidth="1"/>
    <col min="22" max="16384" width="8.7109375" style="1"/>
  </cols>
  <sheetData>
    <row r="1" spans="2:21" ht="25.15" customHeight="1" x14ac:dyDescent="0.3">
      <c r="B1" s="3" t="s">
        <v>5</v>
      </c>
      <c r="C1" s="3" t="s">
        <v>6</v>
      </c>
      <c r="D1" s="3" t="s">
        <v>23</v>
      </c>
      <c r="E1" s="3" t="s">
        <v>47</v>
      </c>
      <c r="F1" s="3" t="s">
        <v>52</v>
      </c>
      <c r="J1" s="1">
        <v>304</v>
      </c>
      <c r="K1" s="1">
        <v>30</v>
      </c>
      <c r="L1" s="1">
        <v>12</v>
      </c>
      <c r="M1" s="1">
        <v>9.5</v>
      </c>
      <c r="N1" s="1">
        <v>7</v>
      </c>
      <c r="O1" s="1">
        <v>1</v>
      </c>
      <c r="P1" s="1" t="s">
        <v>10</v>
      </c>
      <c r="Q1" s="1">
        <v>1</v>
      </c>
      <c r="R1" s="1" t="s">
        <v>19</v>
      </c>
      <c r="S1" s="1">
        <v>1.2</v>
      </c>
      <c r="T1" s="1" t="s">
        <v>21</v>
      </c>
    </row>
    <row r="2" spans="2:21" ht="25.15" customHeight="1" x14ac:dyDescent="0.3">
      <c r="B2" s="2" t="s">
        <v>66</v>
      </c>
      <c r="C2" s="4" t="s">
        <v>72</v>
      </c>
      <c r="D2" s="2" t="s">
        <v>73</v>
      </c>
      <c r="E2" s="2" t="s">
        <v>48</v>
      </c>
      <c r="F2" s="2" t="s">
        <v>53</v>
      </c>
      <c r="J2" s="1">
        <v>316</v>
      </c>
      <c r="K2" s="1">
        <v>42</v>
      </c>
      <c r="L2" s="1">
        <v>18</v>
      </c>
      <c r="M2" s="1">
        <v>10</v>
      </c>
      <c r="N2" s="1">
        <v>8</v>
      </c>
      <c r="O2" s="1">
        <v>1.25</v>
      </c>
      <c r="P2" s="1" t="s">
        <v>11</v>
      </c>
      <c r="Q2" s="1">
        <v>1.5</v>
      </c>
      <c r="R2" s="1" t="s">
        <v>18</v>
      </c>
      <c r="S2" s="1">
        <v>2</v>
      </c>
      <c r="T2" s="1" t="s">
        <v>22</v>
      </c>
      <c r="U2" s="1" t="s">
        <v>55</v>
      </c>
    </row>
    <row r="3" spans="2:21" ht="25.15" customHeight="1" x14ac:dyDescent="0.3">
      <c r="B3" s="2" t="s">
        <v>67</v>
      </c>
      <c r="C3" s="4" t="s">
        <v>74</v>
      </c>
      <c r="D3" s="2" t="s">
        <v>75</v>
      </c>
      <c r="E3" s="2" t="s">
        <v>49</v>
      </c>
      <c r="F3" s="2" t="s">
        <v>50</v>
      </c>
      <c r="J3" s="1" t="s">
        <v>46</v>
      </c>
      <c r="K3" s="1">
        <v>54</v>
      </c>
      <c r="L3" s="1">
        <v>24</v>
      </c>
      <c r="M3" s="1">
        <v>12</v>
      </c>
      <c r="N3" s="1">
        <v>8.5</v>
      </c>
      <c r="O3" s="1">
        <v>1.5</v>
      </c>
      <c r="P3" s="1" t="s">
        <v>12</v>
      </c>
      <c r="Q3" s="1">
        <v>2</v>
      </c>
      <c r="S3" s="1">
        <v>3</v>
      </c>
      <c r="U3" s="1" t="s">
        <v>56</v>
      </c>
    </row>
    <row r="4" spans="2:21" ht="25.15" customHeight="1" x14ac:dyDescent="0.3">
      <c r="B4" s="2" t="s">
        <v>68</v>
      </c>
      <c r="C4" s="4" t="s">
        <v>76</v>
      </c>
      <c r="D4" s="2" t="s">
        <v>77</v>
      </c>
      <c r="E4" s="2" t="s">
        <v>49</v>
      </c>
      <c r="F4" s="2" t="s">
        <v>51</v>
      </c>
      <c r="H4" s="1">
        <f>128/12</f>
        <v>10.666666666666666</v>
      </c>
      <c r="K4" s="1">
        <v>60</v>
      </c>
      <c r="L4" s="1">
        <v>30</v>
      </c>
      <c r="M4" s="1">
        <v>18</v>
      </c>
      <c r="N4" s="1">
        <v>9</v>
      </c>
      <c r="O4" s="1">
        <v>2</v>
      </c>
      <c r="P4" s="1" t="s">
        <v>13</v>
      </c>
      <c r="Q4" s="1">
        <v>2.5</v>
      </c>
      <c r="S4" s="1">
        <v>4.5</v>
      </c>
      <c r="U4" s="1" t="s">
        <v>57</v>
      </c>
    </row>
    <row r="5" spans="2:21" ht="25.15" customHeight="1" x14ac:dyDescent="0.3">
      <c r="B5" s="2" t="s">
        <v>69</v>
      </c>
      <c r="C5" s="4" t="s">
        <v>83</v>
      </c>
      <c r="D5" s="2" t="s">
        <v>78</v>
      </c>
      <c r="E5" s="2" t="s">
        <v>49</v>
      </c>
      <c r="F5" s="2" t="s">
        <v>51</v>
      </c>
      <c r="K5" s="1">
        <v>76</v>
      </c>
      <c r="L5" s="1">
        <v>36</v>
      </c>
      <c r="M5" s="1">
        <v>24</v>
      </c>
      <c r="N5" s="1">
        <v>10</v>
      </c>
      <c r="O5" s="1">
        <v>2.5</v>
      </c>
      <c r="Q5" s="1">
        <v>3</v>
      </c>
      <c r="S5" s="1">
        <v>5.5</v>
      </c>
      <c r="U5" s="1" t="s">
        <v>58</v>
      </c>
    </row>
    <row r="6" spans="2:21" ht="25.15" customHeight="1" x14ac:dyDescent="0.3">
      <c r="B6" s="2" t="s">
        <v>70</v>
      </c>
      <c r="C6" s="4" t="s">
        <v>64</v>
      </c>
      <c r="D6" s="2" t="s">
        <v>79</v>
      </c>
      <c r="E6" s="2" t="s">
        <v>49</v>
      </c>
      <c r="F6" s="2" t="s">
        <v>51</v>
      </c>
      <c r="K6" s="1">
        <v>84</v>
      </c>
      <c r="N6" s="1">
        <v>11</v>
      </c>
      <c r="O6" s="1">
        <v>3</v>
      </c>
      <c r="S6" s="1">
        <v>6</v>
      </c>
      <c r="U6" s="1">
        <v>1</v>
      </c>
    </row>
    <row r="7" spans="2:21" ht="25.15" customHeight="1" x14ac:dyDescent="0.3">
      <c r="B7" s="2" t="s">
        <v>71</v>
      </c>
      <c r="C7" s="4" t="s">
        <v>65</v>
      </c>
      <c r="D7" s="2" t="s">
        <v>79</v>
      </c>
      <c r="E7" s="2" t="s">
        <v>49</v>
      </c>
      <c r="F7" s="2" t="s">
        <v>51</v>
      </c>
      <c r="K7" s="1">
        <v>96</v>
      </c>
      <c r="N7" s="1">
        <v>12</v>
      </c>
      <c r="O7" s="1">
        <v>4</v>
      </c>
      <c r="S7" s="1">
        <v>7</v>
      </c>
      <c r="U7" s="1">
        <v>2</v>
      </c>
    </row>
    <row r="8" spans="2:21" ht="25.15" customHeight="1" x14ac:dyDescent="0.3">
      <c r="B8" s="6"/>
      <c r="C8" s="7"/>
      <c r="D8" s="6"/>
      <c r="E8" s="6"/>
      <c r="F8" s="6"/>
      <c r="N8" s="1">
        <v>13</v>
      </c>
      <c r="O8" s="1">
        <v>6</v>
      </c>
      <c r="S8" s="1">
        <v>8</v>
      </c>
      <c r="U8" s="1">
        <v>3</v>
      </c>
    </row>
    <row r="9" spans="2:21" ht="25.15" customHeight="1" x14ac:dyDescent="0.3">
      <c r="B9" s="2" t="s">
        <v>80</v>
      </c>
      <c r="C9" s="4" t="s">
        <v>63</v>
      </c>
      <c r="N9" s="1">
        <v>14</v>
      </c>
      <c r="S9" s="1">
        <v>9</v>
      </c>
      <c r="U9" s="1">
        <v>4</v>
      </c>
    </row>
    <row r="10" spans="2:21" ht="25.15" customHeight="1" x14ac:dyDescent="0.3">
      <c r="N10" s="1">
        <v>15</v>
      </c>
      <c r="S10" s="1">
        <v>9.9</v>
      </c>
    </row>
    <row r="11" spans="2:21" ht="25.15" customHeight="1" x14ac:dyDescent="0.3">
      <c r="B11" s="16"/>
      <c r="C11" s="16"/>
      <c r="N11" s="1">
        <v>16</v>
      </c>
      <c r="S11" s="1">
        <v>10</v>
      </c>
    </row>
    <row r="12" spans="2:21" ht="25.15" customHeight="1" x14ac:dyDescent="0.3">
      <c r="C12" s="6"/>
      <c r="D12" s="14"/>
      <c r="N12" s="1">
        <v>17</v>
      </c>
      <c r="S12" s="1">
        <v>10.5</v>
      </c>
    </row>
    <row r="13" spans="2:21" ht="25.15" customHeight="1" x14ac:dyDescent="0.3">
      <c r="C13" s="6"/>
      <c r="N13" s="1">
        <v>18</v>
      </c>
      <c r="S13" s="1">
        <v>11</v>
      </c>
    </row>
    <row r="14" spans="2:21" ht="25.15" customHeight="1" x14ac:dyDescent="0.3">
      <c r="N14" s="1">
        <v>19</v>
      </c>
      <c r="S14" s="1">
        <v>12</v>
      </c>
    </row>
    <row r="15" spans="2:21" ht="25.15" customHeight="1" x14ac:dyDescent="0.3">
      <c r="N15" s="1">
        <v>20</v>
      </c>
      <c r="S15" s="1">
        <v>12.5</v>
      </c>
    </row>
    <row r="16" spans="2:21" ht="25.15" customHeight="1" x14ac:dyDescent="0.3">
      <c r="S16" s="1">
        <v>15</v>
      </c>
    </row>
    <row r="17" spans="19:19" ht="25.15" customHeight="1" x14ac:dyDescent="0.3">
      <c r="S17" s="1">
        <v>18</v>
      </c>
    </row>
    <row r="18" spans="19:19" ht="25.15" customHeight="1" x14ac:dyDescent="0.3">
      <c r="S18" s="1">
        <v>19</v>
      </c>
    </row>
    <row r="19" spans="19:19" ht="25.15" customHeight="1" x14ac:dyDescent="0.3">
      <c r="S19" s="1">
        <v>20</v>
      </c>
    </row>
    <row r="20" spans="19:19" ht="25.15" customHeight="1" x14ac:dyDescent="0.3">
      <c r="S20" s="1">
        <v>21</v>
      </c>
    </row>
    <row r="21" spans="19:19" ht="25.15" customHeight="1" x14ac:dyDescent="0.3">
      <c r="S21" s="1">
        <v>25</v>
      </c>
    </row>
    <row r="22" spans="19:19" ht="25.15" customHeight="1" x14ac:dyDescent="0.3">
      <c r="S22" s="1">
        <v>30</v>
      </c>
    </row>
  </sheetData>
  <mergeCells count="1">
    <mergeCell ref="B11:C11"/>
  </mergeCells>
  <printOptions horizontalCentered="1" verticalCentered="1"/>
  <pageMargins left="0.7" right="0.7" top="0.75" bottom="0.75" header="0.3" footer="0.3"/>
  <pageSetup scale="65" fitToHeight="0" orientation="landscape" r:id="rId1"/>
  <headerFooter>
    <oddHeader>&amp;C&amp;22 35293
OZINGA, IL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318206-4FF1-4842-BEB6-CB4C331A68A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29613d1-ff09-448b-8873-7f20a28c5c0c}" enabled="1" method="Standard" siteId="{10f8e7a2-4877-48d6-9319-dc5151b7f98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Import Heater</vt:lpstr>
      <vt:lpstr>Import Tank</vt:lpstr>
      <vt:lpstr>Pump</vt:lpstr>
      <vt:lpstr>Stack Economizer</vt:lpstr>
      <vt:lpstr>'Import Heater'!Print_Area</vt:lpstr>
      <vt:lpstr>'Stack Economizer'!Print_Area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Weck</dc:creator>
  <cp:lastModifiedBy>Lee Laing</cp:lastModifiedBy>
  <cp:lastPrinted>2025-06-12T17:45:44Z</cp:lastPrinted>
  <dcterms:created xsi:type="dcterms:W3CDTF">2022-11-04T13:18:17Z</dcterms:created>
  <dcterms:modified xsi:type="dcterms:W3CDTF">2025-08-14T14:55:49Z</dcterms:modified>
</cp:coreProperties>
</file>