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leak/Desktop/Biostats_FinalAssignment/duckweed-spp-composition/"/>
    </mc:Choice>
  </mc:AlternateContent>
  <xr:revisionPtr revIDLastSave="0" documentId="13_ncr:1_{C91AF270-D653-7A49-8859-79D8977201F4}" xr6:coauthVersionLast="45" xr6:coauthVersionMax="45" xr10:uidLastSave="{00000000-0000-0000-0000-000000000000}"/>
  <bookViews>
    <workbookView xWindow="0" yWindow="460" windowWidth="28800" windowHeight="17540" xr2:uid="{ED2E5C84-7064-5349-A12A-EB64B051825E}"/>
  </bookViews>
  <sheets>
    <sheet name="Nov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45" i="1" l="1"/>
  <c r="AF244" i="1"/>
  <c r="AF243" i="1"/>
  <c r="AF242" i="1"/>
  <c r="AF241" i="1"/>
  <c r="AF240" i="1"/>
  <c r="AF239" i="1"/>
  <c r="AF238" i="1"/>
  <c r="AF237" i="1"/>
  <c r="AF236" i="1"/>
  <c r="AF233" i="1"/>
  <c r="AF232" i="1"/>
  <c r="AF231" i="1"/>
  <c r="AF230" i="1"/>
  <c r="AF229" i="1"/>
  <c r="AF228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4" i="1"/>
  <c r="AF63" i="1"/>
  <c r="AF62" i="1"/>
  <c r="AF61" i="1"/>
  <c r="AF60" i="1"/>
  <c r="AF59" i="1"/>
  <c r="AF58" i="1"/>
  <c r="AF57" i="1"/>
  <c r="AF56" i="1"/>
  <c r="AF55" i="1"/>
  <c r="AF53" i="1"/>
  <c r="AF52" i="1"/>
  <c r="AF51" i="1"/>
  <c r="AF50" i="1"/>
  <c r="AF49" i="1"/>
  <c r="AF48" i="1"/>
  <c r="AF47" i="1"/>
  <c r="AF46" i="1"/>
  <c r="AF45" i="1"/>
  <c r="AF44" i="1"/>
  <c r="AF43" i="1"/>
  <c r="AF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tc={2F5A542A-FD4A-F240-82CA-AFC6900F9757}</author>
    <author>tc={12BE11BB-076D-FC4B-935A-844B6F54E914}</author>
    <author>tc={6526057A-2A63-4347-BF26-D84F2D93989F}</author>
    <author>Microsoft Office User</author>
    <author>tc={1C0F6167-ACC6-E14E-9B85-1EBB97D1FE2B}</author>
    <author>tc={8D143ECE-F7DE-8346-BB5E-9B27FBD3CDDA}</author>
    <author>tc={364DE8D2-4641-F643-8A82-E3767330A7E4}</author>
  </authors>
  <commentList>
    <comment ref="P1" authorId="0" shapeId="0" xr:uid="{2F5A542A-FD4A-F240-82CA-AFC6900F9757}">
      <text>
        <t>[Threaded comment]
Your version of Excel allows you to read this threaded comment; however, any edits to it will get removed if the file is opened in a newer version of Excel. Learn more: https://go.microsoft.com/fwlink/?linkid=870924
Comment:
    (0=none, 1=very little, 2=little/low, 3=intermediate/moderate, 4=high, 5=total, 6=present but unknown level)</t>
      </text>
    </comment>
    <comment ref="G85" authorId="1" shapeId="0" xr:uid="{12BE11BB-076D-FC4B-935A-844B6F54E9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was no wolffia speciated bc none in sample, but there is some present in the lattice and it was noticed at the site. I think it’s all WB but am not entirely sure (as opposed to WE).</t>
      </text>
    </comment>
    <comment ref="V140" authorId="2" shapeId="0" xr:uid="{6526057A-2A63-4347-BF26-D84F2D93989F}">
      <text>
        <t>[Threaded comment]
Your version of Excel allows you to read this threaded comment; however, any edits to it will get removed if the file is opened in a newer version of Excel. Learn more: https://go.microsoft.com/fwlink/?linkid=870924
Comment:
    ???? these seem too low. decimal place inappropriate?</t>
      </text>
    </comment>
    <comment ref="T146" authorId="3" shapeId="0" xr:uid="{F4235FEC-DAD8-3042-A894-FCD66F944C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by the yellow pH meter. the big blue one says 8.93 but it's been actig weird.
</t>
        </r>
      </text>
    </comment>
    <comment ref="X153" authorId="4" shapeId="0" xr:uid="{1C0F6167-ACC6-E14E-9B85-1EBB97D1FE2B}">
      <text>
        <t>[Threaded comment]
Your version of Excel allows you to read this threaded comment; however, any edits to it will get removed if the file is opened in a newer version of Excel. Learn more: https://go.microsoft.com/fwlink/?linkid=870924
Comment:
    decimal point???</t>
      </text>
    </comment>
    <comment ref="T172" authorId="5" shapeId="0" xr:uid="{8D143ECE-F7DE-8346-BB5E-9B27FBD3CDDA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pH meter</t>
      </text>
    </comment>
    <comment ref="V172" authorId="6" shapeId="0" xr:uid="{364DE8D2-4641-F643-8A82-E3767330A7E4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worksheet has 180.6ms/cm</t>
      </text>
    </comment>
  </commentList>
</comments>
</file>

<file path=xl/sharedStrings.xml><?xml version="1.0" encoding="utf-8"?>
<sst xmlns="http://schemas.openxmlformats.org/spreadsheetml/2006/main" count="4249" uniqueCount="419">
  <si>
    <t>Code</t>
  </si>
  <si>
    <t>HCCP-001</t>
  </si>
  <si>
    <t>.</t>
  </si>
  <si>
    <t>FECP-001</t>
  </si>
  <si>
    <t>SG284-005</t>
  </si>
  <si>
    <t>High</t>
  </si>
  <si>
    <t>Low</t>
  </si>
  <si>
    <t>None</t>
  </si>
  <si>
    <t>SG284-006</t>
  </si>
  <si>
    <t>VeryLittle</t>
  </si>
  <si>
    <t>SG284-007</t>
  </si>
  <si>
    <t>SG151-001</t>
  </si>
  <si>
    <t>Intermediate</t>
  </si>
  <si>
    <t>SG151-002</t>
  </si>
  <si>
    <t>SG151-003</t>
  </si>
  <si>
    <t>DLPO-025</t>
  </si>
  <si>
    <t>DLPO-026</t>
  </si>
  <si>
    <t>DLPC-002</t>
  </si>
  <si>
    <t>DLPO-027</t>
  </si>
  <si>
    <t>DLPT-024</t>
  </si>
  <si>
    <t>DLPT-025</t>
  </si>
  <si>
    <t>DLPU-014</t>
  </si>
  <si>
    <t>PLPL-015</t>
  </si>
  <si>
    <t>PLPL-016</t>
  </si>
  <si>
    <t>PLPL-017</t>
  </si>
  <si>
    <t>Total</t>
  </si>
  <si>
    <t>PLPL-018</t>
  </si>
  <si>
    <t>PLPL-019</t>
  </si>
  <si>
    <t>PLPL-020</t>
  </si>
  <si>
    <t>PLPL-021</t>
  </si>
  <si>
    <t>PLPL-022</t>
  </si>
  <si>
    <t>PHTO-006</t>
  </si>
  <si>
    <t>PHTT-005</t>
  </si>
  <si>
    <t>PHTH-002</t>
  </si>
  <si>
    <t>TLLL-037</t>
  </si>
  <si>
    <t>TLLL-038</t>
  </si>
  <si>
    <t>TLLL-039</t>
  </si>
  <si>
    <t>TLLL-040</t>
  </si>
  <si>
    <t>TLLL-041</t>
  </si>
  <si>
    <t>TLLL-042</t>
  </si>
  <si>
    <t>TLUL-005</t>
  </si>
  <si>
    <t>SG69-001</t>
  </si>
  <si>
    <t>SG69-002</t>
  </si>
  <si>
    <t>SG69-003</t>
  </si>
  <si>
    <t>SG69-004</t>
  </si>
  <si>
    <t>SG69-005</t>
  </si>
  <si>
    <t>SG69-006</t>
  </si>
  <si>
    <t>SG69-007</t>
  </si>
  <si>
    <t>PSSW-010</t>
  </si>
  <si>
    <t>PSSW-011</t>
  </si>
  <si>
    <t>PSSW-012</t>
  </si>
  <si>
    <t>OPRW-011</t>
  </si>
  <si>
    <t>OPRW-012</t>
  </si>
  <si>
    <t>OPRW-013</t>
  </si>
  <si>
    <t>OPRW-014</t>
  </si>
  <si>
    <t>OPRW-015</t>
  </si>
  <si>
    <t>OPRW-016</t>
  </si>
  <si>
    <t>BMCS-007</t>
  </si>
  <si>
    <t>BMCS-008</t>
  </si>
  <si>
    <t>BMCS-009</t>
  </si>
  <si>
    <t>BMPP-003</t>
  </si>
  <si>
    <t>total</t>
  </si>
  <si>
    <t>NPNL-010</t>
  </si>
  <si>
    <t>NPND-002</t>
  </si>
  <si>
    <t>NPNL-011</t>
  </si>
  <si>
    <t>NPNL-012</t>
  </si>
  <si>
    <t>NPNL-013</t>
  </si>
  <si>
    <t>RCML-015</t>
  </si>
  <si>
    <t>RCML-016</t>
  </si>
  <si>
    <t>RCML-017</t>
  </si>
  <si>
    <t>RCML-018</t>
  </si>
  <si>
    <t>RCML-019</t>
  </si>
  <si>
    <t>SPPH-005</t>
  </si>
  <si>
    <t>PSTB-002</t>
  </si>
  <si>
    <t>PSWS-001</t>
  </si>
  <si>
    <t>PSWS-002</t>
  </si>
  <si>
    <t>SG214-005</t>
  </si>
  <si>
    <t>SG214-006</t>
  </si>
  <si>
    <t>SG214-007</t>
  </si>
  <si>
    <t>SG214-008</t>
  </si>
  <si>
    <t>LRFP-005</t>
  </si>
  <si>
    <t>SG284-008</t>
  </si>
  <si>
    <t>SG284-009</t>
  </si>
  <si>
    <t>SG284-010</t>
  </si>
  <si>
    <t>SG151-004</t>
  </si>
  <si>
    <t>SG151-005</t>
  </si>
  <si>
    <t>SG151-006</t>
  </si>
  <si>
    <t>SG245-001</t>
  </si>
  <si>
    <t>SG223-001</t>
  </si>
  <si>
    <t>SG223-002</t>
  </si>
  <si>
    <t>SG223-003</t>
  </si>
  <si>
    <t>PHTO-007</t>
  </si>
  <si>
    <t>PHTT-006</t>
  </si>
  <si>
    <t>PHTH-003</t>
  </si>
  <si>
    <t>DLPO-028</t>
  </si>
  <si>
    <t>DLPO-029</t>
  </si>
  <si>
    <t>DLPO-030</t>
  </si>
  <si>
    <t>DLPT-026</t>
  </si>
  <si>
    <t>DLPT-027</t>
  </si>
  <si>
    <t>DLPU-015</t>
  </si>
  <si>
    <t>PLPL-023</t>
  </si>
  <si>
    <t>PLPL-024</t>
  </si>
  <si>
    <t>PLPL-025</t>
  </si>
  <si>
    <t>PLPL-026</t>
  </si>
  <si>
    <t>PLPL-027</t>
  </si>
  <si>
    <t>PLPL-028</t>
  </si>
  <si>
    <t>TLLL-043</t>
  </si>
  <si>
    <t>TLUL-006</t>
  </si>
  <si>
    <t>TLLL-044</t>
  </si>
  <si>
    <t>TLLL-045</t>
  </si>
  <si>
    <t>TLLL-046</t>
  </si>
  <si>
    <t>TLLL-047</t>
  </si>
  <si>
    <t>TLLL-048</t>
  </si>
  <si>
    <t>RCML-020</t>
  </si>
  <si>
    <t>RCML-021</t>
  </si>
  <si>
    <t>RCML-022</t>
  </si>
  <si>
    <t>RCML-023</t>
  </si>
  <si>
    <t>RCML-024</t>
  </si>
  <si>
    <t>MI-MBHR-001</t>
  </si>
  <si>
    <t>MI-MHNR-001</t>
  </si>
  <si>
    <t>MI-MR29-001</t>
  </si>
  <si>
    <t>MI-MR26-001</t>
  </si>
  <si>
    <t>MI-MR28-001</t>
  </si>
  <si>
    <t>MI-MR64-001</t>
  </si>
  <si>
    <t>MI-MR36-001</t>
  </si>
  <si>
    <t>MI-MR47-001</t>
  </si>
  <si>
    <t>MI-MR47-002</t>
  </si>
  <si>
    <t>MI-MR63-001</t>
  </si>
  <si>
    <t>MI-MR63-002</t>
  </si>
  <si>
    <t>MI-MR04-001</t>
  </si>
  <si>
    <t>MI-MR03-001</t>
  </si>
  <si>
    <t>MI-MR19-001</t>
  </si>
  <si>
    <t>MI-MR15-001</t>
  </si>
  <si>
    <t>MI-MR13-001</t>
  </si>
  <si>
    <t>MI-MR60-001</t>
  </si>
  <si>
    <t>MI-MGBR-001</t>
  </si>
  <si>
    <t>MI-MGBW-001</t>
  </si>
  <si>
    <t>MI-MHRE-001</t>
  </si>
  <si>
    <t>MI-MDRS-001</t>
  </si>
  <si>
    <t>MI-MDRK-001</t>
  </si>
  <si>
    <t>MI-MKAE-001</t>
  </si>
  <si>
    <t>MI-MAPP-001</t>
  </si>
  <si>
    <t>MI-MTRW-001</t>
  </si>
  <si>
    <t>MI-MDTF-001</t>
  </si>
  <si>
    <t>MI-MMRP-001</t>
  </si>
  <si>
    <t>MI-MDPL-001</t>
  </si>
  <si>
    <t>MI-MRAO-001</t>
  </si>
  <si>
    <t>BMPP-004</t>
  </si>
  <si>
    <t>BMCS-010</t>
  </si>
  <si>
    <t>BMCS-011</t>
  </si>
  <si>
    <t>BMCS-012</t>
  </si>
  <si>
    <t>NPNL-014</t>
  </si>
  <si>
    <t>NPND-003</t>
  </si>
  <si>
    <t>NPNL-015</t>
  </si>
  <si>
    <t>NPNL-016</t>
  </si>
  <si>
    <t>NPNL-017</t>
  </si>
  <si>
    <t>SPPH-006</t>
  </si>
  <si>
    <t>SG284-011</t>
  </si>
  <si>
    <t>SG284-012</t>
  </si>
  <si>
    <t>SG284-013</t>
  </si>
  <si>
    <t>SG151-007</t>
  </si>
  <si>
    <t>SG151-008</t>
  </si>
  <si>
    <t>SG151-009</t>
  </si>
  <si>
    <t>SG245-002</t>
  </si>
  <si>
    <t>SG223-004</t>
  </si>
  <si>
    <t>SG223-005</t>
  </si>
  <si>
    <t>OAOP-001</t>
  </si>
  <si>
    <t>OAOP-002</t>
  </si>
  <si>
    <t>OAOP-003</t>
  </si>
  <si>
    <t>OAOP-004</t>
  </si>
  <si>
    <t>OAOP-005</t>
  </si>
  <si>
    <t>OAOP-006</t>
  </si>
  <si>
    <t>OAOP-007</t>
  </si>
  <si>
    <t>SG214-009</t>
  </si>
  <si>
    <t>SG214-010</t>
  </si>
  <si>
    <t>SG214-011</t>
  </si>
  <si>
    <t>SG214-012</t>
  </si>
  <si>
    <t>PSSW-013</t>
  </si>
  <si>
    <t>PSSW-014</t>
  </si>
  <si>
    <t>PSSW-015</t>
  </si>
  <si>
    <t>LRFP-006</t>
  </si>
  <si>
    <t>PSTB-003</t>
  </si>
  <si>
    <t>PSWS-003</t>
  </si>
  <si>
    <t>PSWS-004</t>
  </si>
  <si>
    <t>SG69-008</t>
  </si>
  <si>
    <t>SG69-009</t>
  </si>
  <si>
    <t>SG213-001</t>
  </si>
  <si>
    <t>SG213-002</t>
  </si>
  <si>
    <t>SG213-003</t>
  </si>
  <si>
    <t>DLPO-031</t>
  </si>
  <si>
    <t>DLPC-003</t>
  </si>
  <si>
    <t>DLPO-032</t>
  </si>
  <si>
    <t>DLPO-033</t>
  </si>
  <si>
    <t>DLPT-028</t>
  </si>
  <si>
    <t>DLPT-029</t>
  </si>
  <si>
    <t>DLPU-016</t>
  </si>
  <si>
    <t>PHTO-008</t>
  </si>
  <si>
    <t>PHTT-007</t>
  </si>
  <si>
    <t>PHTH-004</t>
  </si>
  <si>
    <t>TLLL-049</t>
  </si>
  <si>
    <t>TLLL-050</t>
  </si>
  <si>
    <t>TLLL-051</t>
  </si>
  <si>
    <t>TLLL-052</t>
  </si>
  <si>
    <t>TLLL-053</t>
  </si>
  <si>
    <t>TLUL-007</t>
  </si>
  <si>
    <t>TLLL-054</t>
  </si>
  <si>
    <t>PLPL-029</t>
  </si>
  <si>
    <t>PLPL-030</t>
  </si>
  <si>
    <t>PLPL-031</t>
  </si>
  <si>
    <t>PLPL-032</t>
  </si>
  <si>
    <t>PLPL-033</t>
  </si>
  <si>
    <t>PLPL-034</t>
  </si>
  <si>
    <t>BMPP-005</t>
  </si>
  <si>
    <t>BMCS-013</t>
  </si>
  <si>
    <t>BMCS-014</t>
  </si>
  <si>
    <t>BMCS-015</t>
  </si>
  <si>
    <t>SG284-014</t>
  </si>
  <si>
    <t>SG284-015</t>
  </si>
  <si>
    <t>SG284-016</t>
  </si>
  <si>
    <t>SG151-010</t>
  </si>
  <si>
    <t>SG151-011</t>
  </si>
  <si>
    <t>SG151-012</t>
  </si>
  <si>
    <t>SG245-003</t>
  </si>
  <si>
    <t>SG223-006</t>
  </si>
  <si>
    <t>SG223-007</t>
  </si>
  <si>
    <t>RCML-025</t>
  </si>
  <si>
    <t>RCML-026</t>
  </si>
  <si>
    <t>RCML-027</t>
  </si>
  <si>
    <t>RCML-028</t>
  </si>
  <si>
    <t>RCML-029</t>
  </si>
  <si>
    <t>NPNL-018</t>
  </si>
  <si>
    <t>NPND-004</t>
  </si>
  <si>
    <t>NPNL-019</t>
  </si>
  <si>
    <t>NPNL-020</t>
  </si>
  <si>
    <t>NPNL-021</t>
  </si>
  <si>
    <t>OPRW-024</t>
  </si>
  <si>
    <t>OPRW-025</t>
  </si>
  <si>
    <t>OPRW-026</t>
  </si>
  <si>
    <t>OPRW-027</t>
  </si>
  <si>
    <t>OPRW-028</t>
  </si>
  <si>
    <t>OPRW-029</t>
  </si>
  <si>
    <t>SG213-004</t>
  </si>
  <si>
    <t>PSSW-016</t>
  </si>
  <si>
    <t>PSSW-017</t>
  </si>
  <si>
    <t>PSSW-018</t>
  </si>
  <si>
    <t>PSTB-004</t>
  </si>
  <si>
    <t>PSWS-005</t>
  </si>
  <si>
    <t>PSWS-006</t>
  </si>
  <si>
    <t>SG214-013</t>
  </si>
  <si>
    <t>SG214-014</t>
  </si>
  <si>
    <t>SG214-015</t>
  </si>
  <si>
    <t>SG214-016</t>
  </si>
  <si>
    <t>LRFP-007</t>
  </si>
  <si>
    <t>pH</t>
  </si>
  <si>
    <t>greater than 60</t>
  </si>
  <si>
    <t xml:space="preserve">(much) greater than 60 </t>
  </si>
  <si>
    <t>can see bottom</t>
  </si>
  <si>
    <t>Wetland</t>
  </si>
  <si>
    <t>Stream</t>
  </si>
  <si>
    <t>Lake/Reservoir</t>
  </si>
  <si>
    <t>Pond</t>
  </si>
  <si>
    <t>Ditch (pond)</t>
  </si>
  <si>
    <t>River</t>
  </si>
  <si>
    <t>HCCP_1</t>
  </si>
  <si>
    <t>FECP_1</t>
  </si>
  <si>
    <t>SG284_1</t>
  </si>
  <si>
    <t>SG284_3</t>
  </si>
  <si>
    <t>SG151_1</t>
  </si>
  <si>
    <t>SG151_2</t>
  </si>
  <si>
    <t>DLPO_1</t>
  </si>
  <si>
    <t>DLPC_1</t>
  </si>
  <si>
    <t>DLPT_1</t>
  </si>
  <si>
    <t>DLPU_1</t>
  </si>
  <si>
    <t>PLPL_U</t>
  </si>
  <si>
    <t>PLPL_2</t>
  </si>
  <si>
    <t>PHTO_1</t>
  </si>
  <si>
    <t>PHTT_1</t>
  </si>
  <si>
    <t>PHTH_1</t>
  </si>
  <si>
    <t>TLLL_1</t>
  </si>
  <si>
    <t>TLUL_1</t>
  </si>
  <si>
    <t>SG69_1</t>
  </si>
  <si>
    <t>SG69_2</t>
  </si>
  <si>
    <t>SG69_3</t>
  </si>
  <si>
    <t>SG69_4</t>
  </si>
  <si>
    <t>SG69_5</t>
  </si>
  <si>
    <t>SG69_6</t>
  </si>
  <si>
    <t>SG69_7</t>
  </si>
  <si>
    <t>PLE_1</t>
  </si>
  <si>
    <t>PSSW_N</t>
  </si>
  <si>
    <t>PSSW_S</t>
  </si>
  <si>
    <t>OPRW_1</t>
  </si>
  <si>
    <t>BMCS_1</t>
  </si>
  <si>
    <t>BMCS_2</t>
  </si>
  <si>
    <t>BMPP_1</t>
  </si>
  <si>
    <t>NPNL_1</t>
  </si>
  <si>
    <t>NPND_1</t>
  </si>
  <si>
    <t>RCML_1</t>
  </si>
  <si>
    <t>SPPH_1</t>
  </si>
  <si>
    <t>SG214_1</t>
  </si>
  <si>
    <t>SG214_2</t>
  </si>
  <si>
    <t>LRFP_1</t>
  </si>
  <si>
    <t>SG284_2</t>
  </si>
  <si>
    <t>SG245_1</t>
  </si>
  <si>
    <t>SG223_1</t>
  </si>
  <si>
    <t>SG223_2</t>
  </si>
  <si>
    <t>SG223_3</t>
  </si>
  <si>
    <t>MI_1</t>
  </si>
  <si>
    <t>MI_2</t>
  </si>
  <si>
    <t>MI_3</t>
  </si>
  <si>
    <t>MI_4</t>
  </si>
  <si>
    <t>MI_5</t>
  </si>
  <si>
    <t>MI_6</t>
  </si>
  <si>
    <t>MI_7</t>
  </si>
  <si>
    <t>MI_8</t>
  </si>
  <si>
    <t>MI_9</t>
  </si>
  <si>
    <t>MI_10</t>
  </si>
  <si>
    <t>MI_11</t>
  </si>
  <si>
    <t>MI_12</t>
  </si>
  <si>
    <t>MI_13</t>
  </si>
  <si>
    <t>MI_14</t>
  </si>
  <si>
    <t>MI_15</t>
  </si>
  <si>
    <t>MI_16</t>
  </si>
  <si>
    <t>MI_17</t>
  </si>
  <si>
    <t>MI_18</t>
  </si>
  <si>
    <t>MI_19</t>
  </si>
  <si>
    <t>MI_20</t>
  </si>
  <si>
    <t>MI_21</t>
  </si>
  <si>
    <t>MI_22</t>
  </si>
  <si>
    <t>MI_23</t>
  </si>
  <si>
    <t>MI_24</t>
  </si>
  <si>
    <t>MI_25</t>
  </si>
  <si>
    <t>MI_26</t>
  </si>
  <si>
    <t>MI_27</t>
  </si>
  <si>
    <t>MI_28</t>
  </si>
  <si>
    <t>MI_29</t>
  </si>
  <si>
    <t>BMCS_3</t>
  </si>
  <si>
    <t>SG69_8</t>
  </si>
  <si>
    <t>SG213_1</t>
  </si>
  <si>
    <t>SG213_2</t>
  </si>
  <si>
    <t>SG213_3</t>
  </si>
  <si>
    <t>surveying</t>
  </si>
  <si>
    <t>Surveying</t>
  </si>
  <si>
    <t>Water_Body</t>
  </si>
  <si>
    <t>Spp_Richness</t>
  </si>
  <si>
    <t>LM_Cover</t>
  </si>
  <si>
    <t>LM_Presence</t>
  </si>
  <si>
    <t>SP_Cover</t>
  </si>
  <si>
    <t>SP_Presence</t>
  </si>
  <si>
    <t>W_Cover</t>
  </si>
  <si>
    <t>W_Presence</t>
  </si>
  <si>
    <t>AP_Cover</t>
  </si>
  <si>
    <t>AP_Presence</t>
  </si>
  <si>
    <t>EG_Cover</t>
  </si>
  <si>
    <t>EG_Presence</t>
  </si>
  <si>
    <t>LT_Cover</t>
  </si>
  <si>
    <t>LT_Presence</t>
  </si>
  <si>
    <t>General_Herbivory_Presence</t>
  </si>
  <si>
    <t>Dissolved_Oxygen</t>
  </si>
  <si>
    <t>Conductivity</t>
  </si>
  <si>
    <t>Water_Temp</t>
  </si>
  <si>
    <t>Total_Dissolved_Solids</t>
  </si>
  <si>
    <t>Water_Depth</t>
  </si>
  <si>
    <t>Benthos_Depth</t>
  </si>
  <si>
    <t>Turbidity</t>
  </si>
  <si>
    <t>Type_Water_Body</t>
  </si>
  <si>
    <t>Number_Session_or_Surveying?</t>
  </si>
  <si>
    <t>Full</t>
  </si>
  <si>
    <t>Neither</t>
  </si>
  <si>
    <t>Visible current</t>
  </si>
  <si>
    <t>Half Sun Half Shade</t>
  </si>
  <si>
    <t>Inlet</t>
  </si>
  <si>
    <t>Full Shade</t>
  </si>
  <si>
    <t>Outlet</t>
  </si>
  <si>
    <t>Full Sun</t>
  </si>
  <si>
    <t>Half Sun Half Shade to Full Sun</t>
  </si>
  <si>
    <t>Visible Current</t>
  </si>
  <si>
    <t>Neither (wind, waves)</t>
  </si>
  <si>
    <t>Neither (wind)</t>
  </si>
  <si>
    <t>Wind, Towards Shore</t>
  </si>
  <si>
    <t>Visible, wind towards/parallel to shore</t>
  </si>
  <si>
    <t>Wind parallel to shore</t>
  </si>
  <si>
    <t>Wind, Parallel to Shore</t>
  </si>
  <si>
    <t>Full shade</t>
  </si>
  <si>
    <t xml:space="preserve">Full shade </t>
  </si>
  <si>
    <t>Wind</t>
  </si>
  <si>
    <t>Inlet (large scale, Neither on small scale)</t>
  </si>
  <si>
    <t>Neither, wind</t>
  </si>
  <si>
    <t>Neither, wind, towards shore</t>
  </si>
  <si>
    <t>Inlet, Wind</t>
  </si>
  <si>
    <t>Sunlight_Exposure</t>
  </si>
  <si>
    <t>Densiometer_(CC %)</t>
  </si>
  <si>
    <t>Water_Movement</t>
  </si>
  <si>
    <t>Water_Clear=1_Murky=0</t>
  </si>
  <si>
    <t>Biofilm_present?</t>
  </si>
  <si>
    <t>good</t>
  </si>
  <si>
    <t>fair</t>
  </si>
  <si>
    <t>poor</t>
  </si>
  <si>
    <t/>
  </si>
  <si>
    <t>excellent</t>
  </si>
  <si>
    <t>okay</t>
  </si>
  <si>
    <t>pale</t>
  </si>
  <si>
    <t>Weevil_Presence</t>
  </si>
  <si>
    <t>Duckweed_Health</t>
  </si>
  <si>
    <t>Riccia?</t>
  </si>
  <si>
    <t>Riverweed?</t>
  </si>
  <si>
    <t>Chara?</t>
  </si>
  <si>
    <t>Elodea?</t>
  </si>
  <si>
    <t>Cattails?</t>
  </si>
  <si>
    <t>Milfoil?</t>
  </si>
  <si>
    <t>Watershield?</t>
  </si>
  <si>
    <t>Azolla?</t>
  </si>
  <si>
    <t>Spatterdock?</t>
  </si>
  <si>
    <t>?</t>
  </si>
  <si>
    <t xml:space="preserve">Herbivory_Mining </t>
  </si>
  <si>
    <t>Herbivory_Piercing</t>
  </si>
  <si>
    <t>Herbivory_Chewing</t>
  </si>
  <si>
    <t>Herbivory_Scraping</t>
  </si>
  <si>
    <t>Floating_Potamogeton?</t>
  </si>
  <si>
    <t>White_Water_Lily?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</si>
</sst>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ak, Lillian C" id="{1916018A-A022-DE43-AF23-0698E1880448}" userId="S::lcl30@pitt.edu::38020497-1874-4254-af1f-5339e8ba62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19-10-02T12:51:07.35" personId="{1916018A-A022-DE43-AF23-0698E1880448}" id="{2F5A542A-FD4A-F240-82CA-AFC6900F9757}">
    <text>(0=none, 1=very little, 2=little/low, 3=intermediate/moderate, 4=high, 5=total, 6=present but unknown level)</text>
  </threadedComment>
  <threadedComment ref="G85" dT="2019-07-11T19:41:44.50" personId="{1916018A-A022-DE43-AF23-0698E1880448}" id="{12BE11BB-076D-FC4B-935A-844B6F54E914}">
    <text>there was no wolffia speciated bc none in sample, but there is some present in the lattice and it was noticed at the site. I think it’s all WB but am not entirely sure (as opposed to WE).</text>
  </threadedComment>
  <threadedComment ref="V140" dT="2019-07-26T20:49:56.11" personId="{1916018A-A022-DE43-AF23-0698E1880448}" id="{6526057A-2A63-4347-BF26-D84F2D93989F}">
    <text>???? these seem too low. decimal place inappropriate?</text>
  </threadedComment>
  <threadedComment ref="X153" dT="2019-08-14T20:15:36.07" personId="{1916018A-A022-DE43-AF23-0698E1880448}" id="{1C0F6167-ACC6-E14E-9B85-1EBB97D1FE2B}">
    <text>decimal point???</text>
  </threadedComment>
  <threadedComment ref="T172" dT="2019-08-14T21:55:46.32" personId="{1916018A-A022-DE43-AF23-0698E1880448}" id="{8D143ECE-F7DE-8346-BB5E-9B27FBD3CDDA}">
    <text>yellow pH meter</text>
  </threadedComment>
  <threadedComment ref="V172" dT="2019-08-14T21:55:02.03" personId="{1916018A-A022-DE43-AF23-0698E1880448}" id="{364DE8D2-4641-F643-8A82-E3767330A7E4}">
    <text>field worksheet has 180.6ms/cm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57E1-B92F-2F45-A4FB-434E4697E852}">
  <dimension ref="A1:AV245"/>
  <sheetViews>
    <sheetView tabSelected="1" zoomScale="75" workbookViewId="0">
      <selection activeCell="M20" sqref="M20"/>
    </sheetView>
  </sheetViews>
  <sheetFormatPr baseColWidth="10" defaultRowHeight="21" x14ac:dyDescent="0.25"/>
  <cols>
    <col min="1" max="1" width="20.83203125" style="2" customWidth="1"/>
    <col min="2" max="2" width="27" customWidth="1"/>
    <col min="3" max="4" width="12.33203125" customWidth="1"/>
    <col min="5" max="6" width="11" customWidth="1"/>
    <col min="7" max="8" width="10.33203125" customWidth="1"/>
    <col min="9" max="14" width="12" customWidth="1"/>
    <col min="15" max="15" width="26" customWidth="1"/>
    <col min="16" max="19" width="10.6640625" customWidth="1"/>
    <col min="20" max="20" width="5.1640625" customWidth="1"/>
    <col min="21" max="21" width="30.1640625" bestFit="1" customWidth="1"/>
    <col min="22" max="22" width="14" customWidth="1"/>
    <col min="23" max="24" width="12.83203125" customWidth="1"/>
    <col min="25" max="25" width="11.83203125" bestFit="1" customWidth="1"/>
    <col min="26" max="26" width="11.83203125" customWidth="1"/>
    <col min="27" max="27" width="22" customWidth="1"/>
    <col min="28" max="28" width="20.33203125" bestFit="1" customWidth="1"/>
    <col min="29" max="29" width="23.1640625" customWidth="1"/>
    <col min="30" max="30" width="25" style="5" customWidth="1"/>
    <col min="31" max="31" width="18.5" bestFit="1" customWidth="1"/>
    <col min="32" max="32" width="18.5" customWidth="1"/>
    <col min="33" max="33" width="18.33203125" bestFit="1" customWidth="1"/>
    <col min="34" max="35" width="22" customWidth="1"/>
    <col min="37" max="37" width="30.83203125" customWidth="1"/>
    <col min="38" max="38" width="12.1640625" customWidth="1"/>
    <col min="39" max="39" width="11.1640625" customWidth="1"/>
    <col min="40" max="40" width="11" customWidth="1"/>
    <col min="41" max="41" width="10" customWidth="1"/>
    <col min="42" max="42" width="7" customWidth="1"/>
    <col min="43" max="43" width="11.33203125" customWidth="1"/>
    <col min="44" max="44" width="13.33203125" customWidth="1"/>
    <col min="45" max="45" width="15.6640625" customWidth="1"/>
    <col min="46" max="46" width="12.1640625" customWidth="1"/>
    <col min="47" max="47" width="12.5" customWidth="1"/>
    <col min="48" max="48" width="11.83203125" customWidth="1"/>
  </cols>
  <sheetData>
    <row r="1" spans="1:48" s="6" customFormat="1" ht="19" x14ac:dyDescent="0.25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414</v>
      </c>
      <c r="Q1" s="1" t="s">
        <v>413</v>
      </c>
      <c r="R1" s="1" t="s">
        <v>415</v>
      </c>
      <c r="S1" s="1" t="s">
        <v>416</v>
      </c>
      <c r="T1" s="1" t="s">
        <v>253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342</v>
      </c>
      <c r="AD1" s="1" t="s">
        <v>365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402</v>
      </c>
      <c r="AK1" s="1" t="s">
        <v>401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417</v>
      </c>
      <c r="AR1" s="1" t="s">
        <v>408</v>
      </c>
      <c r="AS1" s="1" t="s">
        <v>418</v>
      </c>
      <c r="AT1" s="1" t="s">
        <v>409</v>
      </c>
      <c r="AU1" s="1" t="s">
        <v>410</v>
      </c>
      <c r="AV1" s="1" t="s">
        <v>411</v>
      </c>
    </row>
    <row r="2" spans="1:48" x14ac:dyDescent="0.25">
      <c r="A2" s="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263</v>
      </c>
      <c r="AD2" s="5" t="s">
        <v>2</v>
      </c>
      <c r="AF2" s="5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</row>
    <row r="3" spans="1:48" x14ac:dyDescent="0.25">
      <c r="A3" s="2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264</v>
      </c>
      <c r="AD3" s="5" t="s">
        <v>2</v>
      </c>
      <c r="AF3" s="5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</row>
    <row r="4" spans="1:48" x14ac:dyDescent="0.25">
      <c r="A4" s="2" t="s">
        <v>4</v>
      </c>
      <c r="B4">
        <v>3</v>
      </c>
      <c r="C4" t="s">
        <v>5</v>
      </c>
      <c r="D4">
        <v>1</v>
      </c>
      <c r="E4" t="s">
        <v>6</v>
      </c>
      <c r="F4">
        <v>1</v>
      </c>
      <c r="G4" t="s">
        <v>5</v>
      </c>
      <c r="H4">
        <v>1</v>
      </c>
      <c r="I4" t="s">
        <v>7</v>
      </c>
      <c r="J4">
        <v>0</v>
      </c>
      <c r="K4" t="s">
        <v>7</v>
      </c>
      <c r="L4">
        <v>0</v>
      </c>
      <c r="M4" t="s">
        <v>7</v>
      </c>
      <c r="N4">
        <v>0</v>
      </c>
      <c r="O4">
        <v>1</v>
      </c>
      <c r="P4">
        <v>6</v>
      </c>
      <c r="Q4">
        <v>0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>
        <v>5</v>
      </c>
      <c r="Z4">
        <v>6</v>
      </c>
      <c r="AA4" t="s">
        <v>2</v>
      </c>
      <c r="AB4" t="s">
        <v>257</v>
      </c>
      <c r="AC4" t="s">
        <v>265</v>
      </c>
      <c r="AD4" s="5" t="s">
        <v>340</v>
      </c>
      <c r="AE4" t="s">
        <v>366</v>
      </c>
      <c r="AF4" s="5" t="s">
        <v>2</v>
      </c>
      <c r="AG4" t="s">
        <v>367</v>
      </c>
      <c r="AH4">
        <v>1</v>
      </c>
      <c r="AI4">
        <v>0</v>
      </c>
      <c r="AJ4" t="s">
        <v>397</v>
      </c>
    </row>
    <row r="5" spans="1:48" x14ac:dyDescent="0.25">
      <c r="A5" s="2" t="s">
        <v>8</v>
      </c>
      <c r="B5">
        <v>3</v>
      </c>
      <c r="C5" t="s">
        <v>6</v>
      </c>
      <c r="D5">
        <v>1</v>
      </c>
      <c r="E5" t="s">
        <v>9</v>
      </c>
      <c r="F5">
        <v>1</v>
      </c>
      <c r="G5" t="s">
        <v>5</v>
      </c>
      <c r="H5">
        <v>1</v>
      </c>
      <c r="I5" t="s">
        <v>7</v>
      </c>
      <c r="J5">
        <v>0</v>
      </c>
      <c r="K5" t="s">
        <v>7</v>
      </c>
      <c r="L5">
        <v>0</v>
      </c>
      <c r="M5" t="s">
        <v>7</v>
      </c>
      <c r="N5">
        <v>0</v>
      </c>
      <c r="O5">
        <v>1</v>
      </c>
      <c r="P5">
        <v>6</v>
      </c>
      <c r="Q5">
        <v>0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258</v>
      </c>
      <c r="AC5" t="s">
        <v>265</v>
      </c>
      <c r="AD5" s="5" t="s">
        <v>340</v>
      </c>
      <c r="AE5" t="s">
        <v>366</v>
      </c>
      <c r="AF5" s="5" t="s">
        <v>2</v>
      </c>
      <c r="AG5" t="s">
        <v>368</v>
      </c>
      <c r="AH5">
        <v>1</v>
      </c>
      <c r="AI5">
        <v>0</v>
      </c>
      <c r="AJ5" t="s">
        <v>397</v>
      </c>
    </row>
    <row r="6" spans="1:48" x14ac:dyDescent="0.25">
      <c r="A6" s="2" t="s">
        <v>10</v>
      </c>
      <c r="B6">
        <v>2</v>
      </c>
      <c r="C6" t="s">
        <v>6</v>
      </c>
      <c r="D6">
        <v>1</v>
      </c>
      <c r="E6" t="s">
        <v>9</v>
      </c>
      <c r="F6">
        <v>1</v>
      </c>
      <c r="G6" t="s">
        <v>7</v>
      </c>
      <c r="H6">
        <v>0</v>
      </c>
      <c r="I6" t="s">
        <v>7</v>
      </c>
      <c r="J6">
        <v>0</v>
      </c>
      <c r="K6" t="s">
        <v>7</v>
      </c>
      <c r="L6">
        <v>0</v>
      </c>
      <c r="M6" t="s">
        <v>7</v>
      </c>
      <c r="N6">
        <v>0</v>
      </c>
      <c r="O6">
        <v>0</v>
      </c>
      <c r="P6">
        <v>0</v>
      </c>
      <c r="Q6">
        <v>0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>
        <v>10</v>
      </c>
      <c r="Z6">
        <v>15</v>
      </c>
      <c r="AA6" t="s">
        <v>2</v>
      </c>
      <c r="AB6" t="s">
        <v>259</v>
      </c>
      <c r="AC6" t="s">
        <v>266</v>
      </c>
      <c r="AD6" s="5" t="s">
        <v>340</v>
      </c>
      <c r="AE6" t="s">
        <v>366</v>
      </c>
      <c r="AF6" s="5" t="s">
        <v>2</v>
      </c>
      <c r="AG6" t="s">
        <v>367</v>
      </c>
      <c r="AH6">
        <v>0</v>
      </c>
      <c r="AI6">
        <v>0</v>
      </c>
      <c r="AJ6" t="s">
        <v>397</v>
      </c>
    </row>
    <row r="7" spans="1:48" x14ac:dyDescent="0.25">
      <c r="A7" s="2" t="s">
        <v>11</v>
      </c>
      <c r="B7">
        <v>4</v>
      </c>
      <c r="C7" t="s">
        <v>5</v>
      </c>
      <c r="D7">
        <v>1</v>
      </c>
      <c r="E7" t="s">
        <v>12</v>
      </c>
      <c r="F7">
        <v>1</v>
      </c>
      <c r="G7" t="s">
        <v>12</v>
      </c>
      <c r="H7">
        <v>1</v>
      </c>
      <c r="I7" t="s">
        <v>7</v>
      </c>
      <c r="J7">
        <v>0</v>
      </c>
      <c r="K7" t="s">
        <v>7</v>
      </c>
      <c r="L7">
        <v>0</v>
      </c>
      <c r="M7" t="s">
        <v>2</v>
      </c>
      <c r="N7">
        <v>1</v>
      </c>
      <c r="O7">
        <v>1</v>
      </c>
      <c r="P7">
        <v>6</v>
      </c>
      <c r="Q7">
        <v>0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>
        <v>10</v>
      </c>
      <c r="Z7">
        <v>5</v>
      </c>
      <c r="AA7" t="s">
        <v>2</v>
      </c>
      <c r="AB7" t="s">
        <v>257</v>
      </c>
      <c r="AC7" t="s">
        <v>267</v>
      </c>
      <c r="AD7" s="5" t="s">
        <v>340</v>
      </c>
      <c r="AE7" t="s">
        <v>366</v>
      </c>
      <c r="AF7" s="5" t="s">
        <v>2</v>
      </c>
      <c r="AG7" t="s">
        <v>367</v>
      </c>
      <c r="AH7">
        <v>1</v>
      </c>
      <c r="AI7">
        <v>0</v>
      </c>
      <c r="AJ7" t="s">
        <v>397</v>
      </c>
      <c r="AQ7">
        <v>1</v>
      </c>
    </row>
    <row r="8" spans="1:48" x14ac:dyDescent="0.25">
      <c r="A8" s="2" t="s">
        <v>13</v>
      </c>
      <c r="B8">
        <v>2</v>
      </c>
      <c r="C8" t="s">
        <v>12</v>
      </c>
      <c r="D8">
        <v>1</v>
      </c>
      <c r="E8" t="s">
        <v>5</v>
      </c>
      <c r="F8">
        <v>1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>
        <v>0</v>
      </c>
      <c r="P8">
        <v>0</v>
      </c>
      <c r="Q8">
        <v>0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257</v>
      </c>
      <c r="AC8" t="s">
        <v>267</v>
      </c>
      <c r="AD8" s="5" t="s">
        <v>340</v>
      </c>
      <c r="AE8" t="s">
        <v>369</v>
      </c>
      <c r="AF8" s="5" t="s">
        <v>2</v>
      </c>
      <c r="AG8" t="s">
        <v>370</v>
      </c>
      <c r="AH8">
        <v>1</v>
      </c>
      <c r="AI8">
        <v>0</v>
      </c>
      <c r="AJ8" t="s">
        <v>397</v>
      </c>
    </row>
    <row r="9" spans="1:48" x14ac:dyDescent="0.25">
      <c r="A9" s="2" t="s">
        <v>14</v>
      </c>
      <c r="B9">
        <v>2</v>
      </c>
      <c r="C9" t="s">
        <v>12</v>
      </c>
      <c r="D9">
        <v>1</v>
      </c>
      <c r="E9" t="s">
        <v>7</v>
      </c>
      <c r="F9">
        <v>0</v>
      </c>
      <c r="G9" t="s">
        <v>5</v>
      </c>
      <c r="H9">
        <v>1</v>
      </c>
      <c r="I9" t="s">
        <v>7</v>
      </c>
      <c r="J9">
        <v>0</v>
      </c>
      <c r="K9" t="s">
        <v>7</v>
      </c>
      <c r="L9">
        <v>0</v>
      </c>
      <c r="M9" t="s">
        <v>7</v>
      </c>
      <c r="N9">
        <v>0</v>
      </c>
      <c r="O9">
        <v>1</v>
      </c>
      <c r="P9">
        <v>6</v>
      </c>
      <c r="Q9">
        <v>0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>
        <v>15</v>
      </c>
      <c r="Z9" t="s">
        <v>2</v>
      </c>
      <c r="AA9" t="s">
        <v>2</v>
      </c>
      <c r="AB9" t="s">
        <v>257</v>
      </c>
      <c r="AC9" t="s">
        <v>268</v>
      </c>
      <c r="AD9" s="5" t="s">
        <v>340</v>
      </c>
      <c r="AE9" t="s">
        <v>371</v>
      </c>
      <c r="AF9" s="5" t="s">
        <v>2</v>
      </c>
      <c r="AG9" t="s">
        <v>367</v>
      </c>
      <c r="AH9">
        <v>0</v>
      </c>
      <c r="AI9">
        <v>0</v>
      </c>
      <c r="AJ9" t="s">
        <v>397</v>
      </c>
    </row>
    <row r="10" spans="1:48" x14ac:dyDescent="0.25">
      <c r="A10" s="2" t="s">
        <v>15</v>
      </c>
      <c r="B10">
        <v>3</v>
      </c>
      <c r="C10" t="s">
        <v>9</v>
      </c>
      <c r="D10">
        <v>1</v>
      </c>
      <c r="E10" t="s">
        <v>5</v>
      </c>
      <c r="F10">
        <v>1</v>
      </c>
      <c r="G10" t="s">
        <v>6</v>
      </c>
      <c r="H10">
        <v>1</v>
      </c>
      <c r="I10" t="s">
        <v>7</v>
      </c>
      <c r="J10">
        <v>0</v>
      </c>
      <c r="K10" t="s">
        <v>7</v>
      </c>
      <c r="L10">
        <v>0</v>
      </c>
      <c r="M10" t="s">
        <v>7</v>
      </c>
      <c r="N10">
        <v>0</v>
      </c>
      <c r="O10">
        <v>1</v>
      </c>
      <c r="P10">
        <v>6</v>
      </c>
      <c r="Q10">
        <v>0</v>
      </c>
      <c r="R10" t="s">
        <v>2</v>
      </c>
      <c r="S10" t="s">
        <v>2</v>
      </c>
      <c r="T10">
        <v>8.2200000000000006</v>
      </c>
      <c r="U10">
        <v>10.86</v>
      </c>
      <c r="V10">
        <v>567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260</v>
      </c>
      <c r="AC10" t="s">
        <v>269</v>
      </c>
      <c r="AD10" s="5">
        <v>1</v>
      </c>
      <c r="AE10" t="s">
        <v>369</v>
      </c>
      <c r="AF10" s="5" t="s">
        <v>2</v>
      </c>
      <c r="AG10" t="s">
        <v>367</v>
      </c>
      <c r="AH10" t="s">
        <v>2</v>
      </c>
      <c r="AI10">
        <v>1</v>
      </c>
      <c r="AJ10" t="s">
        <v>397</v>
      </c>
    </row>
    <row r="11" spans="1:48" x14ac:dyDescent="0.25">
      <c r="A11" s="2" t="s">
        <v>16</v>
      </c>
      <c r="B11">
        <v>3</v>
      </c>
      <c r="C11" t="s">
        <v>9</v>
      </c>
      <c r="D11">
        <v>1</v>
      </c>
      <c r="E11" t="s">
        <v>5</v>
      </c>
      <c r="F11">
        <v>1</v>
      </c>
      <c r="G11" t="s">
        <v>6</v>
      </c>
      <c r="H11">
        <v>1</v>
      </c>
      <c r="I11" t="s">
        <v>7</v>
      </c>
      <c r="J11">
        <v>0</v>
      </c>
      <c r="K11" t="s">
        <v>7</v>
      </c>
      <c r="L11">
        <v>0</v>
      </c>
      <c r="M11" t="s">
        <v>7</v>
      </c>
      <c r="N11">
        <v>0</v>
      </c>
      <c r="O11">
        <v>1</v>
      </c>
      <c r="P11">
        <v>1</v>
      </c>
      <c r="Q11">
        <v>0</v>
      </c>
      <c r="R11" t="s">
        <v>2</v>
      </c>
      <c r="S11" t="s">
        <v>2</v>
      </c>
      <c r="T11">
        <v>7.27</v>
      </c>
      <c r="U11">
        <v>8.39</v>
      </c>
      <c r="V11">
        <v>838</v>
      </c>
      <c r="W11">
        <v>21.3</v>
      </c>
      <c r="X11" t="s">
        <v>2</v>
      </c>
      <c r="Y11" t="s">
        <v>2</v>
      </c>
      <c r="Z11" t="s">
        <v>2</v>
      </c>
      <c r="AA11" t="s">
        <v>2</v>
      </c>
      <c r="AB11" t="s">
        <v>260</v>
      </c>
      <c r="AC11" t="s">
        <v>269</v>
      </c>
      <c r="AD11" s="5">
        <v>1</v>
      </c>
      <c r="AE11" t="s">
        <v>369</v>
      </c>
      <c r="AF11" s="5" t="s">
        <v>2</v>
      </c>
      <c r="AG11" t="s">
        <v>367</v>
      </c>
      <c r="AH11" t="s">
        <v>2</v>
      </c>
      <c r="AI11">
        <v>1</v>
      </c>
      <c r="AJ11" t="s">
        <v>397</v>
      </c>
      <c r="AS11">
        <v>1</v>
      </c>
    </row>
    <row r="12" spans="1:48" x14ac:dyDescent="0.25">
      <c r="A12" s="2" t="s">
        <v>17</v>
      </c>
      <c r="B12">
        <v>3</v>
      </c>
      <c r="C12" t="s">
        <v>6</v>
      </c>
      <c r="D12">
        <v>1</v>
      </c>
      <c r="E12" t="s">
        <v>12</v>
      </c>
      <c r="F12">
        <v>1</v>
      </c>
      <c r="G12" t="s">
        <v>6</v>
      </c>
      <c r="H12">
        <v>1</v>
      </c>
      <c r="I12" t="s">
        <v>7</v>
      </c>
      <c r="J12">
        <v>0</v>
      </c>
      <c r="K12" t="s">
        <v>7</v>
      </c>
      <c r="L12">
        <v>0</v>
      </c>
      <c r="M12" t="s">
        <v>7</v>
      </c>
      <c r="N12">
        <v>0</v>
      </c>
      <c r="O12">
        <v>1</v>
      </c>
      <c r="P12">
        <v>2</v>
      </c>
      <c r="Q12">
        <v>0</v>
      </c>
      <c r="R12" t="s">
        <v>2</v>
      </c>
      <c r="S12" t="s">
        <v>2</v>
      </c>
      <c r="T12">
        <v>5.25</v>
      </c>
      <c r="U12">
        <v>14.55</v>
      </c>
      <c r="V12">
        <v>598</v>
      </c>
      <c r="W12">
        <v>20.6</v>
      </c>
      <c r="X12" t="s">
        <v>2</v>
      </c>
      <c r="Y12">
        <v>8</v>
      </c>
      <c r="Z12">
        <v>0</v>
      </c>
      <c r="AA12" t="s">
        <v>2</v>
      </c>
      <c r="AB12" t="s">
        <v>258</v>
      </c>
      <c r="AC12" t="s">
        <v>270</v>
      </c>
      <c r="AD12" s="5">
        <v>1</v>
      </c>
      <c r="AE12" t="s">
        <v>369</v>
      </c>
      <c r="AF12" s="5" t="s">
        <v>2</v>
      </c>
      <c r="AG12" t="s">
        <v>372</v>
      </c>
      <c r="AH12">
        <v>1</v>
      </c>
      <c r="AI12">
        <v>0</v>
      </c>
      <c r="AJ12" t="s">
        <v>397</v>
      </c>
    </row>
    <row r="13" spans="1:48" x14ac:dyDescent="0.25">
      <c r="A13" s="2" t="s">
        <v>18</v>
      </c>
      <c r="B13">
        <v>3</v>
      </c>
      <c r="C13" t="s">
        <v>5</v>
      </c>
      <c r="D13">
        <v>1</v>
      </c>
      <c r="E13" t="s">
        <v>12</v>
      </c>
      <c r="F13">
        <v>1</v>
      </c>
      <c r="G13" t="s">
        <v>9</v>
      </c>
      <c r="H13">
        <v>1</v>
      </c>
      <c r="I13" t="s">
        <v>7</v>
      </c>
      <c r="J13">
        <v>0</v>
      </c>
      <c r="K13" t="s">
        <v>7</v>
      </c>
      <c r="L13">
        <v>0</v>
      </c>
      <c r="M13" t="s">
        <v>7</v>
      </c>
      <c r="N13">
        <v>0</v>
      </c>
      <c r="O13">
        <v>1</v>
      </c>
      <c r="P13">
        <v>3</v>
      </c>
      <c r="Q13">
        <v>0</v>
      </c>
      <c r="R13" t="s">
        <v>2</v>
      </c>
      <c r="S13" t="s">
        <v>2</v>
      </c>
      <c r="T13">
        <v>7.94</v>
      </c>
      <c r="U13">
        <v>2.52</v>
      </c>
      <c r="V13">
        <v>951</v>
      </c>
      <c r="W13">
        <v>21.7</v>
      </c>
      <c r="X13" t="s">
        <v>2</v>
      </c>
      <c r="Y13" t="s">
        <v>2</v>
      </c>
      <c r="Z13" t="s">
        <v>2</v>
      </c>
      <c r="AA13" t="s">
        <v>2</v>
      </c>
      <c r="AB13" t="s">
        <v>260</v>
      </c>
      <c r="AC13" t="s">
        <v>269</v>
      </c>
      <c r="AD13" s="5">
        <v>1</v>
      </c>
      <c r="AE13" t="s">
        <v>369</v>
      </c>
      <c r="AF13" s="5" t="s">
        <v>2</v>
      </c>
      <c r="AG13" t="s">
        <v>367</v>
      </c>
      <c r="AH13" t="s">
        <v>2</v>
      </c>
      <c r="AI13">
        <v>0</v>
      </c>
      <c r="AJ13" t="s">
        <v>397</v>
      </c>
    </row>
    <row r="14" spans="1:48" x14ac:dyDescent="0.25">
      <c r="A14" s="2" t="s">
        <v>19</v>
      </c>
      <c r="B14">
        <v>3</v>
      </c>
      <c r="C14" t="s">
        <v>5</v>
      </c>
      <c r="D14">
        <v>1</v>
      </c>
      <c r="E14" t="s">
        <v>12</v>
      </c>
      <c r="F14">
        <v>1</v>
      </c>
      <c r="G14" t="s">
        <v>12</v>
      </c>
      <c r="H14">
        <v>1</v>
      </c>
      <c r="I14" t="s">
        <v>7</v>
      </c>
      <c r="J14">
        <v>0</v>
      </c>
      <c r="K14" t="s">
        <v>7</v>
      </c>
      <c r="L14">
        <v>0</v>
      </c>
      <c r="M14" t="s">
        <v>7</v>
      </c>
      <c r="N14">
        <v>0</v>
      </c>
      <c r="O14">
        <v>1</v>
      </c>
      <c r="P14">
        <v>2</v>
      </c>
      <c r="Q14">
        <v>0</v>
      </c>
      <c r="R14" t="s">
        <v>2</v>
      </c>
      <c r="S14" t="s">
        <v>2</v>
      </c>
      <c r="T14">
        <v>8.31</v>
      </c>
      <c r="U14">
        <v>3</v>
      </c>
      <c r="V14">
        <v>644</v>
      </c>
      <c r="W14">
        <v>24.3</v>
      </c>
      <c r="X14" t="s">
        <v>2</v>
      </c>
      <c r="Y14">
        <v>8</v>
      </c>
      <c r="Z14">
        <v>24</v>
      </c>
      <c r="AA14" t="s">
        <v>2</v>
      </c>
      <c r="AB14" t="s">
        <v>260</v>
      </c>
      <c r="AC14" t="s">
        <v>271</v>
      </c>
      <c r="AD14" s="5">
        <v>1</v>
      </c>
      <c r="AE14" t="s">
        <v>373</v>
      </c>
      <c r="AF14">
        <v>100</v>
      </c>
      <c r="AG14" t="s">
        <v>367</v>
      </c>
      <c r="AH14">
        <v>0</v>
      </c>
      <c r="AI14">
        <v>1</v>
      </c>
      <c r="AJ14" t="s">
        <v>397</v>
      </c>
    </row>
    <row r="15" spans="1:48" x14ac:dyDescent="0.25">
      <c r="A15" s="2" t="s">
        <v>20</v>
      </c>
      <c r="B15">
        <v>3</v>
      </c>
      <c r="C15" t="s">
        <v>12</v>
      </c>
      <c r="D15">
        <v>1</v>
      </c>
      <c r="E15" t="s">
        <v>5</v>
      </c>
      <c r="F15">
        <v>1</v>
      </c>
      <c r="G15" t="s">
        <v>12</v>
      </c>
      <c r="H15">
        <v>1</v>
      </c>
      <c r="I15" t="s">
        <v>7</v>
      </c>
      <c r="J15">
        <v>0</v>
      </c>
      <c r="K15" t="s">
        <v>7</v>
      </c>
      <c r="L15">
        <v>0</v>
      </c>
      <c r="M15" t="s">
        <v>7</v>
      </c>
      <c r="N15">
        <v>0</v>
      </c>
      <c r="O15">
        <v>1</v>
      </c>
      <c r="P15">
        <v>1</v>
      </c>
      <c r="Q15">
        <v>0</v>
      </c>
      <c r="R15" t="s">
        <v>2</v>
      </c>
      <c r="S15" t="s">
        <v>2</v>
      </c>
      <c r="T15">
        <v>8.16</v>
      </c>
      <c r="U15">
        <v>7.05</v>
      </c>
      <c r="V15">
        <v>687</v>
      </c>
      <c r="W15">
        <v>27.2</v>
      </c>
      <c r="X15" t="s">
        <v>2</v>
      </c>
      <c r="Y15">
        <v>5</v>
      </c>
      <c r="Z15">
        <v>2</v>
      </c>
      <c r="AA15" t="s">
        <v>2</v>
      </c>
      <c r="AB15" t="s">
        <v>260</v>
      </c>
      <c r="AC15" t="s">
        <v>271</v>
      </c>
      <c r="AD15" s="5">
        <v>1</v>
      </c>
      <c r="AE15" t="s">
        <v>369</v>
      </c>
      <c r="AF15" s="5" t="s">
        <v>2</v>
      </c>
      <c r="AG15" t="s">
        <v>367</v>
      </c>
      <c r="AH15">
        <v>1</v>
      </c>
      <c r="AI15">
        <v>1</v>
      </c>
      <c r="AJ15" t="s">
        <v>394</v>
      </c>
    </row>
    <row r="16" spans="1:48" x14ac:dyDescent="0.25">
      <c r="A16" s="2" t="s">
        <v>21</v>
      </c>
      <c r="B16">
        <v>2</v>
      </c>
      <c r="C16" t="s">
        <v>12</v>
      </c>
      <c r="D16">
        <v>1</v>
      </c>
      <c r="E16" t="s">
        <v>7</v>
      </c>
      <c r="F16">
        <v>0</v>
      </c>
      <c r="G16" t="s">
        <v>12</v>
      </c>
      <c r="H16">
        <v>1</v>
      </c>
      <c r="I16" t="s">
        <v>7</v>
      </c>
      <c r="J16">
        <v>0</v>
      </c>
      <c r="K16" t="s">
        <v>7</v>
      </c>
      <c r="L16">
        <v>0</v>
      </c>
      <c r="M16" t="s">
        <v>7</v>
      </c>
      <c r="N16">
        <v>0</v>
      </c>
      <c r="O16">
        <v>1</v>
      </c>
      <c r="P16">
        <v>1</v>
      </c>
      <c r="Q16">
        <v>0</v>
      </c>
      <c r="R16" t="s">
        <v>2</v>
      </c>
      <c r="S16" t="s">
        <v>2</v>
      </c>
      <c r="T16">
        <v>7.79</v>
      </c>
      <c r="U16">
        <v>2.72</v>
      </c>
      <c r="V16">
        <v>505</v>
      </c>
      <c r="W16">
        <v>23.7</v>
      </c>
      <c r="X16" t="s">
        <v>2</v>
      </c>
      <c r="Y16">
        <v>19</v>
      </c>
      <c r="Z16">
        <v>21</v>
      </c>
      <c r="AA16" t="s">
        <v>2</v>
      </c>
      <c r="AB16" t="s">
        <v>259</v>
      </c>
      <c r="AC16" t="s">
        <v>272</v>
      </c>
      <c r="AD16" s="5">
        <v>1</v>
      </c>
      <c r="AE16" t="s">
        <v>369</v>
      </c>
      <c r="AF16" s="5" t="s">
        <v>2</v>
      </c>
      <c r="AG16" t="s">
        <v>367</v>
      </c>
      <c r="AH16">
        <v>0</v>
      </c>
      <c r="AI16">
        <v>1</v>
      </c>
      <c r="AJ16" t="s">
        <v>397</v>
      </c>
    </row>
    <row r="17" spans="1:44" x14ac:dyDescent="0.25">
      <c r="A17" s="2" t="s">
        <v>22</v>
      </c>
      <c r="B17">
        <v>2</v>
      </c>
      <c r="C17" t="s">
        <v>6</v>
      </c>
      <c r="D17">
        <v>1</v>
      </c>
      <c r="E17" t="s">
        <v>9</v>
      </c>
      <c r="F17">
        <v>1</v>
      </c>
      <c r="G17" t="s">
        <v>7</v>
      </c>
      <c r="H17">
        <v>0</v>
      </c>
      <c r="I17" t="s">
        <v>7</v>
      </c>
      <c r="J17">
        <v>0</v>
      </c>
      <c r="K17" t="s">
        <v>7</v>
      </c>
      <c r="L17">
        <v>0</v>
      </c>
      <c r="M17" t="s">
        <v>7</v>
      </c>
      <c r="N17">
        <v>0</v>
      </c>
      <c r="O17">
        <v>1</v>
      </c>
      <c r="P17">
        <v>1</v>
      </c>
      <c r="Q17">
        <v>0</v>
      </c>
      <c r="R17" t="s">
        <v>2</v>
      </c>
      <c r="S17" t="s">
        <v>2</v>
      </c>
      <c r="T17">
        <v>7.43</v>
      </c>
      <c r="U17">
        <v>10.8</v>
      </c>
      <c r="V17">
        <v>687</v>
      </c>
      <c r="W17">
        <v>32.4</v>
      </c>
      <c r="X17" t="s">
        <v>2</v>
      </c>
      <c r="Y17">
        <v>4</v>
      </c>
      <c r="Z17">
        <v>15</v>
      </c>
      <c r="AA17">
        <v>46</v>
      </c>
      <c r="AB17" t="s">
        <v>259</v>
      </c>
      <c r="AC17" t="s">
        <v>273</v>
      </c>
      <c r="AD17" s="5">
        <v>1</v>
      </c>
      <c r="AE17" t="s">
        <v>369</v>
      </c>
      <c r="AF17" s="5" t="s">
        <v>2</v>
      </c>
      <c r="AG17" t="s">
        <v>367</v>
      </c>
      <c r="AH17">
        <v>0</v>
      </c>
      <c r="AI17">
        <v>0</v>
      </c>
      <c r="AJ17" t="s">
        <v>397</v>
      </c>
    </row>
    <row r="18" spans="1:44" x14ac:dyDescent="0.25">
      <c r="A18" s="2" t="s">
        <v>23</v>
      </c>
      <c r="B18">
        <v>3</v>
      </c>
      <c r="C18" t="s">
        <v>5</v>
      </c>
      <c r="D18">
        <v>1</v>
      </c>
      <c r="E18" t="s">
        <v>9</v>
      </c>
      <c r="F18">
        <v>1</v>
      </c>
      <c r="G18" t="s">
        <v>7</v>
      </c>
      <c r="H18">
        <v>0</v>
      </c>
      <c r="I18" t="s">
        <v>7</v>
      </c>
      <c r="J18">
        <v>0</v>
      </c>
      <c r="K18" t="s">
        <v>7</v>
      </c>
      <c r="L18">
        <v>0</v>
      </c>
      <c r="M18" t="s">
        <v>7</v>
      </c>
      <c r="N18">
        <v>0</v>
      </c>
      <c r="O18">
        <v>0</v>
      </c>
      <c r="P18">
        <v>0</v>
      </c>
      <c r="Q18">
        <v>0</v>
      </c>
      <c r="R18" t="s">
        <v>2</v>
      </c>
      <c r="S18" t="s">
        <v>2</v>
      </c>
      <c r="T18">
        <v>7.75</v>
      </c>
      <c r="U18">
        <v>11.22</v>
      </c>
      <c r="V18">
        <v>31.1</v>
      </c>
      <c r="W18">
        <v>24</v>
      </c>
      <c r="X18" t="s">
        <v>2</v>
      </c>
      <c r="Y18">
        <v>13</v>
      </c>
      <c r="Z18">
        <v>8</v>
      </c>
      <c r="AA18" t="s">
        <v>2</v>
      </c>
      <c r="AB18" t="s">
        <v>259</v>
      </c>
      <c r="AC18" t="s">
        <v>273</v>
      </c>
      <c r="AD18" s="5">
        <v>1</v>
      </c>
      <c r="AE18" t="s">
        <v>371</v>
      </c>
      <c r="AF18" s="5" t="s">
        <v>2</v>
      </c>
      <c r="AG18" t="s">
        <v>367</v>
      </c>
      <c r="AH18">
        <v>0</v>
      </c>
      <c r="AI18">
        <v>0</v>
      </c>
      <c r="AJ18" t="s">
        <v>398</v>
      </c>
    </row>
    <row r="19" spans="1:44" x14ac:dyDescent="0.25">
      <c r="A19" s="2" t="s">
        <v>24</v>
      </c>
      <c r="B19">
        <v>1</v>
      </c>
      <c r="C19" t="s">
        <v>25</v>
      </c>
      <c r="D19">
        <v>1</v>
      </c>
      <c r="E19" t="s">
        <v>7</v>
      </c>
      <c r="F19">
        <v>0</v>
      </c>
      <c r="G19" t="s">
        <v>7</v>
      </c>
      <c r="H19">
        <v>0</v>
      </c>
      <c r="I19" t="s">
        <v>7</v>
      </c>
      <c r="J19">
        <v>0</v>
      </c>
      <c r="K19" t="s">
        <v>7</v>
      </c>
      <c r="L19">
        <v>0</v>
      </c>
      <c r="M19" t="s">
        <v>7</v>
      </c>
      <c r="N19">
        <v>0</v>
      </c>
      <c r="O19">
        <v>1</v>
      </c>
      <c r="P19">
        <v>3</v>
      </c>
      <c r="Q19">
        <v>0</v>
      </c>
      <c r="R19" t="s">
        <v>2</v>
      </c>
      <c r="S19" t="s">
        <v>2</v>
      </c>
      <c r="T19">
        <v>7.32</v>
      </c>
      <c r="U19">
        <v>1.86</v>
      </c>
      <c r="V19">
        <v>652</v>
      </c>
      <c r="W19">
        <v>24</v>
      </c>
      <c r="X19" t="s">
        <v>2</v>
      </c>
      <c r="Y19">
        <v>14</v>
      </c>
      <c r="Z19">
        <v>27</v>
      </c>
      <c r="AA19" t="s">
        <v>2</v>
      </c>
      <c r="AB19" t="s">
        <v>259</v>
      </c>
      <c r="AC19" t="s">
        <v>273</v>
      </c>
      <c r="AD19" s="5">
        <v>1</v>
      </c>
      <c r="AE19" t="s">
        <v>369</v>
      </c>
      <c r="AF19" s="5" t="s">
        <v>2</v>
      </c>
      <c r="AG19" t="s">
        <v>367</v>
      </c>
      <c r="AH19">
        <v>0</v>
      </c>
      <c r="AI19">
        <v>1</v>
      </c>
      <c r="AJ19" t="s">
        <v>394</v>
      </c>
    </row>
    <row r="20" spans="1:44" x14ac:dyDescent="0.25">
      <c r="A20" s="2" t="s">
        <v>26</v>
      </c>
      <c r="B20">
        <v>2</v>
      </c>
      <c r="C20" t="s">
        <v>12</v>
      </c>
      <c r="D20">
        <v>1</v>
      </c>
      <c r="E20" t="s">
        <v>6</v>
      </c>
      <c r="F20">
        <v>1</v>
      </c>
      <c r="G20" t="s">
        <v>7</v>
      </c>
      <c r="H20">
        <v>0</v>
      </c>
      <c r="I20" t="s">
        <v>7</v>
      </c>
      <c r="J20">
        <v>0</v>
      </c>
      <c r="K20" t="s">
        <v>7</v>
      </c>
      <c r="L20">
        <v>0</v>
      </c>
      <c r="M20" t="s">
        <v>7</v>
      </c>
      <c r="N20">
        <v>0</v>
      </c>
      <c r="O20">
        <v>1</v>
      </c>
      <c r="P20">
        <v>2</v>
      </c>
      <c r="Q20">
        <v>0</v>
      </c>
      <c r="R20" t="s">
        <v>2</v>
      </c>
      <c r="S20" t="s">
        <v>2</v>
      </c>
      <c r="T20">
        <v>7.82</v>
      </c>
      <c r="U20">
        <v>12.27</v>
      </c>
      <c r="V20">
        <v>839</v>
      </c>
      <c r="W20">
        <v>21.9</v>
      </c>
      <c r="X20" t="s">
        <v>2</v>
      </c>
      <c r="Y20">
        <v>2</v>
      </c>
      <c r="Z20">
        <v>0.5</v>
      </c>
      <c r="AA20" t="s">
        <v>2</v>
      </c>
      <c r="AB20" t="s">
        <v>259</v>
      </c>
      <c r="AC20" t="s">
        <v>274</v>
      </c>
      <c r="AD20" s="5">
        <v>1</v>
      </c>
      <c r="AE20" t="s">
        <v>369</v>
      </c>
      <c r="AF20" s="5" t="s">
        <v>2</v>
      </c>
      <c r="AG20" t="s">
        <v>367</v>
      </c>
      <c r="AH20">
        <v>1</v>
      </c>
      <c r="AI20">
        <v>0</v>
      </c>
      <c r="AJ20" t="s">
        <v>398</v>
      </c>
    </row>
    <row r="21" spans="1:44" x14ac:dyDescent="0.25">
      <c r="A21" s="2" t="s">
        <v>27</v>
      </c>
      <c r="B21">
        <v>2</v>
      </c>
      <c r="C21" t="s">
        <v>6</v>
      </c>
      <c r="D21">
        <v>1</v>
      </c>
      <c r="E21" t="s">
        <v>9</v>
      </c>
      <c r="F21">
        <v>1</v>
      </c>
      <c r="G21" t="s">
        <v>7</v>
      </c>
      <c r="H21">
        <v>0</v>
      </c>
      <c r="I21" t="s">
        <v>7</v>
      </c>
      <c r="J21">
        <v>0</v>
      </c>
      <c r="K21" t="s">
        <v>7</v>
      </c>
      <c r="L21">
        <v>0</v>
      </c>
      <c r="M21" t="s">
        <v>7</v>
      </c>
      <c r="N21">
        <v>0</v>
      </c>
      <c r="O21">
        <v>1</v>
      </c>
      <c r="P21">
        <v>2</v>
      </c>
      <c r="Q21">
        <v>0</v>
      </c>
      <c r="R21" t="s">
        <v>2</v>
      </c>
      <c r="S21" t="s">
        <v>2</v>
      </c>
      <c r="T21">
        <v>1.8</v>
      </c>
      <c r="U21">
        <v>126</v>
      </c>
      <c r="V21">
        <v>821</v>
      </c>
      <c r="W21">
        <v>21.3</v>
      </c>
      <c r="X21" t="s">
        <v>2</v>
      </c>
      <c r="Y21">
        <v>3</v>
      </c>
      <c r="Z21">
        <v>40</v>
      </c>
      <c r="AA21" t="s">
        <v>2</v>
      </c>
      <c r="AB21" t="s">
        <v>259</v>
      </c>
      <c r="AC21" t="s">
        <v>274</v>
      </c>
      <c r="AD21" s="5">
        <v>1</v>
      </c>
      <c r="AE21" t="s">
        <v>369</v>
      </c>
      <c r="AF21" s="5" t="s">
        <v>2</v>
      </c>
      <c r="AG21" t="s">
        <v>367</v>
      </c>
      <c r="AH21">
        <v>0</v>
      </c>
      <c r="AI21">
        <v>1</v>
      </c>
      <c r="AJ21" t="s">
        <v>394</v>
      </c>
    </row>
    <row r="22" spans="1:44" x14ac:dyDescent="0.25">
      <c r="A22" s="2" t="s">
        <v>28</v>
      </c>
      <c r="B22">
        <v>3</v>
      </c>
      <c r="C22" t="s">
        <v>5</v>
      </c>
      <c r="D22">
        <v>1</v>
      </c>
      <c r="E22" t="s">
        <v>6</v>
      </c>
      <c r="F22">
        <v>1</v>
      </c>
      <c r="G22" t="s">
        <v>12</v>
      </c>
      <c r="H22">
        <v>1</v>
      </c>
      <c r="I22" t="s">
        <v>7</v>
      </c>
      <c r="J22">
        <v>0</v>
      </c>
      <c r="K22" t="s">
        <v>7</v>
      </c>
      <c r="L22">
        <v>0</v>
      </c>
      <c r="M22" t="s">
        <v>7</v>
      </c>
      <c r="N22">
        <v>0</v>
      </c>
      <c r="O22">
        <v>0</v>
      </c>
      <c r="P22">
        <v>0</v>
      </c>
      <c r="Q22">
        <v>0</v>
      </c>
      <c r="R22" t="s">
        <v>2</v>
      </c>
      <c r="S22" t="s">
        <v>2</v>
      </c>
      <c r="T22">
        <v>4.92</v>
      </c>
      <c r="U22">
        <v>10.54</v>
      </c>
      <c r="V22">
        <v>833</v>
      </c>
      <c r="W22">
        <v>22.8</v>
      </c>
      <c r="X22" t="s">
        <v>2</v>
      </c>
      <c r="Y22">
        <v>7</v>
      </c>
      <c r="Z22">
        <v>16</v>
      </c>
      <c r="AA22" t="s">
        <v>2</v>
      </c>
      <c r="AB22" t="s">
        <v>259</v>
      </c>
      <c r="AC22" t="s">
        <v>274</v>
      </c>
      <c r="AD22" s="5">
        <v>1</v>
      </c>
      <c r="AE22" t="s">
        <v>369</v>
      </c>
      <c r="AF22" s="5" t="s">
        <v>2</v>
      </c>
      <c r="AG22" t="s">
        <v>367</v>
      </c>
      <c r="AH22">
        <v>0</v>
      </c>
      <c r="AI22">
        <v>0</v>
      </c>
      <c r="AJ22" t="s">
        <v>394</v>
      </c>
    </row>
    <row r="23" spans="1:44" x14ac:dyDescent="0.25">
      <c r="A23" s="2" t="s">
        <v>29</v>
      </c>
      <c r="B23">
        <v>2</v>
      </c>
      <c r="C23" t="s">
        <v>12</v>
      </c>
      <c r="D23">
        <v>1</v>
      </c>
      <c r="E23" t="s">
        <v>9</v>
      </c>
      <c r="F23">
        <v>1</v>
      </c>
      <c r="G23" t="s">
        <v>7</v>
      </c>
      <c r="H23">
        <v>0</v>
      </c>
      <c r="I23" t="s">
        <v>7</v>
      </c>
      <c r="J23">
        <v>0</v>
      </c>
      <c r="K23" t="s">
        <v>7</v>
      </c>
      <c r="L23">
        <v>0</v>
      </c>
      <c r="M23" t="s">
        <v>7</v>
      </c>
      <c r="N23">
        <v>0</v>
      </c>
      <c r="O23">
        <v>1</v>
      </c>
      <c r="P23">
        <v>3</v>
      </c>
      <c r="Q23">
        <v>0</v>
      </c>
      <c r="R23" t="s">
        <v>2</v>
      </c>
      <c r="S23" t="s">
        <v>2</v>
      </c>
      <c r="T23">
        <v>6.95</v>
      </c>
      <c r="U23">
        <v>6.54</v>
      </c>
      <c r="V23">
        <v>63.1</v>
      </c>
      <c r="W23">
        <v>25.4</v>
      </c>
      <c r="X23" t="s">
        <v>2</v>
      </c>
      <c r="Y23">
        <v>0.5</v>
      </c>
      <c r="Z23">
        <v>6</v>
      </c>
      <c r="AA23" t="s">
        <v>2</v>
      </c>
      <c r="AB23" t="s">
        <v>259</v>
      </c>
      <c r="AC23" t="s">
        <v>274</v>
      </c>
      <c r="AD23" s="5">
        <v>1</v>
      </c>
      <c r="AE23" t="s">
        <v>374</v>
      </c>
      <c r="AF23" s="5" t="s">
        <v>2</v>
      </c>
      <c r="AG23" t="s">
        <v>367</v>
      </c>
      <c r="AH23" t="s">
        <v>2</v>
      </c>
      <c r="AI23">
        <v>0</v>
      </c>
      <c r="AJ23" t="s">
        <v>397</v>
      </c>
    </row>
    <row r="24" spans="1:44" x14ac:dyDescent="0.25">
      <c r="A24" s="2" t="s">
        <v>30</v>
      </c>
      <c r="B24">
        <v>2</v>
      </c>
      <c r="C24" t="s">
        <v>12</v>
      </c>
      <c r="D24">
        <v>1</v>
      </c>
      <c r="E24" t="s">
        <v>9</v>
      </c>
      <c r="F24">
        <v>1</v>
      </c>
      <c r="G24" t="s">
        <v>7</v>
      </c>
      <c r="H24">
        <v>0</v>
      </c>
      <c r="I24" t="s">
        <v>7</v>
      </c>
      <c r="J24">
        <v>0</v>
      </c>
      <c r="K24" t="s">
        <v>7</v>
      </c>
      <c r="L24">
        <v>0</v>
      </c>
      <c r="M24" t="s">
        <v>7</v>
      </c>
      <c r="N24">
        <v>0</v>
      </c>
      <c r="O24">
        <v>1</v>
      </c>
      <c r="P24">
        <v>6</v>
      </c>
      <c r="Q24">
        <v>6</v>
      </c>
      <c r="R24" t="s">
        <v>2</v>
      </c>
      <c r="S24" t="s">
        <v>2</v>
      </c>
      <c r="T24">
        <v>8.5299999999999994</v>
      </c>
      <c r="U24">
        <v>5.78</v>
      </c>
      <c r="V24">
        <v>700</v>
      </c>
      <c r="W24">
        <v>23</v>
      </c>
      <c r="X24" t="s">
        <v>2</v>
      </c>
      <c r="Y24" t="s">
        <v>2</v>
      </c>
      <c r="Z24" t="s">
        <v>2</v>
      </c>
      <c r="AA24" t="s">
        <v>2</v>
      </c>
      <c r="AB24" t="s">
        <v>259</v>
      </c>
      <c r="AC24" t="s">
        <v>274</v>
      </c>
      <c r="AD24" s="5">
        <v>1</v>
      </c>
      <c r="AE24" t="s">
        <v>369</v>
      </c>
      <c r="AF24" s="5" t="s">
        <v>2</v>
      </c>
      <c r="AG24" t="s">
        <v>367</v>
      </c>
      <c r="AH24">
        <v>0</v>
      </c>
      <c r="AI24">
        <v>0</v>
      </c>
      <c r="AJ24" t="s">
        <v>394</v>
      </c>
    </row>
    <row r="25" spans="1:44" x14ac:dyDescent="0.25">
      <c r="A25" s="2" t="s">
        <v>31</v>
      </c>
      <c r="B25">
        <v>3</v>
      </c>
      <c r="C25" t="s">
        <v>12</v>
      </c>
      <c r="D25">
        <v>1</v>
      </c>
      <c r="E25" t="s">
        <v>7</v>
      </c>
      <c r="F25">
        <v>0</v>
      </c>
      <c r="G25" t="s">
        <v>6</v>
      </c>
      <c r="H25">
        <v>1</v>
      </c>
      <c r="I25" t="s">
        <v>9</v>
      </c>
      <c r="J25">
        <v>1</v>
      </c>
      <c r="K25" t="s">
        <v>7</v>
      </c>
      <c r="L25">
        <v>0</v>
      </c>
      <c r="M25" t="s">
        <v>7</v>
      </c>
      <c r="N25">
        <v>0</v>
      </c>
      <c r="O25">
        <v>0</v>
      </c>
      <c r="P25">
        <v>0</v>
      </c>
      <c r="Q25">
        <v>0</v>
      </c>
      <c r="R25" t="s">
        <v>2</v>
      </c>
      <c r="S25" t="s">
        <v>2</v>
      </c>
      <c r="T25">
        <v>7.76</v>
      </c>
      <c r="U25">
        <v>11.8</v>
      </c>
      <c r="V25">
        <v>699</v>
      </c>
      <c r="W25">
        <v>17.5</v>
      </c>
      <c r="X25" t="s">
        <v>2</v>
      </c>
      <c r="Y25">
        <v>30</v>
      </c>
      <c r="Z25">
        <v>11</v>
      </c>
      <c r="AA25" t="s">
        <v>2</v>
      </c>
      <c r="AB25" t="s">
        <v>260</v>
      </c>
      <c r="AC25" t="s">
        <v>275</v>
      </c>
      <c r="AD25" s="5">
        <v>1</v>
      </c>
      <c r="AE25" t="s">
        <v>371</v>
      </c>
      <c r="AF25" s="5" t="s">
        <v>2</v>
      </c>
      <c r="AG25" t="s">
        <v>367</v>
      </c>
      <c r="AH25">
        <v>1</v>
      </c>
      <c r="AI25">
        <v>1</v>
      </c>
      <c r="AJ25" t="s">
        <v>394</v>
      </c>
    </row>
    <row r="26" spans="1:44" x14ac:dyDescent="0.25">
      <c r="A26" s="2" t="s">
        <v>32</v>
      </c>
      <c r="B26">
        <v>2</v>
      </c>
      <c r="C26" t="s">
        <v>9</v>
      </c>
      <c r="D26">
        <v>1</v>
      </c>
      <c r="E26" t="s">
        <v>7</v>
      </c>
      <c r="F26">
        <v>0</v>
      </c>
      <c r="G26" t="s">
        <v>7</v>
      </c>
      <c r="H26">
        <v>0</v>
      </c>
      <c r="I26" t="s">
        <v>5</v>
      </c>
      <c r="J26">
        <v>1</v>
      </c>
      <c r="K26" t="s">
        <v>7</v>
      </c>
      <c r="L26">
        <v>0</v>
      </c>
      <c r="M26" t="s">
        <v>7</v>
      </c>
      <c r="N26">
        <v>0</v>
      </c>
      <c r="O26">
        <v>1</v>
      </c>
      <c r="P26">
        <v>6</v>
      </c>
      <c r="Q26">
        <v>6</v>
      </c>
      <c r="R26" t="s">
        <v>2</v>
      </c>
      <c r="S26" t="s">
        <v>2</v>
      </c>
      <c r="T26">
        <v>5.89</v>
      </c>
      <c r="U26">
        <v>13.26</v>
      </c>
      <c r="V26">
        <v>602</v>
      </c>
      <c r="W26">
        <v>18.7</v>
      </c>
      <c r="X26" t="s">
        <v>2</v>
      </c>
      <c r="Y26">
        <v>25</v>
      </c>
      <c r="Z26">
        <v>7</v>
      </c>
      <c r="AA26" t="s">
        <v>2</v>
      </c>
      <c r="AB26" t="s">
        <v>260</v>
      </c>
      <c r="AC26" t="s">
        <v>276</v>
      </c>
      <c r="AD26" s="5">
        <v>1</v>
      </c>
      <c r="AE26" t="s">
        <v>371</v>
      </c>
      <c r="AF26" s="5" t="s">
        <v>2</v>
      </c>
      <c r="AG26" t="s">
        <v>367</v>
      </c>
      <c r="AH26">
        <v>1</v>
      </c>
      <c r="AI26">
        <v>0</v>
      </c>
      <c r="AJ26" t="s">
        <v>398</v>
      </c>
      <c r="AK26">
        <v>1</v>
      </c>
      <c r="AR26">
        <v>1</v>
      </c>
    </row>
    <row r="27" spans="1:44" x14ac:dyDescent="0.25">
      <c r="A27" s="2" t="s">
        <v>33</v>
      </c>
      <c r="B27">
        <v>2</v>
      </c>
      <c r="C27" t="s">
        <v>25</v>
      </c>
      <c r="D27">
        <v>1</v>
      </c>
      <c r="E27" t="s">
        <v>7</v>
      </c>
      <c r="F27">
        <v>0</v>
      </c>
      <c r="G27" t="s">
        <v>6</v>
      </c>
      <c r="H27">
        <v>1</v>
      </c>
      <c r="I27" t="s">
        <v>7</v>
      </c>
      <c r="J27">
        <v>0</v>
      </c>
      <c r="K27" t="s">
        <v>7</v>
      </c>
      <c r="L27">
        <v>0</v>
      </c>
      <c r="M27" t="s">
        <v>7</v>
      </c>
      <c r="N27">
        <v>0</v>
      </c>
      <c r="O27">
        <v>1</v>
      </c>
      <c r="P27">
        <v>3</v>
      </c>
      <c r="Q27">
        <v>0</v>
      </c>
      <c r="R27" t="s">
        <v>2</v>
      </c>
      <c r="S27" t="s">
        <v>2</v>
      </c>
      <c r="T27">
        <v>7.84</v>
      </c>
      <c r="U27">
        <v>3.07</v>
      </c>
      <c r="V27">
        <v>397</v>
      </c>
      <c r="W27">
        <v>15.2</v>
      </c>
      <c r="X27" t="s">
        <v>2</v>
      </c>
      <c r="Y27">
        <v>7</v>
      </c>
      <c r="Z27">
        <v>13</v>
      </c>
      <c r="AA27" t="s">
        <v>2</v>
      </c>
      <c r="AB27" t="s">
        <v>260</v>
      </c>
      <c r="AC27" t="s">
        <v>277</v>
      </c>
      <c r="AD27" s="5">
        <v>1</v>
      </c>
      <c r="AE27" t="s">
        <v>371</v>
      </c>
      <c r="AF27" s="5" t="s">
        <v>2</v>
      </c>
      <c r="AG27" t="s">
        <v>367</v>
      </c>
      <c r="AH27">
        <v>1</v>
      </c>
      <c r="AI27">
        <v>0</v>
      </c>
      <c r="AJ27" t="s">
        <v>394</v>
      </c>
    </row>
    <row r="28" spans="1:44" x14ac:dyDescent="0.25">
      <c r="A28" s="2" t="s">
        <v>34</v>
      </c>
      <c r="B28">
        <v>2</v>
      </c>
      <c r="C28" t="s">
        <v>12</v>
      </c>
      <c r="D28">
        <v>1</v>
      </c>
      <c r="E28" t="s">
        <v>7</v>
      </c>
      <c r="F28">
        <v>0</v>
      </c>
      <c r="G28" t="s">
        <v>12</v>
      </c>
      <c r="H28">
        <v>1</v>
      </c>
      <c r="I28" t="s">
        <v>7</v>
      </c>
      <c r="J28">
        <v>0</v>
      </c>
      <c r="K28" t="s">
        <v>7</v>
      </c>
      <c r="L28">
        <v>0</v>
      </c>
      <c r="M28" t="s">
        <v>7</v>
      </c>
      <c r="N28">
        <v>0</v>
      </c>
      <c r="O28">
        <v>1</v>
      </c>
      <c r="P28">
        <v>1</v>
      </c>
      <c r="Q28">
        <v>0</v>
      </c>
      <c r="R28" t="s">
        <v>2</v>
      </c>
      <c r="S28" t="s">
        <v>2</v>
      </c>
      <c r="T28">
        <v>8.9</v>
      </c>
      <c r="U28">
        <v>2.89</v>
      </c>
      <c r="V28">
        <v>639</v>
      </c>
      <c r="W28">
        <v>15</v>
      </c>
      <c r="X28" t="s">
        <v>2</v>
      </c>
      <c r="Y28">
        <v>5</v>
      </c>
      <c r="Z28">
        <v>0</v>
      </c>
      <c r="AA28" t="s">
        <v>2</v>
      </c>
      <c r="AB28" t="s">
        <v>259</v>
      </c>
      <c r="AC28" t="s">
        <v>278</v>
      </c>
      <c r="AD28" s="5">
        <v>1</v>
      </c>
      <c r="AE28" t="s">
        <v>369</v>
      </c>
      <c r="AF28" s="5" t="s">
        <v>2</v>
      </c>
      <c r="AG28" t="s">
        <v>367</v>
      </c>
      <c r="AH28">
        <v>1</v>
      </c>
      <c r="AI28">
        <v>0</v>
      </c>
      <c r="AJ28" t="s">
        <v>394</v>
      </c>
      <c r="AP28">
        <v>1</v>
      </c>
    </row>
    <row r="29" spans="1:44" x14ac:dyDescent="0.25">
      <c r="A29" s="2" t="s">
        <v>35</v>
      </c>
      <c r="B29">
        <v>3</v>
      </c>
      <c r="C29" t="s">
        <v>9</v>
      </c>
      <c r="D29">
        <v>1</v>
      </c>
      <c r="E29" t="s">
        <v>5</v>
      </c>
      <c r="F29">
        <v>1</v>
      </c>
      <c r="G29" t="s">
        <v>9</v>
      </c>
      <c r="H29">
        <v>1</v>
      </c>
      <c r="I29" t="s">
        <v>7</v>
      </c>
      <c r="J29">
        <v>0</v>
      </c>
      <c r="K29" t="s">
        <v>7</v>
      </c>
      <c r="L29">
        <v>0</v>
      </c>
      <c r="M29" t="s">
        <v>7</v>
      </c>
      <c r="N29">
        <v>0</v>
      </c>
      <c r="O29">
        <v>1</v>
      </c>
      <c r="P29">
        <v>3</v>
      </c>
      <c r="Q29">
        <v>0</v>
      </c>
      <c r="R29" t="s">
        <v>2</v>
      </c>
      <c r="S29" t="s">
        <v>2</v>
      </c>
      <c r="T29">
        <v>8.01</v>
      </c>
      <c r="U29">
        <v>1.1000000000000001</v>
      </c>
      <c r="V29">
        <v>631</v>
      </c>
      <c r="W29">
        <v>18.600000000000001</v>
      </c>
      <c r="X29" t="s">
        <v>2</v>
      </c>
      <c r="Y29">
        <v>5</v>
      </c>
      <c r="Z29">
        <v>34</v>
      </c>
      <c r="AA29" t="s">
        <v>2</v>
      </c>
      <c r="AB29" t="s">
        <v>259</v>
      </c>
      <c r="AC29" t="s">
        <v>278</v>
      </c>
      <c r="AD29" s="5">
        <v>1</v>
      </c>
      <c r="AE29" t="s">
        <v>369</v>
      </c>
      <c r="AF29" s="5" t="s">
        <v>2</v>
      </c>
      <c r="AG29" t="s">
        <v>367</v>
      </c>
      <c r="AH29">
        <v>0</v>
      </c>
      <c r="AI29">
        <v>0</v>
      </c>
      <c r="AJ29" t="s">
        <v>399</v>
      </c>
      <c r="AP29">
        <v>1</v>
      </c>
    </row>
    <row r="30" spans="1:44" x14ac:dyDescent="0.25">
      <c r="A30" s="2" t="s">
        <v>36</v>
      </c>
      <c r="B30">
        <v>3</v>
      </c>
      <c r="C30" t="s">
        <v>9</v>
      </c>
      <c r="D30">
        <v>1</v>
      </c>
      <c r="E30" t="s">
        <v>6</v>
      </c>
      <c r="F30">
        <v>1</v>
      </c>
      <c r="G30" t="s">
        <v>9</v>
      </c>
      <c r="H30">
        <v>1</v>
      </c>
      <c r="I30" t="s">
        <v>7</v>
      </c>
      <c r="J30">
        <v>0</v>
      </c>
      <c r="K30" t="s">
        <v>7</v>
      </c>
      <c r="L30">
        <v>0</v>
      </c>
      <c r="M30" t="s">
        <v>7</v>
      </c>
      <c r="N30">
        <v>0</v>
      </c>
      <c r="O30">
        <v>0</v>
      </c>
      <c r="P30">
        <v>0</v>
      </c>
      <c r="Q30">
        <v>0</v>
      </c>
      <c r="R30" t="s">
        <v>2</v>
      </c>
      <c r="S30" t="s">
        <v>2</v>
      </c>
      <c r="T30">
        <v>7.56</v>
      </c>
      <c r="U30">
        <v>14.35</v>
      </c>
      <c r="V30">
        <v>550</v>
      </c>
      <c r="W30">
        <v>20.2</v>
      </c>
      <c r="X30" t="s">
        <v>2</v>
      </c>
      <c r="Y30">
        <v>12</v>
      </c>
      <c r="Z30">
        <v>0</v>
      </c>
      <c r="AA30" t="s">
        <v>2</v>
      </c>
      <c r="AB30" t="s">
        <v>259</v>
      </c>
      <c r="AC30" t="s">
        <v>278</v>
      </c>
      <c r="AD30" s="5">
        <v>1</v>
      </c>
      <c r="AE30" t="s">
        <v>369</v>
      </c>
      <c r="AF30" s="5" t="s">
        <v>2</v>
      </c>
      <c r="AG30" t="s">
        <v>367</v>
      </c>
      <c r="AH30">
        <v>1</v>
      </c>
      <c r="AI30">
        <v>0</v>
      </c>
      <c r="AJ30" t="s">
        <v>394</v>
      </c>
      <c r="AQ30">
        <v>1</v>
      </c>
      <c r="AR30">
        <v>1</v>
      </c>
    </row>
    <row r="31" spans="1:44" x14ac:dyDescent="0.25">
      <c r="A31" s="2" t="s">
        <v>37</v>
      </c>
      <c r="B31">
        <v>3</v>
      </c>
      <c r="C31" t="s">
        <v>6</v>
      </c>
      <c r="D31">
        <v>1</v>
      </c>
      <c r="E31" t="s">
        <v>6</v>
      </c>
      <c r="F31">
        <v>1</v>
      </c>
      <c r="G31" t="s">
        <v>6</v>
      </c>
      <c r="H31">
        <v>1</v>
      </c>
      <c r="I31" t="s">
        <v>7</v>
      </c>
      <c r="J31">
        <v>0</v>
      </c>
      <c r="K31" t="s">
        <v>7</v>
      </c>
      <c r="L31">
        <v>0</v>
      </c>
      <c r="M31" t="s">
        <v>7</v>
      </c>
      <c r="N31">
        <v>0</v>
      </c>
      <c r="O31">
        <v>0</v>
      </c>
      <c r="P31">
        <v>0</v>
      </c>
      <c r="Q31">
        <v>0</v>
      </c>
      <c r="R31" t="s">
        <v>2</v>
      </c>
      <c r="S31" t="s">
        <v>2</v>
      </c>
      <c r="T31">
        <v>6.77</v>
      </c>
      <c r="U31">
        <v>6.03</v>
      </c>
      <c r="V31">
        <v>666</v>
      </c>
      <c r="W31">
        <v>22.2</v>
      </c>
      <c r="X31" t="s">
        <v>2</v>
      </c>
      <c r="Y31">
        <v>5</v>
      </c>
      <c r="Z31">
        <v>0</v>
      </c>
      <c r="AA31" t="s">
        <v>2</v>
      </c>
      <c r="AB31" t="s">
        <v>259</v>
      </c>
      <c r="AC31" t="s">
        <v>278</v>
      </c>
      <c r="AD31" s="5">
        <v>1</v>
      </c>
      <c r="AE31" t="s">
        <v>369</v>
      </c>
      <c r="AF31" s="5" t="s">
        <v>2</v>
      </c>
      <c r="AG31" t="s">
        <v>370</v>
      </c>
      <c r="AH31" t="s">
        <v>2</v>
      </c>
      <c r="AI31" t="s">
        <v>2</v>
      </c>
      <c r="AJ31" t="s">
        <v>399</v>
      </c>
      <c r="AR31">
        <v>1</v>
      </c>
    </row>
    <row r="32" spans="1:44" x14ac:dyDescent="0.25">
      <c r="A32" s="2" t="s">
        <v>38</v>
      </c>
      <c r="B32">
        <v>3</v>
      </c>
      <c r="C32" t="s">
        <v>6</v>
      </c>
      <c r="D32">
        <v>1</v>
      </c>
      <c r="E32" t="s">
        <v>6</v>
      </c>
      <c r="F32">
        <v>1</v>
      </c>
      <c r="G32" t="s">
        <v>12</v>
      </c>
      <c r="H32">
        <v>1</v>
      </c>
      <c r="I32" t="s">
        <v>7</v>
      </c>
      <c r="J32">
        <v>0</v>
      </c>
      <c r="K32" t="s">
        <v>7</v>
      </c>
      <c r="L32">
        <v>0</v>
      </c>
      <c r="M32" t="s">
        <v>7</v>
      </c>
      <c r="N32">
        <v>0</v>
      </c>
      <c r="O32">
        <v>0</v>
      </c>
      <c r="P32">
        <v>0</v>
      </c>
      <c r="Q32">
        <v>0</v>
      </c>
      <c r="R32" t="s">
        <v>2</v>
      </c>
      <c r="S32" t="s">
        <v>2</v>
      </c>
      <c r="T32">
        <v>8.1</v>
      </c>
      <c r="U32">
        <v>4.82</v>
      </c>
      <c r="V32">
        <v>849</v>
      </c>
      <c r="W32">
        <v>19.100000000000001</v>
      </c>
      <c r="X32" t="s">
        <v>2</v>
      </c>
      <c r="Y32">
        <v>5</v>
      </c>
      <c r="Z32">
        <v>2</v>
      </c>
      <c r="AA32" t="s">
        <v>2</v>
      </c>
      <c r="AB32" t="s">
        <v>259</v>
      </c>
      <c r="AC32" t="s">
        <v>278</v>
      </c>
      <c r="AD32" s="5">
        <v>1</v>
      </c>
      <c r="AE32" t="s">
        <v>369</v>
      </c>
      <c r="AF32" s="5" t="s">
        <v>2</v>
      </c>
      <c r="AG32" t="s">
        <v>367</v>
      </c>
      <c r="AH32">
        <v>1</v>
      </c>
      <c r="AI32">
        <v>0</v>
      </c>
      <c r="AJ32" t="s">
        <v>394</v>
      </c>
      <c r="AR32">
        <v>1</v>
      </c>
    </row>
    <row r="33" spans="1:45" x14ac:dyDescent="0.25">
      <c r="A33" s="2" t="s">
        <v>39</v>
      </c>
      <c r="B33">
        <v>3</v>
      </c>
      <c r="C33" t="s">
        <v>6</v>
      </c>
      <c r="D33">
        <v>1</v>
      </c>
      <c r="E33" t="s">
        <v>9</v>
      </c>
      <c r="F33">
        <v>1</v>
      </c>
      <c r="G33" t="s">
        <v>5</v>
      </c>
      <c r="H33">
        <v>1</v>
      </c>
      <c r="I33" t="s">
        <v>7</v>
      </c>
      <c r="J33">
        <v>0</v>
      </c>
      <c r="K33" t="s">
        <v>7</v>
      </c>
      <c r="L33">
        <v>0</v>
      </c>
      <c r="M33" t="s">
        <v>7</v>
      </c>
      <c r="N33">
        <v>0</v>
      </c>
      <c r="O33">
        <v>1</v>
      </c>
      <c r="P33">
        <v>1</v>
      </c>
      <c r="Q33">
        <v>0</v>
      </c>
      <c r="R33" t="s">
        <v>2</v>
      </c>
      <c r="S33" t="s">
        <v>2</v>
      </c>
      <c r="T33">
        <v>8.57</v>
      </c>
      <c r="U33">
        <v>15.52</v>
      </c>
      <c r="V33">
        <v>560</v>
      </c>
      <c r="W33">
        <v>24.5</v>
      </c>
      <c r="X33" t="s">
        <v>2</v>
      </c>
      <c r="Y33">
        <v>20</v>
      </c>
      <c r="Z33">
        <v>0</v>
      </c>
      <c r="AA33" t="s">
        <v>2</v>
      </c>
      <c r="AB33" t="s">
        <v>259</v>
      </c>
      <c r="AC33" t="s">
        <v>278</v>
      </c>
      <c r="AD33" s="5">
        <v>1</v>
      </c>
      <c r="AE33" t="s">
        <v>373</v>
      </c>
      <c r="AF33" s="5" t="s">
        <v>2</v>
      </c>
      <c r="AG33" t="s">
        <v>367</v>
      </c>
      <c r="AH33">
        <v>1</v>
      </c>
      <c r="AI33">
        <v>0</v>
      </c>
      <c r="AJ33" t="s">
        <v>394</v>
      </c>
      <c r="AR33">
        <v>1</v>
      </c>
    </row>
    <row r="34" spans="1:45" x14ac:dyDescent="0.25">
      <c r="A34" s="2" t="s">
        <v>40</v>
      </c>
      <c r="B34">
        <v>1</v>
      </c>
      <c r="C34" t="s">
        <v>12</v>
      </c>
      <c r="D34">
        <v>1</v>
      </c>
      <c r="E34" t="s">
        <v>7</v>
      </c>
      <c r="F34">
        <v>0</v>
      </c>
      <c r="G34" t="s">
        <v>7</v>
      </c>
      <c r="H34">
        <v>0</v>
      </c>
      <c r="I34" t="s">
        <v>7</v>
      </c>
      <c r="J34">
        <v>0</v>
      </c>
      <c r="K34" t="s">
        <v>7</v>
      </c>
      <c r="L34">
        <v>0</v>
      </c>
      <c r="M34" t="s">
        <v>7</v>
      </c>
      <c r="N34">
        <v>0</v>
      </c>
      <c r="O34">
        <v>1</v>
      </c>
      <c r="P34">
        <v>3</v>
      </c>
      <c r="Q34">
        <v>0</v>
      </c>
      <c r="R34" t="s">
        <v>2</v>
      </c>
      <c r="S34" t="s">
        <v>2</v>
      </c>
      <c r="T34">
        <v>8.0299999999999994</v>
      </c>
      <c r="U34">
        <v>9.3699999999999992</v>
      </c>
      <c r="V34">
        <v>724</v>
      </c>
      <c r="W34">
        <v>27.4</v>
      </c>
      <c r="X34" t="s">
        <v>2</v>
      </c>
      <c r="Y34" t="s">
        <v>2</v>
      </c>
      <c r="Z34" t="s">
        <v>2</v>
      </c>
      <c r="AA34" t="s">
        <v>2</v>
      </c>
      <c r="AB34" t="s">
        <v>259</v>
      </c>
      <c r="AC34" t="s">
        <v>279</v>
      </c>
      <c r="AD34" s="5">
        <v>1</v>
      </c>
      <c r="AE34" t="s">
        <v>373</v>
      </c>
      <c r="AF34" s="5" t="s">
        <v>2</v>
      </c>
      <c r="AG34" t="s">
        <v>367</v>
      </c>
      <c r="AH34">
        <v>1</v>
      </c>
      <c r="AI34">
        <v>0</v>
      </c>
      <c r="AJ34" t="s">
        <v>394</v>
      </c>
      <c r="AK34">
        <v>0</v>
      </c>
      <c r="AP34">
        <v>1</v>
      </c>
    </row>
    <row r="35" spans="1:45" x14ac:dyDescent="0.25">
      <c r="A35" s="2" t="s">
        <v>41</v>
      </c>
      <c r="B35">
        <v>1</v>
      </c>
      <c r="C35" t="s">
        <v>12</v>
      </c>
      <c r="D35">
        <v>1</v>
      </c>
      <c r="E35" t="s">
        <v>7</v>
      </c>
      <c r="F35">
        <v>0</v>
      </c>
      <c r="G35" t="s">
        <v>7</v>
      </c>
      <c r="H35">
        <v>0</v>
      </c>
      <c r="I35" t="s">
        <v>7</v>
      </c>
      <c r="J35">
        <v>0</v>
      </c>
      <c r="K35" t="s">
        <v>7</v>
      </c>
      <c r="L35">
        <v>0</v>
      </c>
      <c r="M35" t="s">
        <v>7</v>
      </c>
      <c r="N35">
        <v>0</v>
      </c>
      <c r="O35">
        <v>1</v>
      </c>
      <c r="P35">
        <v>1</v>
      </c>
      <c r="Q35">
        <v>0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>
        <v>10</v>
      </c>
      <c r="Z35">
        <v>35</v>
      </c>
      <c r="AA35" t="s">
        <v>2</v>
      </c>
      <c r="AB35" t="s">
        <v>257</v>
      </c>
      <c r="AC35" t="s">
        <v>280</v>
      </c>
      <c r="AD35" s="5" t="s">
        <v>340</v>
      </c>
      <c r="AE35" t="s">
        <v>369</v>
      </c>
      <c r="AF35" s="5" t="s">
        <v>2</v>
      </c>
      <c r="AG35" t="s">
        <v>367</v>
      </c>
      <c r="AH35">
        <v>0</v>
      </c>
      <c r="AI35">
        <v>0</v>
      </c>
      <c r="AJ35" t="s">
        <v>394</v>
      </c>
    </row>
    <row r="36" spans="1:45" x14ac:dyDescent="0.25">
      <c r="A36" s="2" t="s">
        <v>42</v>
      </c>
      <c r="B36">
        <v>1</v>
      </c>
      <c r="C36" t="s">
        <v>12</v>
      </c>
      <c r="D36">
        <v>1</v>
      </c>
      <c r="E36" t="s">
        <v>7</v>
      </c>
      <c r="F36">
        <v>0</v>
      </c>
      <c r="G36" t="s">
        <v>7</v>
      </c>
      <c r="H36">
        <v>0</v>
      </c>
      <c r="I36" t="s">
        <v>7</v>
      </c>
      <c r="J36">
        <v>0</v>
      </c>
      <c r="K36" t="s">
        <v>7</v>
      </c>
      <c r="L36">
        <v>0</v>
      </c>
      <c r="M36" t="s">
        <v>7</v>
      </c>
      <c r="N36">
        <v>0</v>
      </c>
      <c r="O36">
        <v>1</v>
      </c>
      <c r="P36">
        <v>3</v>
      </c>
      <c r="Q36">
        <v>0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>
        <v>10</v>
      </c>
      <c r="Z36">
        <v>30</v>
      </c>
      <c r="AA36" t="s">
        <v>2</v>
      </c>
      <c r="AB36" t="s">
        <v>258</v>
      </c>
      <c r="AC36" t="s">
        <v>281</v>
      </c>
      <c r="AD36" s="5" t="s">
        <v>340</v>
      </c>
      <c r="AE36" t="s">
        <v>369</v>
      </c>
      <c r="AF36" s="5" t="s">
        <v>2</v>
      </c>
      <c r="AG36" t="s">
        <v>375</v>
      </c>
      <c r="AH36">
        <v>1</v>
      </c>
      <c r="AI36">
        <v>0</v>
      </c>
      <c r="AJ36" t="s">
        <v>394</v>
      </c>
    </row>
    <row r="37" spans="1:45" x14ac:dyDescent="0.25">
      <c r="A37" s="2" t="s">
        <v>43</v>
      </c>
      <c r="B37">
        <v>1</v>
      </c>
      <c r="C37" t="s">
        <v>12</v>
      </c>
      <c r="D37">
        <v>1</v>
      </c>
      <c r="E37" t="s">
        <v>7</v>
      </c>
      <c r="F37">
        <v>0</v>
      </c>
      <c r="G37" t="s">
        <v>7</v>
      </c>
      <c r="H37">
        <v>0</v>
      </c>
      <c r="I37" t="s">
        <v>7</v>
      </c>
      <c r="J37">
        <v>0</v>
      </c>
      <c r="K37" t="s">
        <v>7</v>
      </c>
      <c r="L37">
        <v>0</v>
      </c>
      <c r="M37" t="s">
        <v>7</v>
      </c>
      <c r="N37">
        <v>0</v>
      </c>
      <c r="O37">
        <v>1</v>
      </c>
      <c r="P37">
        <v>1</v>
      </c>
      <c r="Q37">
        <v>0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>
        <v>3</v>
      </c>
      <c r="Z37">
        <v>18</v>
      </c>
      <c r="AA37" t="s">
        <v>2</v>
      </c>
      <c r="AB37" t="s">
        <v>261</v>
      </c>
      <c r="AC37" t="s">
        <v>282</v>
      </c>
      <c r="AD37" s="5" t="s">
        <v>340</v>
      </c>
      <c r="AE37" t="s">
        <v>373</v>
      </c>
      <c r="AF37" s="5" t="s">
        <v>2</v>
      </c>
      <c r="AG37" t="s">
        <v>367</v>
      </c>
      <c r="AH37">
        <v>1</v>
      </c>
      <c r="AI37">
        <v>0</v>
      </c>
      <c r="AJ37" t="s">
        <v>394</v>
      </c>
      <c r="AP37">
        <v>1</v>
      </c>
    </row>
    <row r="38" spans="1:45" x14ac:dyDescent="0.25">
      <c r="A38" s="2" t="s">
        <v>44</v>
      </c>
      <c r="B38">
        <v>1</v>
      </c>
      <c r="C38" t="s">
        <v>12</v>
      </c>
      <c r="D38">
        <v>1</v>
      </c>
      <c r="E38" t="s">
        <v>7</v>
      </c>
      <c r="F38">
        <v>0</v>
      </c>
      <c r="G38" t="s">
        <v>7</v>
      </c>
      <c r="H38">
        <v>0</v>
      </c>
      <c r="I38" t="s">
        <v>7</v>
      </c>
      <c r="J38">
        <v>0</v>
      </c>
      <c r="K38" t="s">
        <v>7</v>
      </c>
      <c r="L38">
        <v>0</v>
      </c>
      <c r="M38" t="s">
        <v>7</v>
      </c>
      <c r="N38">
        <v>0</v>
      </c>
      <c r="O38">
        <v>1</v>
      </c>
      <c r="P38">
        <v>2</v>
      </c>
      <c r="Q38">
        <v>0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>
        <v>5</v>
      </c>
      <c r="Z38">
        <v>15</v>
      </c>
      <c r="AA38" t="s">
        <v>2</v>
      </c>
      <c r="AB38" t="s">
        <v>257</v>
      </c>
      <c r="AC38" t="s">
        <v>283</v>
      </c>
      <c r="AD38" s="5" t="s">
        <v>340</v>
      </c>
      <c r="AE38" t="s">
        <v>371</v>
      </c>
      <c r="AF38" s="5" t="s">
        <v>2</v>
      </c>
      <c r="AG38" t="s">
        <v>367</v>
      </c>
      <c r="AH38">
        <v>1</v>
      </c>
      <c r="AI38">
        <v>0</v>
      </c>
      <c r="AJ38" t="s">
        <v>397</v>
      </c>
      <c r="AL38">
        <v>1</v>
      </c>
    </row>
    <row r="39" spans="1:45" x14ac:dyDescent="0.25">
      <c r="A39" s="2" t="s">
        <v>45</v>
      </c>
      <c r="B39">
        <v>1</v>
      </c>
      <c r="C39" t="s">
        <v>12</v>
      </c>
      <c r="D39">
        <v>1</v>
      </c>
      <c r="E39" t="s">
        <v>7</v>
      </c>
      <c r="F39">
        <v>0</v>
      </c>
      <c r="G39" t="s">
        <v>7</v>
      </c>
      <c r="H39">
        <v>0</v>
      </c>
      <c r="I39" t="s">
        <v>7</v>
      </c>
      <c r="J39">
        <v>0</v>
      </c>
      <c r="K39" t="s">
        <v>7</v>
      </c>
      <c r="L39">
        <v>0</v>
      </c>
      <c r="M39" t="s">
        <v>7</v>
      </c>
      <c r="N39">
        <v>0</v>
      </c>
      <c r="O39">
        <v>1</v>
      </c>
      <c r="P39">
        <v>1</v>
      </c>
      <c r="Q39">
        <v>1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>
        <v>16</v>
      </c>
      <c r="Z39">
        <v>10</v>
      </c>
      <c r="AA39" t="s">
        <v>2</v>
      </c>
      <c r="AB39" t="s">
        <v>257</v>
      </c>
      <c r="AC39" t="s">
        <v>284</v>
      </c>
      <c r="AD39" s="5" t="s">
        <v>340</v>
      </c>
      <c r="AE39" t="s">
        <v>373</v>
      </c>
      <c r="AF39" s="5" t="s">
        <v>2</v>
      </c>
      <c r="AG39" t="s">
        <v>367</v>
      </c>
      <c r="AH39">
        <v>1</v>
      </c>
      <c r="AI39">
        <v>0</v>
      </c>
      <c r="AJ39" t="s">
        <v>395</v>
      </c>
    </row>
    <row r="40" spans="1:45" x14ac:dyDescent="0.25">
      <c r="A40" s="2" t="s">
        <v>46</v>
      </c>
      <c r="B40">
        <v>1</v>
      </c>
      <c r="C40" t="s">
        <v>12</v>
      </c>
      <c r="D40">
        <v>1</v>
      </c>
      <c r="E40" t="s">
        <v>7</v>
      </c>
      <c r="F40">
        <v>0</v>
      </c>
      <c r="G40" t="s">
        <v>7</v>
      </c>
      <c r="H40">
        <v>0</v>
      </c>
      <c r="I40" t="s">
        <v>7</v>
      </c>
      <c r="J40">
        <v>0</v>
      </c>
      <c r="K40" t="s">
        <v>7</v>
      </c>
      <c r="L40">
        <v>0</v>
      </c>
      <c r="M40" t="s">
        <v>7</v>
      </c>
      <c r="N40">
        <v>0</v>
      </c>
      <c r="O40">
        <v>1</v>
      </c>
      <c r="P40">
        <v>2</v>
      </c>
      <c r="Q40">
        <v>0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>
        <v>10</v>
      </c>
      <c r="Z40">
        <v>2</v>
      </c>
      <c r="AA40" t="s">
        <v>2</v>
      </c>
      <c r="AB40" t="s">
        <v>257</v>
      </c>
      <c r="AC40" t="s">
        <v>285</v>
      </c>
      <c r="AD40" s="5" t="s">
        <v>340</v>
      </c>
      <c r="AE40" t="s">
        <v>373</v>
      </c>
      <c r="AF40" s="5" t="s">
        <v>2</v>
      </c>
      <c r="AG40" t="s">
        <v>367</v>
      </c>
      <c r="AH40">
        <v>0</v>
      </c>
      <c r="AI40">
        <v>0</v>
      </c>
      <c r="AJ40" t="s">
        <v>397</v>
      </c>
      <c r="AR40">
        <v>1</v>
      </c>
    </row>
    <row r="41" spans="1:45" x14ac:dyDescent="0.25">
      <c r="A41" s="2" t="s">
        <v>47</v>
      </c>
      <c r="B41">
        <v>1</v>
      </c>
      <c r="C41" t="s">
        <v>12</v>
      </c>
      <c r="D41">
        <v>1</v>
      </c>
      <c r="E41" t="s">
        <v>7</v>
      </c>
      <c r="F41">
        <v>0</v>
      </c>
      <c r="G41" t="s">
        <v>7</v>
      </c>
      <c r="H41">
        <v>0</v>
      </c>
      <c r="I41" t="s">
        <v>7</v>
      </c>
      <c r="J41">
        <v>0</v>
      </c>
      <c r="K41" t="s">
        <v>7</v>
      </c>
      <c r="L41">
        <v>0</v>
      </c>
      <c r="M41" t="s">
        <v>7</v>
      </c>
      <c r="N41">
        <v>0</v>
      </c>
      <c r="O41">
        <v>1</v>
      </c>
      <c r="P41">
        <v>1</v>
      </c>
      <c r="Q41">
        <v>0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>
        <v>22</v>
      </c>
      <c r="Z41">
        <v>19</v>
      </c>
      <c r="AA41" t="s">
        <v>2</v>
      </c>
      <c r="AB41" t="s">
        <v>257</v>
      </c>
      <c r="AC41" t="s">
        <v>286</v>
      </c>
      <c r="AD41" s="5" t="s">
        <v>340</v>
      </c>
      <c r="AE41" t="s">
        <v>373</v>
      </c>
      <c r="AF41" s="5" t="s">
        <v>2</v>
      </c>
      <c r="AG41" t="s">
        <v>367</v>
      </c>
      <c r="AH41">
        <v>0</v>
      </c>
      <c r="AI41" t="s">
        <v>2</v>
      </c>
      <c r="AJ41" t="s">
        <v>396</v>
      </c>
      <c r="AP41">
        <v>1</v>
      </c>
    </row>
    <row r="42" spans="1:45" x14ac:dyDescent="0.25">
      <c r="A42" s="2" t="s">
        <v>48</v>
      </c>
      <c r="B42">
        <v>3</v>
      </c>
      <c r="C42" t="s">
        <v>5</v>
      </c>
      <c r="D42">
        <v>1</v>
      </c>
      <c r="E42" t="s">
        <v>5</v>
      </c>
      <c r="F42">
        <v>1</v>
      </c>
      <c r="G42" t="s">
        <v>12</v>
      </c>
      <c r="H42">
        <v>1</v>
      </c>
      <c r="I42" t="s">
        <v>7</v>
      </c>
      <c r="J42">
        <v>0</v>
      </c>
      <c r="K42" t="s">
        <v>7</v>
      </c>
      <c r="L42">
        <v>0</v>
      </c>
      <c r="M42" t="s">
        <v>7</v>
      </c>
      <c r="N42">
        <v>0</v>
      </c>
      <c r="O42">
        <v>1</v>
      </c>
      <c r="P42">
        <v>3</v>
      </c>
      <c r="Q42">
        <v>0</v>
      </c>
      <c r="R42" t="s">
        <v>2</v>
      </c>
      <c r="S42" t="s">
        <v>2</v>
      </c>
      <c r="T42">
        <v>7.25</v>
      </c>
      <c r="U42" t="s">
        <v>2</v>
      </c>
      <c r="V42" t="s">
        <v>2</v>
      </c>
      <c r="W42" t="s">
        <v>2</v>
      </c>
      <c r="X42" t="s">
        <v>2</v>
      </c>
      <c r="Y42">
        <v>0.5</v>
      </c>
      <c r="Z42">
        <v>2</v>
      </c>
      <c r="AA42" t="s">
        <v>2</v>
      </c>
      <c r="AB42" t="s">
        <v>259</v>
      </c>
      <c r="AC42" t="s">
        <v>287</v>
      </c>
      <c r="AD42" s="5">
        <v>1</v>
      </c>
      <c r="AE42" t="s">
        <v>373</v>
      </c>
      <c r="AF42">
        <f>((0+0+0+11+0)/5)*1.04</f>
        <v>2.2880000000000003</v>
      </c>
      <c r="AG42" t="s">
        <v>370</v>
      </c>
      <c r="AH42" t="s">
        <v>2</v>
      </c>
      <c r="AI42">
        <v>1</v>
      </c>
      <c r="AJ42" t="s">
        <v>394</v>
      </c>
    </row>
    <row r="43" spans="1:45" x14ac:dyDescent="0.25">
      <c r="A43" s="2" t="s">
        <v>49</v>
      </c>
      <c r="B43">
        <v>4</v>
      </c>
      <c r="C43" t="s">
        <v>5</v>
      </c>
      <c r="D43">
        <v>1</v>
      </c>
      <c r="E43" t="s">
        <v>6</v>
      </c>
      <c r="F43">
        <v>1</v>
      </c>
      <c r="G43" t="s">
        <v>5</v>
      </c>
      <c r="H43">
        <v>1</v>
      </c>
      <c r="I43" t="s">
        <v>7</v>
      </c>
      <c r="J43">
        <v>0</v>
      </c>
      <c r="K43" t="s">
        <v>7</v>
      </c>
      <c r="L43">
        <v>0</v>
      </c>
      <c r="M43" t="s">
        <v>7</v>
      </c>
      <c r="N43">
        <v>0</v>
      </c>
      <c r="O43">
        <v>0</v>
      </c>
      <c r="P43">
        <v>0</v>
      </c>
      <c r="Q43">
        <v>0</v>
      </c>
      <c r="R43" t="s">
        <v>2</v>
      </c>
      <c r="S43" t="s">
        <v>2</v>
      </c>
      <c r="T43">
        <v>7.74</v>
      </c>
      <c r="U43" t="s">
        <v>2</v>
      </c>
      <c r="V43" t="s">
        <v>2</v>
      </c>
      <c r="W43" t="s">
        <v>2</v>
      </c>
      <c r="X43" t="s">
        <v>2</v>
      </c>
      <c r="Y43">
        <v>13</v>
      </c>
      <c r="Z43">
        <v>3</v>
      </c>
      <c r="AA43" t="s">
        <v>2</v>
      </c>
      <c r="AB43" t="s">
        <v>257</v>
      </c>
      <c r="AC43" t="s">
        <v>288</v>
      </c>
      <c r="AD43" s="5">
        <v>1</v>
      </c>
      <c r="AE43" t="s">
        <v>371</v>
      </c>
      <c r="AF43">
        <f>((93+92+91+92+95)/5)*1.04</f>
        <v>96.304000000000002</v>
      </c>
      <c r="AG43" t="s">
        <v>370</v>
      </c>
      <c r="AH43">
        <v>1</v>
      </c>
      <c r="AI43">
        <v>0</v>
      </c>
      <c r="AJ43" t="s">
        <v>394</v>
      </c>
    </row>
    <row r="44" spans="1:45" x14ac:dyDescent="0.25">
      <c r="A44" s="2" t="s">
        <v>50</v>
      </c>
      <c r="B44">
        <v>1</v>
      </c>
      <c r="C44" t="s">
        <v>12</v>
      </c>
      <c r="D44">
        <v>1</v>
      </c>
      <c r="E44" t="s">
        <v>7</v>
      </c>
      <c r="F44">
        <v>0</v>
      </c>
      <c r="G44" t="s">
        <v>7</v>
      </c>
      <c r="H44">
        <v>0</v>
      </c>
      <c r="I44" t="s">
        <v>7</v>
      </c>
      <c r="J44">
        <v>0</v>
      </c>
      <c r="K44" t="s">
        <v>7</v>
      </c>
      <c r="L44">
        <v>0</v>
      </c>
      <c r="M44" t="s">
        <v>7</v>
      </c>
      <c r="N44">
        <v>0</v>
      </c>
      <c r="O44">
        <v>1</v>
      </c>
      <c r="P44">
        <v>5</v>
      </c>
      <c r="Q44" t="s">
        <v>2</v>
      </c>
      <c r="R44" t="s">
        <v>2</v>
      </c>
      <c r="S44" t="s">
        <v>2</v>
      </c>
      <c r="T44">
        <v>7.7</v>
      </c>
      <c r="U44" t="s">
        <v>2</v>
      </c>
      <c r="V44" t="s">
        <v>2</v>
      </c>
      <c r="W44" t="s">
        <v>2</v>
      </c>
      <c r="X44" t="s">
        <v>2</v>
      </c>
      <c r="Y44">
        <v>10</v>
      </c>
      <c r="Z44">
        <v>4</v>
      </c>
      <c r="AA44" t="s">
        <v>2</v>
      </c>
      <c r="AB44" t="s">
        <v>257</v>
      </c>
      <c r="AC44" t="s">
        <v>289</v>
      </c>
      <c r="AD44" s="5">
        <v>1</v>
      </c>
      <c r="AE44" t="s">
        <v>371</v>
      </c>
      <c r="AF44">
        <f>((98+95+100+86+98)/5)*1.04</f>
        <v>99.216000000000008</v>
      </c>
      <c r="AG44" t="s">
        <v>370</v>
      </c>
      <c r="AH44">
        <v>1</v>
      </c>
      <c r="AI44">
        <v>0</v>
      </c>
      <c r="AJ44" t="s">
        <v>394</v>
      </c>
    </row>
    <row r="45" spans="1:45" x14ac:dyDescent="0.25">
      <c r="A45" s="2" t="s">
        <v>51</v>
      </c>
      <c r="B45">
        <v>3</v>
      </c>
      <c r="C45" t="s">
        <v>5</v>
      </c>
      <c r="D45">
        <v>1</v>
      </c>
      <c r="E45" t="s">
        <v>6</v>
      </c>
      <c r="F45">
        <v>1</v>
      </c>
      <c r="G45" t="s">
        <v>12</v>
      </c>
      <c r="H45">
        <v>1</v>
      </c>
      <c r="I45" t="s">
        <v>7</v>
      </c>
      <c r="J45">
        <v>0</v>
      </c>
      <c r="K45" t="s">
        <v>7</v>
      </c>
      <c r="L45">
        <v>0</v>
      </c>
      <c r="M45" t="s">
        <v>7</v>
      </c>
      <c r="N45">
        <v>0</v>
      </c>
      <c r="O45">
        <v>1</v>
      </c>
      <c r="P45">
        <v>3</v>
      </c>
      <c r="Q45">
        <v>0</v>
      </c>
      <c r="R45">
        <v>0</v>
      </c>
      <c r="S45" t="s">
        <v>2</v>
      </c>
      <c r="T45">
        <v>9.4</v>
      </c>
      <c r="U45" t="s">
        <v>2</v>
      </c>
      <c r="V45" t="s">
        <v>2</v>
      </c>
      <c r="W45" t="s">
        <v>2</v>
      </c>
      <c r="X45" t="s">
        <v>2</v>
      </c>
      <c r="Y45">
        <v>3.5</v>
      </c>
      <c r="Z45">
        <v>1.5</v>
      </c>
      <c r="AA45" t="s">
        <v>2</v>
      </c>
      <c r="AB45" t="s">
        <v>260</v>
      </c>
      <c r="AC45" t="s">
        <v>290</v>
      </c>
      <c r="AD45" s="5">
        <v>1</v>
      </c>
      <c r="AE45" t="s">
        <v>373</v>
      </c>
      <c r="AF45">
        <f>((0+9+0+0+22)/5)*1.04</f>
        <v>6.4480000000000004</v>
      </c>
      <c r="AG45" t="s">
        <v>367</v>
      </c>
      <c r="AH45">
        <v>1</v>
      </c>
      <c r="AI45">
        <v>0</v>
      </c>
      <c r="AJ45" t="s">
        <v>396</v>
      </c>
    </row>
    <row r="46" spans="1:45" x14ac:dyDescent="0.25">
      <c r="A46" s="2" t="s">
        <v>52</v>
      </c>
      <c r="B46">
        <v>5</v>
      </c>
      <c r="C46" t="s">
        <v>9</v>
      </c>
      <c r="D46">
        <v>1</v>
      </c>
      <c r="E46" t="s">
        <v>5</v>
      </c>
      <c r="F46">
        <v>1</v>
      </c>
      <c r="G46" t="s">
        <v>12</v>
      </c>
      <c r="H46">
        <v>1</v>
      </c>
      <c r="I46" t="s">
        <v>7</v>
      </c>
      <c r="J46">
        <v>0</v>
      </c>
      <c r="L46">
        <v>1</v>
      </c>
      <c r="N46">
        <v>1</v>
      </c>
      <c r="O46">
        <v>1</v>
      </c>
      <c r="P46">
        <v>2</v>
      </c>
      <c r="Q46">
        <v>0</v>
      </c>
      <c r="R46">
        <v>0</v>
      </c>
      <c r="S46" t="s">
        <v>2</v>
      </c>
      <c r="T46">
        <v>9.2200000000000006</v>
      </c>
      <c r="U46" t="s">
        <v>2</v>
      </c>
      <c r="V46" t="s">
        <v>2</v>
      </c>
      <c r="W46" t="s">
        <v>2</v>
      </c>
      <c r="X46" t="s">
        <v>2</v>
      </c>
      <c r="Y46">
        <v>15</v>
      </c>
      <c r="Z46">
        <v>2</v>
      </c>
      <c r="AA46" t="s">
        <v>2</v>
      </c>
      <c r="AB46" t="s">
        <v>257</v>
      </c>
      <c r="AC46" t="s">
        <v>290</v>
      </c>
      <c r="AD46" s="5">
        <v>1</v>
      </c>
      <c r="AE46" t="s">
        <v>369</v>
      </c>
      <c r="AF46">
        <f>((17+7+31+86+5)/5)*1.04</f>
        <v>30.367999999999999</v>
      </c>
      <c r="AG46" t="s">
        <v>367</v>
      </c>
      <c r="AH46">
        <v>1</v>
      </c>
      <c r="AI46">
        <v>0</v>
      </c>
      <c r="AJ46" t="s">
        <v>394</v>
      </c>
      <c r="AQ46">
        <v>1</v>
      </c>
      <c r="AR46">
        <v>1</v>
      </c>
      <c r="AS46">
        <v>1</v>
      </c>
    </row>
    <row r="47" spans="1:45" x14ac:dyDescent="0.25">
      <c r="A47" s="2" t="s">
        <v>53</v>
      </c>
      <c r="B47">
        <v>3</v>
      </c>
      <c r="C47" t="s">
        <v>12</v>
      </c>
      <c r="D47">
        <v>1</v>
      </c>
      <c r="E47" t="s">
        <v>5</v>
      </c>
      <c r="F47">
        <v>1</v>
      </c>
      <c r="G47" t="s">
        <v>5</v>
      </c>
      <c r="H47">
        <v>1</v>
      </c>
      <c r="I47" t="s">
        <v>7</v>
      </c>
      <c r="J47">
        <v>0</v>
      </c>
      <c r="K47" t="s">
        <v>7</v>
      </c>
      <c r="L47">
        <v>0</v>
      </c>
      <c r="M47" t="s">
        <v>7</v>
      </c>
      <c r="N47">
        <v>0</v>
      </c>
      <c r="O47">
        <v>1</v>
      </c>
      <c r="P47">
        <v>1</v>
      </c>
      <c r="Q47">
        <v>0</v>
      </c>
      <c r="R47">
        <v>0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>
        <v>2</v>
      </c>
      <c r="Z47">
        <v>0</v>
      </c>
      <c r="AA47" t="s">
        <v>2</v>
      </c>
      <c r="AB47" t="s">
        <v>257</v>
      </c>
      <c r="AC47" t="s">
        <v>290</v>
      </c>
      <c r="AD47" s="5">
        <v>1</v>
      </c>
      <c r="AE47" t="s">
        <v>373</v>
      </c>
      <c r="AF47">
        <f>((0+7+0+12+1)/5)*1.04</f>
        <v>4.16</v>
      </c>
      <c r="AG47" t="s">
        <v>367</v>
      </c>
      <c r="AH47">
        <v>1</v>
      </c>
      <c r="AI47">
        <v>0</v>
      </c>
      <c r="AJ47" t="s">
        <v>394</v>
      </c>
    </row>
    <row r="48" spans="1:45" x14ac:dyDescent="0.25">
      <c r="A48" s="2" t="s">
        <v>54</v>
      </c>
      <c r="B48">
        <v>5</v>
      </c>
      <c r="C48" t="s">
        <v>12</v>
      </c>
      <c r="D48">
        <v>1</v>
      </c>
      <c r="E48" t="s">
        <v>12</v>
      </c>
      <c r="F48">
        <v>1</v>
      </c>
      <c r="G48" t="s">
        <v>5</v>
      </c>
      <c r="H48">
        <v>1</v>
      </c>
      <c r="I48" t="s">
        <v>7</v>
      </c>
      <c r="J48">
        <v>0</v>
      </c>
      <c r="L48">
        <v>1</v>
      </c>
      <c r="N48">
        <v>1</v>
      </c>
      <c r="O48">
        <v>1</v>
      </c>
      <c r="P48">
        <v>1</v>
      </c>
      <c r="Q48">
        <v>0</v>
      </c>
      <c r="R48">
        <v>0</v>
      </c>
      <c r="S48" t="s">
        <v>2</v>
      </c>
      <c r="T48">
        <v>7.1</v>
      </c>
      <c r="U48" t="s">
        <v>2</v>
      </c>
      <c r="V48" t="s">
        <v>2</v>
      </c>
      <c r="W48" t="s">
        <v>2</v>
      </c>
      <c r="X48" t="s">
        <v>2</v>
      </c>
      <c r="Y48">
        <v>5</v>
      </c>
      <c r="Z48">
        <v>2</v>
      </c>
      <c r="AA48" t="s">
        <v>2</v>
      </c>
      <c r="AB48" t="s">
        <v>257</v>
      </c>
      <c r="AC48" t="s">
        <v>290</v>
      </c>
      <c r="AD48" s="5">
        <v>1</v>
      </c>
      <c r="AE48" t="s">
        <v>371</v>
      </c>
      <c r="AF48">
        <f>((91+88+89+94+87)/5)*1.04</f>
        <v>93.391999999999996</v>
      </c>
      <c r="AG48" t="s">
        <v>367</v>
      </c>
      <c r="AH48">
        <v>1</v>
      </c>
      <c r="AI48">
        <v>0</v>
      </c>
      <c r="AJ48" t="s">
        <v>394</v>
      </c>
    </row>
    <row r="49" spans="1:43" x14ac:dyDescent="0.25">
      <c r="A49" s="2" t="s">
        <v>55</v>
      </c>
      <c r="B49">
        <v>3</v>
      </c>
      <c r="C49" t="s">
        <v>5</v>
      </c>
      <c r="D49">
        <v>1</v>
      </c>
      <c r="E49" t="s">
        <v>12</v>
      </c>
      <c r="F49">
        <v>1</v>
      </c>
      <c r="G49" t="s">
        <v>12</v>
      </c>
      <c r="H49">
        <v>1</v>
      </c>
      <c r="I49" t="s">
        <v>7</v>
      </c>
      <c r="J49">
        <v>0</v>
      </c>
      <c r="K49" t="s">
        <v>7</v>
      </c>
      <c r="L49">
        <v>0</v>
      </c>
      <c r="M49" t="s">
        <v>7</v>
      </c>
      <c r="N49">
        <v>0</v>
      </c>
      <c r="O49">
        <v>1</v>
      </c>
      <c r="P49">
        <v>3</v>
      </c>
      <c r="Q49">
        <v>0</v>
      </c>
      <c r="R49">
        <v>0</v>
      </c>
      <c r="S49" t="s">
        <v>2</v>
      </c>
      <c r="T49">
        <v>7.17</v>
      </c>
      <c r="U49" t="s">
        <v>2</v>
      </c>
      <c r="V49" t="s">
        <v>2</v>
      </c>
      <c r="W49" t="s">
        <v>2</v>
      </c>
      <c r="X49" t="s">
        <v>2</v>
      </c>
      <c r="Y49">
        <v>7.5</v>
      </c>
      <c r="Z49">
        <v>10</v>
      </c>
      <c r="AA49" t="s">
        <v>2</v>
      </c>
      <c r="AB49" t="s">
        <v>257</v>
      </c>
      <c r="AC49" t="s">
        <v>290</v>
      </c>
      <c r="AD49" s="5">
        <v>1</v>
      </c>
      <c r="AE49" t="s">
        <v>369</v>
      </c>
      <c r="AF49">
        <f>((91+88+85+86+88)/5)*1.04</f>
        <v>91.103999999999999</v>
      </c>
      <c r="AG49" t="s">
        <v>367</v>
      </c>
      <c r="AH49">
        <v>1</v>
      </c>
      <c r="AI49">
        <v>0</v>
      </c>
      <c r="AJ49" t="s">
        <v>394</v>
      </c>
      <c r="AK49">
        <v>1</v>
      </c>
    </row>
    <row r="50" spans="1:43" x14ac:dyDescent="0.25">
      <c r="A50" s="2" t="s">
        <v>56</v>
      </c>
      <c r="B50">
        <v>5</v>
      </c>
      <c r="C50" t="s">
        <v>5</v>
      </c>
      <c r="D50">
        <v>1</v>
      </c>
      <c r="E50" t="s">
        <v>12</v>
      </c>
      <c r="F50">
        <v>1</v>
      </c>
      <c r="G50" t="s">
        <v>12</v>
      </c>
      <c r="H50">
        <v>1</v>
      </c>
      <c r="I50" t="s">
        <v>7</v>
      </c>
      <c r="J50">
        <v>0</v>
      </c>
      <c r="L50">
        <v>1</v>
      </c>
      <c r="N50">
        <v>1</v>
      </c>
      <c r="O50">
        <v>1</v>
      </c>
      <c r="P50">
        <v>3</v>
      </c>
      <c r="Q50">
        <v>0</v>
      </c>
      <c r="R50">
        <v>0</v>
      </c>
      <c r="S50" t="s">
        <v>2</v>
      </c>
      <c r="T50">
        <v>7.49</v>
      </c>
      <c r="U50" t="s">
        <v>2</v>
      </c>
      <c r="V50" t="s">
        <v>2</v>
      </c>
      <c r="W50" t="s">
        <v>2</v>
      </c>
      <c r="X50" t="s">
        <v>2</v>
      </c>
      <c r="Y50">
        <v>17</v>
      </c>
      <c r="Z50">
        <v>0</v>
      </c>
      <c r="AA50" t="s">
        <v>2</v>
      </c>
      <c r="AB50" t="s">
        <v>257</v>
      </c>
      <c r="AC50" t="s">
        <v>290</v>
      </c>
      <c r="AD50" s="5">
        <v>1</v>
      </c>
      <c r="AE50" t="s">
        <v>369</v>
      </c>
      <c r="AF50">
        <f>((87+88+93+64+72)/5)*1.04</f>
        <v>84.031999999999996</v>
      </c>
      <c r="AG50" t="s">
        <v>367</v>
      </c>
      <c r="AH50">
        <v>1</v>
      </c>
      <c r="AI50">
        <v>0</v>
      </c>
      <c r="AJ50" t="s">
        <v>394</v>
      </c>
      <c r="AK50">
        <v>1</v>
      </c>
    </row>
    <row r="51" spans="1:43" x14ac:dyDescent="0.25">
      <c r="A51" s="2" t="s">
        <v>57</v>
      </c>
      <c r="B51">
        <v>1</v>
      </c>
      <c r="C51" t="s">
        <v>6</v>
      </c>
      <c r="D51">
        <v>1</v>
      </c>
      <c r="E51" t="s">
        <v>7</v>
      </c>
      <c r="F51">
        <v>0</v>
      </c>
      <c r="G51" t="s">
        <v>7</v>
      </c>
      <c r="H51">
        <v>0</v>
      </c>
      <c r="I51" t="s">
        <v>7</v>
      </c>
      <c r="J51">
        <v>0</v>
      </c>
      <c r="K51" t="s">
        <v>7</v>
      </c>
      <c r="L51">
        <v>0</v>
      </c>
      <c r="M51" t="s">
        <v>7</v>
      </c>
      <c r="N51">
        <v>0</v>
      </c>
      <c r="O51">
        <v>1</v>
      </c>
      <c r="P51">
        <v>3</v>
      </c>
      <c r="Q51">
        <v>0</v>
      </c>
      <c r="R51">
        <v>0</v>
      </c>
      <c r="S51" t="s">
        <v>2</v>
      </c>
      <c r="T51">
        <v>8.2100000000000009</v>
      </c>
      <c r="U51">
        <v>10.28</v>
      </c>
      <c r="V51">
        <v>1374</v>
      </c>
      <c r="W51">
        <v>25.5</v>
      </c>
      <c r="X51" t="s">
        <v>2</v>
      </c>
      <c r="Y51">
        <v>4</v>
      </c>
      <c r="Z51">
        <v>36</v>
      </c>
      <c r="AA51">
        <v>34.5</v>
      </c>
      <c r="AB51" t="s">
        <v>257</v>
      </c>
      <c r="AC51" t="s">
        <v>291</v>
      </c>
      <c r="AD51" s="5">
        <v>1</v>
      </c>
      <c r="AE51" t="s">
        <v>373</v>
      </c>
      <c r="AF51">
        <f>((0+42+4+23+2)/5)*1.04</f>
        <v>14.767999999999999</v>
      </c>
      <c r="AG51" t="s">
        <v>370</v>
      </c>
      <c r="AH51">
        <v>1</v>
      </c>
      <c r="AI51" t="s">
        <v>2</v>
      </c>
      <c r="AJ51" t="s">
        <v>395</v>
      </c>
      <c r="AN51">
        <v>1</v>
      </c>
      <c r="AQ51">
        <v>1</v>
      </c>
    </row>
    <row r="52" spans="1:43" x14ac:dyDescent="0.25">
      <c r="A52" s="2" t="s">
        <v>58</v>
      </c>
      <c r="B52">
        <v>1</v>
      </c>
      <c r="C52" t="s">
        <v>9</v>
      </c>
      <c r="D52">
        <v>1</v>
      </c>
      <c r="E52" t="s">
        <v>7</v>
      </c>
      <c r="F52">
        <v>0</v>
      </c>
      <c r="G52" t="s">
        <v>7</v>
      </c>
      <c r="H52">
        <v>0</v>
      </c>
      <c r="I52" t="s">
        <v>7</v>
      </c>
      <c r="J52">
        <v>0</v>
      </c>
      <c r="K52" t="s">
        <v>7</v>
      </c>
      <c r="L52">
        <v>0</v>
      </c>
      <c r="M52" t="s">
        <v>7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</v>
      </c>
      <c r="T52">
        <v>8.17</v>
      </c>
      <c r="U52">
        <v>3.62</v>
      </c>
      <c r="V52">
        <v>1364</v>
      </c>
      <c r="W52">
        <v>19.7</v>
      </c>
      <c r="X52" t="s">
        <v>2</v>
      </c>
      <c r="Y52">
        <v>4</v>
      </c>
      <c r="Z52">
        <v>3</v>
      </c>
      <c r="AA52" t="s">
        <v>254</v>
      </c>
      <c r="AB52" t="s">
        <v>257</v>
      </c>
      <c r="AC52" t="s">
        <v>291</v>
      </c>
      <c r="AD52" s="5">
        <v>1</v>
      </c>
      <c r="AE52" t="s">
        <v>369</v>
      </c>
      <c r="AF52">
        <f>((56+8+19+7+71)/5)*1.04</f>
        <v>33.488000000000007</v>
      </c>
      <c r="AG52" t="s">
        <v>370</v>
      </c>
      <c r="AH52">
        <v>1</v>
      </c>
      <c r="AI52">
        <v>0</v>
      </c>
      <c r="AJ52" t="s">
        <v>394</v>
      </c>
      <c r="AO52">
        <v>1</v>
      </c>
    </row>
    <row r="53" spans="1:43" x14ac:dyDescent="0.25">
      <c r="A53" s="2" t="s">
        <v>59</v>
      </c>
      <c r="B53">
        <v>1</v>
      </c>
      <c r="C53" t="s">
        <v>6</v>
      </c>
      <c r="D53">
        <v>1</v>
      </c>
      <c r="E53" t="s">
        <v>7</v>
      </c>
      <c r="F53">
        <v>0</v>
      </c>
      <c r="G53" t="s">
        <v>7</v>
      </c>
      <c r="H53">
        <v>0</v>
      </c>
      <c r="I53" t="s">
        <v>7</v>
      </c>
      <c r="J53">
        <v>0</v>
      </c>
      <c r="K53" t="s">
        <v>7</v>
      </c>
      <c r="L53">
        <v>0</v>
      </c>
      <c r="M53" t="s">
        <v>7</v>
      </c>
      <c r="N53">
        <v>0</v>
      </c>
      <c r="O53">
        <v>1</v>
      </c>
      <c r="P53">
        <v>2</v>
      </c>
      <c r="Q53">
        <v>0</v>
      </c>
      <c r="R53">
        <v>0</v>
      </c>
      <c r="S53" t="s">
        <v>2</v>
      </c>
      <c r="T53">
        <v>8.41</v>
      </c>
      <c r="U53">
        <v>12.76</v>
      </c>
      <c r="V53">
        <v>1213</v>
      </c>
      <c r="W53">
        <v>22.9</v>
      </c>
      <c r="X53" t="s">
        <v>2</v>
      </c>
      <c r="Y53">
        <v>4</v>
      </c>
      <c r="Z53">
        <v>1</v>
      </c>
      <c r="AA53">
        <v>27</v>
      </c>
      <c r="AB53" t="s">
        <v>257</v>
      </c>
      <c r="AC53" t="s">
        <v>292</v>
      </c>
      <c r="AD53" s="5">
        <v>1</v>
      </c>
      <c r="AE53" t="s">
        <v>369</v>
      </c>
      <c r="AF53">
        <f>((38+25+21+1+78)/5)*1.04</f>
        <v>33.904000000000003</v>
      </c>
      <c r="AG53" t="s">
        <v>368</v>
      </c>
      <c r="AH53">
        <v>0</v>
      </c>
      <c r="AI53">
        <v>0</v>
      </c>
      <c r="AJ53" t="s">
        <v>394</v>
      </c>
      <c r="AN53">
        <v>1</v>
      </c>
    </row>
    <row r="54" spans="1:43" x14ac:dyDescent="0.25">
      <c r="A54" s="2" t="s">
        <v>60</v>
      </c>
      <c r="B54">
        <v>1</v>
      </c>
      <c r="C54" t="s">
        <v>61</v>
      </c>
      <c r="D54">
        <v>1</v>
      </c>
      <c r="E54" t="s">
        <v>7</v>
      </c>
      <c r="F54">
        <v>0</v>
      </c>
      <c r="G54" t="s">
        <v>7</v>
      </c>
      <c r="H54">
        <v>0</v>
      </c>
      <c r="I54" t="s">
        <v>7</v>
      </c>
      <c r="J54">
        <v>0</v>
      </c>
      <c r="K54" t="s">
        <v>7</v>
      </c>
      <c r="L54">
        <v>0</v>
      </c>
      <c r="M54" t="s">
        <v>7</v>
      </c>
      <c r="N54">
        <v>0</v>
      </c>
      <c r="O54">
        <v>1</v>
      </c>
      <c r="P54">
        <v>4</v>
      </c>
      <c r="Q54">
        <v>0</v>
      </c>
      <c r="R54">
        <v>0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>
        <v>5</v>
      </c>
      <c r="Z54">
        <v>28</v>
      </c>
      <c r="AB54" t="s">
        <v>260</v>
      </c>
      <c r="AC54" t="s">
        <v>293</v>
      </c>
      <c r="AD54" s="5">
        <v>1</v>
      </c>
      <c r="AE54" t="s">
        <v>369</v>
      </c>
      <c r="AF54" t="s">
        <v>2</v>
      </c>
      <c r="AG54" t="s">
        <v>367</v>
      </c>
      <c r="AH54">
        <v>1</v>
      </c>
      <c r="AI54">
        <v>0</v>
      </c>
      <c r="AJ54" t="s">
        <v>400</v>
      </c>
      <c r="AK54">
        <v>1</v>
      </c>
    </row>
    <row r="55" spans="1:43" x14ac:dyDescent="0.25">
      <c r="A55" s="2" t="s">
        <v>62</v>
      </c>
      <c r="B55">
        <v>1</v>
      </c>
      <c r="C55" t="s">
        <v>6</v>
      </c>
      <c r="D55">
        <v>1</v>
      </c>
      <c r="E55" t="s">
        <v>7</v>
      </c>
      <c r="F55">
        <v>0</v>
      </c>
      <c r="G55" t="s">
        <v>7</v>
      </c>
      <c r="H55">
        <v>0</v>
      </c>
      <c r="I55" t="s">
        <v>7</v>
      </c>
      <c r="J55">
        <v>0</v>
      </c>
      <c r="K55" t="s">
        <v>7</v>
      </c>
      <c r="L55">
        <v>0</v>
      </c>
      <c r="M55" t="s">
        <v>7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</v>
      </c>
      <c r="T55">
        <v>8.93</v>
      </c>
      <c r="U55">
        <v>6.13</v>
      </c>
      <c r="V55">
        <v>667</v>
      </c>
      <c r="W55">
        <v>23.4</v>
      </c>
      <c r="X55" t="s">
        <v>2</v>
      </c>
      <c r="Y55">
        <v>4</v>
      </c>
      <c r="Z55">
        <v>10</v>
      </c>
      <c r="AA55">
        <v>37</v>
      </c>
      <c r="AB55" t="s">
        <v>258</v>
      </c>
      <c r="AC55" t="s">
        <v>294</v>
      </c>
      <c r="AD55" s="5">
        <v>1</v>
      </c>
      <c r="AE55" t="s">
        <v>369</v>
      </c>
      <c r="AF55">
        <f>((82+43+88+28+89)/5)*1.04</f>
        <v>68.64</v>
      </c>
      <c r="AG55" t="s">
        <v>375</v>
      </c>
      <c r="AH55">
        <v>0</v>
      </c>
      <c r="AI55">
        <v>0</v>
      </c>
      <c r="AJ55" t="s">
        <v>398</v>
      </c>
    </row>
    <row r="56" spans="1:43" x14ac:dyDescent="0.25">
      <c r="A56" s="2" t="s">
        <v>63</v>
      </c>
      <c r="B56">
        <v>1</v>
      </c>
      <c r="C56" t="s">
        <v>6</v>
      </c>
      <c r="D56">
        <v>1</v>
      </c>
      <c r="E56" t="s">
        <v>7</v>
      </c>
      <c r="F56">
        <v>0</v>
      </c>
      <c r="G56" t="s">
        <v>7</v>
      </c>
      <c r="H56">
        <v>0</v>
      </c>
      <c r="I56" t="s">
        <v>7</v>
      </c>
      <c r="J56">
        <v>0</v>
      </c>
      <c r="K56" t="s">
        <v>7</v>
      </c>
      <c r="L56">
        <v>0</v>
      </c>
      <c r="M56" t="s">
        <v>7</v>
      </c>
      <c r="N56">
        <v>0</v>
      </c>
      <c r="O56">
        <v>1</v>
      </c>
      <c r="P56">
        <v>0</v>
      </c>
      <c r="Q56">
        <v>0</v>
      </c>
      <c r="R56">
        <v>1</v>
      </c>
      <c r="S56" t="s">
        <v>2</v>
      </c>
      <c r="T56">
        <v>6.48</v>
      </c>
      <c r="U56">
        <v>8.4700000000000006</v>
      </c>
      <c r="V56">
        <v>1228</v>
      </c>
      <c r="W56">
        <v>28.3</v>
      </c>
      <c r="X56" t="s">
        <v>2</v>
      </c>
      <c r="Y56">
        <v>11</v>
      </c>
      <c r="Z56">
        <v>27</v>
      </c>
      <c r="AA56">
        <v>12</v>
      </c>
      <c r="AB56" t="s">
        <v>257</v>
      </c>
      <c r="AC56" t="s">
        <v>295</v>
      </c>
      <c r="AD56" s="5">
        <v>1</v>
      </c>
      <c r="AE56" t="s">
        <v>373</v>
      </c>
      <c r="AF56">
        <f>((1+0+34+0+12)/5)*1.04</f>
        <v>9.7760000000000016</v>
      </c>
      <c r="AG56" t="s">
        <v>367</v>
      </c>
      <c r="AH56" t="s">
        <v>2</v>
      </c>
      <c r="AI56">
        <v>1</v>
      </c>
      <c r="AJ56" t="s">
        <v>394</v>
      </c>
    </row>
    <row r="57" spans="1:43" x14ac:dyDescent="0.25">
      <c r="A57" s="2" t="s">
        <v>64</v>
      </c>
      <c r="B57">
        <v>1</v>
      </c>
      <c r="C57" t="s">
        <v>12</v>
      </c>
      <c r="D57">
        <v>1</v>
      </c>
      <c r="E57" t="s">
        <v>7</v>
      </c>
      <c r="F57">
        <v>0</v>
      </c>
      <c r="G57" t="s">
        <v>7</v>
      </c>
      <c r="H57">
        <v>0</v>
      </c>
      <c r="I57" t="s">
        <v>7</v>
      </c>
      <c r="J57">
        <v>0</v>
      </c>
      <c r="K57" t="s">
        <v>7</v>
      </c>
      <c r="L57">
        <v>0</v>
      </c>
      <c r="M57" t="s">
        <v>7</v>
      </c>
      <c r="N57">
        <v>0</v>
      </c>
      <c r="O57">
        <v>1</v>
      </c>
      <c r="P57">
        <v>3</v>
      </c>
      <c r="Q57">
        <v>0</v>
      </c>
      <c r="R57">
        <v>0</v>
      </c>
      <c r="S57" t="s">
        <v>2</v>
      </c>
      <c r="T57">
        <v>8.4</v>
      </c>
      <c r="U57">
        <v>4.66</v>
      </c>
      <c r="V57">
        <v>715</v>
      </c>
      <c r="W57">
        <v>23.5</v>
      </c>
      <c r="X57" t="s">
        <v>2</v>
      </c>
      <c r="Y57">
        <v>28</v>
      </c>
      <c r="Z57">
        <v>48</v>
      </c>
      <c r="AA57" t="s">
        <v>254</v>
      </c>
      <c r="AB57" t="s">
        <v>257</v>
      </c>
      <c r="AC57" t="s">
        <v>294</v>
      </c>
      <c r="AD57" s="5">
        <v>1</v>
      </c>
      <c r="AE57" t="s">
        <v>369</v>
      </c>
      <c r="AF57">
        <f>((77+70+88+90+80)/5)*1.04</f>
        <v>84.240000000000009</v>
      </c>
      <c r="AG57" t="s">
        <v>367</v>
      </c>
      <c r="AH57">
        <v>1</v>
      </c>
      <c r="AI57">
        <v>0</v>
      </c>
      <c r="AJ57" t="s">
        <v>394</v>
      </c>
    </row>
    <row r="58" spans="1:43" x14ac:dyDescent="0.25">
      <c r="A58" s="2" t="s">
        <v>65</v>
      </c>
      <c r="B58">
        <v>2</v>
      </c>
      <c r="C58" t="s">
        <v>12</v>
      </c>
      <c r="D58">
        <v>1</v>
      </c>
      <c r="E58" t="s">
        <v>7</v>
      </c>
      <c r="F58">
        <v>0</v>
      </c>
      <c r="G58" t="s">
        <v>6</v>
      </c>
      <c r="H58">
        <v>1</v>
      </c>
      <c r="I58" t="s">
        <v>7</v>
      </c>
      <c r="J58">
        <v>0</v>
      </c>
      <c r="K58" t="s">
        <v>7</v>
      </c>
      <c r="L58">
        <v>0</v>
      </c>
      <c r="M58" t="s">
        <v>7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</v>
      </c>
      <c r="T58">
        <v>8.56</v>
      </c>
      <c r="U58">
        <v>7.44</v>
      </c>
      <c r="V58">
        <v>921</v>
      </c>
      <c r="W58">
        <v>20.8</v>
      </c>
      <c r="X58" t="s">
        <v>2</v>
      </c>
      <c r="Y58">
        <v>1</v>
      </c>
      <c r="Z58">
        <v>0</v>
      </c>
      <c r="AA58">
        <v>38</v>
      </c>
      <c r="AB58" t="s">
        <v>259</v>
      </c>
      <c r="AC58" t="s">
        <v>294</v>
      </c>
      <c r="AD58" s="5">
        <v>1</v>
      </c>
      <c r="AE58" t="s">
        <v>369</v>
      </c>
      <c r="AF58">
        <f>((82+81+50+63+63)/5)*1.04</f>
        <v>70.512</v>
      </c>
      <c r="AG58" t="s">
        <v>376</v>
      </c>
      <c r="AH58">
        <v>0</v>
      </c>
      <c r="AI58">
        <v>0</v>
      </c>
      <c r="AJ58" t="s">
        <v>398</v>
      </c>
    </row>
    <row r="59" spans="1:43" x14ac:dyDescent="0.25">
      <c r="A59" s="2" t="s">
        <v>66</v>
      </c>
      <c r="B59">
        <v>2</v>
      </c>
      <c r="C59" t="s">
        <v>5</v>
      </c>
      <c r="D59">
        <v>1</v>
      </c>
      <c r="E59" t="s">
        <v>7</v>
      </c>
      <c r="F59">
        <v>0</v>
      </c>
      <c r="G59" t="s">
        <v>5</v>
      </c>
      <c r="H59">
        <v>1</v>
      </c>
      <c r="I59" t="s">
        <v>7</v>
      </c>
      <c r="J59">
        <v>0</v>
      </c>
      <c r="K59" t="s">
        <v>7</v>
      </c>
      <c r="L59">
        <v>0</v>
      </c>
      <c r="M59" t="s">
        <v>7</v>
      </c>
      <c r="N59">
        <v>0</v>
      </c>
      <c r="O59">
        <v>1</v>
      </c>
      <c r="P59">
        <v>2</v>
      </c>
      <c r="Q59">
        <v>0</v>
      </c>
      <c r="R59">
        <v>0</v>
      </c>
      <c r="S59" t="s">
        <v>2</v>
      </c>
      <c r="T59">
        <v>7.77</v>
      </c>
      <c r="U59">
        <v>2.5299999999999998</v>
      </c>
      <c r="V59">
        <v>643</v>
      </c>
      <c r="W59">
        <v>23.8</v>
      </c>
      <c r="X59" t="s">
        <v>2</v>
      </c>
      <c r="Y59">
        <v>8.5</v>
      </c>
      <c r="Z59">
        <v>0.5</v>
      </c>
      <c r="AA59">
        <v>55</v>
      </c>
      <c r="AB59" t="s">
        <v>259</v>
      </c>
      <c r="AC59" t="s">
        <v>294</v>
      </c>
      <c r="AD59" s="5">
        <v>1</v>
      </c>
      <c r="AE59" t="s">
        <v>369</v>
      </c>
      <c r="AF59">
        <f>((3+11+0+18+15)/5)*1.04</f>
        <v>9.7760000000000016</v>
      </c>
      <c r="AG59" t="s">
        <v>377</v>
      </c>
      <c r="AH59">
        <v>0</v>
      </c>
      <c r="AI59">
        <v>0</v>
      </c>
      <c r="AJ59" t="s">
        <v>394</v>
      </c>
    </row>
    <row r="60" spans="1:43" x14ac:dyDescent="0.25">
      <c r="A60" s="2" t="s">
        <v>67</v>
      </c>
      <c r="B60">
        <v>2</v>
      </c>
      <c r="C60" t="s">
        <v>6</v>
      </c>
      <c r="D60">
        <v>1</v>
      </c>
      <c r="E60" t="s">
        <v>7</v>
      </c>
      <c r="F60">
        <v>0</v>
      </c>
      <c r="G60" t="s">
        <v>5</v>
      </c>
      <c r="H60">
        <v>1</v>
      </c>
      <c r="I60" t="s">
        <v>7</v>
      </c>
      <c r="J60">
        <v>0</v>
      </c>
      <c r="K60" t="s">
        <v>7</v>
      </c>
      <c r="L60">
        <v>0</v>
      </c>
      <c r="M60" t="s">
        <v>7</v>
      </c>
      <c r="N60">
        <v>0</v>
      </c>
      <c r="O60">
        <v>1</v>
      </c>
      <c r="P60">
        <v>1</v>
      </c>
      <c r="Q60">
        <v>0</v>
      </c>
      <c r="R60">
        <v>0</v>
      </c>
      <c r="S60" t="s">
        <v>2</v>
      </c>
      <c r="T60">
        <v>4.4400000000000004</v>
      </c>
      <c r="U60">
        <v>8.99</v>
      </c>
      <c r="V60">
        <v>420</v>
      </c>
      <c r="W60">
        <v>19.5</v>
      </c>
      <c r="X60" t="s">
        <v>2</v>
      </c>
      <c r="Y60">
        <v>10</v>
      </c>
      <c r="Z60">
        <v>4</v>
      </c>
      <c r="AA60">
        <v>42</v>
      </c>
      <c r="AB60" t="s">
        <v>259</v>
      </c>
      <c r="AC60" t="s">
        <v>296</v>
      </c>
      <c r="AD60" s="5">
        <v>1</v>
      </c>
      <c r="AE60" t="s">
        <v>373</v>
      </c>
      <c r="AF60">
        <f>((0+20+7+3+5)/5)*1.04</f>
        <v>7.28</v>
      </c>
      <c r="AG60" t="s">
        <v>367</v>
      </c>
      <c r="AH60">
        <v>1</v>
      </c>
      <c r="AI60">
        <v>0</v>
      </c>
      <c r="AJ60" t="s">
        <v>394</v>
      </c>
    </row>
    <row r="61" spans="1:43" x14ac:dyDescent="0.25">
      <c r="A61" s="2" t="s">
        <v>68</v>
      </c>
      <c r="B61">
        <v>2</v>
      </c>
      <c r="C61" t="s">
        <v>5</v>
      </c>
      <c r="D61">
        <v>1</v>
      </c>
      <c r="E61" t="s">
        <v>7</v>
      </c>
      <c r="F61">
        <v>0</v>
      </c>
      <c r="G61" t="s">
        <v>12</v>
      </c>
      <c r="H61">
        <v>1</v>
      </c>
      <c r="I61" t="s">
        <v>7</v>
      </c>
      <c r="J61">
        <v>0</v>
      </c>
      <c r="K61" t="s">
        <v>7</v>
      </c>
      <c r="L61">
        <v>0</v>
      </c>
      <c r="M61" t="s">
        <v>7</v>
      </c>
      <c r="N61">
        <v>0</v>
      </c>
      <c r="O61">
        <v>1</v>
      </c>
      <c r="P61">
        <v>1</v>
      </c>
      <c r="Q61">
        <v>0</v>
      </c>
      <c r="R61">
        <v>0</v>
      </c>
      <c r="S61" t="s">
        <v>2</v>
      </c>
      <c r="T61">
        <v>7.34</v>
      </c>
      <c r="U61">
        <v>1.65</v>
      </c>
      <c r="V61">
        <v>483</v>
      </c>
      <c r="W61">
        <v>21.4</v>
      </c>
      <c r="X61" t="s">
        <v>2</v>
      </c>
      <c r="Y61">
        <v>7</v>
      </c>
      <c r="Z61">
        <v>21</v>
      </c>
      <c r="AA61">
        <v>48</v>
      </c>
      <c r="AB61" t="s">
        <v>259</v>
      </c>
      <c r="AC61" t="s">
        <v>296</v>
      </c>
      <c r="AD61" s="5">
        <v>1</v>
      </c>
      <c r="AE61" t="s">
        <v>373</v>
      </c>
      <c r="AF61">
        <f>((2+0+1+0+15)/5)*1.04</f>
        <v>3.7440000000000002</v>
      </c>
      <c r="AG61" t="s">
        <v>367</v>
      </c>
      <c r="AH61">
        <v>0</v>
      </c>
      <c r="AI61">
        <v>0</v>
      </c>
      <c r="AJ61" t="s">
        <v>394</v>
      </c>
    </row>
    <row r="62" spans="1:43" x14ac:dyDescent="0.25">
      <c r="A62" s="2" t="s">
        <v>69</v>
      </c>
      <c r="B62">
        <v>2</v>
      </c>
      <c r="C62" t="s">
        <v>5</v>
      </c>
      <c r="D62">
        <v>1</v>
      </c>
      <c r="E62" t="s">
        <v>7</v>
      </c>
      <c r="F62">
        <v>0</v>
      </c>
      <c r="G62" t="s">
        <v>9</v>
      </c>
      <c r="H62">
        <v>1</v>
      </c>
      <c r="I62" t="s">
        <v>7</v>
      </c>
      <c r="J62">
        <v>0</v>
      </c>
      <c r="K62" t="s">
        <v>7</v>
      </c>
      <c r="L62">
        <v>0</v>
      </c>
      <c r="M62" t="s">
        <v>7</v>
      </c>
      <c r="N62">
        <v>0</v>
      </c>
      <c r="O62">
        <v>1</v>
      </c>
      <c r="P62">
        <v>3</v>
      </c>
      <c r="Q62">
        <v>0</v>
      </c>
      <c r="R62">
        <v>0</v>
      </c>
      <c r="S62" t="s">
        <v>2</v>
      </c>
      <c r="T62">
        <v>6.66</v>
      </c>
      <c r="U62">
        <v>8.18</v>
      </c>
      <c r="V62">
        <v>488</v>
      </c>
      <c r="W62">
        <v>21.8</v>
      </c>
      <c r="X62" t="s">
        <v>2</v>
      </c>
      <c r="Y62">
        <v>5</v>
      </c>
      <c r="Z62">
        <v>7</v>
      </c>
      <c r="AA62">
        <v>35</v>
      </c>
      <c r="AB62" t="s">
        <v>259</v>
      </c>
      <c r="AC62" t="s">
        <v>296</v>
      </c>
      <c r="AD62" s="5">
        <v>1</v>
      </c>
      <c r="AE62" t="s">
        <v>369</v>
      </c>
      <c r="AF62">
        <f>((5+22+58+86+79)/5)*1.04</f>
        <v>52</v>
      </c>
      <c r="AG62" t="s">
        <v>367</v>
      </c>
      <c r="AH62">
        <v>0</v>
      </c>
      <c r="AI62">
        <v>0</v>
      </c>
      <c r="AJ62" t="s">
        <v>394</v>
      </c>
      <c r="AP62">
        <v>1</v>
      </c>
    </row>
    <row r="63" spans="1:43" x14ac:dyDescent="0.25">
      <c r="A63" s="2" t="s">
        <v>70</v>
      </c>
      <c r="B63">
        <v>2</v>
      </c>
      <c r="C63" t="s">
        <v>6</v>
      </c>
      <c r="D63">
        <v>1</v>
      </c>
      <c r="E63" t="s">
        <v>7</v>
      </c>
      <c r="F63">
        <v>0</v>
      </c>
      <c r="G63" t="s">
        <v>6</v>
      </c>
      <c r="H63">
        <v>1</v>
      </c>
      <c r="I63" t="s">
        <v>7</v>
      </c>
      <c r="J63">
        <v>0</v>
      </c>
      <c r="K63" t="s">
        <v>7</v>
      </c>
      <c r="L63">
        <v>0</v>
      </c>
      <c r="M63" t="s">
        <v>7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</v>
      </c>
      <c r="T63">
        <v>8.2799999999999994</v>
      </c>
      <c r="U63">
        <v>8.19</v>
      </c>
      <c r="V63">
        <v>417</v>
      </c>
      <c r="W63">
        <v>22.8</v>
      </c>
      <c r="X63" t="s">
        <v>2</v>
      </c>
      <c r="Y63">
        <v>22</v>
      </c>
      <c r="Z63">
        <v>0</v>
      </c>
      <c r="AA63">
        <v>45</v>
      </c>
      <c r="AB63" t="s">
        <v>259</v>
      </c>
      <c r="AC63" t="s">
        <v>296</v>
      </c>
      <c r="AD63" s="5">
        <v>1</v>
      </c>
      <c r="AE63" t="s">
        <v>373</v>
      </c>
      <c r="AF63">
        <f>((16+0+4+64)/5)*1.04</f>
        <v>17.472000000000001</v>
      </c>
      <c r="AG63" t="s">
        <v>367</v>
      </c>
      <c r="AH63">
        <v>0</v>
      </c>
      <c r="AI63">
        <v>0</v>
      </c>
      <c r="AJ63" t="s">
        <v>394</v>
      </c>
      <c r="AP63">
        <v>1</v>
      </c>
    </row>
    <row r="64" spans="1:43" x14ac:dyDescent="0.25">
      <c r="A64" s="2" t="s">
        <v>71</v>
      </c>
      <c r="B64">
        <v>2</v>
      </c>
      <c r="C64" t="s">
        <v>9</v>
      </c>
      <c r="D64">
        <v>1</v>
      </c>
      <c r="E64" t="s">
        <v>7</v>
      </c>
      <c r="F64">
        <v>0</v>
      </c>
      <c r="G64" t="s">
        <v>9</v>
      </c>
      <c r="H64">
        <v>1</v>
      </c>
      <c r="I64" t="s">
        <v>7</v>
      </c>
      <c r="J64">
        <v>0</v>
      </c>
      <c r="K64" t="s">
        <v>7</v>
      </c>
      <c r="L64">
        <v>0</v>
      </c>
      <c r="M64" t="s">
        <v>7</v>
      </c>
      <c r="N64">
        <v>0</v>
      </c>
      <c r="O64">
        <v>1</v>
      </c>
      <c r="P64">
        <v>1</v>
      </c>
      <c r="Q64">
        <v>0</v>
      </c>
      <c r="R64">
        <v>0</v>
      </c>
      <c r="S64" t="s">
        <v>2</v>
      </c>
      <c r="T64">
        <v>8.36</v>
      </c>
      <c r="U64">
        <v>10.25</v>
      </c>
      <c r="V64">
        <v>390</v>
      </c>
      <c r="W64">
        <v>22.9</v>
      </c>
      <c r="X64" t="s">
        <v>2</v>
      </c>
      <c r="Y64">
        <v>11</v>
      </c>
      <c r="Z64">
        <v>0</v>
      </c>
      <c r="AA64" t="s">
        <v>2</v>
      </c>
      <c r="AB64" t="s">
        <v>259</v>
      </c>
      <c r="AC64" t="s">
        <v>296</v>
      </c>
      <c r="AD64" s="5">
        <v>1</v>
      </c>
      <c r="AE64" t="s">
        <v>369</v>
      </c>
      <c r="AF64">
        <f>((93+92+92+96+95)/5)*1.04</f>
        <v>97.343999999999994</v>
      </c>
      <c r="AG64" t="s">
        <v>367</v>
      </c>
      <c r="AH64">
        <v>0</v>
      </c>
      <c r="AI64">
        <v>0</v>
      </c>
      <c r="AJ64" t="s">
        <v>394</v>
      </c>
    </row>
    <row r="65" spans="1:44" x14ac:dyDescent="0.25">
      <c r="A65" s="2" t="s">
        <v>72</v>
      </c>
      <c r="B65">
        <v>1</v>
      </c>
      <c r="C65" t="s">
        <v>9</v>
      </c>
      <c r="D65">
        <v>1</v>
      </c>
      <c r="E65" t="s">
        <v>7</v>
      </c>
      <c r="F65">
        <v>0</v>
      </c>
      <c r="G65" t="s">
        <v>7</v>
      </c>
      <c r="H65">
        <v>0</v>
      </c>
      <c r="I65" t="s">
        <v>7</v>
      </c>
      <c r="J65">
        <v>0</v>
      </c>
      <c r="K65" t="s">
        <v>7</v>
      </c>
      <c r="L65">
        <v>0</v>
      </c>
      <c r="M65" t="s">
        <v>7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</v>
      </c>
      <c r="T65">
        <v>7.49</v>
      </c>
      <c r="U65">
        <v>11.1</v>
      </c>
      <c r="V65">
        <v>1086</v>
      </c>
      <c r="W65">
        <v>24.3</v>
      </c>
      <c r="X65" t="s">
        <v>2</v>
      </c>
      <c r="Y65">
        <v>16.5</v>
      </c>
      <c r="Z65">
        <v>6.7</v>
      </c>
      <c r="AA65" t="s">
        <v>2</v>
      </c>
      <c r="AB65" t="s">
        <v>259</v>
      </c>
      <c r="AC65" t="s">
        <v>297</v>
      </c>
      <c r="AD65" s="5">
        <v>1</v>
      </c>
      <c r="AE65" t="s">
        <v>373</v>
      </c>
      <c r="AF65">
        <v>0</v>
      </c>
      <c r="AG65" t="s">
        <v>377</v>
      </c>
      <c r="AH65">
        <v>1</v>
      </c>
      <c r="AI65">
        <v>0</v>
      </c>
      <c r="AJ65" t="s">
        <v>394</v>
      </c>
      <c r="AP65">
        <v>1</v>
      </c>
    </row>
    <row r="66" spans="1:44" x14ac:dyDescent="0.25">
      <c r="A66" s="2" t="s">
        <v>73</v>
      </c>
      <c r="B66">
        <v>3</v>
      </c>
      <c r="C66" t="s">
        <v>5</v>
      </c>
      <c r="D66">
        <v>1</v>
      </c>
      <c r="E66" t="s">
        <v>6</v>
      </c>
      <c r="F66">
        <v>1</v>
      </c>
      <c r="G66" t="s">
        <v>5</v>
      </c>
      <c r="H66">
        <v>1</v>
      </c>
      <c r="I66" t="s">
        <v>7</v>
      </c>
      <c r="J66">
        <v>0</v>
      </c>
      <c r="K66" t="s">
        <v>7</v>
      </c>
      <c r="L66">
        <v>0</v>
      </c>
      <c r="M66" t="s">
        <v>7</v>
      </c>
      <c r="N66">
        <v>0</v>
      </c>
      <c r="O66">
        <v>1</v>
      </c>
      <c r="P66">
        <v>3</v>
      </c>
      <c r="Q66">
        <v>0</v>
      </c>
      <c r="R66">
        <v>0</v>
      </c>
      <c r="S66" t="s">
        <v>2</v>
      </c>
      <c r="T66">
        <v>7.68</v>
      </c>
      <c r="U66">
        <v>2.21</v>
      </c>
      <c r="V66">
        <v>6.52</v>
      </c>
      <c r="W66">
        <v>22.5</v>
      </c>
      <c r="X66" t="s">
        <v>2</v>
      </c>
      <c r="Y66">
        <v>1</v>
      </c>
      <c r="Z66">
        <v>0</v>
      </c>
      <c r="AA66" t="s">
        <v>2</v>
      </c>
      <c r="AB66" t="s">
        <v>259</v>
      </c>
      <c r="AC66" t="s">
        <v>287</v>
      </c>
      <c r="AD66" s="5">
        <v>1</v>
      </c>
      <c r="AE66" t="s">
        <v>369</v>
      </c>
      <c r="AF66">
        <f>((43+64+46+74+54)/5)*1.04</f>
        <v>58.448000000000008</v>
      </c>
      <c r="AG66" t="s">
        <v>377</v>
      </c>
      <c r="AH66">
        <v>1</v>
      </c>
      <c r="AI66">
        <v>0</v>
      </c>
      <c r="AJ66" t="s">
        <v>394</v>
      </c>
      <c r="AP66">
        <v>1</v>
      </c>
    </row>
    <row r="67" spans="1:44" x14ac:dyDescent="0.25">
      <c r="A67" s="2" t="s">
        <v>74</v>
      </c>
      <c r="B67">
        <v>3</v>
      </c>
      <c r="C67" t="s">
        <v>5</v>
      </c>
      <c r="D67">
        <v>1</v>
      </c>
      <c r="E67" t="s">
        <v>9</v>
      </c>
      <c r="F67">
        <v>1</v>
      </c>
      <c r="G67" t="s">
        <v>6</v>
      </c>
      <c r="H67">
        <v>1</v>
      </c>
      <c r="I67" t="s">
        <v>7</v>
      </c>
      <c r="J67">
        <v>0</v>
      </c>
      <c r="K67" t="s">
        <v>7</v>
      </c>
      <c r="L67">
        <v>0</v>
      </c>
      <c r="M67" t="s">
        <v>7</v>
      </c>
      <c r="N67">
        <v>0</v>
      </c>
      <c r="O67">
        <v>1</v>
      </c>
      <c r="P67">
        <v>3</v>
      </c>
      <c r="Q67">
        <v>0</v>
      </c>
      <c r="R67">
        <v>0</v>
      </c>
      <c r="S67" t="s">
        <v>2</v>
      </c>
      <c r="T67">
        <v>7.82</v>
      </c>
      <c r="U67">
        <v>0.2</v>
      </c>
      <c r="V67">
        <v>509</v>
      </c>
      <c r="W67">
        <v>18.5</v>
      </c>
      <c r="X67" t="s">
        <v>2</v>
      </c>
      <c r="Y67">
        <v>9</v>
      </c>
      <c r="Z67">
        <v>0</v>
      </c>
      <c r="AA67" t="s">
        <v>2</v>
      </c>
      <c r="AB67" t="s">
        <v>259</v>
      </c>
      <c r="AC67" t="s">
        <v>287</v>
      </c>
      <c r="AD67" s="5">
        <v>1</v>
      </c>
      <c r="AE67" t="s">
        <v>369</v>
      </c>
      <c r="AF67">
        <f>((89+91+91+64+93)/5)*1.04</f>
        <v>89.024000000000001</v>
      </c>
      <c r="AG67" t="s">
        <v>367</v>
      </c>
      <c r="AH67">
        <v>1</v>
      </c>
      <c r="AI67">
        <v>0</v>
      </c>
      <c r="AJ67" t="s">
        <v>394</v>
      </c>
    </row>
    <row r="68" spans="1:44" x14ac:dyDescent="0.25">
      <c r="A68" s="2" t="s">
        <v>75</v>
      </c>
      <c r="B68">
        <v>3</v>
      </c>
      <c r="C68" t="s">
        <v>5</v>
      </c>
      <c r="D68">
        <v>1</v>
      </c>
      <c r="E68" t="s">
        <v>12</v>
      </c>
      <c r="F68">
        <v>1</v>
      </c>
      <c r="G68" t="s">
        <v>9</v>
      </c>
      <c r="H68">
        <v>1</v>
      </c>
      <c r="I68" t="s">
        <v>7</v>
      </c>
      <c r="J68">
        <v>0</v>
      </c>
      <c r="K68" t="s">
        <v>7</v>
      </c>
      <c r="L68">
        <v>0</v>
      </c>
      <c r="M68" t="s">
        <v>7</v>
      </c>
      <c r="N68">
        <v>0</v>
      </c>
      <c r="O68">
        <v>1</v>
      </c>
      <c r="P68">
        <v>3</v>
      </c>
      <c r="Q68">
        <v>0</v>
      </c>
      <c r="R68">
        <v>0</v>
      </c>
      <c r="S68" t="s">
        <v>2</v>
      </c>
      <c r="T68">
        <v>8.6</v>
      </c>
      <c r="U68">
        <v>6.98</v>
      </c>
      <c r="V68">
        <v>583</v>
      </c>
      <c r="W68">
        <v>24.3</v>
      </c>
      <c r="X68" t="s">
        <v>2</v>
      </c>
      <c r="Y68">
        <v>6</v>
      </c>
      <c r="Z68">
        <v>6</v>
      </c>
      <c r="AA68" t="s">
        <v>254</v>
      </c>
      <c r="AB68" t="s">
        <v>259</v>
      </c>
      <c r="AC68" t="s">
        <v>287</v>
      </c>
      <c r="AD68" s="5">
        <v>1</v>
      </c>
      <c r="AE68" t="s">
        <v>369</v>
      </c>
      <c r="AF68">
        <f>((91+89+96+90+80)/5)*1.04</f>
        <v>92.768000000000001</v>
      </c>
      <c r="AG68" t="s">
        <v>367</v>
      </c>
      <c r="AH68">
        <v>1</v>
      </c>
      <c r="AI68" t="s">
        <v>2</v>
      </c>
      <c r="AJ68" t="s">
        <v>398</v>
      </c>
    </row>
    <row r="69" spans="1:44" x14ac:dyDescent="0.25">
      <c r="A69" s="2" t="s">
        <v>76</v>
      </c>
      <c r="B69">
        <v>4</v>
      </c>
      <c r="C69" t="s">
        <v>12</v>
      </c>
      <c r="D69">
        <v>1</v>
      </c>
      <c r="E69" t="s">
        <v>6</v>
      </c>
      <c r="F69">
        <v>1</v>
      </c>
      <c r="G69" t="s">
        <v>9</v>
      </c>
      <c r="H69">
        <v>1</v>
      </c>
      <c r="I69" t="s">
        <v>7</v>
      </c>
      <c r="J69">
        <v>0</v>
      </c>
      <c r="K69" t="s">
        <v>7</v>
      </c>
      <c r="L69">
        <v>0</v>
      </c>
      <c r="M69" t="s">
        <v>6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2</v>
      </c>
      <c r="T69">
        <v>7.73</v>
      </c>
      <c r="U69">
        <v>7.37</v>
      </c>
      <c r="V69">
        <v>574</v>
      </c>
      <c r="W69">
        <v>24.1</v>
      </c>
      <c r="X69" t="s">
        <v>2</v>
      </c>
      <c r="Y69">
        <v>16</v>
      </c>
      <c r="Z69">
        <v>8</v>
      </c>
      <c r="AA69" t="s">
        <v>254</v>
      </c>
      <c r="AB69" t="s">
        <v>257</v>
      </c>
      <c r="AC69" t="s">
        <v>298</v>
      </c>
      <c r="AD69" s="5">
        <v>1</v>
      </c>
      <c r="AE69" t="s">
        <v>373</v>
      </c>
      <c r="AF69">
        <f>((0+4+0+17+2)/5)*1.04</f>
        <v>4.7839999999999998</v>
      </c>
      <c r="AG69" t="s">
        <v>377</v>
      </c>
      <c r="AH69">
        <v>1</v>
      </c>
      <c r="AI69" t="s">
        <v>2</v>
      </c>
      <c r="AJ69" t="s">
        <v>394</v>
      </c>
    </row>
    <row r="70" spans="1:44" x14ac:dyDescent="0.25">
      <c r="A70" s="2" t="s">
        <v>77</v>
      </c>
      <c r="B70">
        <v>3</v>
      </c>
      <c r="C70" t="s">
        <v>9</v>
      </c>
      <c r="D70">
        <v>1</v>
      </c>
      <c r="E70" t="s">
        <v>9</v>
      </c>
      <c r="F70">
        <v>1</v>
      </c>
      <c r="G70" t="s">
        <v>7</v>
      </c>
      <c r="H70">
        <v>0</v>
      </c>
      <c r="I70" t="s">
        <v>7</v>
      </c>
      <c r="J70">
        <v>0</v>
      </c>
      <c r="K70" t="s">
        <v>7</v>
      </c>
      <c r="L70">
        <v>0</v>
      </c>
      <c r="M70" t="s">
        <v>5</v>
      </c>
      <c r="N70">
        <v>1</v>
      </c>
      <c r="O70">
        <v>1</v>
      </c>
      <c r="P70">
        <v>2</v>
      </c>
      <c r="Q70">
        <v>0</v>
      </c>
      <c r="R70">
        <v>0</v>
      </c>
      <c r="S70" t="s">
        <v>2</v>
      </c>
      <c r="T70">
        <v>6.9</v>
      </c>
      <c r="U70">
        <v>4.21</v>
      </c>
      <c r="V70">
        <v>4.78</v>
      </c>
      <c r="W70">
        <v>24.9</v>
      </c>
      <c r="X70" t="s">
        <v>2</v>
      </c>
      <c r="Y70">
        <v>15</v>
      </c>
      <c r="Z70">
        <v>16</v>
      </c>
      <c r="AA70">
        <v>46.5</v>
      </c>
      <c r="AB70" t="s">
        <v>257</v>
      </c>
      <c r="AC70" t="s">
        <v>298</v>
      </c>
      <c r="AD70" s="5">
        <v>1</v>
      </c>
      <c r="AE70" t="s">
        <v>369</v>
      </c>
      <c r="AF70">
        <f>((34+79+17+31+89)/5)*1.04</f>
        <v>52</v>
      </c>
      <c r="AG70" t="s">
        <v>367</v>
      </c>
      <c r="AH70">
        <v>1</v>
      </c>
      <c r="AI70">
        <v>0</v>
      </c>
      <c r="AJ70" t="s">
        <v>395</v>
      </c>
      <c r="AR70">
        <v>1</v>
      </c>
    </row>
    <row r="71" spans="1:44" x14ac:dyDescent="0.25">
      <c r="A71" s="2" t="s">
        <v>78</v>
      </c>
      <c r="B71">
        <v>2</v>
      </c>
      <c r="C71" t="s">
        <v>12</v>
      </c>
      <c r="D71">
        <v>1</v>
      </c>
      <c r="E71" t="s">
        <v>9</v>
      </c>
      <c r="F71">
        <v>1</v>
      </c>
      <c r="G71" t="s">
        <v>7</v>
      </c>
      <c r="H71">
        <v>0</v>
      </c>
      <c r="I71" t="s">
        <v>7</v>
      </c>
      <c r="J71">
        <v>0</v>
      </c>
      <c r="K71" t="s">
        <v>7</v>
      </c>
      <c r="L71">
        <v>0</v>
      </c>
      <c r="M71" t="s">
        <v>7</v>
      </c>
      <c r="N71">
        <v>0</v>
      </c>
      <c r="O71">
        <v>1</v>
      </c>
      <c r="P71">
        <v>2</v>
      </c>
      <c r="Q71">
        <v>0</v>
      </c>
      <c r="R71">
        <v>0</v>
      </c>
      <c r="S71" t="s">
        <v>2</v>
      </c>
      <c r="T71">
        <v>8.15</v>
      </c>
      <c r="U71">
        <v>0.98</v>
      </c>
      <c r="V71">
        <v>403</v>
      </c>
      <c r="W71">
        <v>19.5</v>
      </c>
      <c r="X71" t="s">
        <v>2</v>
      </c>
      <c r="Y71">
        <v>4</v>
      </c>
      <c r="Z71">
        <v>21</v>
      </c>
      <c r="AA71" t="s">
        <v>2</v>
      </c>
      <c r="AB71" t="s">
        <v>260</v>
      </c>
      <c r="AC71" t="s">
        <v>299</v>
      </c>
      <c r="AD71" s="5">
        <v>1</v>
      </c>
      <c r="AE71" t="s">
        <v>369</v>
      </c>
      <c r="AF71">
        <f>((52+96+34+90+20)/5)*1.04</f>
        <v>60.735999999999997</v>
      </c>
      <c r="AG71" t="s">
        <v>367</v>
      </c>
      <c r="AH71">
        <v>0</v>
      </c>
      <c r="AI71">
        <v>0</v>
      </c>
      <c r="AJ71" t="s">
        <v>395</v>
      </c>
    </row>
    <row r="72" spans="1:44" x14ac:dyDescent="0.25">
      <c r="A72" s="2" t="s">
        <v>79</v>
      </c>
      <c r="B72">
        <v>4</v>
      </c>
      <c r="C72" t="s">
        <v>5</v>
      </c>
      <c r="D72">
        <v>1</v>
      </c>
      <c r="E72" t="s">
        <v>6</v>
      </c>
      <c r="F72">
        <v>1</v>
      </c>
      <c r="G72" t="s">
        <v>9</v>
      </c>
      <c r="H72">
        <v>1</v>
      </c>
      <c r="I72" t="s">
        <v>7</v>
      </c>
      <c r="J72">
        <v>0</v>
      </c>
      <c r="K72" t="s">
        <v>7</v>
      </c>
      <c r="L72">
        <v>0</v>
      </c>
      <c r="M72" t="s">
        <v>7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</v>
      </c>
      <c r="T72">
        <v>7.2</v>
      </c>
      <c r="U72">
        <v>4.0199999999999996</v>
      </c>
      <c r="V72">
        <v>478</v>
      </c>
      <c r="W72">
        <v>21.2</v>
      </c>
      <c r="X72" t="s">
        <v>2</v>
      </c>
      <c r="Y72">
        <v>11</v>
      </c>
      <c r="Z72">
        <v>0</v>
      </c>
      <c r="AA72">
        <v>13</v>
      </c>
      <c r="AB72" t="s">
        <v>257</v>
      </c>
      <c r="AC72" t="s">
        <v>299</v>
      </c>
      <c r="AD72" s="5">
        <v>1</v>
      </c>
      <c r="AE72" t="s">
        <v>369</v>
      </c>
      <c r="AF72">
        <f>((64+96+6+68+75)/5)*1.04</f>
        <v>64.272000000000006</v>
      </c>
      <c r="AG72" t="s">
        <v>367</v>
      </c>
      <c r="AH72">
        <v>0</v>
      </c>
      <c r="AI72">
        <v>0</v>
      </c>
      <c r="AJ72" t="s">
        <v>394</v>
      </c>
      <c r="AL72">
        <v>1</v>
      </c>
      <c r="AP72">
        <v>1</v>
      </c>
    </row>
    <row r="73" spans="1:44" x14ac:dyDescent="0.25">
      <c r="A73" s="2" t="s">
        <v>80</v>
      </c>
      <c r="B73">
        <v>2</v>
      </c>
      <c r="C73" t="s">
        <v>12</v>
      </c>
      <c r="D73">
        <v>1</v>
      </c>
      <c r="E73" t="s">
        <v>5</v>
      </c>
      <c r="F73">
        <v>1</v>
      </c>
      <c r="G73" t="s">
        <v>7</v>
      </c>
      <c r="H73">
        <v>0</v>
      </c>
      <c r="I73" t="s">
        <v>7</v>
      </c>
      <c r="J73">
        <v>0</v>
      </c>
      <c r="K73" t="s">
        <v>7</v>
      </c>
      <c r="L73">
        <v>0</v>
      </c>
      <c r="M73" t="s">
        <v>7</v>
      </c>
      <c r="N73">
        <v>0</v>
      </c>
      <c r="O73">
        <v>1</v>
      </c>
      <c r="P73">
        <v>1</v>
      </c>
      <c r="Q73">
        <v>0</v>
      </c>
      <c r="R73">
        <v>0</v>
      </c>
      <c r="S73" t="s">
        <v>2</v>
      </c>
      <c r="T73">
        <v>7.2</v>
      </c>
      <c r="U73">
        <v>0.18</v>
      </c>
      <c r="V73">
        <v>554</v>
      </c>
      <c r="W73">
        <v>15</v>
      </c>
      <c r="X73" t="s">
        <v>2</v>
      </c>
      <c r="Y73">
        <v>13</v>
      </c>
      <c r="Z73">
        <v>10</v>
      </c>
      <c r="AA73">
        <v>55</v>
      </c>
      <c r="AB73" t="s">
        <v>260</v>
      </c>
      <c r="AC73" t="s">
        <v>300</v>
      </c>
      <c r="AD73" s="5">
        <v>1</v>
      </c>
      <c r="AE73" t="s">
        <v>369</v>
      </c>
      <c r="AF73">
        <f>((2+2+0+12+20)/5)*1.04</f>
        <v>7.4880000000000004</v>
      </c>
      <c r="AG73" t="s">
        <v>367</v>
      </c>
      <c r="AH73">
        <v>1</v>
      </c>
      <c r="AI73">
        <v>0</v>
      </c>
      <c r="AJ73" t="s">
        <v>395</v>
      </c>
    </row>
    <row r="74" spans="1:44" x14ac:dyDescent="0.25">
      <c r="A74" s="2" t="s">
        <v>81</v>
      </c>
      <c r="B74">
        <v>3</v>
      </c>
      <c r="C74" t="s">
        <v>5</v>
      </c>
      <c r="D74">
        <v>1</v>
      </c>
      <c r="E74" t="s">
        <v>6</v>
      </c>
      <c r="F74">
        <v>1</v>
      </c>
      <c r="G74" t="s">
        <v>9</v>
      </c>
      <c r="H74">
        <v>1</v>
      </c>
      <c r="I74" t="s">
        <v>7</v>
      </c>
      <c r="J74">
        <v>0</v>
      </c>
      <c r="K74" t="s">
        <v>7</v>
      </c>
      <c r="L74">
        <v>0</v>
      </c>
      <c r="M74" t="s">
        <v>7</v>
      </c>
      <c r="N74">
        <v>0</v>
      </c>
      <c r="O74">
        <v>1</v>
      </c>
      <c r="P74">
        <v>3</v>
      </c>
      <c r="Q74">
        <v>0</v>
      </c>
      <c r="R74">
        <v>0</v>
      </c>
      <c r="S74" t="s">
        <v>2</v>
      </c>
      <c r="T74">
        <v>7.61</v>
      </c>
      <c r="U74">
        <v>1.64</v>
      </c>
      <c r="V74">
        <v>532</v>
      </c>
      <c r="W74">
        <v>18.8</v>
      </c>
      <c r="X74" t="s">
        <v>2</v>
      </c>
      <c r="Y74">
        <v>30</v>
      </c>
      <c r="Z74">
        <v>15</v>
      </c>
      <c r="AA74" t="s">
        <v>254</v>
      </c>
      <c r="AB74" t="s">
        <v>257</v>
      </c>
      <c r="AC74" t="s">
        <v>265</v>
      </c>
      <c r="AD74" s="5">
        <v>1</v>
      </c>
      <c r="AE74" t="s">
        <v>369</v>
      </c>
      <c r="AF74">
        <f>((15+17+84+10+13)/5)*1.04</f>
        <v>28.912000000000003</v>
      </c>
      <c r="AG74" t="s">
        <v>367</v>
      </c>
      <c r="AH74">
        <v>1</v>
      </c>
      <c r="AI74">
        <v>0</v>
      </c>
      <c r="AJ74" t="s">
        <v>394</v>
      </c>
      <c r="AP74">
        <v>1</v>
      </c>
    </row>
    <row r="75" spans="1:44" x14ac:dyDescent="0.25">
      <c r="A75" s="2" t="s">
        <v>82</v>
      </c>
      <c r="B75">
        <v>3</v>
      </c>
      <c r="C75" t="s">
        <v>6</v>
      </c>
      <c r="D75">
        <v>1</v>
      </c>
      <c r="E75" t="s">
        <v>6</v>
      </c>
      <c r="F75">
        <v>1</v>
      </c>
      <c r="G75" t="s">
        <v>25</v>
      </c>
      <c r="H75">
        <v>1</v>
      </c>
      <c r="I75" t="s">
        <v>7</v>
      </c>
      <c r="J75">
        <v>0</v>
      </c>
      <c r="K75" t="s">
        <v>7</v>
      </c>
      <c r="L75">
        <v>0</v>
      </c>
      <c r="M75" t="s">
        <v>7</v>
      </c>
      <c r="N75">
        <v>0</v>
      </c>
      <c r="O75">
        <v>1</v>
      </c>
      <c r="P75">
        <v>1</v>
      </c>
      <c r="Q75">
        <v>0</v>
      </c>
      <c r="R75">
        <v>0</v>
      </c>
      <c r="S75" t="s">
        <v>2</v>
      </c>
      <c r="T75" t="s">
        <v>2</v>
      </c>
      <c r="U75">
        <v>5.49</v>
      </c>
      <c r="V75">
        <v>514</v>
      </c>
      <c r="W75">
        <v>24.6</v>
      </c>
      <c r="X75" t="s">
        <v>2</v>
      </c>
      <c r="Y75">
        <v>12</v>
      </c>
      <c r="Z75">
        <v>1</v>
      </c>
      <c r="AA75" t="s">
        <v>2</v>
      </c>
      <c r="AB75" t="s">
        <v>257</v>
      </c>
      <c r="AC75" t="s">
        <v>301</v>
      </c>
      <c r="AD75" s="5">
        <v>1</v>
      </c>
      <c r="AE75" t="s">
        <v>373</v>
      </c>
      <c r="AF75">
        <f>((29+0+0+0+91)/5)*1.04</f>
        <v>24.96</v>
      </c>
      <c r="AG75" t="s">
        <v>367</v>
      </c>
      <c r="AH75">
        <v>1</v>
      </c>
      <c r="AI75">
        <v>0</v>
      </c>
      <c r="AJ75" t="s">
        <v>394</v>
      </c>
      <c r="AP75">
        <v>0</v>
      </c>
    </row>
    <row r="76" spans="1:44" x14ac:dyDescent="0.25">
      <c r="A76" s="2" t="s">
        <v>83</v>
      </c>
      <c r="B76">
        <v>3</v>
      </c>
      <c r="C76" t="s">
        <v>12</v>
      </c>
      <c r="D76">
        <v>1</v>
      </c>
      <c r="E76" t="s">
        <v>5</v>
      </c>
      <c r="F76">
        <v>1</v>
      </c>
      <c r="G76" t="s">
        <v>12</v>
      </c>
      <c r="H76">
        <v>1</v>
      </c>
      <c r="I76" t="s">
        <v>7</v>
      </c>
      <c r="J76">
        <v>0</v>
      </c>
      <c r="K76" t="s">
        <v>7</v>
      </c>
      <c r="L76">
        <v>0</v>
      </c>
      <c r="M76" t="s">
        <v>7</v>
      </c>
      <c r="N76">
        <v>0</v>
      </c>
      <c r="O76">
        <v>1</v>
      </c>
      <c r="P76">
        <v>2</v>
      </c>
      <c r="Q76">
        <v>0</v>
      </c>
      <c r="R76">
        <v>0</v>
      </c>
      <c r="S76" t="s">
        <v>2</v>
      </c>
      <c r="T76">
        <v>4.5999999999999996</v>
      </c>
      <c r="U76">
        <v>3.45</v>
      </c>
      <c r="V76">
        <v>493</v>
      </c>
      <c r="W76">
        <v>23.8</v>
      </c>
      <c r="X76" t="s">
        <v>2</v>
      </c>
      <c r="Y76">
        <v>12</v>
      </c>
      <c r="Z76">
        <v>1</v>
      </c>
      <c r="AA76" t="s">
        <v>254</v>
      </c>
      <c r="AB76" t="s">
        <v>257</v>
      </c>
      <c r="AC76" t="s">
        <v>301</v>
      </c>
      <c r="AD76" s="5">
        <v>1</v>
      </c>
      <c r="AE76" t="s">
        <v>369</v>
      </c>
      <c r="AF76">
        <f>((93+20+96+85+83)/5)*1.04</f>
        <v>78.416000000000011</v>
      </c>
      <c r="AG76" t="s">
        <v>367</v>
      </c>
      <c r="AH76">
        <v>1</v>
      </c>
      <c r="AI76">
        <v>0</v>
      </c>
      <c r="AJ76" t="s">
        <v>394</v>
      </c>
      <c r="AP76">
        <v>0</v>
      </c>
    </row>
    <row r="77" spans="1:44" x14ac:dyDescent="0.25">
      <c r="A77" s="2" t="s">
        <v>84</v>
      </c>
      <c r="B77">
        <v>5</v>
      </c>
      <c r="C77" t="s">
        <v>9</v>
      </c>
      <c r="D77">
        <v>1</v>
      </c>
      <c r="E77" t="s">
        <v>5</v>
      </c>
      <c r="F77">
        <v>1</v>
      </c>
      <c r="G77" t="s">
        <v>6</v>
      </c>
      <c r="H77">
        <v>1</v>
      </c>
      <c r="I77" t="s">
        <v>7</v>
      </c>
      <c r="J77">
        <v>0</v>
      </c>
      <c r="K77" t="s">
        <v>7</v>
      </c>
      <c r="L77">
        <v>0</v>
      </c>
      <c r="M77" t="s">
        <v>12</v>
      </c>
      <c r="N77">
        <v>1</v>
      </c>
      <c r="O77">
        <v>1</v>
      </c>
      <c r="P77">
        <v>2</v>
      </c>
      <c r="Q77">
        <v>0</v>
      </c>
      <c r="R77">
        <v>0</v>
      </c>
      <c r="S77" t="s">
        <v>2</v>
      </c>
      <c r="T77">
        <v>7.14</v>
      </c>
      <c r="U77">
        <v>7.65</v>
      </c>
      <c r="V77">
        <v>493</v>
      </c>
      <c r="W77">
        <v>20.399999999999999</v>
      </c>
      <c r="X77" t="s">
        <v>2</v>
      </c>
      <c r="Y77">
        <v>23</v>
      </c>
      <c r="Z77">
        <v>0</v>
      </c>
      <c r="AA77" t="s">
        <v>254</v>
      </c>
      <c r="AB77" t="s">
        <v>257</v>
      </c>
      <c r="AC77" t="s">
        <v>267</v>
      </c>
      <c r="AD77" s="5">
        <v>1</v>
      </c>
      <c r="AE77" t="s">
        <v>369</v>
      </c>
      <c r="AF77">
        <f>((16+6+15+37+9)/5)*1.04</f>
        <v>17.264000000000003</v>
      </c>
      <c r="AG77" t="s">
        <v>367</v>
      </c>
      <c r="AH77">
        <v>1</v>
      </c>
      <c r="AI77">
        <v>0</v>
      </c>
      <c r="AJ77" t="s">
        <v>395</v>
      </c>
      <c r="AP77">
        <v>0</v>
      </c>
    </row>
    <row r="78" spans="1:44" x14ac:dyDescent="0.25">
      <c r="A78" s="2" t="s">
        <v>85</v>
      </c>
      <c r="B78">
        <v>4</v>
      </c>
      <c r="C78" t="s">
        <v>5</v>
      </c>
      <c r="D78">
        <v>1</v>
      </c>
      <c r="E78" t="s">
        <v>5</v>
      </c>
      <c r="F78">
        <v>1</v>
      </c>
      <c r="G78" t="s">
        <v>12</v>
      </c>
      <c r="H78">
        <v>1</v>
      </c>
      <c r="I78" t="s">
        <v>7</v>
      </c>
      <c r="J78">
        <v>0</v>
      </c>
      <c r="K78" t="s">
        <v>7</v>
      </c>
      <c r="L78">
        <v>0</v>
      </c>
      <c r="M78" t="s">
        <v>12</v>
      </c>
      <c r="N78">
        <v>1</v>
      </c>
      <c r="O78">
        <v>1</v>
      </c>
      <c r="P78">
        <v>1</v>
      </c>
      <c r="Q78">
        <v>0</v>
      </c>
      <c r="R78">
        <v>0</v>
      </c>
      <c r="S78" t="s">
        <v>2</v>
      </c>
      <c r="T78">
        <v>7.9</v>
      </c>
      <c r="U78">
        <v>4.2300000000000004</v>
      </c>
      <c r="V78">
        <v>542</v>
      </c>
      <c r="W78">
        <v>24.8</v>
      </c>
      <c r="X78" t="s">
        <v>2</v>
      </c>
      <c r="Y78">
        <v>11</v>
      </c>
      <c r="Z78">
        <v>10</v>
      </c>
      <c r="AA78" t="s">
        <v>2</v>
      </c>
      <c r="AB78" t="s">
        <v>257</v>
      </c>
      <c r="AC78" t="s">
        <v>267</v>
      </c>
      <c r="AD78" s="5">
        <v>1</v>
      </c>
      <c r="AE78" t="s">
        <v>373</v>
      </c>
      <c r="AF78">
        <f>((0+2+7+0+3)/5)*1.04</f>
        <v>2.496</v>
      </c>
      <c r="AG78" t="s">
        <v>367</v>
      </c>
      <c r="AH78">
        <v>0</v>
      </c>
      <c r="AI78" t="s">
        <v>2</v>
      </c>
      <c r="AJ78" t="s">
        <v>395</v>
      </c>
      <c r="AP78">
        <v>0</v>
      </c>
    </row>
    <row r="79" spans="1:44" x14ac:dyDescent="0.25">
      <c r="A79" s="2" t="s">
        <v>86</v>
      </c>
      <c r="B79">
        <v>2</v>
      </c>
      <c r="C79" t="s">
        <v>5</v>
      </c>
      <c r="D79">
        <v>1</v>
      </c>
      <c r="E79" t="s">
        <v>7</v>
      </c>
      <c r="F79">
        <v>0</v>
      </c>
      <c r="G79" t="s">
        <v>5</v>
      </c>
      <c r="H79">
        <v>1</v>
      </c>
      <c r="I79" t="s">
        <v>7</v>
      </c>
      <c r="J79">
        <v>0</v>
      </c>
      <c r="K79" t="s">
        <v>7</v>
      </c>
      <c r="L79">
        <v>0</v>
      </c>
      <c r="M79" t="s">
        <v>7</v>
      </c>
      <c r="N79">
        <v>0</v>
      </c>
      <c r="O79">
        <v>1</v>
      </c>
      <c r="P79">
        <v>3</v>
      </c>
      <c r="Q79">
        <v>0</v>
      </c>
      <c r="R79">
        <v>0</v>
      </c>
      <c r="S79" t="s">
        <v>2</v>
      </c>
      <c r="T79">
        <v>6.52</v>
      </c>
      <c r="U79">
        <v>0.75</v>
      </c>
      <c r="V79">
        <v>473</v>
      </c>
      <c r="W79">
        <v>18.600000000000001</v>
      </c>
      <c r="X79" t="s">
        <v>2</v>
      </c>
      <c r="Y79">
        <v>5</v>
      </c>
      <c r="Z79">
        <v>1</v>
      </c>
      <c r="AA79" t="s">
        <v>2</v>
      </c>
      <c r="AB79" t="s">
        <v>257</v>
      </c>
      <c r="AC79" t="s">
        <v>268</v>
      </c>
      <c r="AD79" s="5">
        <v>1</v>
      </c>
      <c r="AE79" t="s">
        <v>369</v>
      </c>
      <c r="AF79">
        <f>((66+71+66+79+76)/5)*1.04</f>
        <v>74.463999999999999</v>
      </c>
      <c r="AG79" t="s">
        <v>367</v>
      </c>
      <c r="AH79">
        <v>0</v>
      </c>
      <c r="AI79">
        <v>1</v>
      </c>
      <c r="AJ79" t="s">
        <v>394</v>
      </c>
      <c r="AP79">
        <v>0</v>
      </c>
    </row>
    <row r="80" spans="1:44" x14ac:dyDescent="0.25">
      <c r="A80" s="2" t="s">
        <v>87</v>
      </c>
      <c r="B80">
        <v>2</v>
      </c>
      <c r="C80" t="s">
        <v>12</v>
      </c>
      <c r="D80">
        <v>1</v>
      </c>
      <c r="E80" t="s">
        <v>7</v>
      </c>
      <c r="F80">
        <v>0</v>
      </c>
      <c r="G80" t="s">
        <v>5</v>
      </c>
      <c r="H80">
        <v>1</v>
      </c>
      <c r="I80" t="s">
        <v>7</v>
      </c>
      <c r="J80">
        <v>0</v>
      </c>
      <c r="K80" t="s">
        <v>7</v>
      </c>
      <c r="L80">
        <v>0</v>
      </c>
      <c r="M80" t="s">
        <v>7</v>
      </c>
      <c r="N80">
        <v>0</v>
      </c>
      <c r="O80">
        <v>1</v>
      </c>
      <c r="P80">
        <v>1</v>
      </c>
      <c r="Q80">
        <v>0</v>
      </c>
      <c r="R80">
        <v>0</v>
      </c>
      <c r="S80" t="s">
        <v>2</v>
      </c>
      <c r="T80">
        <v>6.74</v>
      </c>
      <c r="U80">
        <v>2.2599999999999998</v>
      </c>
      <c r="V80">
        <v>425</v>
      </c>
      <c r="W80">
        <v>20.399999999999999</v>
      </c>
      <c r="X80" t="s">
        <v>2</v>
      </c>
      <c r="Y80">
        <v>5</v>
      </c>
      <c r="Z80">
        <v>53</v>
      </c>
      <c r="AA80" t="s">
        <v>2</v>
      </c>
      <c r="AB80" t="s">
        <v>260</v>
      </c>
      <c r="AC80" t="s">
        <v>302</v>
      </c>
      <c r="AD80" s="5">
        <v>1</v>
      </c>
      <c r="AE80" t="s">
        <v>373</v>
      </c>
      <c r="AF80">
        <f>((0+0+0+0+3)/5)*1.04</f>
        <v>0.624</v>
      </c>
      <c r="AG80" t="s">
        <v>377</v>
      </c>
      <c r="AH80">
        <v>1</v>
      </c>
      <c r="AI80">
        <v>0</v>
      </c>
      <c r="AJ80" t="s">
        <v>394</v>
      </c>
      <c r="AP80">
        <v>0</v>
      </c>
    </row>
    <row r="81" spans="1:48" x14ac:dyDescent="0.25">
      <c r="A81" s="2" t="s">
        <v>88</v>
      </c>
      <c r="B81">
        <v>1</v>
      </c>
      <c r="C81" t="s">
        <v>12</v>
      </c>
      <c r="D81">
        <v>1</v>
      </c>
      <c r="E81" t="s">
        <v>7</v>
      </c>
      <c r="F81">
        <v>0</v>
      </c>
      <c r="G81" t="s">
        <v>7</v>
      </c>
      <c r="H81">
        <v>0</v>
      </c>
      <c r="I81" t="s">
        <v>7</v>
      </c>
      <c r="J81">
        <v>0</v>
      </c>
      <c r="K81" t="s">
        <v>7</v>
      </c>
      <c r="L81">
        <v>0</v>
      </c>
      <c r="M81" t="s">
        <v>7</v>
      </c>
      <c r="N81">
        <v>0</v>
      </c>
      <c r="O81">
        <v>1</v>
      </c>
      <c r="P81">
        <v>1</v>
      </c>
      <c r="Q81">
        <v>0</v>
      </c>
      <c r="R81">
        <v>0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257</v>
      </c>
      <c r="AC81" t="s">
        <v>303</v>
      </c>
      <c r="AD81" s="5">
        <v>1</v>
      </c>
      <c r="AE81" t="s">
        <v>373</v>
      </c>
      <c r="AF81" t="s">
        <v>2</v>
      </c>
      <c r="AG81" t="s">
        <v>367</v>
      </c>
      <c r="AH81">
        <v>1</v>
      </c>
      <c r="AI81">
        <v>0</v>
      </c>
      <c r="AJ81" t="s">
        <v>394</v>
      </c>
      <c r="AP81">
        <v>1</v>
      </c>
      <c r="AQ81">
        <v>0</v>
      </c>
    </row>
    <row r="82" spans="1:48" x14ac:dyDescent="0.25">
      <c r="A82" s="2" t="s">
        <v>89</v>
      </c>
      <c r="B82">
        <v>1</v>
      </c>
      <c r="C82" t="s">
        <v>5</v>
      </c>
      <c r="D82">
        <v>1</v>
      </c>
      <c r="E82" t="s">
        <v>7</v>
      </c>
      <c r="F82">
        <v>0</v>
      </c>
      <c r="G82" t="s">
        <v>7</v>
      </c>
      <c r="H82">
        <v>0</v>
      </c>
      <c r="I82" t="s">
        <v>7</v>
      </c>
      <c r="J82">
        <v>0</v>
      </c>
      <c r="K82" t="s">
        <v>7</v>
      </c>
      <c r="L82">
        <v>0</v>
      </c>
      <c r="M82" t="s">
        <v>7</v>
      </c>
      <c r="N82">
        <v>0</v>
      </c>
      <c r="O82">
        <v>1</v>
      </c>
      <c r="P82">
        <v>2</v>
      </c>
      <c r="Q82">
        <v>0</v>
      </c>
      <c r="R82">
        <v>0</v>
      </c>
      <c r="S82" t="s">
        <v>2</v>
      </c>
      <c r="T82">
        <v>7.73</v>
      </c>
      <c r="U82">
        <v>0.28000000000000003</v>
      </c>
      <c r="V82">
        <v>413</v>
      </c>
      <c r="W82">
        <v>19.5</v>
      </c>
      <c r="X82" t="s">
        <v>2</v>
      </c>
      <c r="Y82">
        <v>11</v>
      </c>
      <c r="Z82">
        <v>31</v>
      </c>
      <c r="AA82" t="s">
        <v>254</v>
      </c>
      <c r="AB82" t="s">
        <v>257</v>
      </c>
      <c r="AC82" t="s">
        <v>304</v>
      </c>
      <c r="AD82" s="5">
        <v>1</v>
      </c>
      <c r="AE82" t="s">
        <v>369</v>
      </c>
      <c r="AF82">
        <f>((38+88+12+69+90)/5)*1.04</f>
        <v>61.776000000000003</v>
      </c>
      <c r="AG82" t="s">
        <v>367</v>
      </c>
      <c r="AH82">
        <v>1</v>
      </c>
      <c r="AI82">
        <v>0</v>
      </c>
      <c r="AJ82" t="s">
        <v>394</v>
      </c>
      <c r="AP82">
        <v>1</v>
      </c>
      <c r="AQ82">
        <v>1</v>
      </c>
    </row>
    <row r="83" spans="1:48" x14ac:dyDescent="0.25">
      <c r="A83" s="2" t="s">
        <v>90</v>
      </c>
      <c r="B83">
        <v>1</v>
      </c>
      <c r="C83" t="s">
        <v>12</v>
      </c>
      <c r="D83">
        <v>1</v>
      </c>
      <c r="E83" t="s">
        <v>7</v>
      </c>
      <c r="F83">
        <v>0</v>
      </c>
      <c r="G83" t="s">
        <v>7</v>
      </c>
      <c r="H83">
        <v>0</v>
      </c>
      <c r="I83" t="s">
        <v>7</v>
      </c>
      <c r="J83">
        <v>0</v>
      </c>
      <c r="K83" t="s">
        <v>7</v>
      </c>
      <c r="L83">
        <v>0</v>
      </c>
      <c r="M83" t="s">
        <v>7</v>
      </c>
      <c r="N83">
        <v>0</v>
      </c>
      <c r="O83">
        <v>1</v>
      </c>
      <c r="P83">
        <v>2</v>
      </c>
      <c r="Q83">
        <v>0</v>
      </c>
      <c r="R83">
        <v>0</v>
      </c>
      <c r="S83" t="s">
        <v>2</v>
      </c>
      <c r="T83">
        <v>7.61</v>
      </c>
      <c r="U83">
        <v>1.24</v>
      </c>
      <c r="V83">
        <v>332</v>
      </c>
      <c r="W83">
        <v>26.8</v>
      </c>
      <c r="X83" t="s">
        <v>2</v>
      </c>
      <c r="Y83">
        <v>3</v>
      </c>
      <c r="Z83">
        <v>27</v>
      </c>
      <c r="AA83" t="s">
        <v>254</v>
      </c>
      <c r="AB83" t="s">
        <v>257</v>
      </c>
      <c r="AC83" t="s">
        <v>305</v>
      </c>
      <c r="AD83" s="5">
        <v>1</v>
      </c>
      <c r="AE83" t="s">
        <v>369</v>
      </c>
      <c r="AF83">
        <f>((20+9+93+12+3)/5)*1.04</f>
        <v>28.495999999999999</v>
      </c>
      <c r="AG83" t="s">
        <v>367</v>
      </c>
      <c r="AH83">
        <v>1</v>
      </c>
      <c r="AI83">
        <v>0</v>
      </c>
      <c r="AJ83" t="s">
        <v>395</v>
      </c>
      <c r="AP83">
        <v>1</v>
      </c>
      <c r="AQ83">
        <v>1</v>
      </c>
    </row>
    <row r="84" spans="1:48" x14ac:dyDescent="0.25">
      <c r="A84" s="2" t="s">
        <v>91</v>
      </c>
      <c r="B84">
        <v>3</v>
      </c>
      <c r="C84" t="s">
        <v>5</v>
      </c>
      <c r="D84">
        <v>1</v>
      </c>
      <c r="E84" t="s">
        <v>7</v>
      </c>
      <c r="F84">
        <v>0</v>
      </c>
      <c r="G84" t="s">
        <v>12</v>
      </c>
      <c r="H84">
        <v>1</v>
      </c>
      <c r="I84" t="s">
        <v>6</v>
      </c>
      <c r="J84">
        <v>1</v>
      </c>
      <c r="K84" t="s">
        <v>7</v>
      </c>
      <c r="L84">
        <v>0</v>
      </c>
      <c r="M84" t="s">
        <v>7</v>
      </c>
      <c r="N84">
        <v>0</v>
      </c>
      <c r="O84">
        <v>1</v>
      </c>
      <c r="P84">
        <v>1</v>
      </c>
      <c r="Q84">
        <v>0</v>
      </c>
      <c r="R84">
        <v>2</v>
      </c>
      <c r="S84" t="s">
        <v>2</v>
      </c>
      <c r="T84">
        <v>7.66</v>
      </c>
      <c r="U84">
        <v>0.91</v>
      </c>
      <c r="V84">
        <v>891</v>
      </c>
      <c r="W84">
        <v>23.8</v>
      </c>
      <c r="X84" t="s">
        <v>2</v>
      </c>
      <c r="Y84">
        <v>8</v>
      </c>
      <c r="Z84">
        <v>4</v>
      </c>
      <c r="AA84" t="s">
        <v>2</v>
      </c>
      <c r="AB84" t="s">
        <v>260</v>
      </c>
      <c r="AC84" t="s">
        <v>275</v>
      </c>
      <c r="AD84" s="5">
        <v>2</v>
      </c>
      <c r="AE84" t="s">
        <v>371</v>
      </c>
      <c r="AF84">
        <f>((94+94+93+93+94)/5)*1.04</f>
        <v>97.343999999999994</v>
      </c>
      <c r="AG84" t="s">
        <v>367</v>
      </c>
      <c r="AH84">
        <v>1</v>
      </c>
      <c r="AI84" t="s">
        <v>2</v>
      </c>
      <c r="AJ84" t="s">
        <v>394</v>
      </c>
      <c r="AP84">
        <v>0</v>
      </c>
      <c r="AQ84">
        <v>0</v>
      </c>
    </row>
    <row r="85" spans="1:48" x14ac:dyDescent="0.25">
      <c r="A85" s="2" t="s">
        <v>92</v>
      </c>
      <c r="B85">
        <v>2</v>
      </c>
      <c r="C85" t="s">
        <v>7</v>
      </c>
      <c r="D85">
        <v>0</v>
      </c>
      <c r="E85" t="s">
        <v>7</v>
      </c>
      <c r="F85">
        <v>0</v>
      </c>
      <c r="G85" t="s">
        <v>9</v>
      </c>
      <c r="H85">
        <v>1</v>
      </c>
      <c r="I85" t="s">
        <v>5</v>
      </c>
      <c r="J85">
        <v>1</v>
      </c>
      <c r="K85" t="s">
        <v>7</v>
      </c>
      <c r="L85">
        <v>0</v>
      </c>
      <c r="M85" t="s">
        <v>7</v>
      </c>
      <c r="N85">
        <v>0</v>
      </c>
      <c r="O85">
        <v>1</v>
      </c>
      <c r="P85">
        <v>2</v>
      </c>
      <c r="Q85">
        <v>1</v>
      </c>
      <c r="R85">
        <v>0</v>
      </c>
      <c r="S85">
        <v>1</v>
      </c>
      <c r="T85">
        <v>7.09</v>
      </c>
      <c r="U85">
        <v>1.0900000000000001</v>
      </c>
      <c r="V85">
        <v>579</v>
      </c>
      <c r="W85">
        <v>22.3</v>
      </c>
      <c r="X85" t="s">
        <v>2</v>
      </c>
      <c r="Y85">
        <v>28</v>
      </c>
      <c r="Z85">
        <v>0</v>
      </c>
      <c r="AA85" t="s">
        <v>2</v>
      </c>
      <c r="AB85" t="s">
        <v>260</v>
      </c>
      <c r="AC85" t="s">
        <v>276</v>
      </c>
      <c r="AD85" s="5">
        <v>2</v>
      </c>
      <c r="AE85" t="s">
        <v>371</v>
      </c>
      <c r="AF85">
        <f>((94+93+91+94+94)/5)*1.04</f>
        <v>96.928000000000011</v>
      </c>
      <c r="AG85" t="s">
        <v>367</v>
      </c>
      <c r="AH85">
        <v>1</v>
      </c>
      <c r="AI85">
        <v>0</v>
      </c>
      <c r="AJ85" t="s">
        <v>394</v>
      </c>
      <c r="AP85">
        <v>0</v>
      </c>
      <c r="AQ85">
        <v>0</v>
      </c>
    </row>
    <row r="86" spans="1:48" x14ac:dyDescent="0.25">
      <c r="A86" s="2" t="s">
        <v>93</v>
      </c>
      <c r="B86">
        <v>2</v>
      </c>
      <c r="C86" t="s">
        <v>25</v>
      </c>
      <c r="D86" s="4">
        <v>1</v>
      </c>
      <c r="E86" t="s">
        <v>7</v>
      </c>
      <c r="F86">
        <v>0</v>
      </c>
      <c r="G86" t="s">
        <v>6</v>
      </c>
      <c r="H86">
        <v>1</v>
      </c>
      <c r="I86" t="s">
        <v>7</v>
      </c>
      <c r="J86">
        <v>0</v>
      </c>
      <c r="K86" t="s">
        <v>7</v>
      </c>
      <c r="L86">
        <v>0</v>
      </c>
      <c r="M86" t="s">
        <v>7</v>
      </c>
      <c r="N86">
        <v>0</v>
      </c>
      <c r="O86">
        <v>1</v>
      </c>
      <c r="P86">
        <v>1</v>
      </c>
      <c r="Q86">
        <v>0</v>
      </c>
      <c r="R86">
        <v>0</v>
      </c>
      <c r="S86">
        <v>4</v>
      </c>
      <c r="T86">
        <v>8.1199999999999992</v>
      </c>
      <c r="U86">
        <v>0.34</v>
      </c>
      <c r="V86">
        <v>542</v>
      </c>
      <c r="W86">
        <v>21.6</v>
      </c>
      <c r="X86" t="s">
        <v>2</v>
      </c>
      <c r="Y86">
        <v>10</v>
      </c>
      <c r="Z86">
        <v>13</v>
      </c>
      <c r="AA86" t="s">
        <v>2</v>
      </c>
      <c r="AB86" t="s">
        <v>260</v>
      </c>
      <c r="AC86" t="s">
        <v>277</v>
      </c>
      <c r="AD86" s="5">
        <v>2</v>
      </c>
      <c r="AE86" t="s">
        <v>371</v>
      </c>
      <c r="AF86">
        <f>((92+86+93+91+92)/5)*1.04</f>
        <v>94.432000000000002</v>
      </c>
      <c r="AG86" t="s">
        <v>367</v>
      </c>
      <c r="AH86">
        <v>1</v>
      </c>
      <c r="AI86">
        <v>0</v>
      </c>
      <c r="AJ86" t="s">
        <v>394</v>
      </c>
      <c r="AP86">
        <v>0</v>
      </c>
      <c r="AQ86">
        <v>0</v>
      </c>
    </row>
    <row r="87" spans="1:48" x14ac:dyDescent="0.25">
      <c r="A87" s="2" t="s">
        <v>94</v>
      </c>
      <c r="B87">
        <v>3</v>
      </c>
      <c r="C87" t="s">
        <v>9</v>
      </c>
      <c r="D87" s="4">
        <v>1</v>
      </c>
      <c r="E87" t="s">
        <v>5</v>
      </c>
      <c r="F87">
        <v>1</v>
      </c>
      <c r="G87" t="s">
        <v>6</v>
      </c>
      <c r="H87">
        <v>1</v>
      </c>
      <c r="I87" t="s">
        <v>7</v>
      </c>
      <c r="J87">
        <v>0</v>
      </c>
      <c r="K87" t="s">
        <v>7</v>
      </c>
      <c r="L87">
        <v>0</v>
      </c>
      <c r="M87" t="s">
        <v>7</v>
      </c>
      <c r="N87">
        <v>0</v>
      </c>
      <c r="O87">
        <v>1</v>
      </c>
      <c r="P87">
        <v>3</v>
      </c>
      <c r="Q87">
        <v>2</v>
      </c>
      <c r="R87">
        <v>0</v>
      </c>
      <c r="S87">
        <v>0</v>
      </c>
      <c r="T87">
        <v>7.21</v>
      </c>
      <c r="U87">
        <v>0.83</v>
      </c>
      <c r="V87">
        <v>560</v>
      </c>
      <c r="W87">
        <v>19.899999999999999</v>
      </c>
      <c r="X87" t="s">
        <v>2</v>
      </c>
      <c r="Y87">
        <v>6</v>
      </c>
      <c r="Z87">
        <v>0</v>
      </c>
      <c r="AA87" t="s">
        <v>254</v>
      </c>
      <c r="AB87" t="s">
        <v>259</v>
      </c>
      <c r="AC87" t="s">
        <v>269</v>
      </c>
      <c r="AD87" s="5">
        <v>2</v>
      </c>
      <c r="AE87" t="s">
        <v>371</v>
      </c>
      <c r="AF87">
        <f>((87+86+93+95+93)/5)*1.04</f>
        <v>94.432000000000002</v>
      </c>
      <c r="AG87" t="s">
        <v>367</v>
      </c>
      <c r="AH87">
        <v>0</v>
      </c>
      <c r="AI87">
        <v>0</v>
      </c>
      <c r="AJ87" t="s">
        <v>394</v>
      </c>
      <c r="AK87">
        <v>0</v>
      </c>
      <c r="AP87">
        <v>0</v>
      </c>
      <c r="AQ87">
        <v>0</v>
      </c>
    </row>
    <row r="88" spans="1:48" x14ac:dyDescent="0.25">
      <c r="A88" s="2" t="s">
        <v>95</v>
      </c>
      <c r="B88">
        <v>3</v>
      </c>
      <c r="C88" t="s">
        <v>9</v>
      </c>
      <c r="D88" s="4">
        <v>1</v>
      </c>
      <c r="E88" t="s">
        <v>5</v>
      </c>
      <c r="F88">
        <v>1</v>
      </c>
      <c r="G88" t="s">
        <v>6</v>
      </c>
      <c r="H88">
        <v>1</v>
      </c>
      <c r="I88" t="s">
        <v>7</v>
      </c>
      <c r="J88">
        <v>0</v>
      </c>
      <c r="K88" t="s">
        <v>7</v>
      </c>
      <c r="L88">
        <v>0</v>
      </c>
      <c r="M88" t="s">
        <v>7</v>
      </c>
      <c r="N88">
        <v>0</v>
      </c>
      <c r="O88">
        <v>1</v>
      </c>
      <c r="P88">
        <v>3</v>
      </c>
      <c r="Q88">
        <v>3</v>
      </c>
      <c r="R88">
        <v>0</v>
      </c>
      <c r="S88">
        <v>0</v>
      </c>
      <c r="T88">
        <v>8.27</v>
      </c>
      <c r="U88">
        <v>1.07</v>
      </c>
      <c r="V88">
        <v>713</v>
      </c>
      <c r="W88">
        <v>21.7</v>
      </c>
      <c r="X88" t="s">
        <v>2</v>
      </c>
      <c r="Y88">
        <v>28</v>
      </c>
      <c r="Z88">
        <v>0</v>
      </c>
      <c r="AA88" t="s">
        <v>2</v>
      </c>
      <c r="AB88" t="s">
        <v>259</v>
      </c>
      <c r="AC88" t="s">
        <v>269</v>
      </c>
      <c r="AD88" s="5">
        <v>2</v>
      </c>
      <c r="AE88" t="s">
        <v>373</v>
      </c>
      <c r="AF88">
        <f>((11+19+23+6+16)/5)*1.04</f>
        <v>15.600000000000001</v>
      </c>
      <c r="AG88" t="s">
        <v>367</v>
      </c>
      <c r="AH88">
        <v>1</v>
      </c>
      <c r="AI88">
        <v>0</v>
      </c>
      <c r="AJ88" t="s">
        <v>395</v>
      </c>
      <c r="AK88">
        <v>0</v>
      </c>
      <c r="AP88">
        <v>1</v>
      </c>
      <c r="AQ88">
        <v>0</v>
      </c>
      <c r="AS88" t="s">
        <v>412</v>
      </c>
      <c r="AT88">
        <v>0</v>
      </c>
    </row>
    <row r="89" spans="1:48" x14ac:dyDescent="0.25">
      <c r="A89" s="2" t="s">
        <v>96</v>
      </c>
      <c r="B89">
        <v>3</v>
      </c>
      <c r="C89" t="s">
        <v>5</v>
      </c>
      <c r="D89" s="4">
        <v>1</v>
      </c>
      <c r="E89" t="s">
        <v>6</v>
      </c>
      <c r="F89">
        <v>1</v>
      </c>
      <c r="G89" t="s">
        <v>9</v>
      </c>
      <c r="H89">
        <v>1</v>
      </c>
      <c r="I89" t="s">
        <v>7</v>
      </c>
      <c r="J89">
        <v>0</v>
      </c>
      <c r="K89" t="s">
        <v>7</v>
      </c>
      <c r="L89">
        <v>0</v>
      </c>
      <c r="M89" t="s">
        <v>7</v>
      </c>
      <c r="N89">
        <v>0</v>
      </c>
      <c r="O89">
        <v>1</v>
      </c>
      <c r="P89">
        <v>3</v>
      </c>
      <c r="Q89">
        <v>1</v>
      </c>
      <c r="R89">
        <v>0</v>
      </c>
      <c r="S89">
        <v>0</v>
      </c>
      <c r="T89">
        <v>7.11</v>
      </c>
      <c r="U89">
        <v>1.04</v>
      </c>
      <c r="V89">
        <v>849</v>
      </c>
      <c r="W89">
        <v>24.9</v>
      </c>
      <c r="X89" t="s">
        <v>2</v>
      </c>
      <c r="Y89" t="s">
        <v>2</v>
      </c>
      <c r="Z89" t="s">
        <v>2</v>
      </c>
      <c r="AA89" t="s">
        <v>2</v>
      </c>
      <c r="AB89" t="s">
        <v>259</v>
      </c>
      <c r="AC89" t="s">
        <v>269</v>
      </c>
      <c r="AD89" s="5">
        <v>2</v>
      </c>
      <c r="AE89" t="s">
        <v>369</v>
      </c>
      <c r="AF89">
        <f>((9+16+17+16+56)/5)*1.04</f>
        <v>23.712000000000003</v>
      </c>
      <c r="AG89" t="s">
        <v>367</v>
      </c>
      <c r="AH89" t="s">
        <v>2</v>
      </c>
      <c r="AI89" t="s">
        <v>2</v>
      </c>
      <c r="AJ89" t="s">
        <v>395</v>
      </c>
      <c r="AK89">
        <v>0</v>
      </c>
      <c r="AP89">
        <v>1</v>
      </c>
      <c r="AQ89">
        <v>0</v>
      </c>
      <c r="AS89">
        <v>0</v>
      </c>
      <c r="AT89">
        <v>0</v>
      </c>
    </row>
    <row r="90" spans="1:48" x14ac:dyDescent="0.25">
      <c r="A90" s="2" t="s">
        <v>97</v>
      </c>
      <c r="B90">
        <v>3</v>
      </c>
      <c r="C90" t="s">
        <v>12</v>
      </c>
      <c r="D90" s="4">
        <v>1</v>
      </c>
      <c r="E90" t="s">
        <v>12</v>
      </c>
      <c r="F90">
        <v>1</v>
      </c>
      <c r="G90" t="s">
        <v>5</v>
      </c>
      <c r="H90">
        <v>1</v>
      </c>
      <c r="I90" t="s">
        <v>7</v>
      </c>
      <c r="J90">
        <v>0</v>
      </c>
      <c r="K90" t="s">
        <v>7</v>
      </c>
      <c r="L90">
        <v>0</v>
      </c>
      <c r="M90" t="s">
        <v>7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7.7</v>
      </c>
      <c r="U90">
        <v>1.2</v>
      </c>
      <c r="V90">
        <v>490</v>
      </c>
      <c r="W90">
        <v>27</v>
      </c>
      <c r="X90" t="s">
        <v>2</v>
      </c>
      <c r="Y90">
        <v>6</v>
      </c>
      <c r="Z90">
        <v>0</v>
      </c>
      <c r="AA90" t="s">
        <v>2</v>
      </c>
      <c r="AB90" t="s">
        <v>259</v>
      </c>
      <c r="AC90" t="s">
        <v>271</v>
      </c>
      <c r="AD90" s="5">
        <v>2</v>
      </c>
      <c r="AE90" t="s">
        <v>373</v>
      </c>
      <c r="AF90">
        <f>((0+0+17+0+23)/5)*1.04</f>
        <v>8.32</v>
      </c>
      <c r="AG90" t="s">
        <v>377</v>
      </c>
      <c r="AH90">
        <v>0</v>
      </c>
      <c r="AI90" t="s">
        <v>2</v>
      </c>
      <c r="AJ90" t="s">
        <v>395</v>
      </c>
      <c r="AK90">
        <v>0</v>
      </c>
      <c r="AP90">
        <v>1</v>
      </c>
      <c r="AQ90">
        <v>0</v>
      </c>
      <c r="AS90" t="s">
        <v>412</v>
      </c>
      <c r="AT90">
        <v>0</v>
      </c>
    </row>
    <row r="91" spans="1:48" x14ac:dyDescent="0.25">
      <c r="A91" s="2" t="s">
        <v>98</v>
      </c>
      <c r="B91">
        <v>3</v>
      </c>
      <c r="C91" t="s">
        <v>12</v>
      </c>
      <c r="D91" s="4">
        <v>1</v>
      </c>
      <c r="E91" t="s">
        <v>6</v>
      </c>
      <c r="F91">
        <v>1</v>
      </c>
      <c r="G91" t="s">
        <v>9</v>
      </c>
      <c r="H91">
        <v>1</v>
      </c>
      <c r="I91" t="s">
        <v>7</v>
      </c>
      <c r="J91">
        <v>0</v>
      </c>
      <c r="K91" t="s">
        <v>7</v>
      </c>
      <c r="L91">
        <v>0</v>
      </c>
      <c r="M91" t="s">
        <v>7</v>
      </c>
      <c r="N91">
        <v>0</v>
      </c>
      <c r="O91">
        <v>1</v>
      </c>
      <c r="P91">
        <v>2</v>
      </c>
      <c r="Q91">
        <v>0</v>
      </c>
      <c r="R91">
        <v>0</v>
      </c>
      <c r="S91">
        <v>0</v>
      </c>
      <c r="T91">
        <v>8.1300000000000008</v>
      </c>
      <c r="U91">
        <v>2.94</v>
      </c>
      <c r="V91">
        <v>785</v>
      </c>
      <c r="W91">
        <v>29.9</v>
      </c>
      <c r="X91" t="s">
        <v>2</v>
      </c>
      <c r="Y91">
        <v>8</v>
      </c>
      <c r="Z91">
        <v>0</v>
      </c>
      <c r="AA91" t="s">
        <v>255</v>
      </c>
      <c r="AB91" t="s">
        <v>259</v>
      </c>
      <c r="AC91" t="s">
        <v>271</v>
      </c>
      <c r="AD91" s="5">
        <v>2</v>
      </c>
      <c r="AE91" t="s">
        <v>369</v>
      </c>
      <c r="AF91">
        <f>((16+11+63+64+72)/5)*1.04</f>
        <v>47.008000000000003</v>
      </c>
      <c r="AG91" t="s">
        <v>370</v>
      </c>
      <c r="AH91">
        <v>1</v>
      </c>
      <c r="AI91">
        <v>1</v>
      </c>
      <c r="AJ91" t="s">
        <v>395</v>
      </c>
      <c r="AK91">
        <v>0</v>
      </c>
      <c r="AP91">
        <v>1</v>
      </c>
      <c r="AQ91">
        <v>0</v>
      </c>
      <c r="AR91">
        <v>1</v>
      </c>
      <c r="AS91">
        <v>0</v>
      </c>
      <c r="AT91">
        <v>0</v>
      </c>
    </row>
    <row r="92" spans="1:48" x14ac:dyDescent="0.25">
      <c r="A92" s="2" t="s">
        <v>99</v>
      </c>
      <c r="B92">
        <v>3</v>
      </c>
      <c r="C92" t="s">
        <v>5</v>
      </c>
      <c r="D92" s="4">
        <v>1</v>
      </c>
      <c r="E92" t="s">
        <v>9</v>
      </c>
      <c r="F92">
        <v>1</v>
      </c>
      <c r="G92" t="s">
        <v>5</v>
      </c>
      <c r="H92">
        <v>1</v>
      </c>
      <c r="I92" t="s">
        <v>7</v>
      </c>
      <c r="J92">
        <v>0</v>
      </c>
      <c r="K92" t="s">
        <v>7</v>
      </c>
      <c r="L92">
        <v>0</v>
      </c>
      <c r="M92" t="s">
        <v>7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7.12</v>
      </c>
      <c r="U92">
        <v>1.2</v>
      </c>
      <c r="V92">
        <v>504</v>
      </c>
      <c r="W92">
        <v>27.3</v>
      </c>
      <c r="X92" t="s">
        <v>2</v>
      </c>
      <c r="Y92">
        <v>15</v>
      </c>
      <c r="Z92">
        <v>20</v>
      </c>
      <c r="AA92" t="s">
        <v>2</v>
      </c>
      <c r="AB92" t="s">
        <v>259</v>
      </c>
      <c r="AC92" t="s">
        <v>272</v>
      </c>
      <c r="AD92" s="5">
        <v>2</v>
      </c>
      <c r="AE92" t="s">
        <v>369</v>
      </c>
      <c r="AF92">
        <f>((1+0+0+0+0)/5)*1.04</f>
        <v>0.20800000000000002</v>
      </c>
      <c r="AG92" t="s">
        <v>367</v>
      </c>
      <c r="AH92">
        <v>1</v>
      </c>
      <c r="AI92">
        <v>1</v>
      </c>
      <c r="AJ92" t="s">
        <v>394</v>
      </c>
      <c r="AK92">
        <v>0</v>
      </c>
      <c r="AP92">
        <v>0</v>
      </c>
      <c r="AQ92">
        <v>0</v>
      </c>
      <c r="AR92">
        <v>0</v>
      </c>
      <c r="AS92" t="s">
        <v>412</v>
      </c>
      <c r="AT92">
        <v>0</v>
      </c>
    </row>
    <row r="93" spans="1:48" x14ac:dyDescent="0.25">
      <c r="A93" s="2" t="s">
        <v>100</v>
      </c>
      <c r="B93">
        <v>3</v>
      </c>
      <c r="C93" t="s">
        <v>5</v>
      </c>
      <c r="D93" s="4">
        <v>1</v>
      </c>
      <c r="E93" t="s">
        <v>6</v>
      </c>
      <c r="F93">
        <v>1</v>
      </c>
      <c r="G93" t="s">
        <v>9</v>
      </c>
      <c r="H93">
        <v>1</v>
      </c>
      <c r="I93" t="s">
        <v>7</v>
      </c>
      <c r="J93">
        <v>0</v>
      </c>
      <c r="K93" t="s">
        <v>7</v>
      </c>
      <c r="L93">
        <v>0</v>
      </c>
      <c r="M93" t="s">
        <v>7</v>
      </c>
      <c r="N93">
        <v>0</v>
      </c>
      <c r="O93">
        <v>1</v>
      </c>
      <c r="P93">
        <v>2</v>
      </c>
      <c r="Q93">
        <v>0</v>
      </c>
      <c r="R93">
        <v>0</v>
      </c>
      <c r="S93">
        <v>0</v>
      </c>
      <c r="T93">
        <v>6.56</v>
      </c>
      <c r="U93">
        <v>1.24</v>
      </c>
      <c r="V93">
        <v>813</v>
      </c>
      <c r="W93">
        <v>29.3</v>
      </c>
      <c r="X93" t="s">
        <v>2</v>
      </c>
      <c r="Y93">
        <v>9</v>
      </c>
      <c r="Z93">
        <v>28</v>
      </c>
      <c r="AA93" t="s">
        <v>254</v>
      </c>
      <c r="AB93" t="s">
        <v>259</v>
      </c>
      <c r="AC93" t="s">
        <v>274</v>
      </c>
      <c r="AD93" s="5">
        <v>2</v>
      </c>
      <c r="AE93" t="s">
        <v>369</v>
      </c>
      <c r="AF93">
        <f>((80+71+92+78+85)/5)*1.04</f>
        <v>84.448000000000008</v>
      </c>
      <c r="AG93" t="s">
        <v>367</v>
      </c>
      <c r="AH93">
        <v>0</v>
      </c>
      <c r="AI93">
        <v>0</v>
      </c>
      <c r="AJ93" t="s">
        <v>394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s="2" t="s">
        <v>101</v>
      </c>
      <c r="B94">
        <v>3</v>
      </c>
      <c r="C94" t="s">
        <v>12</v>
      </c>
      <c r="D94" s="4">
        <v>1</v>
      </c>
      <c r="E94" t="s">
        <v>6</v>
      </c>
      <c r="F94">
        <v>1</v>
      </c>
      <c r="G94" t="s">
        <v>9</v>
      </c>
      <c r="H94">
        <v>1</v>
      </c>
      <c r="I94" t="s">
        <v>7</v>
      </c>
      <c r="J94">
        <v>0</v>
      </c>
      <c r="K94" t="s">
        <v>7</v>
      </c>
      <c r="L94">
        <v>0</v>
      </c>
      <c r="M94" t="s">
        <v>7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8.1300000000000008</v>
      </c>
      <c r="U94">
        <v>2.4900000000000002</v>
      </c>
      <c r="V94">
        <v>848</v>
      </c>
      <c r="W94">
        <v>34.1</v>
      </c>
      <c r="X94" t="s">
        <v>2</v>
      </c>
      <c r="Y94">
        <v>9</v>
      </c>
      <c r="Z94">
        <v>5</v>
      </c>
      <c r="AA94">
        <v>20</v>
      </c>
      <c r="AB94" t="s">
        <v>257</v>
      </c>
      <c r="AC94" t="s">
        <v>274</v>
      </c>
      <c r="AD94" s="5">
        <v>2</v>
      </c>
      <c r="AE94" t="s">
        <v>373</v>
      </c>
      <c r="AF94">
        <f>((35+46+61+13+32)/5)*1.04</f>
        <v>38.896000000000001</v>
      </c>
      <c r="AG94" t="s">
        <v>367</v>
      </c>
      <c r="AH94">
        <v>1</v>
      </c>
      <c r="AI94">
        <v>0</v>
      </c>
      <c r="AJ94" t="s">
        <v>394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s="2" t="s">
        <v>102</v>
      </c>
      <c r="B95">
        <v>3</v>
      </c>
      <c r="C95" t="s">
        <v>5</v>
      </c>
      <c r="D95" s="4">
        <v>1</v>
      </c>
      <c r="E95" t="s">
        <v>12</v>
      </c>
      <c r="F95">
        <v>1</v>
      </c>
      <c r="G95" t="s">
        <v>6</v>
      </c>
      <c r="H95">
        <v>1</v>
      </c>
      <c r="I95" t="s">
        <v>7</v>
      </c>
      <c r="J95">
        <v>0</v>
      </c>
      <c r="K95" t="s">
        <v>7</v>
      </c>
      <c r="L95">
        <v>0</v>
      </c>
      <c r="M95" t="s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8.1</v>
      </c>
      <c r="U95">
        <v>0.98</v>
      </c>
      <c r="V95">
        <v>795</v>
      </c>
      <c r="W95">
        <v>31.1</v>
      </c>
      <c r="X95" t="s">
        <v>2</v>
      </c>
      <c r="Y95">
        <v>9</v>
      </c>
      <c r="Z95">
        <v>33</v>
      </c>
      <c r="AA95" t="s">
        <v>2</v>
      </c>
      <c r="AB95" t="s">
        <v>259</v>
      </c>
      <c r="AC95" t="s">
        <v>274</v>
      </c>
      <c r="AD95" s="5">
        <v>2</v>
      </c>
      <c r="AE95" t="s">
        <v>369</v>
      </c>
      <c r="AF95">
        <f>((64+28+59+68+89)/5)*1.04</f>
        <v>64.064000000000007</v>
      </c>
      <c r="AG95" t="s">
        <v>378</v>
      </c>
      <c r="AH95">
        <v>1</v>
      </c>
      <c r="AI95">
        <v>0</v>
      </c>
      <c r="AJ95" t="s">
        <v>398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s="2" t="s">
        <v>103</v>
      </c>
      <c r="B96">
        <v>2</v>
      </c>
      <c r="C96" t="s">
        <v>9</v>
      </c>
      <c r="D96" s="4">
        <v>1</v>
      </c>
      <c r="E96" t="s">
        <v>9</v>
      </c>
      <c r="F96">
        <v>1</v>
      </c>
      <c r="G96" t="s">
        <v>7</v>
      </c>
      <c r="H96">
        <v>0</v>
      </c>
      <c r="I96" t="s">
        <v>7</v>
      </c>
      <c r="J96">
        <v>0</v>
      </c>
      <c r="K96" t="s">
        <v>7</v>
      </c>
      <c r="L96">
        <v>0</v>
      </c>
      <c r="M96" t="s">
        <v>7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8.26</v>
      </c>
      <c r="U96">
        <v>0.97</v>
      </c>
      <c r="V96">
        <v>812</v>
      </c>
      <c r="W96">
        <v>29.1</v>
      </c>
      <c r="X96" t="s">
        <v>2</v>
      </c>
      <c r="Y96">
        <v>3</v>
      </c>
      <c r="Z96">
        <v>0</v>
      </c>
      <c r="AA96" t="s">
        <v>254</v>
      </c>
      <c r="AB96" t="s">
        <v>259</v>
      </c>
      <c r="AC96" t="s">
        <v>274</v>
      </c>
      <c r="AD96" s="5">
        <v>2</v>
      </c>
      <c r="AE96" t="s">
        <v>369</v>
      </c>
      <c r="AF96">
        <f>((78+80+95+63+96)/5)*1.04</f>
        <v>85.696000000000012</v>
      </c>
      <c r="AG96" t="s">
        <v>367</v>
      </c>
      <c r="AH96">
        <v>1</v>
      </c>
      <c r="AI96">
        <v>0</v>
      </c>
      <c r="AJ96" t="s">
        <v>394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s="2" t="s">
        <v>104</v>
      </c>
      <c r="B97" s="3">
        <v>3</v>
      </c>
      <c r="C97" t="s">
        <v>5</v>
      </c>
      <c r="D97" s="4">
        <v>1</v>
      </c>
      <c r="E97" t="s">
        <v>9</v>
      </c>
      <c r="F97">
        <v>1</v>
      </c>
      <c r="G97" t="s">
        <v>9</v>
      </c>
      <c r="H97">
        <v>1</v>
      </c>
      <c r="I97" t="s">
        <v>7</v>
      </c>
      <c r="J97">
        <v>0</v>
      </c>
      <c r="K97" t="s">
        <v>7</v>
      </c>
      <c r="L97">
        <v>0</v>
      </c>
      <c r="M97" t="s">
        <v>7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7.57</v>
      </c>
      <c r="U97">
        <v>0.11</v>
      </c>
      <c r="V97">
        <v>683</v>
      </c>
      <c r="W97">
        <v>28.4</v>
      </c>
      <c r="X97" t="s">
        <v>2</v>
      </c>
      <c r="Y97">
        <v>10</v>
      </c>
      <c r="Z97">
        <v>45</v>
      </c>
      <c r="AA97" t="s">
        <v>2</v>
      </c>
      <c r="AB97" t="s">
        <v>259</v>
      </c>
      <c r="AC97" t="s">
        <v>273</v>
      </c>
      <c r="AD97" s="5">
        <v>2</v>
      </c>
      <c r="AE97" t="s">
        <v>369</v>
      </c>
      <c r="AF97">
        <f>((12+66+60+60+72)/5)*1.04</f>
        <v>56.160000000000004</v>
      </c>
      <c r="AG97" t="s">
        <v>367</v>
      </c>
      <c r="AH97">
        <v>0</v>
      </c>
      <c r="AI97">
        <v>1</v>
      </c>
      <c r="AJ97" t="s">
        <v>395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s="2" t="s">
        <v>105</v>
      </c>
      <c r="B98">
        <v>2</v>
      </c>
      <c r="C98" t="s">
        <v>6</v>
      </c>
      <c r="D98" s="4">
        <v>1</v>
      </c>
      <c r="E98" t="s">
        <v>9</v>
      </c>
      <c r="F98">
        <v>1</v>
      </c>
      <c r="G98" t="s">
        <v>7</v>
      </c>
      <c r="H98">
        <v>0</v>
      </c>
      <c r="I98" t="s">
        <v>7</v>
      </c>
      <c r="J98">
        <v>0</v>
      </c>
      <c r="K98" t="s">
        <v>7</v>
      </c>
      <c r="L98">
        <v>0</v>
      </c>
      <c r="M98" t="s">
        <v>7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7.86</v>
      </c>
      <c r="U98">
        <v>0.79</v>
      </c>
      <c r="V98">
        <v>739</v>
      </c>
      <c r="W98">
        <v>32</v>
      </c>
      <c r="X98" t="s">
        <v>2</v>
      </c>
      <c r="Y98">
        <v>5</v>
      </c>
      <c r="Z98">
        <v>3</v>
      </c>
      <c r="AA98" t="s">
        <v>2</v>
      </c>
      <c r="AB98" t="s">
        <v>259</v>
      </c>
      <c r="AC98" t="s">
        <v>273</v>
      </c>
      <c r="AD98" s="5">
        <v>2</v>
      </c>
      <c r="AE98" t="s">
        <v>369</v>
      </c>
      <c r="AF98">
        <f>((96+96+96+96+96)/5)*1.04</f>
        <v>99.84</v>
      </c>
      <c r="AG98" t="s">
        <v>367</v>
      </c>
      <c r="AH98" t="s">
        <v>2</v>
      </c>
      <c r="AI98">
        <v>0</v>
      </c>
      <c r="AJ98" t="s">
        <v>394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s="2" t="s">
        <v>106</v>
      </c>
      <c r="B99" s="3">
        <v>3</v>
      </c>
      <c r="C99" t="s">
        <v>5</v>
      </c>
      <c r="D99" s="4">
        <v>1</v>
      </c>
      <c r="E99" t="s">
        <v>12</v>
      </c>
      <c r="F99">
        <v>1</v>
      </c>
      <c r="G99" t="s">
        <v>12</v>
      </c>
      <c r="H99">
        <v>1</v>
      </c>
      <c r="I99" t="s">
        <v>7</v>
      </c>
      <c r="J99">
        <v>0</v>
      </c>
      <c r="K99" t="s">
        <v>7</v>
      </c>
      <c r="L99">
        <v>0</v>
      </c>
      <c r="M99" t="s">
        <v>7</v>
      </c>
      <c r="N99">
        <v>0</v>
      </c>
      <c r="O99">
        <v>1</v>
      </c>
      <c r="P99">
        <v>2</v>
      </c>
      <c r="Q99">
        <v>0</v>
      </c>
      <c r="R99">
        <v>0</v>
      </c>
      <c r="S99">
        <v>0</v>
      </c>
      <c r="T99">
        <v>8.69</v>
      </c>
      <c r="U99">
        <v>1.06</v>
      </c>
      <c r="V99">
        <v>477</v>
      </c>
      <c r="W99">
        <v>26.5</v>
      </c>
      <c r="X99" t="s">
        <v>2</v>
      </c>
      <c r="Y99">
        <v>9</v>
      </c>
      <c r="Z99">
        <v>0</v>
      </c>
      <c r="AA99" t="s">
        <v>254</v>
      </c>
      <c r="AB99" t="s">
        <v>259</v>
      </c>
      <c r="AC99" t="s">
        <v>278</v>
      </c>
      <c r="AD99" s="5">
        <v>2</v>
      </c>
      <c r="AE99" t="s">
        <v>369</v>
      </c>
      <c r="AF99">
        <f>((86+68+0+0+0)/5)*1.04</f>
        <v>32.032000000000004</v>
      </c>
      <c r="AG99" t="s">
        <v>379</v>
      </c>
      <c r="AH99" t="s">
        <v>2</v>
      </c>
      <c r="AI99">
        <v>0</v>
      </c>
      <c r="AJ99" t="s">
        <v>394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s="2" t="s">
        <v>107</v>
      </c>
      <c r="B100">
        <v>1</v>
      </c>
      <c r="C100" t="s">
        <v>12</v>
      </c>
      <c r="D100" s="4">
        <v>1</v>
      </c>
      <c r="E100" t="s">
        <v>7</v>
      </c>
      <c r="F100">
        <v>0</v>
      </c>
      <c r="G100" t="s">
        <v>9</v>
      </c>
      <c r="H100">
        <v>1</v>
      </c>
      <c r="I100" t="s">
        <v>7</v>
      </c>
      <c r="J100">
        <v>0</v>
      </c>
      <c r="K100" t="s">
        <v>7</v>
      </c>
      <c r="L100">
        <v>0</v>
      </c>
      <c r="M100" t="s">
        <v>7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8.0500000000000007</v>
      </c>
      <c r="U100">
        <v>0.67</v>
      </c>
      <c r="V100">
        <v>474</v>
      </c>
      <c r="W100">
        <v>29.9</v>
      </c>
      <c r="X100" t="s">
        <v>2</v>
      </c>
      <c r="Y100">
        <v>11</v>
      </c>
      <c r="Z100">
        <v>11</v>
      </c>
      <c r="AA100" t="s">
        <v>254</v>
      </c>
      <c r="AB100" t="s">
        <v>259</v>
      </c>
      <c r="AC100" t="s">
        <v>279</v>
      </c>
      <c r="AD100" s="5">
        <v>2</v>
      </c>
      <c r="AE100" t="s">
        <v>373</v>
      </c>
      <c r="AF100">
        <f>((4+1+13+1+7)/5)*1.04</f>
        <v>5.4080000000000004</v>
      </c>
      <c r="AG100" t="s">
        <v>367</v>
      </c>
      <c r="AH100" t="s">
        <v>2</v>
      </c>
      <c r="AI100">
        <v>1</v>
      </c>
      <c r="AJ100" t="s">
        <v>394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s="2" t="s">
        <v>108</v>
      </c>
      <c r="B101" s="3">
        <v>3</v>
      </c>
      <c r="C101" t="s">
        <v>12</v>
      </c>
      <c r="D101" s="4">
        <v>1</v>
      </c>
      <c r="E101" t="s">
        <v>6</v>
      </c>
      <c r="F101">
        <v>1</v>
      </c>
      <c r="G101" t="s">
        <v>12</v>
      </c>
      <c r="H101">
        <v>1</v>
      </c>
      <c r="I101" t="s">
        <v>7</v>
      </c>
      <c r="J101">
        <v>0</v>
      </c>
      <c r="K101" t="s">
        <v>7</v>
      </c>
      <c r="L101">
        <v>0</v>
      </c>
      <c r="M101" t="s">
        <v>7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6.56</v>
      </c>
      <c r="U101">
        <v>0.65</v>
      </c>
      <c r="V101">
        <v>531</v>
      </c>
      <c r="W101">
        <v>17.399999999999999</v>
      </c>
      <c r="X101" t="s">
        <v>2</v>
      </c>
      <c r="Y101">
        <v>12</v>
      </c>
      <c r="Z101">
        <v>8</v>
      </c>
      <c r="AA101" t="s">
        <v>254</v>
      </c>
      <c r="AB101" t="s">
        <v>259</v>
      </c>
      <c r="AC101" t="s">
        <v>278</v>
      </c>
      <c r="AD101" s="5">
        <v>2</v>
      </c>
      <c r="AE101" t="s">
        <v>369</v>
      </c>
      <c r="AF101">
        <f>((1+0+0+4+0)/5)*1.04</f>
        <v>1.04</v>
      </c>
      <c r="AG101" t="s">
        <v>367</v>
      </c>
      <c r="AH101" t="s">
        <v>2</v>
      </c>
      <c r="AI101">
        <v>1</v>
      </c>
      <c r="AJ101" t="s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s="2" t="s">
        <v>109</v>
      </c>
      <c r="B102">
        <v>2</v>
      </c>
      <c r="C102" t="s">
        <v>6</v>
      </c>
      <c r="D102" s="4">
        <v>1</v>
      </c>
      <c r="E102" t="s">
        <v>5</v>
      </c>
      <c r="F102">
        <v>1</v>
      </c>
      <c r="G102" t="s">
        <v>7</v>
      </c>
      <c r="H102">
        <v>0</v>
      </c>
      <c r="I102" t="s">
        <v>7</v>
      </c>
      <c r="J102">
        <v>0</v>
      </c>
      <c r="K102" t="s">
        <v>7</v>
      </c>
      <c r="L102">
        <v>0</v>
      </c>
      <c r="M102" t="s">
        <v>7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6.31</v>
      </c>
      <c r="U102">
        <v>0.48</v>
      </c>
      <c r="V102">
        <v>813</v>
      </c>
      <c r="W102">
        <v>25.3</v>
      </c>
      <c r="X102" t="s">
        <v>2</v>
      </c>
      <c r="Y102">
        <v>11</v>
      </c>
      <c r="Z102">
        <v>39</v>
      </c>
      <c r="AA102" t="s">
        <v>254</v>
      </c>
      <c r="AB102" t="s">
        <v>259</v>
      </c>
      <c r="AC102" t="s">
        <v>278</v>
      </c>
      <c r="AD102" s="5">
        <v>2</v>
      </c>
      <c r="AE102" t="s">
        <v>369</v>
      </c>
      <c r="AF102">
        <f>((4+39+19+92+32)/5)*1.04</f>
        <v>38.688000000000002</v>
      </c>
      <c r="AG102" t="s">
        <v>367</v>
      </c>
      <c r="AH102">
        <v>0</v>
      </c>
      <c r="AI102">
        <v>0</v>
      </c>
      <c r="AJ102" t="s">
        <v>394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s="2" t="s">
        <v>110</v>
      </c>
      <c r="B103" s="3">
        <v>3</v>
      </c>
      <c r="C103" t="s">
        <v>9</v>
      </c>
      <c r="D103" s="4">
        <v>1</v>
      </c>
      <c r="E103" t="s">
        <v>9</v>
      </c>
      <c r="F103">
        <v>1</v>
      </c>
      <c r="G103" t="s">
        <v>9</v>
      </c>
      <c r="H103">
        <v>1</v>
      </c>
      <c r="I103" t="s">
        <v>7</v>
      </c>
      <c r="J103">
        <v>0</v>
      </c>
      <c r="K103" t="s">
        <v>7</v>
      </c>
      <c r="L103">
        <v>0</v>
      </c>
      <c r="M103" t="s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8.49</v>
      </c>
      <c r="U103">
        <v>0.46</v>
      </c>
      <c r="V103">
        <v>490</v>
      </c>
      <c r="W103">
        <v>27.2</v>
      </c>
      <c r="X103" t="s">
        <v>2</v>
      </c>
      <c r="Y103">
        <v>5</v>
      </c>
      <c r="Z103">
        <v>0</v>
      </c>
      <c r="AA103" t="s">
        <v>254</v>
      </c>
      <c r="AB103" t="s">
        <v>259</v>
      </c>
      <c r="AC103" t="s">
        <v>278</v>
      </c>
      <c r="AD103" s="5">
        <v>2</v>
      </c>
      <c r="AE103" t="s">
        <v>369</v>
      </c>
      <c r="AF103">
        <f>((1+0+34+1+17)/5)*1.04</f>
        <v>11.023999999999999</v>
      </c>
      <c r="AG103" t="s">
        <v>380</v>
      </c>
      <c r="AH103">
        <v>1</v>
      </c>
      <c r="AI103">
        <v>0</v>
      </c>
      <c r="AJ103" t="s">
        <v>395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s="2" t="s">
        <v>111</v>
      </c>
      <c r="B104" s="3">
        <v>3</v>
      </c>
      <c r="C104" t="s">
        <v>6</v>
      </c>
      <c r="D104" s="4">
        <v>1</v>
      </c>
      <c r="E104" t="s">
        <v>6</v>
      </c>
      <c r="F104">
        <v>1</v>
      </c>
      <c r="G104" t="s">
        <v>6</v>
      </c>
      <c r="H104">
        <v>1</v>
      </c>
      <c r="I104" t="s">
        <v>7</v>
      </c>
      <c r="J104">
        <v>0</v>
      </c>
      <c r="K104" t="s">
        <v>7</v>
      </c>
      <c r="L104">
        <v>0</v>
      </c>
      <c r="M104" t="s">
        <v>7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8.11</v>
      </c>
      <c r="U104">
        <v>0.45</v>
      </c>
      <c r="V104">
        <v>494</v>
      </c>
      <c r="W104">
        <v>28.5</v>
      </c>
      <c r="X104" t="s">
        <v>2</v>
      </c>
      <c r="Y104">
        <v>10</v>
      </c>
      <c r="Z104">
        <v>3</v>
      </c>
      <c r="AA104" t="s">
        <v>254</v>
      </c>
      <c r="AB104" t="s">
        <v>259</v>
      </c>
      <c r="AC104" t="s">
        <v>278</v>
      </c>
      <c r="AD104" s="5">
        <v>2</v>
      </c>
      <c r="AE104" t="s">
        <v>369</v>
      </c>
      <c r="AF104">
        <f>((64+24+67+31+22)/5)*1.04</f>
        <v>43.264000000000003</v>
      </c>
      <c r="AG104" t="s">
        <v>367</v>
      </c>
      <c r="AH104">
        <v>1</v>
      </c>
      <c r="AI104">
        <v>1</v>
      </c>
      <c r="AJ104" t="s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s="2" t="s">
        <v>112</v>
      </c>
      <c r="B105" s="3">
        <v>3</v>
      </c>
      <c r="C105" t="s">
        <v>6</v>
      </c>
      <c r="D105" s="4">
        <v>1</v>
      </c>
      <c r="E105" t="s">
        <v>6</v>
      </c>
      <c r="F105">
        <v>1</v>
      </c>
      <c r="G105" t="s">
        <v>6</v>
      </c>
      <c r="H105">
        <v>1</v>
      </c>
      <c r="I105" t="s">
        <v>7</v>
      </c>
      <c r="J105">
        <v>0</v>
      </c>
      <c r="K105" t="s">
        <v>7</v>
      </c>
      <c r="L105">
        <v>0</v>
      </c>
      <c r="M105" t="s">
        <v>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9.27</v>
      </c>
      <c r="U105">
        <v>0.43</v>
      </c>
      <c r="V105">
        <v>457</v>
      </c>
      <c r="W105">
        <v>30.5</v>
      </c>
      <c r="X105" t="s">
        <v>2</v>
      </c>
      <c r="Y105">
        <v>9</v>
      </c>
      <c r="Z105">
        <v>0</v>
      </c>
      <c r="AA105" t="s">
        <v>254</v>
      </c>
      <c r="AB105" t="s">
        <v>259</v>
      </c>
      <c r="AC105" t="s">
        <v>278</v>
      </c>
      <c r="AD105" s="5">
        <v>2</v>
      </c>
      <c r="AE105" t="s">
        <v>369</v>
      </c>
      <c r="AF105">
        <f>((94+81+96+94+93)/5)*1.04</f>
        <v>95.263999999999996</v>
      </c>
      <c r="AG105" t="s">
        <v>367</v>
      </c>
      <c r="AH105" t="s">
        <v>2</v>
      </c>
      <c r="AI105">
        <v>1</v>
      </c>
      <c r="AJ105" t="s">
        <v>394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s="2" t="s">
        <v>113</v>
      </c>
      <c r="B106" s="3">
        <v>2</v>
      </c>
      <c r="C106" t="s">
        <v>6</v>
      </c>
      <c r="D106" s="4">
        <v>1</v>
      </c>
      <c r="E106" t="s">
        <v>7</v>
      </c>
      <c r="F106">
        <v>0</v>
      </c>
      <c r="G106" t="s">
        <v>12</v>
      </c>
      <c r="H106">
        <v>1</v>
      </c>
      <c r="I106" t="s">
        <v>7</v>
      </c>
      <c r="J106">
        <v>0</v>
      </c>
      <c r="K106" t="s">
        <v>7</v>
      </c>
      <c r="L106">
        <v>0</v>
      </c>
      <c r="M106" t="s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7.45</v>
      </c>
      <c r="U106">
        <v>1.9</v>
      </c>
      <c r="V106">
        <v>2.13</v>
      </c>
      <c r="W106">
        <v>23.3</v>
      </c>
      <c r="X106" t="s">
        <v>2</v>
      </c>
      <c r="Y106">
        <v>1</v>
      </c>
      <c r="Z106">
        <v>3</v>
      </c>
      <c r="AA106">
        <v>21</v>
      </c>
      <c r="AB106" t="s">
        <v>259</v>
      </c>
      <c r="AC106" t="s">
        <v>296</v>
      </c>
      <c r="AD106" s="5">
        <v>2</v>
      </c>
      <c r="AE106" t="s">
        <v>369</v>
      </c>
      <c r="AF106">
        <f>((0+10+8+1+0)/5)*1.04</f>
        <v>3.952</v>
      </c>
      <c r="AG106" t="s">
        <v>367</v>
      </c>
      <c r="AH106">
        <v>0</v>
      </c>
      <c r="AI106">
        <v>0</v>
      </c>
      <c r="AJ106" t="s">
        <v>394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s="2" t="s">
        <v>114</v>
      </c>
      <c r="B107" s="3">
        <v>2</v>
      </c>
      <c r="C107" t="s">
        <v>12</v>
      </c>
      <c r="D107" s="4">
        <v>1</v>
      </c>
      <c r="E107" t="s">
        <v>7</v>
      </c>
      <c r="F107">
        <v>0</v>
      </c>
      <c r="G107" t="s">
        <v>12</v>
      </c>
      <c r="H107">
        <v>1</v>
      </c>
      <c r="I107" t="s">
        <v>7</v>
      </c>
      <c r="J107">
        <v>0</v>
      </c>
      <c r="K107" t="s">
        <v>7</v>
      </c>
      <c r="L107">
        <v>0</v>
      </c>
      <c r="M107" t="s">
        <v>7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7.72</v>
      </c>
      <c r="U107">
        <v>1.89</v>
      </c>
      <c r="V107">
        <v>6.7</v>
      </c>
      <c r="W107">
        <v>23.9</v>
      </c>
      <c r="X107" t="s">
        <v>2</v>
      </c>
      <c r="Y107">
        <v>15</v>
      </c>
      <c r="Z107">
        <v>6</v>
      </c>
      <c r="AA107">
        <v>24</v>
      </c>
      <c r="AB107" t="s">
        <v>259</v>
      </c>
      <c r="AC107" t="s">
        <v>296</v>
      </c>
      <c r="AD107" s="5">
        <v>2</v>
      </c>
      <c r="AE107" t="s">
        <v>369</v>
      </c>
      <c r="AF107">
        <f>((0+0+0+1+2)/5)*1.04</f>
        <v>0.624</v>
      </c>
      <c r="AG107" t="s">
        <v>378</v>
      </c>
      <c r="AH107">
        <v>0</v>
      </c>
      <c r="AI107">
        <v>1</v>
      </c>
      <c r="AJ107" t="s">
        <v>394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s="2" t="s">
        <v>115</v>
      </c>
      <c r="B108" s="3">
        <v>2</v>
      </c>
      <c r="C108" t="s">
        <v>12</v>
      </c>
      <c r="D108" s="4">
        <v>1</v>
      </c>
      <c r="E108" t="s">
        <v>7</v>
      </c>
      <c r="F108">
        <v>0</v>
      </c>
      <c r="G108" t="s">
        <v>9</v>
      </c>
      <c r="H108">
        <v>1</v>
      </c>
      <c r="I108" t="s">
        <v>7</v>
      </c>
      <c r="J108">
        <v>0</v>
      </c>
      <c r="K108" t="s">
        <v>7</v>
      </c>
      <c r="L108">
        <v>0</v>
      </c>
      <c r="M108" t="s">
        <v>7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7.16</v>
      </c>
      <c r="U108">
        <v>1.7</v>
      </c>
      <c r="V108">
        <v>1058</v>
      </c>
      <c r="W108">
        <v>24.3</v>
      </c>
      <c r="X108" t="s">
        <v>2</v>
      </c>
      <c r="Y108">
        <v>18</v>
      </c>
      <c r="Z108">
        <v>2</v>
      </c>
      <c r="AA108">
        <v>12</v>
      </c>
      <c r="AB108" t="s">
        <v>259</v>
      </c>
      <c r="AC108" t="s">
        <v>296</v>
      </c>
      <c r="AD108" s="5">
        <v>2</v>
      </c>
      <c r="AE108" t="s">
        <v>369</v>
      </c>
      <c r="AF108">
        <f>((3+9+50+49+22)/5)*1.04</f>
        <v>27.664000000000001</v>
      </c>
      <c r="AG108" t="s">
        <v>367</v>
      </c>
      <c r="AH108">
        <v>0</v>
      </c>
      <c r="AI108">
        <v>0</v>
      </c>
      <c r="AJ108" t="s">
        <v>394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s="2" t="s">
        <v>116</v>
      </c>
      <c r="B109" s="3">
        <v>2</v>
      </c>
      <c r="C109" t="s">
        <v>6</v>
      </c>
      <c r="D109" s="4">
        <v>1</v>
      </c>
      <c r="E109" t="s">
        <v>7</v>
      </c>
      <c r="F109">
        <v>0</v>
      </c>
      <c r="G109" t="s">
        <v>5</v>
      </c>
      <c r="H109">
        <v>1</v>
      </c>
      <c r="I109" t="s">
        <v>7</v>
      </c>
      <c r="J109">
        <v>0</v>
      </c>
      <c r="K109" t="s">
        <v>7</v>
      </c>
      <c r="L109">
        <v>0</v>
      </c>
      <c r="M109" t="s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7.18</v>
      </c>
      <c r="U109">
        <v>1.74</v>
      </c>
      <c r="V109">
        <v>946</v>
      </c>
      <c r="W109">
        <v>27</v>
      </c>
      <c r="X109" t="s">
        <v>2</v>
      </c>
      <c r="Y109">
        <v>30</v>
      </c>
      <c r="Z109">
        <v>0</v>
      </c>
      <c r="AA109">
        <v>12</v>
      </c>
      <c r="AB109" t="s">
        <v>259</v>
      </c>
      <c r="AC109" t="s">
        <v>296</v>
      </c>
      <c r="AD109" s="5">
        <v>2</v>
      </c>
      <c r="AE109" t="s">
        <v>369</v>
      </c>
      <c r="AF109">
        <f>((12+92+17+4+5)/5)*1.04</f>
        <v>27.04</v>
      </c>
      <c r="AG109" t="s">
        <v>381</v>
      </c>
      <c r="AH109">
        <v>0</v>
      </c>
      <c r="AI109">
        <v>0</v>
      </c>
      <c r="AJ109" t="s">
        <v>394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</row>
    <row r="110" spans="1:48" x14ac:dyDescent="0.25">
      <c r="A110" s="2" t="s">
        <v>117</v>
      </c>
      <c r="B110" s="3">
        <v>2</v>
      </c>
      <c r="C110" t="s">
        <v>6</v>
      </c>
      <c r="D110" s="4">
        <v>1</v>
      </c>
      <c r="E110" t="s">
        <v>7</v>
      </c>
      <c r="F110">
        <v>0</v>
      </c>
      <c r="G110" t="s">
        <v>12</v>
      </c>
      <c r="H110">
        <v>1</v>
      </c>
      <c r="I110" t="s">
        <v>7</v>
      </c>
      <c r="J110">
        <v>0</v>
      </c>
      <c r="K110" t="s">
        <v>7</v>
      </c>
      <c r="L110">
        <v>0</v>
      </c>
      <c r="M110" t="s">
        <v>7</v>
      </c>
      <c r="N110">
        <v>0</v>
      </c>
      <c r="O110">
        <v>1</v>
      </c>
      <c r="P110">
        <v>2</v>
      </c>
      <c r="Q110">
        <v>0</v>
      </c>
      <c r="R110">
        <v>0</v>
      </c>
      <c r="S110">
        <v>2</v>
      </c>
      <c r="T110">
        <v>7.68</v>
      </c>
      <c r="U110">
        <v>0.97</v>
      </c>
      <c r="V110">
        <v>903</v>
      </c>
      <c r="W110">
        <v>26</v>
      </c>
      <c r="X110" t="s">
        <v>2</v>
      </c>
      <c r="Y110">
        <v>20</v>
      </c>
      <c r="Z110">
        <v>1</v>
      </c>
      <c r="AA110">
        <v>28</v>
      </c>
      <c r="AB110" t="s">
        <v>259</v>
      </c>
      <c r="AC110" t="s">
        <v>296</v>
      </c>
      <c r="AD110" s="5">
        <v>2</v>
      </c>
      <c r="AE110" t="s">
        <v>369</v>
      </c>
      <c r="AF110">
        <f>((96+92+95+96+92)/5)*1.04</f>
        <v>97.968000000000004</v>
      </c>
      <c r="AG110" t="s">
        <v>378</v>
      </c>
      <c r="AH110">
        <v>0</v>
      </c>
      <c r="AI110">
        <v>0</v>
      </c>
      <c r="AJ110" t="s">
        <v>394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 x14ac:dyDescent="0.25">
      <c r="A111" s="2" t="s">
        <v>118</v>
      </c>
      <c r="B111" s="3">
        <v>2</v>
      </c>
      <c r="C111" t="s">
        <v>9</v>
      </c>
      <c r="D111" s="4">
        <v>1</v>
      </c>
      <c r="E111" t="s">
        <v>9</v>
      </c>
      <c r="F111">
        <v>1</v>
      </c>
      <c r="G111" t="s">
        <v>7</v>
      </c>
      <c r="H111">
        <v>0</v>
      </c>
      <c r="I111" t="s">
        <v>7</v>
      </c>
      <c r="J111">
        <v>0</v>
      </c>
      <c r="K111" t="s">
        <v>7</v>
      </c>
      <c r="L111">
        <v>0</v>
      </c>
      <c r="M111" t="s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8.1999999999999993</v>
      </c>
      <c r="U111" t="s">
        <v>2</v>
      </c>
      <c r="V111" t="s">
        <v>2</v>
      </c>
      <c r="W111" t="s">
        <v>2</v>
      </c>
      <c r="X111" t="s">
        <v>2</v>
      </c>
      <c r="Y111">
        <v>21</v>
      </c>
      <c r="Z111">
        <v>6</v>
      </c>
      <c r="AA111" t="s">
        <v>254</v>
      </c>
      <c r="AB111" t="s">
        <v>262</v>
      </c>
      <c r="AC111" t="s">
        <v>306</v>
      </c>
      <c r="AD111" s="5" t="s">
        <v>340</v>
      </c>
      <c r="AE111" t="s">
        <v>371</v>
      </c>
      <c r="AF111">
        <f>((94+92+96+96+95)/5)*1.04</f>
        <v>98.384</v>
      </c>
      <c r="AG111" t="s">
        <v>370</v>
      </c>
      <c r="AH111">
        <v>1</v>
      </c>
      <c r="AI111" t="s">
        <v>2</v>
      </c>
      <c r="AJ111" t="s">
        <v>395</v>
      </c>
      <c r="AK111">
        <v>0</v>
      </c>
      <c r="AR111">
        <v>1</v>
      </c>
    </row>
    <row r="112" spans="1:48" x14ac:dyDescent="0.25">
      <c r="A112" s="2" t="s">
        <v>119</v>
      </c>
      <c r="B112" s="3">
        <v>4</v>
      </c>
      <c r="C112" t="s">
        <v>12</v>
      </c>
      <c r="D112" s="4">
        <v>1</v>
      </c>
      <c r="E112" t="s">
        <v>5</v>
      </c>
      <c r="F112">
        <v>1</v>
      </c>
      <c r="G112" t="s">
        <v>12</v>
      </c>
      <c r="H112">
        <v>1</v>
      </c>
      <c r="I112" t="s">
        <v>7</v>
      </c>
      <c r="J112">
        <v>0</v>
      </c>
      <c r="K112" t="s">
        <v>7</v>
      </c>
      <c r="L112">
        <v>0</v>
      </c>
      <c r="N112">
        <v>1</v>
      </c>
      <c r="O112">
        <v>1</v>
      </c>
      <c r="P112">
        <v>4</v>
      </c>
      <c r="Q112">
        <v>0</v>
      </c>
      <c r="R112">
        <v>0</v>
      </c>
      <c r="S112">
        <v>0</v>
      </c>
      <c r="T112">
        <v>5.83</v>
      </c>
      <c r="U112" t="s">
        <v>2</v>
      </c>
      <c r="V112" t="s">
        <v>2</v>
      </c>
      <c r="W112" t="s">
        <v>2</v>
      </c>
      <c r="X112" t="s">
        <v>2</v>
      </c>
      <c r="Y112">
        <v>14</v>
      </c>
      <c r="Z112">
        <v>3</v>
      </c>
      <c r="AB112" t="s">
        <v>257</v>
      </c>
      <c r="AC112" t="s">
        <v>307</v>
      </c>
      <c r="AD112" s="5" t="s">
        <v>340</v>
      </c>
      <c r="AE112" t="s">
        <v>373</v>
      </c>
      <c r="AF112">
        <f>((0)/5)*1.04</f>
        <v>0</v>
      </c>
      <c r="AG112" t="s">
        <v>367</v>
      </c>
      <c r="AH112">
        <v>0</v>
      </c>
      <c r="AI112">
        <v>0</v>
      </c>
      <c r="AJ112" t="s">
        <v>394</v>
      </c>
      <c r="AK112">
        <v>1</v>
      </c>
    </row>
    <row r="113" spans="1:44" x14ac:dyDescent="0.25">
      <c r="A113" s="2" t="s">
        <v>120</v>
      </c>
      <c r="B113" s="3">
        <v>1</v>
      </c>
      <c r="C113" t="s">
        <v>5</v>
      </c>
      <c r="D113" s="4">
        <v>1</v>
      </c>
      <c r="E113" t="s">
        <v>7</v>
      </c>
      <c r="F113">
        <v>0</v>
      </c>
      <c r="G113" t="s">
        <v>7</v>
      </c>
      <c r="H113">
        <v>0</v>
      </c>
      <c r="I113" t="s">
        <v>7</v>
      </c>
      <c r="J113">
        <v>0</v>
      </c>
      <c r="K113" t="s">
        <v>7</v>
      </c>
      <c r="L113">
        <v>0</v>
      </c>
      <c r="M113" t="s">
        <v>7</v>
      </c>
      <c r="N113">
        <v>0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7.09</v>
      </c>
      <c r="U113" t="s">
        <v>2</v>
      </c>
      <c r="V113" t="s">
        <v>2</v>
      </c>
      <c r="W113" t="s">
        <v>2</v>
      </c>
      <c r="X113" t="s">
        <v>2</v>
      </c>
      <c r="Y113">
        <v>9</v>
      </c>
      <c r="Z113">
        <v>15</v>
      </c>
      <c r="AA113" t="s">
        <v>254</v>
      </c>
      <c r="AB113" t="s">
        <v>257</v>
      </c>
      <c r="AC113" t="s">
        <v>308</v>
      </c>
      <c r="AD113" s="5" t="s">
        <v>340</v>
      </c>
      <c r="AE113" t="s">
        <v>369</v>
      </c>
      <c r="AF113">
        <f>((84+76+87+81+89)/5)*1.04</f>
        <v>86.736000000000004</v>
      </c>
      <c r="AG113" t="s">
        <v>367</v>
      </c>
      <c r="AH113">
        <v>1</v>
      </c>
      <c r="AI113">
        <v>0</v>
      </c>
      <c r="AJ113" t="s">
        <v>394</v>
      </c>
      <c r="AK113">
        <v>0</v>
      </c>
    </row>
    <row r="114" spans="1:44" x14ac:dyDescent="0.25">
      <c r="A114" s="2" t="s">
        <v>121</v>
      </c>
      <c r="B114" s="3">
        <v>1</v>
      </c>
      <c r="C114" t="s">
        <v>9</v>
      </c>
      <c r="D114" s="4">
        <v>1</v>
      </c>
      <c r="E114" t="s">
        <v>7</v>
      </c>
      <c r="F114">
        <v>0</v>
      </c>
      <c r="G114" t="s">
        <v>7</v>
      </c>
      <c r="H114">
        <v>0</v>
      </c>
      <c r="I114" t="s">
        <v>7</v>
      </c>
      <c r="J114">
        <v>0</v>
      </c>
      <c r="K114" t="s">
        <v>7</v>
      </c>
      <c r="L114">
        <v>0</v>
      </c>
      <c r="M114" t="s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6.86</v>
      </c>
      <c r="U114" t="s">
        <v>2</v>
      </c>
      <c r="V114" t="s">
        <v>2</v>
      </c>
      <c r="W114" t="s">
        <v>2</v>
      </c>
      <c r="X114" t="s">
        <v>2</v>
      </c>
      <c r="Y114">
        <v>6</v>
      </c>
      <c r="Z114">
        <v>19</v>
      </c>
      <c r="AA114" t="s">
        <v>254</v>
      </c>
      <c r="AB114" t="s">
        <v>257</v>
      </c>
      <c r="AC114" t="s">
        <v>309</v>
      </c>
      <c r="AD114" s="5" t="s">
        <v>340</v>
      </c>
      <c r="AE114" t="s">
        <v>369</v>
      </c>
      <c r="AF114">
        <f>((89+89+77+91+88)/5)*1.04</f>
        <v>90.272000000000006</v>
      </c>
      <c r="AG114" t="s">
        <v>367</v>
      </c>
      <c r="AH114">
        <v>1</v>
      </c>
      <c r="AI114">
        <v>0</v>
      </c>
      <c r="AJ114" t="s">
        <v>398</v>
      </c>
      <c r="AK114">
        <v>0</v>
      </c>
    </row>
    <row r="115" spans="1:44" x14ac:dyDescent="0.25">
      <c r="A115" s="2" t="s">
        <v>122</v>
      </c>
      <c r="B115" s="3">
        <v>1</v>
      </c>
      <c r="C115" t="s">
        <v>6</v>
      </c>
      <c r="D115" s="4">
        <v>1</v>
      </c>
      <c r="E115" t="s">
        <v>7</v>
      </c>
      <c r="F115">
        <v>0</v>
      </c>
      <c r="G115" t="s">
        <v>7</v>
      </c>
      <c r="H115">
        <v>0</v>
      </c>
      <c r="I115" t="s">
        <v>7</v>
      </c>
      <c r="J115">
        <v>0</v>
      </c>
      <c r="K115" t="s">
        <v>7</v>
      </c>
      <c r="L115">
        <v>0</v>
      </c>
      <c r="M115" t="s">
        <v>7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5.86</v>
      </c>
      <c r="U115" t="s">
        <v>2</v>
      </c>
      <c r="V115" t="s">
        <v>2</v>
      </c>
      <c r="W115" t="s">
        <v>2</v>
      </c>
      <c r="X115" t="s">
        <v>2</v>
      </c>
      <c r="Y115">
        <v>2</v>
      </c>
      <c r="Z115">
        <v>25</v>
      </c>
      <c r="AA115" t="s">
        <v>254</v>
      </c>
      <c r="AB115" t="s">
        <v>257</v>
      </c>
      <c r="AC115" t="s">
        <v>310</v>
      </c>
      <c r="AD115" s="5" t="s">
        <v>340</v>
      </c>
      <c r="AE115" t="s">
        <v>382</v>
      </c>
      <c r="AF115">
        <f>((96+94+96+95+96)/5)*1.04</f>
        <v>99.216000000000008</v>
      </c>
      <c r="AG115" t="s">
        <v>367</v>
      </c>
      <c r="AH115">
        <v>0</v>
      </c>
      <c r="AI115">
        <v>0</v>
      </c>
      <c r="AJ115" t="s">
        <v>394</v>
      </c>
      <c r="AK115">
        <v>0</v>
      </c>
    </row>
    <row r="116" spans="1:44" x14ac:dyDescent="0.25">
      <c r="A116" s="2" t="s">
        <v>123</v>
      </c>
      <c r="B116" s="3">
        <v>0</v>
      </c>
      <c r="C116" t="s">
        <v>7</v>
      </c>
      <c r="D116" s="4">
        <v>0</v>
      </c>
      <c r="E116" t="s">
        <v>7</v>
      </c>
      <c r="F116">
        <v>0</v>
      </c>
      <c r="G116" t="s">
        <v>7</v>
      </c>
      <c r="H116">
        <v>0</v>
      </c>
      <c r="I116" t="s">
        <v>7</v>
      </c>
      <c r="J116">
        <v>0</v>
      </c>
      <c r="K116" t="s">
        <v>7</v>
      </c>
      <c r="L116">
        <v>0</v>
      </c>
      <c r="M116" t="s">
        <v>7</v>
      </c>
      <c r="N116">
        <v>0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>
        <v>6.03</v>
      </c>
      <c r="U116" t="s">
        <v>2</v>
      </c>
      <c r="V116" t="s">
        <v>2</v>
      </c>
      <c r="W116" t="s">
        <v>2</v>
      </c>
      <c r="X116" t="s">
        <v>2</v>
      </c>
      <c r="Y116">
        <v>13</v>
      </c>
      <c r="Z116">
        <v>20</v>
      </c>
      <c r="AA116" t="s">
        <v>254</v>
      </c>
      <c r="AB116" t="s">
        <v>257</v>
      </c>
      <c r="AC116" t="s">
        <v>311</v>
      </c>
      <c r="AD116" s="5" t="s">
        <v>340</v>
      </c>
      <c r="AE116" t="s">
        <v>369</v>
      </c>
      <c r="AF116">
        <f>((87+86+94+84+88)/5)*1.04</f>
        <v>91.311999999999998</v>
      </c>
      <c r="AG116" t="s">
        <v>367</v>
      </c>
      <c r="AH116">
        <v>1</v>
      </c>
      <c r="AI116">
        <v>0</v>
      </c>
      <c r="AJ116" t="s">
        <v>397</v>
      </c>
      <c r="AK116">
        <v>0</v>
      </c>
    </row>
    <row r="117" spans="1:44" x14ac:dyDescent="0.25">
      <c r="A117" s="2" t="s">
        <v>124</v>
      </c>
      <c r="B117" s="3">
        <v>1</v>
      </c>
      <c r="C117" t="s">
        <v>5</v>
      </c>
      <c r="D117" s="4">
        <v>1</v>
      </c>
      <c r="E117" t="s">
        <v>7</v>
      </c>
      <c r="F117">
        <v>0</v>
      </c>
      <c r="G117" t="s">
        <v>7</v>
      </c>
      <c r="H117">
        <v>0</v>
      </c>
      <c r="I117" t="s">
        <v>7</v>
      </c>
      <c r="J117">
        <v>0</v>
      </c>
      <c r="K117" t="s">
        <v>7</v>
      </c>
      <c r="L117">
        <v>0</v>
      </c>
      <c r="M117" t="s">
        <v>7</v>
      </c>
      <c r="N117">
        <v>0</v>
      </c>
      <c r="O117">
        <v>1</v>
      </c>
      <c r="P117">
        <v>4</v>
      </c>
      <c r="Q117">
        <v>1</v>
      </c>
      <c r="R117">
        <v>0</v>
      </c>
      <c r="S117">
        <v>0</v>
      </c>
      <c r="T117">
        <v>6.09</v>
      </c>
      <c r="U117" t="s">
        <v>2</v>
      </c>
      <c r="V117" t="s">
        <v>2</v>
      </c>
      <c r="W117" t="s">
        <v>2</v>
      </c>
      <c r="X117" t="s">
        <v>2</v>
      </c>
      <c r="Y117">
        <v>10</v>
      </c>
      <c r="Z117">
        <v>13</v>
      </c>
      <c r="AA117" t="s">
        <v>254</v>
      </c>
      <c r="AB117" t="s">
        <v>257</v>
      </c>
      <c r="AC117" t="s">
        <v>312</v>
      </c>
      <c r="AD117" s="5" t="s">
        <v>340</v>
      </c>
      <c r="AE117" t="s">
        <v>369</v>
      </c>
      <c r="AF117">
        <f>((81+65+94+92+85)/5)*1.04</f>
        <v>86.736000000000004</v>
      </c>
      <c r="AG117" t="s">
        <v>367</v>
      </c>
      <c r="AH117">
        <v>1</v>
      </c>
      <c r="AI117">
        <v>0</v>
      </c>
      <c r="AJ117" t="s">
        <v>395</v>
      </c>
      <c r="AK117">
        <v>1</v>
      </c>
    </row>
    <row r="118" spans="1:44" x14ac:dyDescent="0.25">
      <c r="A118" s="2" t="s">
        <v>125</v>
      </c>
      <c r="B118" s="3">
        <v>3</v>
      </c>
      <c r="C118" t="s">
        <v>9</v>
      </c>
      <c r="D118" s="4">
        <v>1</v>
      </c>
      <c r="E118" t="s">
        <v>9</v>
      </c>
      <c r="F118">
        <v>1</v>
      </c>
      <c r="G118" t="s">
        <v>12</v>
      </c>
      <c r="H118">
        <v>1</v>
      </c>
      <c r="I118" t="s">
        <v>7</v>
      </c>
      <c r="J118">
        <v>0</v>
      </c>
      <c r="K118" t="s">
        <v>7</v>
      </c>
      <c r="L118">
        <v>0</v>
      </c>
      <c r="M118" t="s">
        <v>7</v>
      </c>
      <c r="N118">
        <v>0</v>
      </c>
      <c r="O118">
        <v>1</v>
      </c>
      <c r="P118">
        <v>4</v>
      </c>
      <c r="Q118">
        <v>0</v>
      </c>
      <c r="R118">
        <v>0</v>
      </c>
      <c r="S118">
        <v>0</v>
      </c>
      <c r="T118">
        <v>6.87</v>
      </c>
      <c r="U118" t="s">
        <v>2</v>
      </c>
      <c r="V118" t="s">
        <v>2</v>
      </c>
      <c r="W118" t="s">
        <v>2</v>
      </c>
      <c r="X118" t="s">
        <v>2</v>
      </c>
      <c r="Y118">
        <v>10</v>
      </c>
      <c r="Z118">
        <v>17</v>
      </c>
      <c r="AA118" t="s">
        <v>2</v>
      </c>
      <c r="AB118" t="s">
        <v>257</v>
      </c>
      <c r="AC118" t="s">
        <v>313</v>
      </c>
      <c r="AD118" s="5" t="s">
        <v>340</v>
      </c>
      <c r="AE118" t="s">
        <v>369</v>
      </c>
      <c r="AF118">
        <f>((89+59+94+82+81)/5)*1.04</f>
        <v>84.240000000000009</v>
      </c>
      <c r="AG118" t="s">
        <v>367</v>
      </c>
      <c r="AH118">
        <v>0</v>
      </c>
      <c r="AI118">
        <v>1</v>
      </c>
      <c r="AJ118" t="s">
        <v>395</v>
      </c>
      <c r="AK118">
        <v>0</v>
      </c>
    </row>
    <row r="119" spans="1:44" x14ac:dyDescent="0.25">
      <c r="A119" s="2" t="s">
        <v>126</v>
      </c>
      <c r="B119" s="3">
        <v>3</v>
      </c>
      <c r="C119" t="s">
        <v>9</v>
      </c>
      <c r="D119" s="4">
        <v>1</v>
      </c>
      <c r="E119" t="s">
        <v>5</v>
      </c>
      <c r="F119">
        <v>1</v>
      </c>
      <c r="G119" t="s">
        <v>12</v>
      </c>
      <c r="H119">
        <v>1</v>
      </c>
      <c r="I119" t="s">
        <v>7</v>
      </c>
      <c r="J119">
        <v>0</v>
      </c>
      <c r="K119" t="s">
        <v>7</v>
      </c>
      <c r="L119">
        <v>0</v>
      </c>
      <c r="M119" t="s">
        <v>7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6.96</v>
      </c>
      <c r="U119" t="s">
        <v>2</v>
      </c>
      <c r="V119" t="s">
        <v>2</v>
      </c>
      <c r="W119" t="s">
        <v>2</v>
      </c>
      <c r="X119" t="s">
        <v>2</v>
      </c>
      <c r="Y119">
        <v>35</v>
      </c>
      <c r="Z119">
        <v>5</v>
      </c>
      <c r="AA119" t="s">
        <v>2</v>
      </c>
      <c r="AB119" t="s">
        <v>257</v>
      </c>
      <c r="AC119" t="s">
        <v>314</v>
      </c>
      <c r="AD119" s="5" t="s">
        <v>340</v>
      </c>
      <c r="AE119" t="s">
        <v>369</v>
      </c>
      <c r="AF119">
        <f>((65+71+76+92+84)/5)*1.04</f>
        <v>80.703999999999994</v>
      </c>
      <c r="AG119" t="s">
        <v>367</v>
      </c>
      <c r="AH119">
        <v>0</v>
      </c>
      <c r="AI119">
        <v>0</v>
      </c>
      <c r="AJ119" t="s">
        <v>394</v>
      </c>
      <c r="AK119">
        <v>0</v>
      </c>
    </row>
    <row r="120" spans="1:44" x14ac:dyDescent="0.25">
      <c r="A120" s="2" t="s">
        <v>127</v>
      </c>
      <c r="B120" s="3">
        <v>2</v>
      </c>
      <c r="C120" t="s">
        <v>6</v>
      </c>
      <c r="D120" s="4">
        <v>1</v>
      </c>
      <c r="E120" t="s">
        <v>12</v>
      </c>
      <c r="F120">
        <v>1</v>
      </c>
      <c r="G120" t="s">
        <v>7</v>
      </c>
      <c r="H120">
        <v>0</v>
      </c>
      <c r="I120" t="s">
        <v>7</v>
      </c>
      <c r="J120">
        <v>0</v>
      </c>
      <c r="K120" t="s">
        <v>7</v>
      </c>
      <c r="L120">
        <v>0</v>
      </c>
      <c r="M120" t="s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8.1999999999999993</v>
      </c>
      <c r="U120" t="s">
        <v>2</v>
      </c>
      <c r="V120" t="s">
        <v>2</v>
      </c>
      <c r="W120" t="s">
        <v>2</v>
      </c>
      <c r="X120" t="s">
        <v>2</v>
      </c>
      <c r="Y120">
        <v>15</v>
      </c>
      <c r="Z120">
        <v>28</v>
      </c>
      <c r="AA120" t="s">
        <v>254</v>
      </c>
      <c r="AB120" t="s">
        <v>257</v>
      </c>
      <c r="AC120" t="s">
        <v>315</v>
      </c>
      <c r="AD120" s="5" t="s">
        <v>340</v>
      </c>
      <c r="AE120" t="s">
        <v>369</v>
      </c>
      <c r="AF120">
        <f>((60+65+70+71+67)/5)*1.04</f>
        <v>69.263999999999996</v>
      </c>
      <c r="AG120" t="s">
        <v>367</v>
      </c>
      <c r="AH120">
        <v>1</v>
      </c>
      <c r="AI120">
        <v>0</v>
      </c>
      <c r="AJ120" t="s">
        <v>395</v>
      </c>
      <c r="AK120">
        <v>0</v>
      </c>
      <c r="AO120">
        <v>1</v>
      </c>
    </row>
    <row r="121" spans="1:44" x14ac:dyDescent="0.25">
      <c r="A121" s="2" t="s">
        <v>128</v>
      </c>
      <c r="B121" s="3">
        <v>3</v>
      </c>
      <c r="C121" t="s">
        <v>6</v>
      </c>
      <c r="D121" s="4">
        <v>1</v>
      </c>
      <c r="E121" t="s">
        <v>12</v>
      </c>
      <c r="F121">
        <v>1</v>
      </c>
      <c r="G121" t="s">
        <v>7</v>
      </c>
      <c r="H121">
        <v>0</v>
      </c>
      <c r="I121" t="s">
        <v>7</v>
      </c>
      <c r="J121">
        <v>0</v>
      </c>
      <c r="K121" t="s">
        <v>7</v>
      </c>
      <c r="L121">
        <v>0</v>
      </c>
      <c r="M121" t="s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8.1999999999999993</v>
      </c>
      <c r="U121" t="s">
        <v>2</v>
      </c>
      <c r="V121" t="s">
        <v>2</v>
      </c>
      <c r="W121" t="s">
        <v>2</v>
      </c>
      <c r="X121" t="s">
        <v>2</v>
      </c>
      <c r="Y121">
        <v>15</v>
      </c>
      <c r="Z121">
        <v>28</v>
      </c>
      <c r="AA121" t="s">
        <v>254</v>
      </c>
      <c r="AB121" t="s">
        <v>257</v>
      </c>
      <c r="AC121" t="s">
        <v>316</v>
      </c>
      <c r="AD121" s="5" t="s">
        <v>340</v>
      </c>
      <c r="AE121" t="s">
        <v>369</v>
      </c>
      <c r="AF121">
        <f>((60+65+70+71+67)/5)*1.04</f>
        <v>69.263999999999996</v>
      </c>
      <c r="AG121" t="s">
        <v>367</v>
      </c>
      <c r="AH121">
        <v>1</v>
      </c>
      <c r="AI121">
        <v>0</v>
      </c>
      <c r="AJ121" t="s">
        <v>395</v>
      </c>
      <c r="AK121">
        <v>0</v>
      </c>
      <c r="AO121">
        <v>1</v>
      </c>
    </row>
    <row r="122" spans="1:44" x14ac:dyDescent="0.25">
      <c r="A122" s="2" t="s">
        <v>129</v>
      </c>
      <c r="B122" s="3">
        <v>2</v>
      </c>
      <c r="C122" t="s">
        <v>5</v>
      </c>
      <c r="D122" s="4">
        <v>1</v>
      </c>
      <c r="E122" t="s">
        <v>9</v>
      </c>
      <c r="F122">
        <v>1</v>
      </c>
      <c r="G122" t="s">
        <v>7</v>
      </c>
      <c r="H122">
        <v>0</v>
      </c>
      <c r="I122" t="s">
        <v>7</v>
      </c>
      <c r="J122">
        <v>0</v>
      </c>
      <c r="K122" t="s">
        <v>7</v>
      </c>
      <c r="L122">
        <v>0</v>
      </c>
      <c r="M122" t="s">
        <v>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6.88</v>
      </c>
      <c r="U122" t="s">
        <v>2</v>
      </c>
      <c r="V122" t="s">
        <v>2</v>
      </c>
      <c r="W122" t="s">
        <v>2</v>
      </c>
      <c r="X122" t="s">
        <v>2</v>
      </c>
      <c r="Y122">
        <v>8</v>
      </c>
      <c r="Z122">
        <v>18</v>
      </c>
      <c r="AA122" t="s">
        <v>254</v>
      </c>
      <c r="AB122" t="s">
        <v>257</v>
      </c>
      <c r="AC122" t="s">
        <v>317</v>
      </c>
      <c r="AD122" s="5" t="s">
        <v>340</v>
      </c>
      <c r="AE122" t="s">
        <v>382</v>
      </c>
      <c r="AF122">
        <f>((90+93+92+93+96)/5)*1.04</f>
        <v>96.512</v>
      </c>
      <c r="AG122" t="s">
        <v>367</v>
      </c>
      <c r="AH122">
        <v>1</v>
      </c>
      <c r="AI122">
        <v>0</v>
      </c>
      <c r="AJ122" t="s">
        <v>397</v>
      </c>
      <c r="AK122">
        <v>0</v>
      </c>
    </row>
    <row r="123" spans="1:44" x14ac:dyDescent="0.25">
      <c r="A123" s="2" t="s">
        <v>130</v>
      </c>
      <c r="B123" s="3">
        <v>2</v>
      </c>
      <c r="C123" t="s">
        <v>25</v>
      </c>
      <c r="D123" s="4">
        <v>1</v>
      </c>
      <c r="E123" t="s">
        <v>7</v>
      </c>
      <c r="F123">
        <v>0</v>
      </c>
      <c r="G123" t="s">
        <v>25</v>
      </c>
      <c r="H123">
        <v>1</v>
      </c>
      <c r="I123" t="s">
        <v>7</v>
      </c>
      <c r="J123">
        <v>0</v>
      </c>
      <c r="K123" t="s">
        <v>7</v>
      </c>
      <c r="L123">
        <v>0</v>
      </c>
      <c r="M123" t="s">
        <v>7</v>
      </c>
      <c r="N123">
        <v>0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6.91</v>
      </c>
      <c r="U123" t="s">
        <v>2</v>
      </c>
      <c r="V123" t="s">
        <v>2</v>
      </c>
      <c r="W123" t="s">
        <v>2</v>
      </c>
      <c r="X123" t="s">
        <v>2</v>
      </c>
      <c r="Y123">
        <v>4</v>
      </c>
      <c r="Z123">
        <v>13</v>
      </c>
      <c r="AA123" t="s">
        <v>254</v>
      </c>
      <c r="AB123" t="s">
        <v>260</v>
      </c>
      <c r="AC123" t="s">
        <v>318</v>
      </c>
      <c r="AD123" s="5" t="s">
        <v>340</v>
      </c>
      <c r="AE123" t="s">
        <v>382</v>
      </c>
      <c r="AF123">
        <f>((95+94+93+95+95)/5)*1.04</f>
        <v>98.176000000000016</v>
      </c>
      <c r="AG123" t="s">
        <v>367</v>
      </c>
      <c r="AH123">
        <v>1</v>
      </c>
      <c r="AI123">
        <v>0</v>
      </c>
      <c r="AJ123" t="s">
        <v>394</v>
      </c>
      <c r="AK123">
        <v>1</v>
      </c>
    </row>
    <row r="124" spans="1:44" x14ac:dyDescent="0.25">
      <c r="A124" s="2" t="s">
        <v>131</v>
      </c>
      <c r="B124" s="3">
        <v>1</v>
      </c>
      <c r="C124" t="s">
        <v>9</v>
      </c>
      <c r="D124" s="4">
        <v>1</v>
      </c>
      <c r="E124" t="s">
        <v>7</v>
      </c>
      <c r="F124">
        <v>0</v>
      </c>
      <c r="G124" t="s">
        <v>7</v>
      </c>
      <c r="H124">
        <v>0</v>
      </c>
      <c r="I124" t="s">
        <v>7</v>
      </c>
      <c r="J124">
        <v>0</v>
      </c>
      <c r="K124" t="s">
        <v>7</v>
      </c>
      <c r="L124">
        <v>0</v>
      </c>
      <c r="M124" t="s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5.89</v>
      </c>
      <c r="U124" t="s">
        <v>2</v>
      </c>
      <c r="V124" t="s">
        <v>2</v>
      </c>
      <c r="W124" t="s">
        <v>2</v>
      </c>
      <c r="X124" t="s">
        <v>2</v>
      </c>
      <c r="Y124">
        <v>13</v>
      </c>
      <c r="Z124">
        <v>13</v>
      </c>
      <c r="AA124" t="s">
        <v>254</v>
      </c>
      <c r="AB124" t="s">
        <v>260</v>
      </c>
      <c r="AC124" t="s">
        <v>319</v>
      </c>
      <c r="AD124" s="5" t="s">
        <v>340</v>
      </c>
      <c r="AE124" t="s">
        <v>369</v>
      </c>
      <c r="AF124">
        <f>((74+74+88+87+77)/5)*1.04</f>
        <v>83.2</v>
      </c>
      <c r="AG124" t="s">
        <v>367</v>
      </c>
      <c r="AH124">
        <v>1</v>
      </c>
      <c r="AI124">
        <v>1</v>
      </c>
      <c r="AJ124" t="s">
        <v>398</v>
      </c>
      <c r="AK124">
        <v>0</v>
      </c>
    </row>
    <row r="125" spans="1:44" x14ac:dyDescent="0.25">
      <c r="A125" s="2" t="s">
        <v>132</v>
      </c>
      <c r="B125" s="3">
        <v>1</v>
      </c>
      <c r="C125" t="s">
        <v>12</v>
      </c>
      <c r="D125" s="4">
        <v>1</v>
      </c>
      <c r="E125" t="s">
        <v>7</v>
      </c>
      <c r="F125">
        <v>0</v>
      </c>
      <c r="G125" t="s">
        <v>7</v>
      </c>
      <c r="H125">
        <v>0</v>
      </c>
      <c r="I125" t="s">
        <v>7</v>
      </c>
      <c r="J125">
        <v>0</v>
      </c>
      <c r="K125" t="s">
        <v>7</v>
      </c>
      <c r="L125">
        <v>0</v>
      </c>
      <c r="M125" t="s">
        <v>7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6.01</v>
      </c>
      <c r="U125" t="s">
        <v>2</v>
      </c>
      <c r="V125" t="s">
        <v>2</v>
      </c>
      <c r="W125" t="s">
        <v>2</v>
      </c>
      <c r="X125" t="s">
        <v>2</v>
      </c>
      <c r="Y125">
        <v>8</v>
      </c>
      <c r="Z125">
        <v>17</v>
      </c>
      <c r="AA125" t="s">
        <v>254</v>
      </c>
      <c r="AB125" t="s">
        <v>257</v>
      </c>
      <c r="AC125" t="s">
        <v>320</v>
      </c>
      <c r="AD125" s="5" t="s">
        <v>340</v>
      </c>
      <c r="AE125" t="s">
        <v>373</v>
      </c>
      <c r="AF125">
        <f>((34+68+25+71+15)/5)*1.04</f>
        <v>44.304000000000002</v>
      </c>
      <c r="AG125" t="s">
        <v>367</v>
      </c>
      <c r="AH125">
        <v>1</v>
      </c>
      <c r="AI125">
        <v>0</v>
      </c>
      <c r="AJ125" t="s">
        <v>395</v>
      </c>
      <c r="AK125">
        <v>0</v>
      </c>
    </row>
    <row r="126" spans="1:44" x14ac:dyDescent="0.25">
      <c r="A126" s="2" t="s">
        <v>133</v>
      </c>
      <c r="B126" s="3">
        <v>2</v>
      </c>
      <c r="C126" t="s">
        <v>7</v>
      </c>
      <c r="D126" s="4">
        <v>0</v>
      </c>
      <c r="E126" t="s">
        <v>25</v>
      </c>
      <c r="F126">
        <v>1</v>
      </c>
      <c r="G126" t="s">
        <v>5</v>
      </c>
      <c r="H126">
        <v>1</v>
      </c>
      <c r="I126" t="s">
        <v>7</v>
      </c>
      <c r="J126">
        <v>0</v>
      </c>
      <c r="K126" t="s">
        <v>7</v>
      </c>
      <c r="L126">
        <v>0</v>
      </c>
      <c r="M126" t="s">
        <v>7</v>
      </c>
      <c r="N126">
        <v>0</v>
      </c>
      <c r="O126">
        <v>1</v>
      </c>
      <c r="P126">
        <v>4</v>
      </c>
      <c r="Q126">
        <v>0</v>
      </c>
      <c r="R126">
        <v>0</v>
      </c>
      <c r="S126">
        <v>0</v>
      </c>
      <c r="T126">
        <v>6.93</v>
      </c>
      <c r="U126" t="s">
        <v>2</v>
      </c>
      <c r="V126" t="s">
        <v>2</v>
      </c>
      <c r="W126" t="s">
        <v>2</v>
      </c>
      <c r="X126" t="s">
        <v>2</v>
      </c>
      <c r="Y126">
        <v>14</v>
      </c>
      <c r="Z126">
        <v>6</v>
      </c>
      <c r="AA126" t="s">
        <v>254</v>
      </c>
      <c r="AB126" t="s">
        <v>260</v>
      </c>
      <c r="AC126" t="s">
        <v>321</v>
      </c>
      <c r="AD126" s="5" t="s">
        <v>340</v>
      </c>
      <c r="AE126" t="s">
        <v>369</v>
      </c>
      <c r="AF126">
        <f>((44+76+72+72+68)/5)*1.04</f>
        <v>69.056000000000012</v>
      </c>
      <c r="AG126" t="s">
        <v>367</v>
      </c>
      <c r="AH126">
        <v>1</v>
      </c>
      <c r="AI126">
        <v>0</v>
      </c>
      <c r="AJ126" t="s">
        <v>395</v>
      </c>
      <c r="AK126">
        <v>1</v>
      </c>
    </row>
    <row r="127" spans="1:44" x14ac:dyDescent="0.25">
      <c r="A127" s="2" t="s">
        <v>134</v>
      </c>
      <c r="B127" s="3">
        <v>4</v>
      </c>
      <c r="C127" t="s">
        <v>5</v>
      </c>
      <c r="D127" s="4">
        <v>1</v>
      </c>
      <c r="E127" t="s">
        <v>5</v>
      </c>
      <c r="F127">
        <v>1</v>
      </c>
      <c r="G127" t="s">
        <v>12</v>
      </c>
      <c r="H127">
        <v>1</v>
      </c>
      <c r="I127" t="s">
        <v>7</v>
      </c>
      <c r="J127">
        <v>0</v>
      </c>
      <c r="K127" t="s">
        <v>7</v>
      </c>
      <c r="L127">
        <v>0</v>
      </c>
      <c r="N127">
        <v>1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7.23</v>
      </c>
      <c r="U127" t="s">
        <v>2</v>
      </c>
      <c r="V127" t="s">
        <v>2</v>
      </c>
      <c r="W127" t="s">
        <v>2</v>
      </c>
      <c r="X127" t="s">
        <v>2</v>
      </c>
      <c r="Y127">
        <v>15</v>
      </c>
      <c r="Z127">
        <v>16</v>
      </c>
      <c r="AA127" t="s">
        <v>254</v>
      </c>
      <c r="AB127" t="s">
        <v>260</v>
      </c>
      <c r="AC127" t="s">
        <v>322</v>
      </c>
      <c r="AD127" s="5" t="s">
        <v>340</v>
      </c>
      <c r="AE127" t="s">
        <v>369</v>
      </c>
      <c r="AF127">
        <f>((75+40+83+94+90)/5)*1.04</f>
        <v>79.456000000000003</v>
      </c>
      <c r="AG127" t="s">
        <v>367</v>
      </c>
      <c r="AH127">
        <v>1</v>
      </c>
      <c r="AI127">
        <v>0</v>
      </c>
      <c r="AJ127" t="s">
        <v>394</v>
      </c>
      <c r="AK127">
        <v>1</v>
      </c>
      <c r="AR127">
        <v>1</v>
      </c>
    </row>
    <row r="128" spans="1:44" x14ac:dyDescent="0.25">
      <c r="A128" s="2" t="s">
        <v>135</v>
      </c>
      <c r="B128" s="3">
        <v>3</v>
      </c>
      <c r="C128" t="s">
        <v>7</v>
      </c>
      <c r="D128" s="4">
        <v>0</v>
      </c>
      <c r="E128" t="s">
        <v>5</v>
      </c>
      <c r="F128">
        <v>1</v>
      </c>
      <c r="G128" t="s">
        <v>6</v>
      </c>
      <c r="H128">
        <v>1</v>
      </c>
      <c r="I128" t="s">
        <v>7</v>
      </c>
      <c r="J128">
        <v>0</v>
      </c>
      <c r="K128" t="s">
        <v>7</v>
      </c>
      <c r="L128">
        <v>0</v>
      </c>
      <c r="N128">
        <v>1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7.3</v>
      </c>
      <c r="U128" t="s">
        <v>2</v>
      </c>
      <c r="V128" t="s">
        <v>2</v>
      </c>
      <c r="W128" t="s">
        <v>2</v>
      </c>
      <c r="X128" t="s">
        <v>2</v>
      </c>
      <c r="Y128">
        <v>23</v>
      </c>
      <c r="Z128">
        <v>5</v>
      </c>
      <c r="AA128" t="s">
        <v>254</v>
      </c>
      <c r="AB128" t="s">
        <v>260</v>
      </c>
      <c r="AC128" t="s">
        <v>323</v>
      </c>
      <c r="AD128" s="5" t="s">
        <v>340</v>
      </c>
      <c r="AE128" t="s">
        <v>369</v>
      </c>
      <c r="AF128">
        <f>((76+65+94+88+88)/5)*1.04</f>
        <v>85.488</v>
      </c>
      <c r="AG128" t="s">
        <v>367</v>
      </c>
      <c r="AH128">
        <v>1</v>
      </c>
      <c r="AI128">
        <v>0</v>
      </c>
      <c r="AJ128" t="s">
        <v>394</v>
      </c>
      <c r="AK128">
        <v>1</v>
      </c>
    </row>
    <row r="129" spans="1:44" x14ac:dyDescent="0.25">
      <c r="A129" s="2" t="s">
        <v>136</v>
      </c>
      <c r="B129" s="3">
        <v>3</v>
      </c>
      <c r="C129" t="s">
        <v>9</v>
      </c>
      <c r="D129" s="4">
        <v>1</v>
      </c>
      <c r="E129" t="s">
        <v>5</v>
      </c>
      <c r="F129">
        <v>1</v>
      </c>
      <c r="G129" t="s">
        <v>9</v>
      </c>
      <c r="H129">
        <v>1</v>
      </c>
      <c r="I129" t="s">
        <v>7</v>
      </c>
      <c r="J129">
        <v>0</v>
      </c>
      <c r="K129" t="s">
        <v>7</v>
      </c>
      <c r="L129">
        <v>0</v>
      </c>
      <c r="M129" t="s">
        <v>7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7.2</v>
      </c>
      <c r="U129" t="s">
        <v>2</v>
      </c>
      <c r="V129" t="s">
        <v>2</v>
      </c>
      <c r="W129" t="s">
        <v>2</v>
      </c>
      <c r="X129" t="s">
        <v>2</v>
      </c>
      <c r="Y129">
        <v>45</v>
      </c>
      <c r="Z129">
        <v>31</v>
      </c>
      <c r="AA129" t="s">
        <v>254</v>
      </c>
      <c r="AB129" t="s">
        <v>257</v>
      </c>
      <c r="AC129" t="s">
        <v>324</v>
      </c>
      <c r="AD129" s="5" t="s">
        <v>340</v>
      </c>
      <c r="AE129" t="s">
        <v>373</v>
      </c>
      <c r="AF129">
        <f>((0+0+1+3+2)/5)*1.04</f>
        <v>1.248</v>
      </c>
      <c r="AG129" t="s">
        <v>367</v>
      </c>
      <c r="AH129">
        <v>0</v>
      </c>
      <c r="AI129">
        <v>0</v>
      </c>
      <c r="AJ129" t="s">
        <v>396</v>
      </c>
      <c r="AK129">
        <v>0</v>
      </c>
      <c r="AP129">
        <v>1</v>
      </c>
      <c r="AR129">
        <v>1</v>
      </c>
    </row>
    <row r="130" spans="1:44" x14ac:dyDescent="0.25">
      <c r="A130" s="2" t="s">
        <v>137</v>
      </c>
      <c r="B130" s="3">
        <v>4</v>
      </c>
      <c r="C130" t="s">
        <v>12</v>
      </c>
      <c r="D130" s="4">
        <v>1</v>
      </c>
      <c r="E130" t="s">
        <v>5</v>
      </c>
      <c r="F130">
        <v>1</v>
      </c>
      <c r="G130" t="s">
        <v>9</v>
      </c>
      <c r="H130">
        <v>1</v>
      </c>
      <c r="I130" t="s">
        <v>7</v>
      </c>
      <c r="J130">
        <v>0</v>
      </c>
      <c r="K130" t="s">
        <v>7</v>
      </c>
      <c r="L130">
        <v>0</v>
      </c>
      <c r="N130">
        <v>1</v>
      </c>
      <c r="O130">
        <v>1</v>
      </c>
      <c r="P130">
        <v>4</v>
      </c>
      <c r="Q130">
        <v>2</v>
      </c>
      <c r="R130">
        <v>0</v>
      </c>
      <c r="S130">
        <v>0</v>
      </c>
      <c r="T130">
        <v>7.18</v>
      </c>
      <c r="U130" t="s">
        <v>2</v>
      </c>
      <c r="V130" t="s">
        <v>2</v>
      </c>
      <c r="W130" t="s">
        <v>2</v>
      </c>
      <c r="X130" t="s">
        <v>2</v>
      </c>
      <c r="Y130">
        <v>10</v>
      </c>
      <c r="Z130">
        <v>14</v>
      </c>
      <c r="AA130" t="s">
        <v>254</v>
      </c>
      <c r="AB130" t="s">
        <v>260</v>
      </c>
      <c r="AC130" t="s">
        <v>325</v>
      </c>
      <c r="AD130" s="5" t="s">
        <v>340</v>
      </c>
      <c r="AE130" t="s">
        <v>382</v>
      </c>
      <c r="AF130">
        <f>((93+93+94+95+92)/5)*1.04</f>
        <v>97.13600000000001</v>
      </c>
      <c r="AG130" t="s">
        <v>367</v>
      </c>
      <c r="AH130">
        <v>1</v>
      </c>
      <c r="AI130">
        <v>0</v>
      </c>
      <c r="AJ130" t="s">
        <v>395</v>
      </c>
      <c r="AK130">
        <v>0</v>
      </c>
    </row>
    <row r="131" spans="1:44" x14ac:dyDescent="0.25">
      <c r="A131" s="2" t="s">
        <v>138</v>
      </c>
      <c r="B131" s="3">
        <v>3</v>
      </c>
      <c r="C131" t="s">
        <v>5</v>
      </c>
      <c r="D131" s="4">
        <v>1</v>
      </c>
      <c r="E131" t="s">
        <v>9</v>
      </c>
      <c r="F131">
        <v>1</v>
      </c>
      <c r="G131" t="s">
        <v>9</v>
      </c>
      <c r="H131">
        <v>1</v>
      </c>
      <c r="I131" t="s">
        <v>7</v>
      </c>
      <c r="J131">
        <v>0</v>
      </c>
      <c r="K131" t="s">
        <v>7</v>
      </c>
      <c r="L131">
        <v>0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6.66</v>
      </c>
      <c r="U131" t="s">
        <v>2</v>
      </c>
      <c r="V131" t="s">
        <v>2</v>
      </c>
      <c r="W131" t="s">
        <v>2</v>
      </c>
      <c r="X131" t="s">
        <v>2</v>
      </c>
      <c r="Y131">
        <v>11</v>
      </c>
      <c r="Z131">
        <v>30</v>
      </c>
      <c r="AA131" t="s">
        <v>254</v>
      </c>
      <c r="AB131" t="s">
        <v>260</v>
      </c>
      <c r="AC131" t="s">
        <v>326</v>
      </c>
      <c r="AD131" s="5" t="s">
        <v>340</v>
      </c>
      <c r="AE131" t="s">
        <v>383</v>
      </c>
      <c r="AF131">
        <f>((94+95+94+94+95)/5)*1.04</f>
        <v>98.176000000000016</v>
      </c>
      <c r="AG131" t="s">
        <v>367</v>
      </c>
      <c r="AH131">
        <v>1</v>
      </c>
      <c r="AI131">
        <v>0</v>
      </c>
      <c r="AJ131" t="s">
        <v>395</v>
      </c>
      <c r="AK131">
        <v>0</v>
      </c>
    </row>
    <row r="132" spans="1:44" x14ac:dyDescent="0.25">
      <c r="A132" s="2" t="s">
        <v>139</v>
      </c>
      <c r="B132" s="3">
        <v>3</v>
      </c>
      <c r="C132" t="s">
        <v>9</v>
      </c>
      <c r="D132" s="4">
        <v>1</v>
      </c>
      <c r="E132" t="s">
        <v>12</v>
      </c>
      <c r="F132">
        <v>1</v>
      </c>
      <c r="G132" t="s">
        <v>9</v>
      </c>
      <c r="H132">
        <v>1</v>
      </c>
      <c r="I132" t="s">
        <v>7</v>
      </c>
      <c r="J132">
        <v>0</v>
      </c>
      <c r="K132" t="s">
        <v>7</v>
      </c>
      <c r="L132">
        <v>0</v>
      </c>
      <c r="M132" t="s">
        <v>7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6.89</v>
      </c>
      <c r="U132" t="s">
        <v>2</v>
      </c>
      <c r="V132" t="s">
        <v>2</v>
      </c>
      <c r="W132" t="s">
        <v>2</v>
      </c>
      <c r="X132" t="s">
        <v>2</v>
      </c>
      <c r="Y132">
        <v>28</v>
      </c>
      <c r="Z132">
        <v>21</v>
      </c>
      <c r="AA132" t="s">
        <v>2</v>
      </c>
      <c r="AB132" t="s">
        <v>257</v>
      </c>
      <c r="AC132" t="s">
        <v>327</v>
      </c>
      <c r="AD132" s="5" t="s">
        <v>340</v>
      </c>
      <c r="AE132" t="s">
        <v>373</v>
      </c>
      <c r="AF132">
        <f>((16+7+24+20+32)/5)*1.04</f>
        <v>20.592000000000002</v>
      </c>
      <c r="AG132" t="s">
        <v>367</v>
      </c>
      <c r="AH132">
        <v>0</v>
      </c>
      <c r="AI132">
        <v>0</v>
      </c>
      <c r="AJ132" t="s">
        <v>395</v>
      </c>
      <c r="AK132">
        <v>0</v>
      </c>
      <c r="AR132">
        <v>1</v>
      </c>
    </row>
    <row r="133" spans="1:44" x14ac:dyDescent="0.25">
      <c r="A133" s="2" t="s">
        <v>140</v>
      </c>
      <c r="B133" s="3">
        <v>3</v>
      </c>
      <c r="C133" t="s">
        <v>7</v>
      </c>
      <c r="D133" s="4">
        <v>0</v>
      </c>
      <c r="E133" t="s">
        <v>25</v>
      </c>
      <c r="F133">
        <v>1</v>
      </c>
      <c r="G133" t="s">
        <v>9</v>
      </c>
      <c r="H133">
        <v>1</v>
      </c>
      <c r="I133" t="s">
        <v>7</v>
      </c>
      <c r="J133">
        <v>0</v>
      </c>
      <c r="K133" t="s">
        <v>7</v>
      </c>
      <c r="L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7.39</v>
      </c>
      <c r="U133" t="s">
        <v>2</v>
      </c>
      <c r="V133" t="s">
        <v>2</v>
      </c>
      <c r="W133" t="s">
        <v>2</v>
      </c>
      <c r="X133" t="s">
        <v>2</v>
      </c>
      <c r="Y133">
        <v>24</v>
      </c>
      <c r="Z133">
        <v>39</v>
      </c>
      <c r="AA133" t="s">
        <v>254</v>
      </c>
      <c r="AB133" t="s">
        <v>260</v>
      </c>
      <c r="AC133" t="s">
        <v>328</v>
      </c>
      <c r="AD133" s="5" t="s">
        <v>340</v>
      </c>
      <c r="AE133" t="s">
        <v>369</v>
      </c>
      <c r="AF133">
        <f>((8+8+14+37+16)/5)*1.04</f>
        <v>17.264000000000003</v>
      </c>
      <c r="AG133" t="s">
        <v>367</v>
      </c>
      <c r="AH133">
        <v>1</v>
      </c>
      <c r="AI133">
        <v>0</v>
      </c>
      <c r="AJ133" t="s">
        <v>395</v>
      </c>
      <c r="AK133">
        <v>1</v>
      </c>
      <c r="AM133">
        <v>1</v>
      </c>
    </row>
    <row r="134" spans="1:44" x14ac:dyDescent="0.25">
      <c r="A134" s="2" t="s">
        <v>141</v>
      </c>
      <c r="B134" s="3">
        <v>3</v>
      </c>
      <c r="C134" t="s">
        <v>6</v>
      </c>
      <c r="D134" s="4">
        <v>1</v>
      </c>
      <c r="E134" t="s">
        <v>9</v>
      </c>
      <c r="F134">
        <v>1</v>
      </c>
      <c r="G134" t="s">
        <v>5</v>
      </c>
      <c r="H134">
        <v>1</v>
      </c>
      <c r="I134" t="s">
        <v>7</v>
      </c>
      <c r="J134">
        <v>0</v>
      </c>
      <c r="K134" t="s">
        <v>7</v>
      </c>
      <c r="L134">
        <v>0</v>
      </c>
      <c r="M134" t="s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7.92</v>
      </c>
      <c r="U134" t="s">
        <v>2</v>
      </c>
      <c r="V134" t="s">
        <v>2</v>
      </c>
      <c r="W134" t="s">
        <v>2</v>
      </c>
      <c r="X134" t="s">
        <v>2</v>
      </c>
      <c r="Y134">
        <v>21</v>
      </c>
      <c r="Z134">
        <v>38</v>
      </c>
      <c r="AA134" t="s">
        <v>254</v>
      </c>
      <c r="AB134" t="s">
        <v>260</v>
      </c>
      <c r="AC134" t="s">
        <v>329</v>
      </c>
      <c r="AD134" s="5" t="s">
        <v>340</v>
      </c>
      <c r="AE134" t="s">
        <v>373</v>
      </c>
      <c r="AF134">
        <f>((2+91+53+61+96)/5)*1.04</f>
        <v>63.024000000000001</v>
      </c>
      <c r="AG134" t="s">
        <v>384</v>
      </c>
      <c r="AH134">
        <v>1</v>
      </c>
      <c r="AI134">
        <v>0</v>
      </c>
      <c r="AJ134" t="s">
        <v>394</v>
      </c>
      <c r="AK134">
        <v>0</v>
      </c>
      <c r="AR134">
        <v>1</v>
      </c>
    </row>
    <row r="135" spans="1:44" x14ac:dyDescent="0.25">
      <c r="A135" s="2" t="s">
        <v>142</v>
      </c>
      <c r="B135" s="3">
        <v>1</v>
      </c>
      <c r="C135" t="s">
        <v>5</v>
      </c>
      <c r="D135" s="4">
        <v>1</v>
      </c>
      <c r="E135" t="s">
        <v>7</v>
      </c>
      <c r="F135">
        <v>0</v>
      </c>
      <c r="G135" t="s">
        <v>7</v>
      </c>
      <c r="H135">
        <v>0</v>
      </c>
      <c r="I135" t="s">
        <v>7</v>
      </c>
      <c r="J135">
        <v>0</v>
      </c>
      <c r="K135" t="s">
        <v>7</v>
      </c>
      <c r="L135">
        <v>0</v>
      </c>
      <c r="M135" t="s">
        <v>7</v>
      </c>
      <c r="N135">
        <v>0</v>
      </c>
      <c r="O135">
        <v>1</v>
      </c>
      <c r="P135">
        <v>3</v>
      </c>
      <c r="Q135">
        <v>0</v>
      </c>
      <c r="R135">
        <v>0</v>
      </c>
      <c r="S135">
        <v>0</v>
      </c>
      <c r="T135">
        <v>7.3</v>
      </c>
      <c r="U135" t="s">
        <v>2</v>
      </c>
      <c r="V135" t="s">
        <v>2</v>
      </c>
      <c r="W135" t="s">
        <v>2</v>
      </c>
      <c r="X135" t="s">
        <v>2</v>
      </c>
      <c r="Y135">
        <v>7</v>
      </c>
      <c r="Z135">
        <v>13</v>
      </c>
      <c r="AA135" t="s">
        <v>254</v>
      </c>
      <c r="AB135" t="s">
        <v>260</v>
      </c>
      <c r="AC135" t="s">
        <v>330</v>
      </c>
      <c r="AD135" s="5" t="s">
        <v>340</v>
      </c>
      <c r="AE135" t="s">
        <v>382</v>
      </c>
      <c r="AF135">
        <f>((93+79+96+79+96)/5)*1.04</f>
        <v>92.143999999999991</v>
      </c>
      <c r="AG135" t="s">
        <v>367</v>
      </c>
      <c r="AH135">
        <v>1</v>
      </c>
      <c r="AI135">
        <v>0</v>
      </c>
      <c r="AJ135" t="s">
        <v>395</v>
      </c>
      <c r="AK135">
        <v>0</v>
      </c>
    </row>
    <row r="136" spans="1:44" x14ac:dyDescent="0.25">
      <c r="A136" s="2" t="s">
        <v>143</v>
      </c>
      <c r="B136" s="3">
        <v>3</v>
      </c>
      <c r="C136" t="s">
        <v>12</v>
      </c>
      <c r="D136" s="4">
        <v>1</v>
      </c>
      <c r="E136" t="s">
        <v>7</v>
      </c>
      <c r="F136">
        <v>0</v>
      </c>
      <c r="G136" t="s">
        <v>5</v>
      </c>
      <c r="H136">
        <v>1</v>
      </c>
      <c r="I136" t="s">
        <v>7</v>
      </c>
      <c r="J136">
        <v>0</v>
      </c>
      <c r="K136" t="s">
        <v>7</v>
      </c>
      <c r="L136">
        <v>0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7</v>
      </c>
      <c r="U136" t="s">
        <v>2</v>
      </c>
      <c r="V136" t="s">
        <v>2</v>
      </c>
      <c r="W136" t="s">
        <v>2</v>
      </c>
      <c r="X136" t="s">
        <v>2</v>
      </c>
      <c r="Y136">
        <v>10</v>
      </c>
      <c r="Z136">
        <v>15</v>
      </c>
      <c r="AA136" t="s">
        <v>254</v>
      </c>
      <c r="AB136" t="s">
        <v>260</v>
      </c>
      <c r="AC136" t="s">
        <v>331</v>
      </c>
      <c r="AD136" s="5" t="s">
        <v>340</v>
      </c>
      <c r="AE136" t="s">
        <v>373</v>
      </c>
      <c r="AF136">
        <f>((73+91+86+96+96)/5)*1.04</f>
        <v>91.936000000000007</v>
      </c>
      <c r="AG136" t="s">
        <v>367</v>
      </c>
      <c r="AH136">
        <v>1</v>
      </c>
      <c r="AI136">
        <v>0</v>
      </c>
      <c r="AJ136" t="s">
        <v>394</v>
      </c>
      <c r="AK136">
        <v>0</v>
      </c>
    </row>
    <row r="137" spans="1:44" x14ac:dyDescent="0.25">
      <c r="A137" s="2" t="s">
        <v>144</v>
      </c>
      <c r="B137" s="3">
        <v>2</v>
      </c>
      <c r="C137" t="s">
        <v>7</v>
      </c>
      <c r="D137" s="4">
        <v>0</v>
      </c>
      <c r="E137" t="s">
        <v>5</v>
      </c>
      <c r="F137">
        <v>1</v>
      </c>
      <c r="G137" t="s">
        <v>25</v>
      </c>
      <c r="H137">
        <v>1</v>
      </c>
      <c r="I137" t="s">
        <v>7</v>
      </c>
      <c r="J137">
        <v>0</v>
      </c>
      <c r="K137" t="s">
        <v>7</v>
      </c>
      <c r="L137">
        <v>0</v>
      </c>
      <c r="M137" t="s">
        <v>7</v>
      </c>
      <c r="N137">
        <v>0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7.2</v>
      </c>
      <c r="U137" t="s">
        <v>2</v>
      </c>
      <c r="V137" t="s">
        <v>2</v>
      </c>
      <c r="W137" t="s">
        <v>2</v>
      </c>
      <c r="X137" t="s">
        <v>2</v>
      </c>
      <c r="Y137">
        <v>17</v>
      </c>
      <c r="Z137">
        <v>10</v>
      </c>
      <c r="AA137" t="s">
        <v>254</v>
      </c>
      <c r="AB137" t="s">
        <v>260</v>
      </c>
      <c r="AC137" t="s">
        <v>332</v>
      </c>
      <c r="AD137" s="5" t="s">
        <v>340</v>
      </c>
      <c r="AE137" t="s">
        <v>373</v>
      </c>
      <c r="AF137">
        <f>((76+55+88+68+92)/5)*1.04</f>
        <v>78.831999999999994</v>
      </c>
      <c r="AG137" t="s">
        <v>367</v>
      </c>
      <c r="AH137">
        <v>1</v>
      </c>
      <c r="AI137">
        <v>0</v>
      </c>
      <c r="AJ137" t="s">
        <v>398</v>
      </c>
      <c r="AK137">
        <v>1</v>
      </c>
    </row>
    <row r="138" spans="1:44" x14ac:dyDescent="0.25">
      <c r="A138" s="2" t="s">
        <v>145</v>
      </c>
      <c r="B138" s="3">
        <v>3</v>
      </c>
      <c r="C138" t="s">
        <v>6</v>
      </c>
      <c r="D138" s="4">
        <v>1</v>
      </c>
      <c r="E138" t="s">
        <v>7</v>
      </c>
      <c r="F138">
        <v>0</v>
      </c>
      <c r="G138" t="s">
        <v>5</v>
      </c>
      <c r="H138">
        <v>1</v>
      </c>
      <c r="I138" t="s">
        <v>7</v>
      </c>
      <c r="J138">
        <v>0</v>
      </c>
      <c r="K138" t="s">
        <v>7</v>
      </c>
      <c r="L138">
        <v>0</v>
      </c>
      <c r="N138">
        <v>1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7.45</v>
      </c>
      <c r="U138" t="s">
        <v>2</v>
      </c>
      <c r="V138" t="s">
        <v>2</v>
      </c>
      <c r="W138" t="s">
        <v>2</v>
      </c>
      <c r="X138" t="s">
        <v>2</v>
      </c>
      <c r="Y138">
        <v>21</v>
      </c>
      <c r="Z138">
        <v>30</v>
      </c>
      <c r="AA138" t="s">
        <v>254</v>
      </c>
      <c r="AB138" t="s">
        <v>257</v>
      </c>
      <c r="AC138" t="s">
        <v>333</v>
      </c>
      <c r="AD138" s="5" t="s">
        <v>340</v>
      </c>
      <c r="AE138" t="s">
        <v>373</v>
      </c>
      <c r="AF138">
        <f>((26+53+2+40+8)/5)*1.04</f>
        <v>26.832000000000001</v>
      </c>
      <c r="AG138" t="s">
        <v>367</v>
      </c>
      <c r="AH138">
        <v>1</v>
      </c>
      <c r="AI138">
        <v>0</v>
      </c>
      <c r="AJ138" t="s">
        <v>394</v>
      </c>
      <c r="AK138">
        <v>0</v>
      </c>
    </row>
    <row r="139" spans="1:44" x14ac:dyDescent="0.25">
      <c r="A139" s="2" t="s">
        <v>146</v>
      </c>
      <c r="B139" s="3">
        <v>0</v>
      </c>
      <c r="C139" t="s">
        <v>7</v>
      </c>
      <c r="D139" s="4">
        <v>0</v>
      </c>
      <c r="E139" t="s">
        <v>7</v>
      </c>
      <c r="F139">
        <v>0</v>
      </c>
      <c r="G139" t="s">
        <v>7</v>
      </c>
      <c r="H139">
        <v>0</v>
      </c>
      <c r="I139" t="s">
        <v>7</v>
      </c>
      <c r="J139">
        <v>0</v>
      </c>
      <c r="K139" t="s">
        <v>7</v>
      </c>
      <c r="L139">
        <v>0</v>
      </c>
      <c r="M139" t="s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8.51</v>
      </c>
      <c r="U139" t="s">
        <v>2</v>
      </c>
      <c r="V139" t="s">
        <v>2</v>
      </c>
      <c r="W139" t="s">
        <v>2</v>
      </c>
      <c r="X139" t="s">
        <v>2</v>
      </c>
      <c r="Y139">
        <v>32</v>
      </c>
      <c r="Z139">
        <v>37</v>
      </c>
      <c r="AA139">
        <v>20</v>
      </c>
      <c r="AB139" t="s">
        <v>260</v>
      </c>
      <c r="AC139" t="s">
        <v>334</v>
      </c>
      <c r="AD139" s="5" t="s">
        <v>340</v>
      </c>
      <c r="AE139" t="s">
        <v>373</v>
      </c>
      <c r="AF139">
        <f>((0+0+0+0+0)/5)*1.04</f>
        <v>0</v>
      </c>
      <c r="AG139" t="s">
        <v>367</v>
      </c>
      <c r="AH139">
        <v>0</v>
      </c>
      <c r="AI139" t="s">
        <v>2</v>
      </c>
      <c r="AJ139" t="s">
        <v>397</v>
      </c>
      <c r="AK139">
        <v>0</v>
      </c>
    </row>
    <row r="140" spans="1:44" x14ac:dyDescent="0.25">
      <c r="A140" s="2" t="s">
        <v>147</v>
      </c>
      <c r="B140" s="3">
        <v>1</v>
      </c>
      <c r="C140" t="s">
        <v>5</v>
      </c>
      <c r="D140" s="4">
        <v>1</v>
      </c>
      <c r="E140" t="s">
        <v>7</v>
      </c>
      <c r="F140">
        <v>0</v>
      </c>
      <c r="G140" t="s">
        <v>7</v>
      </c>
      <c r="H140">
        <v>0</v>
      </c>
      <c r="I140" t="s">
        <v>7</v>
      </c>
      <c r="J140">
        <v>0</v>
      </c>
      <c r="K140" t="s">
        <v>7</v>
      </c>
      <c r="L140">
        <v>0</v>
      </c>
      <c r="M140" t="s">
        <v>7</v>
      </c>
      <c r="N140">
        <v>0</v>
      </c>
      <c r="O140">
        <v>1</v>
      </c>
      <c r="P140">
        <v>4</v>
      </c>
      <c r="Q140">
        <v>0</v>
      </c>
      <c r="R140">
        <v>0</v>
      </c>
      <c r="S140">
        <v>0</v>
      </c>
      <c r="T140">
        <v>7.57</v>
      </c>
      <c r="U140">
        <v>1.25</v>
      </c>
      <c r="V140">
        <v>12.56</v>
      </c>
      <c r="W140">
        <v>22.5</v>
      </c>
      <c r="X140" t="s">
        <v>2</v>
      </c>
      <c r="Y140">
        <v>6</v>
      </c>
      <c r="Z140">
        <v>4</v>
      </c>
      <c r="AA140">
        <v>46</v>
      </c>
      <c r="AB140" t="s">
        <v>260</v>
      </c>
      <c r="AC140" t="s">
        <v>293</v>
      </c>
      <c r="AD140" s="5">
        <v>2</v>
      </c>
      <c r="AE140" t="s">
        <v>371</v>
      </c>
      <c r="AF140">
        <f>((94+93+96+93+95)/5)*1.04</f>
        <v>97.968000000000004</v>
      </c>
      <c r="AG140" t="s">
        <v>367</v>
      </c>
      <c r="AH140" t="s">
        <v>2</v>
      </c>
      <c r="AI140" t="s">
        <v>2</v>
      </c>
      <c r="AJ140" t="s">
        <v>394</v>
      </c>
      <c r="AK140">
        <v>0</v>
      </c>
    </row>
    <row r="141" spans="1:44" x14ac:dyDescent="0.25">
      <c r="A141" s="2" t="s">
        <v>148</v>
      </c>
      <c r="B141" s="3">
        <v>1</v>
      </c>
      <c r="C141" t="s">
        <v>9</v>
      </c>
      <c r="D141" s="4">
        <v>1</v>
      </c>
      <c r="E141" t="s">
        <v>7</v>
      </c>
      <c r="F141">
        <v>0</v>
      </c>
      <c r="G141" t="s">
        <v>7</v>
      </c>
      <c r="H141">
        <v>0</v>
      </c>
      <c r="I141" t="s">
        <v>7</v>
      </c>
      <c r="J141">
        <v>0</v>
      </c>
      <c r="K141" t="s">
        <v>7</v>
      </c>
      <c r="L141">
        <v>0</v>
      </c>
      <c r="M141" t="s">
        <v>7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7.68</v>
      </c>
      <c r="U141">
        <v>2.27</v>
      </c>
      <c r="V141">
        <v>2.16</v>
      </c>
      <c r="W141">
        <v>22.1</v>
      </c>
      <c r="X141" t="s">
        <v>2</v>
      </c>
      <c r="Y141">
        <v>10</v>
      </c>
      <c r="Z141">
        <v>10</v>
      </c>
      <c r="AA141" t="s">
        <v>254</v>
      </c>
      <c r="AB141" t="s">
        <v>257</v>
      </c>
      <c r="AC141" t="s">
        <v>291</v>
      </c>
      <c r="AD141" s="5">
        <v>2</v>
      </c>
      <c r="AE141" t="s">
        <v>369</v>
      </c>
      <c r="AF141">
        <f>((66+81+93+88+42)/5)*1.04</f>
        <v>76.960000000000008</v>
      </c>
      <c r="AG141" t="s">
        <v>375</v>
      </c>
      <c r="AH141">
        <v>1</v>
      </c>
      <c r="AI141">
        <v>0</v>
      </c>
      <c r="AJ141" t="s">
        <v>395</v>
      </c>
      <c r="AK141">
        <v>0</v>
      </c>
    </row>
    <row r="142" spans="1:44" x14ac:dyDescent="0.25">
      <c r="A142" s="2" t="s">
        <v>149</v>
      </c>
      <c r="B142" s="3">
        <v>1</v>
      </c>
      <c r="C142" t="s">
        <v>12</v>
      </c>
      <c r="D142" s="4">
        <v>1</v>
      </c>
      <c r="E142" t="s">
        <v>7</v>
      </c>
      <c r="F142">
        <v>0</v>
      </c>
      <c r="G142" t="s">
        <v>7</v>
      </c>
      <c r="H142">
        <v>0</v>
      </c>
      <c r="I142" t="s">
        <v>7</v>
      </c>
      <c r="J142">
        <v>0</v>
      </c>
      <c r="K142" t="s">
        <v>7</v>
      </c>
      <c r="L142">
        <v>0</v>
      </c>
      <c r="M142" t="s">
        <v>7</v>
      </c>
      <c r="N142">
        <v>0</v>
      </c>
      <c r="O142">
        <v>1</v>
      </c>
      <c r="P142">
        <v>3</v>
      </c>
      <c r="Q142">
        <v>0</v>
      </c>
      <c r="R142">
        <v>0</v>
      </c>
      <c r="S142">
        <v>0</v>
      </c>
      <c r="T142">
        <v>9.19</v>
      </c>
      <c r="U142">
        <v>2.35</v>
      </c>
      <c r="V142">
        <v>2.02</v>
      </c>
      <c r="W142">
        <v>25.7</v>
      </c>
      <c r="X142" t="s">
        <v>2</v>
      </c>
      <c r="Y142">
        <v>23</v>
      </c>
      <c r="Z142">
        <v>9</v>
      </c>
      <c r="AA142" t="s">
        <v>254</v>
      </c>
      <c r="AB142" t="s">
        <v>257</v>
      </c>
      <c r="AC142" t="s">
        <v>335</v>
      </c>
      <c r="AD142" s="5">
        <v>2</v>
      </c>
      <c r="AE142" t="s">
        <v>371</v>
      </c>
      <c r="AF142">
        <f>((80+95+94+94)/4)*1.04</f>
        <v>94.38000000000001</v>
      </c>
      <c r="AG142" t="s">
        <v>367</v>
      </c>
      <c r="AH142">
        <v>1</v>
      </c>
      <c r="AI142">
        <v>0</v>
      </c>
      <c r="AJ142" t="s">
        <v>394</v>
      </c>
      <c r="AP142">
        <v>1</v>
      </c>
    </row>
    <row r="143" spans="1:44" x14ac:dyDescent="0.25">
      <c r="A143" s="2" t="s">
        <v>150</v>
      </c>
      <c r="B143" s="3">
        <v>1</v>
      </c>
      <c r="C143" t="s">
        <v>5</v>
      </c>
      <c r="D143" s="4">
        <v>1</v>
      </c>
      <c r="E143" t="s">
        <v>7</v>
      </c>
      <c r="F143">
        <v>0</v>
      </c>
      <c r="G143" t="s">
        <v>7</v>
      </c>
      <c r="H143">
        <v>0</v>
      </c>
      <c r="I143" t="s">
        <v>7</v>
      </c>
      <c r="J143">
        <v>0</v>
      </c>
      <c r="K143" t="s">
        <v>7</v>
      </c>
      <c r="L143">
        <v>0</v>
      </c>
      <c r="M143" t="s">
        <v>7</v>
      </c>
      <c r="N143">
        <v>0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11.1</v>
      </c>
      <c r="U143">
        <v>1.7</v>
      </c>
      <c r="V143">
        <v>2.2799999999999998</v>
      </c>
      <c r="W143">
        <v>28.1</v>
      </c>
      <c r="X143" t="s">
        <v>2</v>
      </c>
      <c r="Y143">
        <v>12.5</v>
      </c>
      <c r="Z143">
        <v>1</v>
      </c>
      <c r="AA143">
        <v>57</v>
      </c>
      <c r="AB143" t="s">
        <v>260</v>
      </c>
      <c r="AC143" t="s">
        <v>292</v>
      </c>
      <c r="AD143" s="5">
        <v>2</v>
      </c>
      <c r="AE143" t="s">
        <v>371</v>
      </c>
      <c r="AF143">
        <f>((67+6+84+96)/4)*1.04</f>
        <v>65.78</v>
      </c>
      <c r="AG143" t="s">
        <v>367</v>
      </c>
      <c r="AH143">
        <v>0</v>
      </c>
      <c r="AI143">
        <v>0</v>
      </c>
      <c r="AJ143" t="s">
        <v>395</v>
      </c>
      <c r="AK143">
        <v>0</v>
      </c>
    </row>
    <row r="144" spans="1:44" x14ac:dyDescent="0.25">
      <c r="A144" s="2" t="s">
        <v>151</v>
      </c>
      <c r="B144" s="3">
        <v>1</v>
      </c>
      <c r="C144" t="s">
        <v>9</v>
      </c>
      <c r="D144" s="4">
        <v>1</v>
      </c>
      <c r="E144" t="s">
        <v>7</v>
      </c>
      <c r="F144">
        <v>0</v>
      </c>
      <c r="G144" t="s">
        <v>7</v>
      </c>
      <c r="H144">
        <v>0</v>
      </c>
      <c r="I144" t="s">
        <v>7</v>
      </c>
      <c r="J144">
        <v>0</v>
      </c>
      <c r="K144" t="s">
        <v>7</v>
      </c>
      <c r="L144">
        <v>0</v>
      </c>
      <c r="M144" t="s">
        <v>7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7.16</v>
      </c>
      <c r="U144">
        <v>1.25</v>
      </c>
      <c r="V144">
        <v>11.63</v>
      </c>
      <c r="W144">
        <v>23.1</v>
      </c>
      <c r="X144" t="s">
        <v>2</v>
      </c>
      <c r="Y144">
        <v>9</v>
      </c>
      <c r="Z144">
        <v>11</v>
      </c>
      <c r="AA144" t="s">
        <v>254</v>
      </c>
      <c r="AB144" t="s">
        <v>258</v>
      </c>
      <c r="AC144" t="s">
        <v>294</v>
      </c>
      <c r="AD144" s="5">
        <v>2</v>
      </c>
      <c r="AE144" t="s">
        <v>369</v>
      </c>
      <c r="AF144">
        <f>((92+28+92+92)/4)*1.04</f>
        <v>79.040000000000006</v>
      </c>
      <c r="AG144" t="s">
        <v>367</v>
      </c>
      <c r="AH144">
        <v>0</v>
      </c>
      <c r="AI144">
        <v>0</v>
      </c>
      <c r="AJ144" t="s">
        <v>398</v>
      </c>
      <c r="AK144">
        <v>0</v>
      </c>
    </row>
    <row r="145" spans="1:48" x14ac:dyDescent="0.25">
      <c r="A145" s="2" t="s">
        <v>152</v>
      </c>
      <c r="B145" s="3">
        <v>1</v>
      </c>
      <c r="C145" t="s">
        <v>12</v>
      </c>
      <c r="D145" s="4">
        <v>1</v>
      </c>
      <c r="E145" t="s">
        <v>7</v>
      </c>
      <c r="F145">
        <v>0</v>
      </c>
      <c r="G145" t="s">
        <v>7</v>
      </c>
      <c r="H145">
        <v>0</v>
      </c>
      <c r="I145" t="s">
        <v>7</v>
      </c>
      <c r="J145">
        <v>0</v>
      </c>
      <c r="K145" t="s">
        <v>7</v>
      </c>
      <c r="L145">
        <v>0</v>
      </c>
      <c r="M145" t="s">
        <v>7</v>
      </c>
      <c r="N145">
        <v>0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6.79</v>
      </c>
      <c r="U145">
        <v>1.45</v>
      </c>
      <c r="V145">
        <v>1280</v>
      </c>
      <c r="W145">
        <v>21.9</v>
      </c>
      <c r="X145" t="s">
        <v>2</v>
      </c>
      <c r="Y145">
        <v>5</v>
      </c>
      <c r="Z145">
        <v>39</v>
      </c>
      <c r="AA145">
        <v>27</v>
      </c>
      <c r="AB145" t="s">
        <v>257</v>
      </c>
      <c r="AC145" t="s">
        <v>295</v>
      </c>
      <c r="AD145" s="5">
        <v>2</v>
      </c>
      <c r="AE145" t="s">
        <v>369</v>
      </c>
      <c r="AF145">
        <f>((0+0+87+0+2)/5)*1.04</f>
        <v>18.512</v>
      </c>
      <c r="AG145" t="s">
        <v>367</v>
      </c>
      <c r="AH145">
        <v>1</v>
      </c>
      <c r="AI145">
        <v>1</v>
      </c>
      <c r="AJ145" t="s">
        <v>395</v>
      </c>
      <c r="AK145">
        <v>0</v>
      </c>
      <c r="AP145">
        <v>1</v>
      </c>
    </row>
    <row r="146" spans="1:48" x14ac:dyDescent="0.25">
      <c r="A146" s="2" t="s">
        <v>153</v>
      </c>
      <c r="B146" s="3">
        <v>1</v>
      </c>
      <c r="C146" t="s">
        <v>6</v>
      </c>
      <c r="D146" s="4">
        <v>1</v>
      </c>
      <c r="E146" t="s">
        <v>7</v>
      </c>
      <c r="F146">
        <v>0</v>
      </c>
      <c r="G146" t="s">
        <v>7</v>
      </c>
      <c r="H146">
        <v>0</v>
      </c>
      <c r="I146" t="s">
        <v>7</v>
      </c>
      <c r="J146">
        <v>0</v>
      </c>
      <c r="K146" t="s">
        <v>7</v>
      </c>
      <c r="L146">
        <v>0</v>
      </c>
      <c r="M146" t="s">
        <v>7</v>
      </c>
      <c r="N146">
        <v>0</v>
      </c>
      <c r="O146">
        <v>1</v>
      </c>
      <c r="P146">
        <v>3</v>
      </c>
      <c r="Q146">
        <v>0</v>
      </c>
      <c r="R146">
        <v>0</v>
      </c>
      <c r="S146">
        <v>0</v>
      </c>
      <c r="T146">
        <v>6.72</v>
      </c>
      <c r="U146">
        <v>1.18</v>
      </c>
      <c r="V146">
        <v>1106</v>
      </c>
      <c r="W146">
        <v>21.7</v>
      </c>
      <c r="X146" t="s">
        <v>2</v>
      </c>
      <c r="Y146">
        <v>30</v>
      </c>
      <c r="Z146">
        <v>40</v>
      </c>
      <c r="AA146" t="s">
        <v>254</v>
      </c>
      <c r="AB146" t="s">
        <v>257</v>
      </c>
      <c r="AC146" t="s">
        <v>294</v>
      </c>
      <c r="AD146" s="5">
        <v>2</v>
      </c>
      <c r="AE146" t="s">
        <v>369</v>
      </c>
      <c r="AF146">
        <f>((70+48+94+67+67)/5)*1.04</f>
        <v>71.968000000000004</v>
      </c>
      <c r="AG146" t="s">
        <v>367</v>
      </c>
      <c r="AH146">
        <v>1</v>
      </c>
      <c r="AI146">
        <v>0</v>
      </c>
      <c r="AJ146" t="s">
        <v>395</v>
      </c>
      <c r="AK146">
        <v>0</v>
      </c>
      <c r="AP146">
        <v>1</v>
      </c>
    </row>
    <row r="147" spans="1:48" x14ac:dyDescent="0.25">
      <c r="A147" s="2" t="s">
        <v>154</v>
      </c>
      <c r="B147" s="3">
        <v>2</v>
      </c>
      <c r="C147" t="s">
        <v>9</v>
      </c>
      <c r="D147" s="4">
        <v>1</v>
      </c>
      <c r="E147" t="s">
        <v>7</v>
      </c>
      <c r="F147">
        <v>0</v>
      </c>
      <c r="G147" t="s">
        <v>9</v>
      </c>
      <c r="H147">
        <v>1</v>
      </c>
      <c r="I147" t="s">
        <v>7</v>
      </c>
      <c r="J147">
        <v>0</v>
      </c>
      <c r="K147" t="s">
        <v>7</v>
      </c>
      <c r="L147">
        <v>0</v>
      </c>
      <c r="M147" t="s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8.2799999999999994</v>
      </c>
      <c r="U147">
        <v>2.17</v>
      </c>
      <c r="V147">
        <v>1105</v>
      </c>
      <c r="W147">
        <v>25</v>
      </c>
      <c r="X147" t="s">
        <v>2</v>
      </c>
      <c r="Y147">
        <v>4</v>
      </c>
      <c r="Z147">
        <v>1</v>
      </c>
      <c r="AA147" t="s">
        <v>254</v>
      </c>
      <c r="AB147" t="s">
        <v>259</v>
      </c>
      <c r="AC147" t="s">
        <v>294</v>
      </c>
      <c r="AD147" s="5">
        <v>2</v>
      </c>
      <c r="AE147" t="s">
        <v>369</v>
      </c>
      <c r="AF147">
        <f>((67+23+95+74+22)/5)*1.04</f>
        <v>58.448000000000008</v>
      </c>
      <c r="AG147" t="s">
        <v>384</v>
      </c>
      <c r="AH147">
        <v>0</v>
      </c>
      <c r="AI147">
        <v>0</v>
      </c>
      <c r="AJ147" t="s">
        <v>394</v>
      </c>
      <c r="AK147">
        <v>0</v>
      </c>
      <c r="AS147" t="s">
        <v>412</v>
      </c>
    </row>
    <row r="148" spans="1:48" x14ac:dyDescent="0.25">
      <c r="A148" s="2" t="s">
        <v>155</v>
      </c>
      <c r="B148" s="3">
        <v>2</v>
      </c>
      <c r="C148" t="s">
        <v>5</v>
      </c>
      <c r="D148" s="4">
        <v>1</v>
      </c>
      <c r="E148" t="s">
        <v>7</v>
      </c>
      <c r="F148">
        <v>0</v>
      </c>
      <c r="G148" t="s">
        <v>5</v>
      </c>
      <c r="H148">
        <v>1</v>
      </c>
      <c r="I148" t="s">
        <v>7</v>
      </c>
      <c r="J148">
        <v>0</v>
      </c>
      <c r="K148" t="s">
        <v>7</v>
      </c>
      <c r="L148">
        <v>0</v>
      </c>
      <c r="M148" t="s">
        <v>7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7.7</v>
      </c>
      <c r="U148">
        <v>1.82</v>
      </c>
      <c r="V148">
        <v>1079</v>
      </c>
      <c r="W148">
        <v>23.6</v>
      </c>
      <c r="X148" t="s">
        <v>2</v>
      </c>
      <c r="Y148">
        <v>14</v>
      </c>
      <c r="Z148">
        <v>5</v>
      </c>
      <c r="AA148" t="s">
        <v>2</v>
      </c>
      <c r="AB148" t="s">
        <v>259</v>
      </c>
      <c r="AC148" t="s">
        <v>294</v>
      </c>
      <c r="AD148" s="5">
        <v>2</v>
      </c>
      <c r="AE148" t="s">
        <v>369</v>
      </c>
      <c r="AF148">
        <f>((6+1+17+0+83)/5)*1.04</f>
        <v>22.256</v>
      </c>
      <c r="AG148" t="s">
        <v>384</v>
      </c>
      <c r="AH148">
        <v>1</v>
      </c>
      <c r="AI148">
        <v>0</v>
      </c>
      <c r="AJ148" t="s">
        <v>394</v>
      </c>
      <c r="AK148">
        <v>0</v>
      </c>
      <c r="AP148">
        <v>1</v>
      </c>
    </row>
    <row r="149" spans="1:48" x14ac:dyDescent="0.25">
      <c r="A149" s="2" t="s">
        <v>156</v>
      </c>
      <c r="B149" s="3">
        <v>1</v>
      </c>
      <c r="C149" t="s">
        <v>9</v>
      </c>
      <c r="D149" s="4">
        <v>1</v>
      </c>
      <c r="E149" t="s">
        <v>7</v>
      </c>
      <c r="F149">
        <v>0</v>
      </c>
      <c r="G149" t="s">
        <v>7</v>
      </c>
      <c r="H149">
        <v>0</v>
      </c>
      <c r="I149" t="s">
        <v>7</v>
      </c>
      <c r="J149">
        <v>0</v>
      </c>
      <c r="K149" t="s">
        <v>7</v>
      </c>
      <c r="L149">
        <v>0</v>
      </c>
      <c r="M149" t="s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7.48</v>
      </c>
      <c r="U149">
        <v>1.54</v>
      </c>
      <c r="V149">
        <v>1162</v>
      </c>
      <c r="W149">
        <v>26.4</v>
      </c>
      <c r="X149" t="s">
        <v>2</v>
      </c>
      <c r="Y149">
        <v>2</v>
      </c>
      <c r="Z149">
        <v>0.5</v>
      </c>
      <c r="AA149">
        <v>44</v>
      </c>
      <c r="AB149" t="s">
        <v>260</v>
      </c>
      <c r="AC149" t="s">
        <v>297</v>
      </c>
      <c r="AD149" s="5">
        <v>2</v>
      </c>
      <c r="AE149" t="s">
        <v>373</v>
      </c>
      <c r="AF149">
        <f>((80+18+86+29+84)/5)*1.04</f>
        <v>61.776000000000003</v>
      </c>
      <c r="AG149" t="s">
        <v>384</v>
      </c>
      <c r="AH149">
        <v>1</v>
      </c>
      <c r="AI149">
        <v>0</v>
      </c>
      <c r="AJ149" t="s">
        <v>396</v>
      </c>
      <c r="AK149">
        <v>0</v>
      </c>
      <c r="AP149">
        <v>1</v>
      </c>
    </row>
    <row r="150" spans="1:48" x14ac:dyDescent="0.25">
      <c r="A150" s="2" t="s">
        <v>157</v>
      </c>
      <c r="B150" s="3">
        <v>3</v>
      </c>
      <c r="C150" t="s">
        <v>5</v>
      </c>
      <c r="D150" s="4">
        <v>1</v>
      </c>
      <c r="E150" t="s">
        <v>12</v>
      </c>
      <c r="F150">
        <v>1</v>
      </c>
      <c r="G150" t="s">
        <v>6</v>
      </c>
      <c r="H150">
        <v>1</v>
      </c>
      <c r="I150" t="s">
        <v>7</v>
      </c>
      <c r="J150">
        <v>0</v>
      </c>
      <c r="K150" t="s">
        <v>7</v>
      </c>
      <c r="L150">
        <v>0</v>
      </c>
      <c r="M150" t="s">
        <v>7</v>
      </c>
      <c r="N150">
        <v>0</v>
      </c>
      <c r="O150">
        <v>1</v>
      </c>
      <c r="P150">
        <v>3</v>
      </c>
      <c r="Q150">
        <v>0</v>
      </c>
      <c r="R150">
        <v>0</v>
      </c>
      <c r="S150">
        <v>0</v>
      </c>
      <c r="T150">
        <v>8.8699999999999992</v>
      </c>
      <c r="U150">
        <v>1.25</v>
      </c>
      <c r="V150">
        <v>830</v>
      </c>
      <c r="W150">
        <v>22.3</v>
      </c>
      <c r="X150">
        <v>181</v>
      </c>
      <c r="Y150">
        <v>17</v>
      </c>
      <c r="Z150">
        <v>2</v>
      </c>
      <c r="AA150" t="s">
        <v>2</v>
      </c>
      <c r="AB150" t="s">
        <v>257</v>
      </c>
      <c r="AC150" t="s">
        <v>265</v>
      </c>
      <c r="AD150" s="5">
        <v>2</v>
      </c>
      <c r="AE150" t="s">
        <v>369</v>
      </c>
      <c r="AF150">
        <f>((9+88+60+36+93)/5)*1.04</f>
        <v>59.488000000000007</v>
      </c>
      <c r="AG150" t="s">
        <v>370</v>
      </c>
      <c r="AH150">
        <v>1</v>
      </c>
      <c r="AI150">
        <v>1</v>
      </c>
      <c r="AJ150" t="s">
        <v>394</v>
      </c>
      <c r="AK150">
        <v>0</v>
      </c>
      <c r="AP150">
        <v>1</v>
      </c>
    </row>
    <row r="151" spans="1:48" x14ac:dyDescent="0.25">
      <c r="A151" s="2" t="s">
        <v>158</v>
      </c>
      <c r="B151" s="3">
        <v>3</v>
      </c>
      <c r="C151" t="s">
        <v>6</v>
      </c>
      <c r="D151" s="4">
        <v>1</v>
      </c>
      <c r="E151" t="s">
        <v>6</v>
      </c>
      <c r="F151">
        <v>1</v>
      </c>
      <c r="G151" t="s">
        <v>5</v>
      </c>
      <c r="H151">
        <v>1</v>
      </c>
      <c r="I151" t="s">
        <v>7</v>
      </c>
      <c r="J151">
        <v>0</v>
      </c>
      <c r="K151" t="s">
        <v>7</v>
      </c>
      <c r="L151">
        <v>0</v>
      </c>
      <c r="M151" t="s">
        <v>7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7.16</v>
      </c>
      <c r="U151">
        <v>1.59</v>
      </c>
      <c r="V151">
        <v>780</v>
      </c>
      <c r="W151">
        <v>26.3</v>
      </c>
      <c r="X151">
        <v>168</v>
      </c>
      <c r="Y151">
        <v>19</v>
      </c>
      <c r="Z151">
        <v>1</v>
      </c>
      <c r="AA151" t="s">
        <v>2</v>
      </c>
      <c r="AB151" t="s">
        <v>257</v>
      </c>
      <c r="AC151" t="s">
        <v>301</v>
      </c>
      <c r="AD151" s="5">
        <v>2</v>
      </c>
      <c r="AE151" t="s">
        <v>373</v>
      </c>
      <c r="AF151">
        <f>((0+2+0+0+0)/5)*1.04</f>
        <v>0.41600000000000004</v>
      </c>
      <c r="AG151" t="s">
        <v>367</v>
      </c>
      <c r="AH151">
        <v>1</v>
      </c>
      <c r="AI151">
        <v>1</v>
      </c>
      <c r="AJ151" t="s">
        <v>395</v>
      </c>
      <c r="AK151">
        <v>0</v>
      </c>
      <c r="AM151">
        <v>1</v>
      </c>
      <c r="AO151">
        <v>1</v>
      </c>
    </row>
    <row r="152" spans="1:48" x14ac:dyDescent="0.25">
      <c r="A152" s="2" t="s">
        <v>159</v>
      </c>
      <c r="B152" s="3">
        <v>3</v>
      </c>
      <c r="C152" t="s">
        <v>6</v>
      </c>
      <c r="D152" s="4">
        <v>1</v>
      </c>
      <c r="E152" t="s">
        <v>12</v>
      </c>
      <c r="F152">
        <v>1</v>
      </c>
      <c r="G152" t="s">
        <v>12</v>
      </c>
      <c r="H152">
        <v>1</v>
      </c>
      <c r="I152" t="s">
        <v>7</v>
      </c>
      <c r="J152">
        <v>0</v>
      </c>
      <c r="K152" t="s">
        <v>7</v>
      </c>
      <c r="L152">
        <v>0</v>
      </c>
      <c r="M152" t="s">
        <v>7</v>
      </c>
      <c r="N152">
        <v>0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7.2</v>
      </c>
      <c r="U152">
        <v>1.51</v>
      </c>
      <c r="V152">
        <v>929</v>
      </c>
      <c r="W152">
        <v>29</v>
      </c>
      <c r="X152">
        <v>194</v>
      </c>
      <c r="Y152">
        <v>20</v>
      </c>
      <c r="Z152">
        <v>3</v>
      </c>
      <c r="AA152" t="s">
        <v>254</v>
      </c>
      <c r="AB152" t="s">
        <v>257</v>
      </c>
      <c r="AC152" t="s">
        <v>301</v>
      </c>
      <c r="AD152" s="5">
        <v>2</v>
      </c>
      <c r="AE152" t="s">
        <v>373</v>
      </c>
      <c r="AF152">
        <f>((0+0+0+0+2)/5)*1.04</f>
        <v>0.41600000000000004</v>
      </c>
      <c r="AG152" t="s">
        <v>367</v>
      </c>
      <c r="AH152">
        <v>1</v>
      </c>
      <c r="AI152">
        <v>1</v>
      </c>
      <c r="AJ152" t="s">
        <v>395</v>
      </c>
      <c r="AK152">
        <v>0</v>
      </c>
      <c r="AR152">
        <v>1</v>
      </c>
    </row>
    <row r="153" spans="1:48" x14ac:dyDescent="0.25">
      <c r="A153" s="2" t="s">
        <v>160</v>
      </c>
      <c r="B153" s="3">
        <v>3</v>
      </c>
      <c r="C153" t="s">
        <v>9</v>
      </c>
      <c r="D153" s="4">
        <v>1</v>
      </c>
      <c r="E153" t="s">
        <v>6</v>
      </c>
      <c r="F153">
        <v>1</v>
      </c>
      <c r="G153" t="s">
        <v>7</v>
      </c>
      <c r="H153">
        <v>0</v>
      </c>
      <c r="I153" t="s">
        <v>7</v>
      </c>
      <c r="J153">
        <v>0</v>
      </c>
      <c r="K153" t="s">
        <v>7</v>
      </c>
      <c r="L153">
        <v>0</v>
      </c>
      <c r="N153">
        <v>1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6.84</v>
      </c>
      <c r="U153">
        <v>1.52</v>
      </c>
      <c r="V153">
        <v>686</v>
      </c>
      <c r="W153">
        <v>24.5</v>
      </c>
      <c r="X153">
        <v>0.81</v>
      </c>
      <c r="Y153">
        <v>6</v>
      </c>
      <c r="Z153">
        <v>0</v>
      </c>
      <c r="AA153" t="s">
        <v>254</v>
      </c>
      <c r="AB153" t="s">
        <v>257</v>
      </c>
      <c r="AC153" t="s">
        <v>267</v>
      </c>
      <c r="AD153" s="5">
        <v>2</v>
      </c>
      <c r="AE153" t="s">
        <v>369</v>
      </c>
      <c r="AF153">
        <f>((32+8+94+22+47)/5)*1.04</f>
        <v>42.224000000000004</v>
      </c>
      <c r="AG153" t="s">
        <v>367</v>
      </c>
      <c r="AH153">
        <v>1</v>
      </c>
      <c r="AI153">
        <v>0</v>
      </c>
      <c r="AJ153" t="s">
        <v>395</v>
      </c>
      <c r="AK153">
        <v>0</v>
      </c>
      <c r="AL153">
        <v>1</v>
      </c>
      <c r="AM153">
        <v>1</v>
      </c>
      <c r="AR153">
        <v>1</v>
      </c>
    </row>
    <row r="154" spans="1:48" x14ac:dyDescent="0.25">
      <c r="A154" s="2" t="s">
        <v>161</v>
      </c>
      <c r="B154" s="3">
        <v>4</v>
      </c>
      <c r="C154" t="s">
        <v>6</v>
      </c>
      <c r="D154" s="4">
        <v>1</v>
      </c>
      <c r="E154" t="s">
        <v>5</v>
      </c>
      <c r="F154">
        <v>1</v>
      </c>
      <c r="G154" t="s">
        <v>12</v>
      </c>
      <c r="H154">
        <v>1</v>
      </c>
      <c r="I154" t="s">
        <v>7</v>
      </c>
      <c r="J154">
        <v>0</v>
      </c>
      <c r="K154" t="s">
        <v>7</v>
      </c>
      <c r="L154">
        <v>0</v>
      </c>
      <c r="N154">
        <v>1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7.98</v>
      </c>
      <c r="U154">
        <v>1.51</v>
      </c>
      <c r="V154">
        <v>1814</v>
      </c>
      <c r="W154">
        <v>29.6</v>
      </c>
      <c r="X154">
        <v>133</v>
      </c>
      <c r="Y154">
        <v>14</v>
      </c>
      <c r="Z154">
        <v>24</v>
      </c>
      <c r="AA154" t="s">
        <v>254</v>
      </c>
      <c r="AB154" t="s">
        <v>257</v>
      </c>
      <c r="AC154" t="s">
        <v>267</v>
      </c>
      <c r="AD154" s="5">
        <v>2</v>
      </c>
      <c r="AE154" t="s">
        <v>373</v>
      </c>
      <c r="AF154">
        <f>((0+21+0+2+4)/5)*1.04</f>
        <v>5.6160000000000005</v>
      </c>
      <c r="AG154" t="s">
        <v>367</v>
      </c>
      <c r="AH154">
        <v>1</v>
      </c>
      <c r="AI154">
        <v>1</v>
      </c>
      <c r="AJ154" t="s">
        <v>395</v>
      </c>
      <c r="AK154">
        <v>0</v>
      </c>
      <c r="AL154">
        <v>1</v>
      </c>
    </row>
    <row r="155" spans="1:48" x14ac:dyDescent="0.25">
      <c r="A155" s="2" t="s">
        <v>162</v>
      </c>
      <c r="B155" s="3">
        <v>2</v>
      </c>
      <c r="C155" t="s">
        <v>5</v>
      </c>
      <c r="D155" s="4">
        <v>1</v>
      </c>
      <c r="E155" t="s">
        <v>7</v>
      </c>
      <c r="F155">
        <v>0</v>
      </c>
      <c r="G155" t="s">
        <v>5</v>
      </c>
      <c r="H155">
        <v>1</v>
      </c>
      <c r="I155" t="s">
        <v>7</v>
      </c>
      <c r="J155">
        <v>0</v>
      </c>
      <c r="K155" t="s">
        <v>7</v>
      </c>
      <c r="L155">
        <v>0</v>
      </c>
      <c r="M155" t="s">
        <v>7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6.36</v>
      </c>
      <c r="U155">
        <v>0.62</v>
      </c>
      <c r="V155">
        <v>6.22</v>
      </c>
      <c r="W155">
        <v>24.6</v>
      </c>
      <c r="X155">
        <v>80</v>
      </c>
      <c r="Y155">
        <v>3</v>
      </c>
      <c r="Z155">
        <v>7</v>
      </c>
      <c r="AA155" t="s">
        <v>2</v>
      </c>
      <c r="AB155" t="s">
        <v>257</v>
      </c>
      <c r="AC155" t="s">
        <v>268</v>
      </c>
      <c r="AD155" s="5">
        <v>2</v>
      </c>
      <c r="AE155" t="s">
        <v>371</v>
      </c>
      <c r="AF155">
        <f>((45+66+92+59+83)/5)*1.04</f>
        <v>71.760000000000005</v>
      </c>
      <c r="AG155" t="s">
        <v>367</v>
      </c>
      <c r="AH155">
        <v>0</v>
      </c>
      <c r="AI155">
        <v>0</v>
      </c>
      <c r="AJ155" t="s">
        <v>398</v>
      </c>
      <c r="AK155">
        <v>0</v>
      </c>
    </row>
    <row r="156" spans="1:48" x14ac:dyDescent="0.25">
      <c r="A156" s="2" t="s">
        <v>163</v>
      </c>
      <c r="B156" s="3">
        <v>2</v>
      </c>
      <c r="C156" t="s">
        <v>6</v>
      </c>
      <c r="D156" s="4">
        <v>1</v>
      </c>
      <c r="E156" t="s">
        <v>7</v>
      </c>
      <c r="F156">
        <v>0</v>
      </c>
      <c r="G156" t="s">
        <v>5</v>
      </c>
      <c r="H156">
        <v>1</v>
      </c>
      <c r="I156" t="s">
        <v>7</v>
      </c>
      <c r="J156">
        <v>0</v>
      </c>
      <c r="K156" t="s">
        <v>7</v>
      </c>
      <c r="L156">
        <v>0</v>
      </c>
      <c r="M156" t="s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6.96</v>
      </c>
      <c r="U156">
        <v>2.91</v>
      </c>
      <c r="V156">
        <v>1619</v>
      </c>
      <c r="W156">
        <v>26.9</v>
      </c>
      <c r="X156">
        <v>64</v>
      </c>
      <c r="Y156">
        <v>13</v>
      </c>
      <c r="Z156">
        <v>17</v>
      </c>
      <c r="AA156" t="s">
        <v>2</v>
      </c>
      <c r="AB156" t="s">
        <v>260</v>
      </c>
      <c r="AC156" t="s">
        <v>302</v>
      </c>
      <c r="AD156" s="5">
        <v>2</v>
      </c>
      <c r="AE156" t="s">
        <v>369</v>
      </c>
      <c r="AF156">
        <f>((65+13+6+96+94)/5)*1.04</f>
        <v>56.991999999999997</v>
      </c>
      <c r="AG156" t="s">
        <v>378</v>
      </c>
      <c r="AH156">
        <v>0</v>
      </c>
      <c r="AI156">
        <v>0</v>
      </c>
      <c r="AJ156" t="s">
        <v>394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 s="2" t="s">
        <v>164</v>
      </c>
      <c r="B157" s="3">
        <v>2</v>
      </c>
      <c r="C157" t="s">
        <v>12</v>
      </c>
      <c r="D157" s="4">
        <v>1</v>
      </c>
      <c r="E157" t="s">
        <v>7</v>
      </c>
      <c r="F157">
        <v>0</v>
      </c>
      <c r="G157" t="s">
        <v>12</v>
      </c>
      <c r="H157">
        <v>1</v>
      </c>
      <c r="I157" t="s">
        <v>7</v>
      </c>
      <c r="J157">
        <v>0</v>
      </c>
      <c r="K157" t="s">
        <v>7</v>
      </c>
      <c r="L157">
        <v>0</v>
      </c>
      <c r="M157" t="s">
        <v>7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7.03</v>
      </c>
      <c r="U157">
        <v>1.65</v>
      </c>
      <c r="V157">
        <v>1522</v>
      </c>
      <c r="W157">
        <v>25.9</v>
      </c>
      <c r="X157">
        <v>58</v>
      </c>
      <c r="Y157">
        <v>4</v>
      </c>
      <c r="Z157">
        <v>33</v>
      </c>
      <c r="AA157" t="s">
        <v>2</v>
      </c>
      <c r="AB157" t="s">
        <v>257</v>
      </c>
      <c r="AC157" t="s">
        <v>304</v>
      </c>
      <c r="AD157" s="5">
        <v>2</v>
      </c>
      <c r="AE157" t="s">
        <v>369</v>
      </c>
      <c r="AF157">
        <f>((43+30+88+79+12)/5)*1.04</f>
        <v>52.415999999999997</v>
      </c>
      <c r="AG157" t="s">
        <v>367</v>
      </c>
      <c r="AH157">
        <v>1</v>
      </c>
      <c r="AI157">
        <v>0</v>
      </c>
      <c r="AJ157" t="s">
        <v>396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5">
      <c r="A158" s="2" t="s">
        <v>165</v>
      </c>
      <c r="B158" s="3">
        <v>1</v>
      </c>
      <c r="C158" t="s">
        <v>12</v>
      </c>
      <c r="D158" s="4">
        <v>1</v>
      </c>
      <c r="E158" t="s">
        <v>7</v>
      </c>
      <c r="F158">
        <v>0</v>
      </c>
      <c r="G158" t="s">
        <v>7</v>
      </c>
      <c r="H158">
        <v>0</v>
      </c>
      <c r="I158" t="s">
        <v>7</v>
      </c>
      <c r="J158">
        <v>0</v>
      </c>
      <c r="K158" t="s">
        <v>7</v>
      </c>
      <c r="L158">
        <v>0</v>
      </c>
      <c r="M158" t="s">
        <v>7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7.91</v>
      </c>
      <c r="U158">
        <v>1.73</v>
      </c>
      <c r="V158">
        <v>1333</v>
      </c>
      <c r="W158">
        <v>28.1</v>
      </c>
      <c r="X158">
        <v>57</v>
      </c>
      <c r="Y158">
        <v>2</v>
      </c>
      <c r="Z158">
        <v>26</v>
      </c>
      <c r="AA158" t="s">
        <v>254</v>
      </c>
      <c r="AB158" t="s">
        <v>257</v>
      </c>
      <c r="AC158" t="s">
        <v>305</v>
      </c>
      <c r="AD158" s="5">
        <v>2</v>
      </c>
      <c r="AE158" t="s">
        <v>369</v>
      </c>
      <c r="AF158">
        <f>((78+68+28+73+89)/5)*1.04</f>
        <v>69.888000000000005</v>
      </c>
      <c r="AG158" t="s">
        <v>378</v>
      </c>
      <c r="AH158">
        <v>0</v>
      </c>
      <c r="AI158">
        <v>0</v>
      </c>
      <c r="AJ158" t="s">
        <v>394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 s="2" t="s">
        <v>166</v>
      </c>
      <c r="B159" s="3">
        <v>3</v>
      </c>
      <c r="C159" t="s">
        <v>5</v>
      </c>
      <c r="D159" s="4">
        <v>1</v>
      </c>
      <c r="E159" t="s">
        <v>5</v>
      </c>
      <c r="F159">
        <v>1</v>
      </c>
      <c r="G159" t="s">
        <v>5</v>
      </c>
      <c r="H159">
        <v>1</v>
      </c>
      <c r="I159" t="s">
        <v>7</v>
      </c>
      <c r="J159">
        <v>0</v>
      </c>
      <c r="K159" t="s">
        <v>7</v>
      </c>
      <c r="L159">
        <v>0</v>
      </c>
      <c r="M159" t="s">
        <v>7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7.75</v>
      </c>
      <c r="U159">
        <v>2.56</v>
      </c>
      <c r="V159">
        <v>2.66</v>
      </c>
      <c r="W159">
        <v>28.4</v>
      </c>
      <c r="X159">
        <v>10.8</v>
      </c>
      <c r="Y159">
        <v>5</v>
      </c>
      <c r="Z159">
        <v>1</v>
      </c>
      <c r="AA159" t="s">
        <v>2</v>
      </c>
      <c r="AB159" t="s">
        <v>257</v>
      </c>
      <c r="AC159" t="s">
        <v>290</v>
      </c>
      <c r="AD159" s="5">
        <v>2</v>
      </c>
      <c r="AE159" t="s">
        <v>373</v>
      </c>
      <c r="AF159">
        <f>((1+18+0+0+0)/5)*1.04</f>
        <v>3.952</v>
      </c>
      <c r="AG159" t="s">
        <v>367</v>
      </c>
      <c r="AH159">
        <v>0</v>
      </c>
      <c r="AI159">
        <v>0</v>
      </c>
      <c r="AJ159" t="s">
        <v>395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 x14ac:dyDescent="0.25">
      <c r="A160" s="2" t="s">
        <v>167</v>
      </c>
      <c r="B160" s="3">
        <v>1</v>
      </c>
      <c r="C160" t="s">
        <v>7</v>
      </c>
      <c r="D160" s="4">
        <v>0</v>
      </c>
      <c r="E160" t="s">
        <v>5</v>
      </c>
      <c r="F160">
        <v>1</v>
      </c>
      <c r="G160" t="s">
        <v>7</v>
      </c>
      <c r="H160">
        <v>0</v>
      </c>
      <c r="I160" t="s">
        <v>7</v>
      </c>
      <c r="J160">
        <v>0</v>
      </c>
      <c r="K160" t="s">
        <v>7</v>
      </c>
      <c r="L160">
        <v>0</v>
      </c>
      <c r="M160" t="s">
        <v>7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7</v>
      </c>
      <c r="U160">
        <v>1.92</v>
      </c>
      <c r="V160">
        <v>1465</v>
      </c>
      <c r="W160">
        <v>25.3</v>
      </c>
      <c r="X160">
        <v>8</v>
      </c>
      <c r="Y160">
        <v>4</v>
      </c>
      <c r="Z160">
        <v>2</v>
      </c>
      <c r="AA160" t="s">
        <v>254</v>
      </c>
      <c r="AB160" t="s">
        <v>257</v>
      </c>
      <c r="AC160" t="s">
        <v>290</v>
      </c>
      <c r="AD160" s="5">
        <v>2</v>
      </c>
      <c r="AE160" t="s">
        <v>369</v>
      </c>
      <c r="AF160">
        <f>((71+52+75+86+55)/5)*1.04</f>
        <v>70.512</v>
      </c>
      <c r="AG160" t="s">
        <v>367</v>
      </c>
      <c r="AH160">
        <v>1</v>
      </c>
      <c r="AI160">
        <v>0</v>
      </c>
      <c r="AJ160" t="s">
        <v>395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 s="2" t="s">
        <v>168</v>
      </c>
      <c r="B161" s="3">
        <v>4</v>
      </c>
      <c r="C161" t="s">
        <v>12</v>
      </c>
      <c r="D161" s="4">
        <v>1</v>
      </c>
      <c r="E161" t="s">
        <v>12</v>
      </c>
      <c r="F161">
        <v>1</v>
      </c>
      <c r="G161" t="s">
        <v>5</v>
      </c>
      <c r="H161">
        <v>1</v>
      </c>
      <c r="I161" t="s">
        <v>7</v>
      </c>
      <c r="J161">
        <v>0</v>
      </c>
      <c r="K161" t="s">
        <v>7</v>
      </c>
      <c r="L161">
        <v>0</v>
      </c>
      <c r="M161" t="s">
        <v>9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8.35</v>
      </c>
      <c r="U161">
        <v>3.08</v>
      </c>
      <c r="V161">
        <v>1532</v>
      </c>
      <c r="W161">
        <v>29.2</v>
      </c>
      <c r="X161">
        <v>7.6</v>
      </c>
      <c r="Y161">
        <v>16</v>
      </c>
      <c r="Z161">
        <v>0</v>
      </c>
      <c r="AA161" t="s">
        <v>2</v>
      </c>
      <c r="AB161" t="s">
        <v>257</v>
      </c>
      <c r="AC161" t="s">
        <v>290</v>
      </c>
      <c r="AD161" s="5">
        <v>2</v>
      </c>
      <c r="AE161" t="s">
        <v>369</v>
      </c>
      <c r="AF161">
        <f>((0+0+5+2+48)/5)*1.04</f>
        <v>11.440000000000001</v>
      </c>
      <c r="AG161" t="s">
        <v>367</v>
      </c>
      <c r="AH161">
        <v>1</v>
      </c>
      <c r="AI161">
        <v>0</v>
      </c>
      <c r="AJ161" t="s">
        <v>395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 s="2" t="s">
        <v>169</v>
      </c>
      <c r="B162" s="3">
        <v>4</v>
      </c>
      <c r="C162" t="s">
        <v>5</v>
      </c>
      <c r="D162" s="4">
        <v>1</v>
      </c>
      <c r="E162" t="s">
        <v>12</v>
      </c>
      <c r="F162">
        <v>1</v>
      </c>
      <c r="G162" t="s">
        <v>12</v>
      </c>
      <c r="H162">
        <v>1</v>
      </c>
      <c r="I162" t="s">
        <v>7</v>
      </c>
      <c r="J162">
        <v>0</v>
      </c>
      <c r="K162" t="s">
        <v>12</v>
      </c>
      <c r="L162">
        <v>1</v>
      </c>
      <c r="M162" t="s">
        <v>7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6.42</v>
      </c>
      <c r="U162">
        <v>1.1399999999999999</v>
      </c>
      <c r="V162">
        <v>11020</v>
      </c>
      <c r="W162">
        <v>24.1</v>
      </c>
      <c r="X162">
        <v>6.1</v>
      </c>
      <c r="Y162">
        <v>9</v>
      </c>
      <c r="Z162">
        <v>2</v>
      </c>
      <c r="AA162">
        <v>38</v>
      </c>
      <c r="AB162" t="s">
        <v>257</v>
      </c>
      <c r="AC162" t="s">
        <v>290</v>
      </c>
      <c r="AD162" s="5">
        <v>2</v>
      </c>
      <c r="AE162" t="s">
        <v>369</v>
      </c>
      <c r="AF162">
        <f>((78+82+84+66+80)/5)*1.04</f>
        <v>81.12</v>
      </c>
      <c r="AG162" t="s">
        <v>367</v>
      </c>
      <c r="AH162">
        <v>1</v>
      </c>
      <c r="AI162">
        <v>0</v>
      </c>
      <c r="AJ162" t="s">
        <v>394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5">
      <c r="A163" s="2" t="s">
        <v>170</v>
      </c>
      <c r="B163" s="3">
        <v>5</v>
      </c>
      <c r="C163" t="s">
        <v>5</v>
      </c>
      <c r="D163" s="4">
        <v>1</v>
      </c>
      <c r="E163" t="s">
        <v>12</v>
      </c>
      <c r="F163">
        <v>1</v>
      </c>
      <c r="G163" t="s">
        <v>12</v>
      </c>
      <c r="H163">
        <v>1</v>
      </c>
      <c r="I163" t="s">
        <v>7</v>
      </c>
      <c r="J163">
        <v>0</v>
      </c>
      <c r="K163" t="s">
        <v>12</v>
      </c>
      <c r="L163">
        <v>1</v>
      </c>
      <c r="M163" t="s">
        <v>9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6.57</v>
      </c>
      <c r="U163">
        <v>2.64</v>
      </c>
      <c r="V163">
        <v>1405</v>
      </c>
      <c r="W163">
        <v>24</v>
      </c>
      <c r="X163">
        <v>56</v>
      </c>
      <c r="Y163">
        <v>6</v>
      </c>
      <c r="Z163">
        <v>0.5</v>
      </c>
      <c r="AA163">
        <v>19.600000000000001</v>
      </c>
      <c r="AB163" t="s">
        <v>257</v>
      </c>
      <c r="AC163" t="s">
        <v>290</v>
      </c>
      <c r="AD163" s="5">
        <v>2</v>
      </c>
      <c r="AE163" t="s">
        <v>369</v>
      </c>
      <c r="AF163">
        <f>((85+75+83+86+92)/5)*1.04</f>
        <v>87.568000000000012</v>
      </c>
      <c r="AG163" t="s">
        <v>367</v>
      </c>
      <c r="AH163">
        <v>1</v>
      </c>
      <c r="AI163">
        <v>0</v>
      </c>
      <c r="AJ163" t="s">
        <v>394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 x14ac:dyDescent="0.25">
      <c r="A164" s="2" t="s">
        <v>171</v>
      </c>
      <c r="B164" s="3">
        <v>5</v>
      </c>
      <c r="C164" t="s">
        <v>5</v>
      </c>
      <c r="D164" s="4">
        <v>1</v>
      </c>
      <c r="E164" t="s">
        <v>12</v>
      </c>
      <c r="F164">
        <v>1</v>
      </c>
      <c r="G164" t="s">
        <v>12</v>
      </c>
      <c r="H164">
        <v>1</v>
      </c>
      <c r="I164" t="s">
        <v>7</v>
      </c>
      <c r="J164">
        <v>0</v>
      </c>
      <c r="K164" t="s">
        <v>12</v>
      </c>
      <c r="L164">
        <v>1</v>
      </c>
      <c r="M164" t="s">
        <v>9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6.68</v>
      </c>
      <c r="U164">
        <v>1.37</v>
      </c>
      <c r="V164">
        <v>1236</v>
      </c>
      <c r="W164">
        <v>23.5</v>
      </c>
      <c r="X164">
        <v>53</v>
      </c>
      <c r="Y164">
        <v>5</v>
      </c>
      <c r="Z164">
        <v>1</v>
      </c>
      <c r="AA164" t="s">
        <v>254</v>
      </c>
      <c r="AB164" t="s">
        <v>257</v>
      </c>
      <c r="AC164" t="s">
        <v>290</v>
      </c>
      <c r="AD164" s="5">
        <v>2</v>
      </c>
      <c r="AE164" t="s">
        <v>369</v>
      </c>
      <c r="AF164">
        <f>((80+81+82+78+82)/5)*1.04</f>
        <v>83.823999999999998</v>
      </c>
      <c r="AG164" t="s">
        <v>367</v>
      </c>
      <c r="AH164" t="s">
        <v>2</v>
      </c>
      <c r="AI164">
        <v>0</v>
      </c>
      <c r="AJ164" t="s">
        <v>394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 x14ac:dyDescent="0.25">
      <c r="A165" s="2" t="s">
        <v>172</v>
      </c>
      <c r="B165" s="3">
        <v>4</v>
      </c>
      <c r="C165" t="s">
        <v>5</v>
      </c>
      <c r="D165" s="4">
        <v>1</v>
      </c>
      <c r="E165" t="s">
        <v>12</v>
      </c>
      <c r="F165">
        <v>1</v>
      </c>
      <c r="G165" t="s">
        <v>12</v>
      </c>
      <c r="H165">
        <v>1</v>
      </c>
      <c r="I165" t="s">
        <v>7</v>
      </c>
      <c r="J165">
        <v>0</v>
      </c>
      <c r="K165" t="s">
        <v>12</v>
      </c>
      <c r="L165">
        <v>1</v>
      </c>
      <c r="M165" t="s">
        <v>7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6.73</v>
      </c>
      <c r="U165">
        <v>1.52</v>
      </c>
      <c r="V165">
        <v>1223</v>
      </c>
      <c r="W165">
        <v>22.3</v>
      </c>
      <c r="X165">
        <v>54</v>
      </c>
      <c r="Y165">
        <v>4</v>
      </c>
      <c r="Z165">
        <v>0.5</v>
      </c>
      <c r="AA165" t="s">
        <v>254</v>
      </c>
      <c r="AB165" t="s">
        <v>257</v>
      </c>
      <c r="AC165" t="s">
        <v>290</v>
      </c>
      <c r="AD165" s="5">
        <v>2</v>
      </c>
      <c r="AE165" t="s">
        <v>369</v>
      </c>
      <c r="AF165">
        <f>((84+82+82+76+88)/5)*1.04</f>
        <v>85.696000000000012</v>
      </c>
      <c r="AG165" t="s">
        <v>367</v>
      </c>
      <c r="AH165">
        <v>1</v>
      </c>
      <c r="AI165">
        <v>0</v>
      </c>
      <c r="AJ165" t="s">
        <v>394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5">
      <c r="A166" s="2" t="s">
        <v>173</v>
      </c>
      <c r="B166" s="3">
        <v>3</v>
      </c>
      <c r="C166" t="s">
        <v>12</v>
      </c>
      <c r="D166" s="4">
        <v>1</v>
      </c>
      <c r="E166" t="s">
        <v>12</v>
      </c>
      <c r="F166">
        <v>1</v>
      </c>
      <c r="G166" t="s">
        <v>7</v>
      </c>
      <c r="H166">
        <v>0</v>
      </c>
      <c r="I166" t="s">
        <v>7</v>
      </c>
      <c r="J166">
        <v>0</v>
      </c>
      <c r="K166" t="s">
        <v>7</v>
      </c>
      <c r="L166">
        <v>0</v>
      </c>
      <c r="M166" t="s">
        <v>6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7.61</v>
      </c>
      <c r="U166">
        <v>12.05</v>
      </c>
      <c r="V166">
        <v>1571</v>
      </c>
      <c r="W166">
        <v>29.1</v>
      </c>
      <c r="X166">
        <v>103</v>
      </c>
      <c r="Y166">
        <v>33.4</v>
      </c>
      <c r="Z166">
        <v>5.2</v>
      </c>
      <c r="AA166" t="s">
        <v>254</v>
      </c>
      <c r="AB166" t="s">
        <v>257</v>
      </c>
      <c r="AC166" t="s">
        <v>298</v>
      </c>
      <c r="AD166" s="5">
        <v>2</v>
      </c>
      <c r="AE166" t="s">
        <v>373</v>
      </c>
      <c r="AF166">
        <f>((0+0+0+0+0)/5)*1.04</f>
        <v>0</v>
      </c>
      <c r="AG166" t="s">
        <v>367</v>
      </c>
      <c r="AH166">
        <v>0</v>
      </c>
      <c r="AI166">
        <v>0</v>
      </c>
      <c r="AJ166" t="s">
        <v>396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 x14ac:dyDescent="0.25">
      <c r="A167" s="2" t="s">
        <v>174</v>
      </c>
      <c r="B167" s="3">
        <v>3</v>
      </c>
      <c r="C167" t="s">
        <v>9</v>
      </c>
      <c r="D167" s="4">
        <v>1</v>
      </c>
      <c r="E167" t="s">
        <v>6</v>
      </c>
      <c r="F167">
        <v>1</v>
      </c>
      <c r="G167" t="s">
        <v>7</v>
      </c>
      <c r="H167">
        <v>0</v>
      </c>
      <c r="I167" t="s">
        <v>7</v>
      </c>
      <c r="J167">
        <v>0</v>
      </c>
      <c r="K167" t="s">
        <v>7</v>
      </c>
      <c r="L167">
        <v>0</v>
      </c>
      <c r="M167" t="s">
        <v>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8.26</v>
      </c>
      <c r="U167">
        <v>9.1999999999999993</v>
      </c>
      <c r="V167">
        <v>1590</v>
      </c>
      <c r="W167">
        <v>29.4</v>
      </c>
      <c r="X167">
        <v>108</v>
      </c>
      <c r="Y167">
        <v>3</v>
      </c>
      <c r="Z167">
        <v>23.5</v>
      </c>
      <c r="AA167" t="s">
        <v>2</v>
      </c>
      <c r="AB167" t="s">
        <v>257</v>
      </c>
      <c r="AC167" t="s">
        <v>298</v>
      </c>
      <c r="AD167" s="5">
        <v>2</v>
      </c>
      <c r="AE167" t="s">
        <v>369</v>
      </c>
      <c r="AF167">
        <f>((25+27+81+48+92)/5)*1.04</f>
        <v>56.784000000000006</v>
      </c>
      <c r="AG167" t="s">
        <v>367</v>
      </c>
      <c r="AH167">
        <v>1</v>
      </c>
      <c r="AI167">
        <v>1</v>
      </c>
      <c r="AJ167" t="s">
        <v>396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</row>
    <row r="168" spans="1:48" x14ac:dyDescent="0.25">
      <c r="A168" s="2" t="s">
        <v>175</v>
      </c>
      <c r="B168" s="3">
        <v>3</v>
      </c>
      <c r="C168" t="s">
        <v>5</v>
      </c>
      <c r="D168" s="4">
        <v>1</v>
      </c>
      <c r="E168" t="s">
        <v>6</v>
      </c>
      <c r="F168">
        <v>1</v>
      </c>
      <c r="G168" t="s">
        <v>5</v>
      </c>
      <c r="H168">
        <v>1</v>
      </c>
      <c r="I168" t="s">
        <v>7</v>
      </c>
      <c r="J168">
        <v>0</v>
      </c>
      <c r="K168" t="s">
        <v>7</v>
      </c>
      <c r="L168">
        <v>0</v>
      </c>
      <c r="M168" t="s">
        <v>7</v>
      </c>
      <c r="N168">
        <v>0</v>
      </c>
      <c r="O168">
        <v>1</v>
      </c>
      <c r="P168">
        <v>3</v>
      </c>
      <c r="Q168">
        <v>0</v>
      </c>
      <c r="R168">
        <v>3</v>
      </c>
      <c r="S168">
        <v>0</v>
      </c>
      <c r="T168">
        <v>7</v>
      </c>
      <c r="U168">
        <v>3.08</v>
      </c>
      <c r="V168">
        <v>1500</v>
      </c>
      <c r="W168">
        <v>31</v>
      </c>
      <c r="X168">
        <v>81</v>
      </c>
      <c r="Y168">
        <v>13</v>
      </c>
      <c r="Z168">
        <v>9</v>
      </c>
      <c r="AA168" t="s">
        <v>2</v>
      </c>
      <c r="AB168" t="s">
        <v>257</v>
      </c>
      <c r="AC168" t="s">
        <v>299</v>
      </c>
      <c r="AD168" s="5">
        <v>2</v>
      </c>
      <c r="AE168" t="s">
        <v>369</v>
      </c>
      <c r="AF168">
        <f>((56+85+59+82+53)/5)*1.04</f>
        <v>69.680000000000007</v>
      </c>
      <c r="AG168" t="s">
        <v>367</v>
      </c>
      <c r="AH168" t="s">
        <v>2</v>
      </c>
      <c r="AI168">
        <v>0</v>
      </c>
      <c r="AJ168" t="s">
        <v>394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s="2" t="s">
        <v>176</v>
      </c>
      <c r="B169" s="3">
        <v>4</v>
      </c>
      <c r="C169" t="s">
        <v>5</v>
      </c>
      <c r="D169" s="4">
        <v>1</v>
      </c>
      <c r="E169" t="s">
        <v>12</v>
      </c>
      <c r="F169">
        <v>1</v>
      </c>
      <c r="G169" t="s">
        <v>6</v>
      </c>
      <c r="H169">
        <v>1</v>
      </c>
      <c r="I169" t="s">
        <v>7</v>
      </c>
      <c r="J169">
        <v>0</v>
      </c>
      <c r="K169" t="s">
        <v>6</v>
      </c>
      <c r="L169">
        <v>1</v>
      </c>
      <c r="M169" t="s">
        <v>7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8.4</v>
      </c>
      <c r="U169">
        <v>10.49</v>
      </c>
      <c r="V169">
        <v>1708</v>
      </c>
      <c r="W169">
        <v>30.6</v>
      </c>
      <c r="X169">
        <v>131</v>
      </c>
      <c r="Y169">
        <v>9</v>
      </c>
      <c r="Z169">
        <v>1</v>
      </c>
      <c r="AA169">
        <v>39.6</v>
      </c>
      <c r="AB169" t="s">
        <v>257</v>
      </c>
      <c r="AC169" t="s">
        <v>299</v>
      </c>
      <c r="AD169" s="5">
        <v>2</v>
      </c>
      <c r="AE169" t="s">
        <v>369</v>
      </c>
      <c r="AF169">
        <f>((60+52+86+3+87)/5)*1.04</f>
        <v>59.904000000000003</v>
      </c>
      <c r="AG169" t="s">
        <v>367</v>
      </c>
      <c r="AH169">
        <v>0</v>
      </c>
      <c r="AI169">
        <v>0</v>
      </c>
      <c r="AJ169" t="s">
        <v>395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</row>
    <row r="170" spans="1:48" x14ac:dyDescent="0.25">
      <c r="A170" s="2" t="s">
        <v>177</v>
      </c>
      <c r="B170" s="3">
        <v>3</v>
      </c>
      <c r="C170" t="s">
        <v>5</v>
      </c>
      <c r="D170" s="4">
        <v>1</v>
      </c>
      <c r="E170" t="s">
        <v>6</v>
      </c>
      <c r="F170">
        <v>1</v>
      </c>
      <c r="G170" t="s">
        <v>25</v>
      </c>
      <c r="H170">
        <v>1</v>
      </c>
      <c r="I170" t="s">
        <v>7</v>
      </c>
      <c r="J170">
        <v>0</v>
      </c>
      <c r="K170" t="s">
        <v>7</v>
      </c>
      <c r="L170">
        <v>0</v>
      </c>
      <c r="M170" t="s">
        <v>7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7.05</v>
      </c>
      <c r="U170">
        <v>2.19</v>
      </c>
      <c r="V170">
        <v>1563</v>
      </c>
      <c r="W170">
        <v>23.5</v>
      </c>
      <c r="X170">
        <v>59</v>
      </c>
      <c r="Y170">
        <v>5</v>
      </c>
      <c r="Z170">
        <v>2</v>
      </c>
      <c r="AA170">
        <v>4.8</v>
      </c>
      <c r="AB170" t="s">
        <v>259</v>
      </c>
      <c r="AC170" t="s">
        <v>287</v>
      </c>
      <c r="AD170" s="5">
        <v>2</v>
      </c>
      <c r="AE170" t="s">
        <v>373</v>
      </c>
      <c r="AF170">
        <f>((0+0+5+0+0)/5)*1.04</f>
        <v>1.04</v>
      </c>
      <c r="AG170" t="s">
        <v>367</v>
      </c>
      <c r="AH170" t="s">
        <v>2</v>
      </c>
      <c r="AI170">
        <v>1</v>
      </c>
      <c r="AJ170" t="s">
        <v>395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</row>
    <row r="171" spans="1:48" x14ac:dyDescent="0.25">
      <c r="A171" s="2" t="s">
        <v>178</v>
      </c>
      <c r="B171" s="3">
        <v>3</v>
      </c>
      <c r="C171" t="s">
        <v>12</v>
      </c>
      <c r="D171" s="4">
        <v>1</v>
      </c>
      <c r="E171" t="s">
        <v>6</v>
      </c>
      <c r="F171">
        <v>1</v>
      </c>
      <c r="G171" t="s">
        <v>6</v>
      </c>
      <c r="H171">
        <v>1</v>
      </c>
      <c r="I171" t="s">
        <v>7</v>
      </c>
      <c r="J171">
        <v>0</v>
      </c>
      <c r="K171" t="s">
        <v>7</v>
      </c>
      <c r="L171">
        <v>0</v>
      </c>
      <c r="M171" t="s">
        <v>7</v>
      </c>
      <c r="N171">
        <v>0</v>
      </c>
      <c r="O171">
        <v>1</v>
      </c>
      <c r="P171">
        <v>3</v>
      </c>
      <c r="Q171">
        <v>0</v>
      </c>
      <c r="R171">
        <v>0</v>
      </c>
      <c r="S171">
        <v>0</v>
      </c>
      <c r="T171">
        <v>8.44</v>
      </c>
      <c r="U171">
        <v>2.59</v>
      </c>
      <c r="V171">
        <v>1739</v>
      </c>
      <c r="W171">
        <v>20.9</v>
      </c>
      <c r="X171">
        <v>158</v>
      </c>
      <c r="Y171">
        <v>13</v>
      </c>
      <c r="Z171">
        <v>2</v>
      </c>
      <c r="AA171" t="s">
        <v>254</v>
      </c>
      <c r="AB171" t="s">
        <v>257</v>
      </c>
      <c r="AC171" t="s">
        <v>288</v>
      </c>
      <c r="AD171" s="5">
        <v>2</v>
      </c>
      <c r="AE171" t="s">
        <v>371</v>
      </c>
      <c r="AF171">
        <f>((87+84+93+91+90)/5)*1.04</f>
        <v>92.56</v>
      </c>
      <c r="AG171" t="s">
        <v>385</v>
      </c>
      <c r="AH171">
        <v>1</v>
      </c>
      <c r="AI171">
        <v>0</v>
      </c>
      <c r="AJ171" t="s">
        <v>394</v>
      </c>
      <c r="AK171">
        <v>0</v>
      </c>
    </row>
    <row r="172" spans="1:48" x14ac:dyDescent="0.25">
      <c r="A172" s="2" t="s">
        <v>179</v>
      </c>
      <c r="B172" s="3">
        <v>1</v>
      </c>
      <c r="C172" t="s">
        <v>12</v>
      </c>
      <c r="D172" s="4">
        <v>1</v>
      </c>
      <c r="E172" t="s">
        <v>7</v>
      </c>
      <c r="F172">
        <v>0</v>
      </c>
      <c r="G172" t="s">
        <v>7</v>
      </c>
      <c r="H172">
        <v>0</v>
      </c>
      <c r="I172" t="s">
        <v>7</v>
      </c>
      <c r="J172">
        <v>0</v>
      </c>
      <c r="K172" t="s">
        <v>7</v>
      </c>
      <c r="L172">
        <v>0</v>
      </c>
      <c r="M172" t="s">
        <v>7</v>
      </c>
      <c r="N172">
        <v>0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7.14</v>
      </c>
      <c r="U172">
        <v>0.46</v>
      </c>
      <c r="V172">
        <v>180600</v>
      </c>
      <c r="W172">
        <v>29.9</v>
      </c>
      <c r="X172">
        <v>162</v>
      </c>
      <c r="Y172">
        <v>11</v>
      </c>
      <c r="Z172">
        <v>3</v>
      </c>
      <c r="AA172">
        <v>37.200000000000003</v>
      </c>
      <c r="AB172" t="s">
        <v>257</v>
      </c>
      <c r="AC172" t="s">
        <v>289</v>
      </c>
      <c r="AD172" s="5">
        <v>2</v>
      </c>
      <c r="AE172" t="s">
        <v>371</v>
      </c>
      <c r="AF172">
        <f>((88+82+93+85+90)/5)*1.04</f>
        <v>91.103999999999999</v>
      </c>
      <c r="AG172" t="s">
        <v>367</v>
      </c>
      <c r="AH172">
        <v>1</v>
      </c>
      <c r="AI172">
        <v>0</v>
      </c>
      <c r="AJ172" t="s">
        <v>394</v>
      </c>
      <c r="AK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8" x14ac:dyDescent="0.25">
      <c r="A173" s="2" t="s">
        <v>180</v>
      </c>
      <c r="B173" s="3">
        <v>2</v>
      </c>
      <c r="C173" t="s">
        <v>5</v>
      </c>
      <c r="D173" s="4">
        <v>1</v>
      </c>
      <c r="E173" t="s">
        <v>7</v>
      </c>
      <c r="F173">
        <v>0</v>
      </c>
      <c r="G173" t="s">
        <v>5</v>
      </c>
      <c r="H173">
        <v>1</v>
      </c>
      <c r="I173" t="s">
        <v>7</v>
      </c>
      <c r="J173">
        <v>0</v>
      </c>
      <c r="K173" t="s">
        <v>7</v>
      </c>
      <c r="L173">
        <v>0</v>
      </c>
      <c r="M173" t="s">
        <v>7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6.42</v>
      </c>
      <c r="U173" t="s">
        <v>2</v>
      </c>
      <c r="V173" t="s">
        <v>2</v>
      </c>
      <c r="W173" t="s">
        <v>2</v>
      </c>
      <c r="X173">
        <v>145</v>
      </c>
      <c r="Y173">
        <v>3</v>
      </c>
      <c r="Z173">
        <v>5</v>
      </c>
      <c r="AA173" t="s">
        <v>2</v>
      </c>
      <c r="AB173" t="s">
        <v>260</v>
      </c>
      <c r="AC173" t="s">
        <v>300</v>
      </c>
      <c r="AD173" s="5">
        <v>2</v>
      </c>
      <c r="AE173" t="s">
        <v>373</v>
      </c>
      <c r="AF173">
        <f>((23+87+2+0+14)/5)*1.04</f>
        <v>26.207999999999998</v>
      </c>
      <c r="AG173" t="s">
        <v>367</v>
      </c>
      <c r="AH173">
        <v>1</v>
      </c>
      <c r="AI173">
        <v>0</v>
      </c>
      <c r="AJ173" t="s">
        <v>395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5">
      <c r="A174" s="2" t="s">
        <v>181</v>
      </c>
      <c r="B174" s="3">
        <v>3</v>
      </c>
      <c r="C174" t="s">
        <v>5</v>
      </c>
      <c r="D174" s="4">
        <v>1</v>
      </c>
      <c r="E174" t="s">
        <v>9</v>
      </c>
      <c r="F174">
        <v>1</v>
      </c>
      <c r="G174" t="s">
        <v>5</v>
      </c>
      <c r="H174">
        <v>1</v>
      </c>
      <c r="I174" t="s">
        <v>7</v>
      </c>
      <c r="J174">
        <v>0</v>
      </c>
      <c r="K174" t="s">
        <v>7</v>
      </c>
      <c r="L174">
        <v>0</v>
      </c>
      <c r="M174" t="s">
        <v>7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7.03</v>
      </c>
      <c r="U174">
        <v>1.6</v>
      </c>
      <c r="V174">
        <v>1682</v>
      </c>
      <c r="W174">
        <v>21.7</v>
      </c>
      <c r="X174">
        <v>280</v>
      </c>
      <c r="Y174">
        <v>34</v>
      </c>
      <c r="Z174">
        <v>2</v>
      </c>
      <c r="AA174" t="s">
        <v>2</v>
      </c>
      <c r="AB174" t="s">
        <v>257</v>
      </c>
      <c r="AC174" t="s">
        <v>287</v>
      </c>
      <c r="AD174" s="5">
        <v>2</v>
      </c>
      <c r="AE174" t="s">
        <v>369</v>
      </c>
      <c r="AF174">
        <f>((71+23+82+65+20)/5)*1.04</f>
        <v>54.288000000000004</v>
      </c>
      <c r="AG174" t="s">
        <v>370</v>
      </c>
      <c r="AH174">
        <v>1</v>
      </c>
      <c r="AI174">
        <v>0</v>
      </c>
      <c r="AJ174" t="s">
        <v>395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 s="2" t="s">
        <v>182</v>
      </c>
      <c r="B175" s="3">
        <v>2</v>
      </c>
      <c r="C175" t="s">
        <v>5</v>
      </c>
      <c r="D175" s="4">
        <v>1</v>
      </c>
      <c r="E175" t="s">
        <v>7</v>
      </c>
      <c r="F175">
        <v>0</v>
      </c>
      <c r="G175" t="s">
        <v>9</v>
      </c>
      <c r="H175">
        <v>1</v>
      </c>
      <c r="I175" t="s">
        <v>7</v>
      </c>
      <c r="J175">
        <v>0</v>
      </c>
      <c r="K175" t="s">
        <v>7</v>
      </c>
      <c r="L175">
        <v>0</v>
      </c>
      <c r="M175" t="s">
        <v>7</v>
      </c>
      <c r="N175">
        <v>0</v>
      </c>
      <c r="O175">
        <v>1</v>
      </c>
      <c r="P175">
        <v>3</v>
      </c>
      <c r="Q175">
        <v>0</v>
      </c>
      <c r="R175">
        <v>0</v>
      </c>
      <c r="S175">
        <v>0</v>
      </c>
      <c r="T175">
        <v>6.68</v>
      </c>
      <c r="U175">
        <v>0.82</v>
      </c>
      <c r="V175">
        <v>1263</v>
      </c>
      <c r="W175">
        <v>22.4</v>
      </c>
      <c r="X175">
        <v>100</v>
      </c>
      <c r="Y175">
        <v>12</v>
      </c>
      <c r="Z175">
        <v>3</v>
      </c>
      <c r="AA175" t="s">
        <v>2</v>
      </c>
      <c r="AB175" t="s">
        <v>257</v>
      </c>
      <c r="AC175" t="s">
        <v>287</v>
      </c>
      <c r="AD175" s="5">
        <v>2</v>
      </c>
      <c r="AE175" t="s">
        <v>369</v>
      </c>
      <c r="AF175">
        <f>((80+88+91+62+94)/5)*1.04</f>
        <v>86.320000000000007</v>
      </c>
      <c r="AG175" t="s">
        <v>367</v>
      </c>
      <c r="AH175">
        <v>1</v>
      </c>
      <c r="AI175">
        <v>0</v>
      </c>
      <c r="AJ175" t="s">
        <v>394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5">
      <c r="A176" s="2" t="s">
        <v>183</v>
      </c>
      <c r="B176" s="3">
        <v>2</v>
      </c>
      <c r="C176" t="s">
        <v>9</v>
      </c>
      <c r="D176" s="4">
        <v>1</v>
      </c>
      <c r="E176" t="s">
        <v>12</v>
      </c>
      <c r="F176">
        <v>1</v>
      </c>
      <c r="G176" t="s">
        <v>7</v>
      </c>
      <c r="H176">
        <v>0</v>
      </c>
      <c r="I176" t="s">
        <v>7</v>
      </c>
      <c r="J176">
        <v>0</v>
      </c>
      <c r="K176" t="s">
        <v>7</v>
      </c>
      <c r="L176">
        <v>0</v>
      </c>
      <c r="M176" t="s">
        <v>7</v>
      </c>
      <c r="N176">
        <v>0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>
        <v>7.61</v>
      </c>
      <c r="U176">
        <v>4.22</v>
      </c>
      <c r="V176">
        <v>1371</v>
      </c>
      <c r="W176">
        <v>25</v>
      </c>
      <c r="X176">
        <v>114</v>
      </c>
      <c r="Y176">
        <v>13</v>
      </c>
      <c r="Z176">
        <v>11</v>
      </c>
      <c r="AA176" t="s">
        <v>254</v>
      </c>
      <c r="AB176" t="s">
        <v>260</v>
      </c>
      <c r="AC176" t="s">
        <v>287</v>
      </c>
      <c r="AD176" s="5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</row>
    <row r="177" spans="1:35" x14ac:dyDescent="0.25">
      <c r="A177" s="2" t="s">
        <v>184</v>
      </c>
      <c r="B177" s="3">
        <v>1</v>
      </c>
      <c r="C177" t="s">
        <v>5</v>
      </c>
      <c r="D177" s="4">
        <v>1</v>
      </c>
      <c r="E177" t="s">
        <v>7</v>
      </c>
      <c r="F177">
        <v>0</v>
      </c>
      <c r="G177" t="s">
        <v>7</v>
      </c>
      <c r="H177">
        <v>0</v>
      </c>
      <c r="I177" t="s">
        <v>7</v>
      </c>
      <c r="J177">
        <v>0</v>
      </c>
      <c r="K177" t="s">
        <v>7</v>
      </c>
      <c r="L177">
        <v>0</v>
      </c>
      <c r="M177" t="s">
        <v>7</v>
      </c>
      <c r="N177">
        <v>0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>
        <v>6.36</v>
      </c>
      <c r="U177">
        <v>5.36</v>
      </c>
      <c r="V177">
        <v>502</v>
      </c>
      <c r="W177">
        <v>21.7</v>
      </c>
      <c r="X177">
        <v>9</v>
      </c>
      <c r="Y177">
        <v>32</v>
      </c>
      <c r="Z177">
        <v>2</v>
      </c>
      <c r="AA177">
        <v>31.9</v>
      </c>
      <c r="AB177" t="s">
        <v>257</v>
      </c>
      <c r="AC177" t="s">
        <v>336</v>
      </c>
      <c r="AD177" s="5" t="s">
        <v>340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</row>
    <row r="178" spans="1:35" x14ac:dyDescent="0.25">
      <c r="A178" s="2" t="s">
        <v>185</v>
      </c>
      <c r="B178" s="3">
        <v>0</v>
      </c>
      <c r="C178" t="s">
        <v>7</v>
      </c>
      <c r="D178" s="4">
        <v>0</v>
      </c>
      <c r="E178" t="s">
        <v>7</v>
      </c>
      <c r="F178">
        <v>0</v>
      </c>
      <c r="G178" t="s">
        <v>7</v>
      </c>
      <c r="H178">
        <v>0</v>
      </c>
      <c r="I178" t="s">
        <v>7</v>
      </c>
      <c r="J178">
        <v>0</v>
      </c>
      <c r="K178" t="s">
        <v>7</v>
      </c>
      <c r="L178">
        <v>0</v>
      </c>
      <c r="M178" t="s">
        <v>7</v>
      </c>
      <c r="N178">
        <v>0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>
        <v>6.74</v>
      </c>
      <c r="U178">
        <v>4</v>
      </c>
      <c r="V178">
        <v>745</v>
      </c>
      <c r="W178">
        <v>24.5</v>
      </c>
      <c r="X178">
        <v>19</v>
      </c>
      <c r="Y178">
        <v>22.9</v>
      </c>
      <c r="Z178">
        <v>2</v>
      </c>
      <c r="AA178" t="s">
        <v>254</v>
      </c>
      <c r="AB178" t="s">
        <v>259</v>
      </c>
      <c r="AC178" t="s">
        <v>286</v>
      </c>
      <c r="AD178" s="5" t="s">
        <v>340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</row>
    <row r="179" spans="1:35" x14ac:dyDescent="0.25">
      <c r="A179" s="2" t="s">
        <v>186</v>
      </c>
      <c r="B179" s="3">
        <v>4</v>
      </c>
      <c r="C179" t="s">
        <v>5</v>
      </c>
      <c r="D179" s="4">
        <v>1</v>
      </c>
      <c r="E179" t="s">
        <v>5</v>
      </c>
      <c r="F179">
        <v>1</v>
      </c>
      <c r="G179" t="s">
        <v>9</v>
      </c>
      <c r="H179">
        <v>1</v>
      </c>
      <c r="I179" t="s">
        <v>7</v>
      </c>
      <c r="J179">
        <v>0</v>
      </c>
      <c r="K179" t="s">
        <v>7</v>
      </c>
      <c r="L179">
        <v>0</v>
      </c>
      <c r="M179" t="s">
        <v>9</v>
      </c>
      <c r="N179">
        <v>1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>
        <v>6.71</v>
      </c>
      <c r="U179" t="s">
        <v>2</v>
      </c>
      <c r="V179" t="s">
        <v>2</v>
      </c>
      <c r="W179" t="s">
        <v>2</v>
      </c>
      <c r="X179">
        <v>84</v>
      </c>
      <c r="Y179">
        <v>34</v>
      </c>
      <c r="Z179">
        <v>20.6</v>
      </c>
      <c r="AA179" t="s">
        <v>2</v>
      </c>
      <c r="AB179" t="s">
        <v>257</v>
      </c>
      <c r="AC179" t="s">
        <v>337</v>
      </c>
      <c r="AD179" s="5" t="s">
        <v>340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</row>
    <row r="180" spans="1:35" x14ac:dyDescent="0.25">
      <c r="A180" s="2" t="s">
        <v>187</v>
      </c>
      <c r="B180" s="3">
        <v>4</v>
      </c>
      <c r="C180" t="s">
        <v>12</v>
      </c>
      <c r="D180" s="4">
        <v>1</v>
      </c>
      <c r="E180" t="s">
        <v>6</v>
      </c>
      <c r="F180">
        <v>1</v>
      </c>
      <c r="G180" t="s">
        <v>9</v>
      </c>
      <c r="H180">
        <v>1</v>
      </c>
      <c r="I180" t="s">
        <v>7</v>
      </c>
      <c r="J180">
        <v>0</v>
      </c>
      <c r="K180" t="s">
        <v>12</v>
      </c>
      <c r="L180">
        <v>1</v>
      </c>
      <c r="M180" t="s">
        <v>7</v>
      </c>
      <c r="N180">
        <v>0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>
        <v>15</v>
      </c>
      <c r="Z180" t="s">
        <v>2</v>
      </c>
      <c r="AA180" t="s">
        <v>2</v>
      </c>
      <c r="AB180" t="s">
        <v>257</v>
      </c>
      <c r="AC180" t="s">
        <v>338</v>
      </c>
      <c r="AD180" s="5" t="s">
        <v>340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</row>
    <row r="181" spans="1:35" x14ac:dyDescent="0.25">
      <c r="A181" s="2" t="s">
        <v>188</v>
      </c>
      <c r="B181" s="3">
        <v>5</v>
      </c>
      <c r="C181" t="s">
        <v>5</v>
      </c>
      <c r="D181" s="4">
        <v>1</v>
      </c>
      <c r="E181" t="s">
        <v>12</v>
      </c>
      <c r="F181">
        <v>1</v>
      </c>
      <c r="G181" t="s">
        <v>6</v>
      </c>
      <c r="H181">
        <v>1</v>
      </c>
      <c r="I181" t="s">
        <v>7</v>
      </c>
      <c r="J181">
        <v>0</v>
      </c>
      <c r="K181" t="s">
        <v>6</v>
      </c>
      <c r="L181">
        <v>1</v>
      </c>
      <c r="M181" t="s">
        <v>6</v>
      </c>
      <c r="N181">
        <v>1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>
        <v>10</v>
      </c>
      <c r="Z181" t="s">
        <v>2</v>
      </c>
      <c r="AA181" t="s">
        <v>2</v>
      </c>
      <c r="AB181" t="s">
        <v>257</v>
      </c>
      <c r="AC181" t="s">
        <v>339</v>
      </c>
      <c r="AD181" s="5" t="s">
        <v>340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</row>
    <row r="182" spans="1:35" x14ac:dyDescent="0.25">
      <c r="A182" s="2" t="s">
        <v>189</v>
      </c>
      <c r="B182" s="3">
        <v>2</v>
      </c>
      <c r="C182" t="s">
        <v>7</v>
      </c>
      <c r="D182" s="4">
        <v>1</v>
      </c>
      <c r="E182" t="s">
        <v>5</v>
      </c>
      <c r="F182">
        <v>1</v>
      </c>
      <c r="G182" t="s">
        <v>12</v>
      </c>
      <c r="H182">
        <v>1</v>
      </c>
      <c r="I182" t="s">
        <v>7</v>
      </c>
      <c r="J182">
        <v>0</v>
      </c>
      <c r="K182" t="s">
        <v>7</v>
      </c>
      <c r="L182">
        <v>0</v>
      </c>
      <c r="M182" t="s">
        <v>7</v>
      </c>
      <c r="N182">
        <v>0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>
        <v>7.37</v>
      </c>
      <c r="U182">
        <v>2.57</v>
      </c>
      <c r="V182">
        <v>1109</v>
      </c>
      <c r="W182">
        <v>20.2</v>
      </c>
      <c r="X182">
        <v>128</v>
      </c>
      <c r="Y182">
        <v>6</v>
      </c>
      <c r="Z182" t="s">
        <v>2</v>
      </c>
      <c r="AA182" t="s">
        <v>254</v>
      </c>
      <c r="AB182" t="s">
        <v>259</v>
      </c>
      <c r="AC182" t="s">
        <v>269</v>
      </c>
      <c r="AD182" s="5">
        <v>3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</row>
    <row r="183" spans="1:35" x14ac:dyDescent="0.25">
      <c r="A183" s="2" t="s">
        <v>190</v>
      </c>
      <c r="B183" s="3">
        <v>2</v>
      </c>
      <c r="C183" t="s">
        <v>7</v>
      </c>
      <c r="D183" s="4">
        <v>1</v>
      </c>
      <c r="E183" t="s">
        <v>6</v>
      </c>
      <c r="F183">
        <v>1</v>
      </c>
      <c r="G183" t="s">
        <v>6</v>
      </c>
      <c r="H183">
        <v>1</v>
      </c>
      <c r="I183" t="s">
        <v>7</v>
      </c>
      <c r="J183">
        <v>0</v>
      </c>
      <c r="K183" t="s">
        <v>7</v>
      </c>
      <c r="L183">
        <v>0</v>
      </c>
      <c r="M183" t="s">
        <v>7</v>
      </c>
      <c r="N183">
        <v>0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>
        <v>7.97</v>
      </c>
      <c r="U183">
        <v>10.54</v>
      </c>
      <c r="V183">
        <v>1025</v>
      </c>
      <c r="W183">
        <v>23.7</v>
      </c>
      <c r="X183">
        <v>121</v>
      </c>
      <c r="Y183">
        <v>8</v>
      </c>
      <c r="Z183">
        <v>1</v>
      </c>
      <c r="AA183" t="s">
        <v>254</v>
      </c>
      <c r="AB183" t="s">
        <v>258</v>
      </c>
      <c r="AC183" t="s">
        <v>270</v>
      </c>
      <c r="AD183" s="5">
        <v>3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</row>
    <row r="184" spans="1:35" x14ac:dyDescent="0.25">
      <c r="A184" s="2" t="s">
        <v>191</v>
      </c>
      <c r="B184" s="3">
        <v>2</v>
      </c>
      <c r="C184" t="s">
        <v>7</v>
      </c>
      <c r="D184" s="4">
        <v>1</v>
      </c>
      <c r="E184" t="s">
        <v>5</v>
      </c>
      <c r="F184">
        <v>1</v>
      </c>
      <c r="G184" t="s">
        <v>6</v>
      </c>
      <c r="H184">
        <v>1</v>
      </c>
      <c r="I184" t="s">
        <v>7</v>
      </c>
      <c r="J184">
        <v>0</v>
      </c>
      <c r="K184" t="s">
        <v>7</v>
      </c>
      <c r="L184">
        <v>0</v>
      </c>
      <c r="M184" t="s">
        <v>7</v>
      </c>
      <c r="N184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>
        <v>7.7</v>
      </c>
      <c r="U184">
        <v>5.85</v>
      </c>
      <c r="V184">
        <v>1042</v>
      </c>
      <c r="W184">
        <v>20</v>
      </c>
      <c r="X184">
        <v>132</v>
      </c>
      <c r="Y184">
        <v>27</v>
      </c>
      <c r="Z184">
        <v>0</v>
      </c>
      <c r="AA184" t="s">
        <v>254</v>
      </c>
      <c r="AB184" t="s">
        <v>259</v>
      </c>
      <c r="AC184" t="s">
        <v>269</v>
      </c>
      <c r="AD184" s="5">
        <v>3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</row>
    <row r="185" spans="1:35" x14ac:dyDescent="0.25">
      <c r="A185" s="2" t="s">
        <v>192</v>
      </c>
      <c r="B185" s="3">
        <v>3</v>
      </c>
      <c r="C185" t="s">
        <v>5</v>
      </c>
      <c r="D185" s="4">
        <v>1</v>
      </c>
      <c r="E185" t="s">
        <v>12</v>
      </c>
      <c r="F185">
        <v>1</v>
      </c>
      <c r="G185" t="s">
        <v>12</v>
      </c>
      <c r="H185">
        <v>1</v>
      </c>
      <c r="I185" t="s">
        <v>7</v>
      </c>
      <c r="J185">
        <v>0</v>
      </c>
      <c r="K185" t="s">
        <v>7</v>
      </c>
      <c r="L185">
        <v>0</v>
      </c>
      <c r="M185" t="s">
        <v>7</v>
      </c>
      <c r="N185">
        <v>0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>
        <v>7.09</v>
      </c>
      <c r="U185">
        <v>0.65</v>
      </c>
      <c r="V185">
        <v>1097</v>
      </c>
      <c r="W185">
        <v>19.2</v>
      </c>
      <c r="X185">
        <v>194</v>
      </c>
      <c r="Y185">
        <v>26</v>
      </c>
      <c r="Z185">
        <v>14</v>
      </c>
      <c r="AA185" t="s">
        <v>2</v>
      </c>
      <c r="AB185" t="s">
        <v>259</v>
      </c>
      <c r="AC185" t="s">
        <v>269</v>
      </c>
      <c r="AD185" s="5">
        <v>3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</row>
    <row r="186" spans="1:35" x14ac:dyDescent="0.25">
      <c r="A186" s="2" t="s">
        <v>193</v>
      </c>
      <c r="B186" s="3">
        <v>3</v>
      </c>
      <c r="C186" t="s">
        <v>6</v>
      </c>
      <c r="D186" s="4">
        <v>1</v>
      </c>
      <c r="E186" t="s">
        <v>12</v>
      </c>
      <c r="F186">
        <v>1</v>
      </c>
      <c r="G186" t="s">
        <v>5</v>
      </c>
      <c r="H186">
        <v>1</v>
      </c>
      <c r="I186" t="s">
        <v>7</v>
      </c>
      <c r="J186">
        <v>0</v>
      </c>
      <c r="K186" t="s">
        <v>7</v>
      </c>
      <c r="L186">
        <v>0</v>
      </c>
      <c r="M186" t="s">
        <v>7</v>
      </c>
      <c r="N186">
        <v>0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>
        <v>7.84</v>
      </c>
      <c r="U186">
        <v>467</v>
      </c>
      <c r="V186">
        <v>1037</v>
      </c>
      <c r="W186">
        <v>27.9</v>
      </c>
      <c r="X186">
        <v>142</v>
      </c>
      <c r="Y186">
        <v>5</v>
      </c>
      <c r="Z186">
        <v>0</v>
      </c>
      <c r="AA186" t="s">
        <v>254</v>
      </c>
      <c r="AB186" t="s">
        <v>259</v>
      </c>
      <c r="AC186" t="s">
        <v>271</v>
      </c>
      <c r="AD186" s="5">
        <v>3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</row>
    <row r="187" spans="1:35" x14ac:dyDescent="0.25">
      <c r="A187" s="2" t="s">
        <v>194</v>
      </c>
      <c r="B187" s="3">
        <v>3</v>
      </c>
      <c r="C187" t="s">
        <v>12</v>
      </c>
      <c r="D187" s="4">
        <v>1</v>
      </c>
      <c r="E187" t="s">
        <v>9</v>
      </c>
      <c r="F187">
        <v>1</v>
      </c>
      <c r="G187" t="s">
        <v>12</v>
      </c>
      <c r="H187">
        <v>1</v>
      </c>
      <c r="I187" t="s">
        <v>7</v>
      </c>
      <c r="J187">
        <v>0</v>
      </c>
      <c r="K187" t="s">
        <v>7</v>
      </c>
      <c r="L187">
        <v>0</v>
      </c>
      <c r="M187" t="s">
        <v>7</v>
      </c>
      <c r="N187">
        <v>0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>
        <v>7.34</v>
      </c>
      <c r="U187">
        <v>8.69</v>
      </c>
      <c r="V187">
        <v>1117</v>
      </c>
      <c r="W187">
        <v>27.6</v>
      </c>
      <c r="X187">
        <v>195</v>
      </c>
      <c r="Y187">
        <v>14</v>
      </c>
      <c r="Z187">
        <v>1</v>
      </c>
      <c r="AA187" t="s">
        <v>2</v>
      </c>
      <c r="AB187" t="s">
        <v>259</v>
      </c>
      <c r="AC187" t="s">
        <v>271</v>
      </c>
      <c r="AD187" s="5">
        <v>3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</row>
    <row r="188" spans="1:35" x14ac:dyDescent="0.25">
      <c r="A188" s="2" t="s">
        <v>195</v>
      </c>
      <c r="B188" s="3">
        <v>2</v>
      </c>
      <c r="C188" t="s">
        <v>5</v>
      </c>
      <c r="D188" s="4">
        <v>1</v>
      </c>
      <c r="E188" t="s">
        <v>7</v>
      </c>
      <c r="F188">
        <v>0</v>
      </c>
      <c r="G188" t="s">
        <v>5</v>
      </c>
      <c r="H188">
        <v>1</v>
      </c>
      <c r="I188" t="s">
        <v>7</v>
      </c>
      <c r="J188">
        <v>0</v>
      </c>
      <c r="K188" t="s">
        <v>7</v>
      </c>
      <c r="L188">
        <v>0</v>
      </c>
      <c r="M188" t="s">
        <v>7</v>
      </c>
      <c r="N188">
        <v>0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>
        <v>6.81</v>
      </c>
      <c r="U188">
        <v>0.75</v>
      </c>
      <c r="V188">
        <v>1077</v>
      </c>
      <c r="W188">
        <v>27.1</v>
      </c>
      <c r="X188">
        <v>127</v>
      </c>
      <c r="Y188">
        <v>8</v>
      </c>
      <c r="Z188">
        <v>32</v>
      </c>
      <c r="AA188" t="s">
        <v>2</v>
      </c>
      <c r="AB188" t="s">
        <v>259</v>
      </c>
      <c r="AC188" t="s">
        <v>272</v>
      </c>
      <c r="AD188" s="5">
        <v>3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</row>
    <row r="189" spans="1:35" x14ac:dyDescent="0.25">
      <c r="A189" s="2" t="s">
        <v>196</v>
      </c>
      <c r="B189" s="3">
        <v>3</v>
      </c>
      <c r="C189" t="s">
        <v>12</v>
      </c>
      <c r="D189" s="4">
        <v>1</v>
      </c>
      <c r="E189" t="s">
        <v>7</v>
      </c>
      <c r="F189">
        <v>0</v>
      </c>
      <c r="G189" t="s">
        <v>12</v>
      </c>
      <c r="H189">
        <v>1</v>
      </c>
      <c r="I189" t="s">
        <v>6</v>
      </c>
      <c r="J189">
        <v>1</v>
      </c>
      <c r="K189" t="s">
        <v>7</v>
      </c>
      <c r="L189">
        <v>0</v>
      </c>
      <c r="M189" t="s">
        <v>7</v>
      </c>
      <c r="N189">
        <v>0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>
        <v>7.32</v>
      </c>
      <c r="U189">
        <v>1.24</v>
      </c>
      <c r="V189">
        <v>1013</v>
      </c>
      <c r="W189">
        <v>19.8</v>
      </c>
      <c r="X189">
        <v>139</v>
      </c>
      <c r="Y189">
        <v>10</v>
      </c>
      <c r="Z189">
        <v>12</v>
      </c>
      <c r="AA189" t="s">
        <v>2</v>
      </c>
      <c r="AB189" t="s">
        <v>260</v>
      </c>
      <c r="AC189" t="s">
        <v>275</v>
      </c>
      <c r="AD189" s="5">
        <v>3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</row>
    <row r="190" spans="1:35" x14ac:dyDescent="0.25">
      <c r="A190" s="2" t="s">
        <v>197</v>
      </c>
      <c r="B190" t="s">
        <v>2</v>
      </c>
      <c r="C190" t="s">
        <v>2</v>
      </c>
      <c r="D190" s="4" t="s">
        <v>2</v>
      </c>
      <c r="E190" t="s">
        <v>7</v>
      </c>
      <c r="F190">
        <v>0</v>
      </c>
      <c r="G190" t="s">
        <v>2</v>
      </c>
      <c r="H190" t="s">
        <v>2</v>
      </c>
      <c r="I190" t="s">
        <v>2</v>
      </c>
      <c r="J190" t="s">
        <v>2</v>
      </c>
      <c r="K190" t="s">
        <v>7</v>
      </c>
      <c r="L190">
        <v>0</v>
      </c>
      <c r="M190" t="s">
        <v>7</v>
      </c>
      <c r="N190">
        <v>0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>
        <v>7.07</v>
      </c>
      <c r="U190">
        <v>3.12</v>
      </c>
      <c r="V190">
        <v>872</v>
      </c>
      <c r="W190">
        <v>21.7</v>
      </c>
      <c r="X190">
        <v>90</v>
      </c>
      <c r="Y190">
        <v>8</v>
      </c>
      <c r="Z190">
        <v>9</v>
      </c>
      <c r="AA190" t="s">
        <v>254</v>
      </c>
      <c r="AB190" t="s">
        <v>260</v>
      </c>
      <c r="AC190" t="s">
        <v>276</v>
      </c>
      <c r="AD190" s="5">
        <v>3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</row>
    <row r="191" spans="1:35" x14ac:dyDescent="0.25">
      <c r="A191" s="2" t="s">
        <v>198</v>
      </c>
      <c r="B191" s="3">
        <v>2</v>
      </c>
      <c r="C191" t="s">
        <v>25</v>
      </c>
      <c r="D191" s="4">
        <v>1</v>
      </c>
      <c r="E191" t="s">
        <v>7</v>
      </c>
      <c r="F191">
        <v>0</v>
      </c>
      <c r="G191" t="s">
        <v>6</v>
      </c>
      <c r="H191">
        <v>1</v>
      </c>
      <c r="I191" t="s">
        <v>7</v>
      </c>
      <c r="J191">
        <v>0</v>
      </c>
      <c r="K191" t="s">
        <v>7</v>
      </c>
      <c r="L191">
        <v>0</v>
      </c>
      <c r="M191" t="s">
        <v>7</v>
      </c>
      <c r="N191">
        <v>0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>
        <v>6.96</v>
      </c>
      <c r="U191">
        <v>1.26</v>
      </c>
      <c r="V191">
        <v>774</v>
      </c>
      <c r="W191">
        <v>20</v>
      </c>
      <c r="X191">
        <v>98</v>
      </c>
      <c r="Y191">
        <v>21</v>
      </c>
      <c r="Z191">
        <v>49</v>
      </c>
      <c r="AA191" t="s">
        <v>2</v>
      </c>
      <c r="AB191" t="s">
        <v>260</v>
      </c>
      <c r="AC191" t="s">
        <v>277</v>
      </c>
      <c r="AD191" s="5">
        <v>3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</row>
    <row r="192" spans="1:35" x14ac:dyDescent="0.25">
      <c r="A192" s="2" t="s">
        <v>199</v>
      </c>
      <c r="B192" s="3">
        <v>2</v>
      </c>
      <c r="C192" t="s">
        <v>9</v>
      </c>
      <c r="D192" s="4">
        <v>1</v>
      </c>
      <c r="E192" t="s">
        <v>7</v>
      </c>
      <c r="F192">
        <v>0</v>
      </c>
      <c r="G192" t="s">
        <v>12</v>
      </c>
      <c r="H192">
        <v>1</v>
      </c>
      <c r="I192" t="s">
        <v>7</v>
      </c>
      <c r="J192">
        <v>0</v>
      </c>
      <c r="K192" t="s">
        <v>7</v>
      </c>
      <c r="L192">
        <v>0</v>
      </c>
      <c r="M192" t="s">
        <v>7</v>
      </c>
      <c r="N192">
        <v>0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>
        <v>9.01</v>
      </c>
      <c r="U192">
        <v>10.25</v>
      </c>
      <c r="V192">
        <v>40500</v>
      </c>
      <c r="W192">
        <v>30.6</v>
      </c>
      <c r="X192">
        <v>121</v>
      </c>
      <c r="Y192">
        <v>22</v>
      </c>
      <c r="Z192">
        <v>0</v>
      </c>
      <c r="AA192" t="s">
        <v>254</v>
      </c>
      <c r="AB192" t="s">
        <v>259</v>
      </c>
      <c r="AC192" t="s">
        <v>278</v>
      </c>
      <c r="AD192" s="5">
        <v>3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</row>
    <row r="193" spans="1:35" x14ac:dyDescent="0.25">
      <c r="A193" s="2" t="s">
        <v>200</v>
      </c>
      <c r="B193" s="3">
        <v>2</v>
      </c>
      <c r="C193" t="s">
        <v>25</v>
      </c>
      <c r="D193" s="4">
        <v>1</v>
      </c>
      <c r="E193" t="s">
        <v>7</v>
      </c>
      <c r="F193">
        <v>0</v>
      </c>
      <c r="G193" t="s">
        <v>6</v>
      </c>
      <c r="H193">
        <v>1</v>
      </c>
      <c r="I193" t="s">
        <v>7</v>
      </c>
      <c r="J193">
        <v>0</v>
      </c>
      <c r="K193" t="s">
        <v>7</v>
      </c>
      <c r="L193">
        <v>0</v>
      </c>
      <c r="M193" t="s">
        <v>7</v>
      </c>
      <c r="N193">
        <v>0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>
        <v>6.68</v>
      </c>
      <c r="U193">
        <v>5.85</v>
      </c>
      <c r="V193">
        <v>997</v>
      </c>
      <c r="W193">
        <v>20.7</v>
      </c>
      <c r="X193">
        <v>184</v>
      </c>
      <c r="Y193">
        <v>14</v>
      </c>
      <c r="Z193">
        <v>0</v>
      </c>
      <c r="AA193" t="s">
        <v>2</v>
      </c>
      <c r="AB193" t="s">
        <v>259</v>
      </c>
      <c r="AC193" t="s">
        <v>278</v>
      </c>
      <c r="AD193" s="5">
        <v>3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</row>
    <row r="194" spans="1:35" x14ac:dyDescent="0.25">
      <c r="A194" s="2" t="s">
        <v>201</v>
      </c>
      <c r="B194" s="3">
        <v>3</v>
      </c>
      <c r="C194" t="s">
        <v>6</v>
      </c>
      <c r="D194" s="4">
        <v>1</v>
      </c>
      <c r="E194" t="s">
        <v>12</v>
      </c>
      <c r="F194">
        <v>1</v>
      </c>
      <c r="G194" t="s">
        <v>12</v>
      </c>
      <c r="H194">
        <v>1</v>
      </c>
      <c r="I194" t="s">
        <v>7</v>
      </c>
      <c r="J194">
        <v>0</v>
      </c>
      <c r="K194" t="s">
        <v>7</v>
      </c>
      <c r="L194">
        <v>0</v>
      </c>
      <c r="M194" t="s">
        <v>7</v>
      </c>
      <c r="N194">
        <v>0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>
        <v>7.11</v>
      </c>
      <c r="U194">
        <v>0.78</v>
      </c>
      <c r="V194">
        <v>1023</v>
      </c>
      <c r="W194">
        <v>30.9</v>
      </c>
      <c r="X194">
        <v>157</v>
      </c>
      <c r="Y194">
        <v>9</v>
      </c>
      <c r="Z194">
        <v>31</v>
      </c>
      <c r="AA194" t="s">
        <v>2</v>
      </c>
      <c r="AB194" t="s">
        <v>259</v>
      </c>
      <c r="AC194" t="s">
        <v>278</v>
      </c>
      <c r="AD194" s="5">
        <v>3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</row>
    <row r="195" spans="1:35" x14ac:dyDescent="0.25">
      <c r="A195" s="2" t="s">
        <v>202</v>
      </c>
      <c r="B195" s="3">
        <v>3</v>
      </c>
      <c r="C195" t="s">
        <v>9</v>
      </c>
      <c r="D195" s="4">
        <v>1</v>
      </c>
      <c r="E195" t="s">
        <v>9</v>
      </c>
      <c r="F195">
        <v>1</v>
      </c>
      <c r="G195" t="s">
        <v>6</v>
      </c>
      <c r="H195">
        <v>1</v>
      </c>
      <c r="I195" t="s">
        <v>7</v>
      </c>
      <c r="J195">
        <v>0</v>
      </c>
      <c r="K195" t="s">
        <v>7</v>
      </c>
      <c r="L195">
        <v>0</v>
      </c>
      <c r="M195" t="s">
        <v>7</v>
      </c>
      <c r="N195">
        <v>0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>
        <v>9.5</v>
      </c>
      <c r="U195">
        <v>17.05</v>
      </c>
      <c r="V195">
        <v>1085</v>
      </c>
      <c r="W195">
        <v>30.2</v>
      </c>
      <c r="X195">
        <v>120</v>
      </c>
      <c r="Y195">
        <v>14</v>
      </c>
      <c r="Z195" t="s">
        <v>2</v>
      </c>
      <c r="AA195" t="s">
        <v>254</v>
      </c>
      <c r="AB195" t="s">
        <v>259</v>
      </c>
      <c r="AC195" t="s">
        <v>278</v>
      </c>
      <c r="AD195" s="5">
        <v>3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</row>
    <row r="196" spans="1:35" x14ac:dyDescent="0.25">
      <c r="A196" s="2" t="s">
        <v>203</v>
      </c>
      <c r="B196" s="3">
        <v>2</v>
      </c>
      <c r="C196" t="s">
        <v>7</v>
      </c>
      <c r="D196" s="4">
        <v>0</v>
      </c>
      <c r="E196" t="s">
        <v>12</v>
      </c>
      <c r="F196">
        <v>1</v>
      </c>
      <c r="G196" t="s">
        <v>5</v>
      </c>
      <c r="H196">
        <v>1</v>
      </c>
      <c r="I196" t="s">
        <v>7</v>
      </c>
      <c r="J196">
        <v>0</v>
      </c>
      <c r="K196" t="s">
        <v>7</v>
      </c>
      <c r="L196">
        <v>0</v>
      </c>
      <c r="M196" t="s">
        <v>7</v>
      </c>
      <c r="N196">
        <v>0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>
        <v>7.3</v>
      </c>
      <c r="U196">
        <v>3.8</v>
      </c>
      <c r="V196">
        <v>1116</v>
      </c>
      <c r="W196" t="s">
        <v>2</v>
      </c>
      <c r="X196">
        <v>165</v>
      </c>
      <c r="Y196">
        <v>9</v>
      </c>
      <c r="Z196">
        <v>2</v>
      </c>
      <c r="AA196" t="s">
        <v>2</v>
      </c>
      <c r="AB196" t="s">
        <v>259</v>
      </c>
      <c r="AC196" t="s">
        <v>278</v>
      </c>
      <c r="AD196" s="5">
        <v>3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</row>
    <row r="197" spans="1:35" x14ac:dyDescent="0.25">
      <c r="A197" s="2" t="s">
        <v>204</v>
      </c>
      <c r="B197" s="3">
        <v>1</v>
      </c>
      <c r="C197" t="s">
        <v>12</v>
      </c>
      <c r="D197" s="4">
        <v>1</v>
      </c>
      <c r="E197" t="s">
        <v>7</v>
      </c>
      <c r="F197">
        <v>0</v>
      </c>
      <c r="G197" t="s">
        <v>7</v>
      </c>
      <c r="H197">
        <v>0</v>
      </c>
      <c r="I197" t="s">
        <v>7</v>
      </c>
      <c r="J197">
        <v>0</v>
      </c>
      <c r="K197" t="s">
        <v>7</v>
      </c>
      <c r="L197">
        <v>0</v>
      </c>
      <c r="M197" t="s">
        <v>7</v>
      </c>
      <c r="N197">
        <v>0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>
        <v>9.1199999999999992</v>
      </c>
      <c r="U197">
        <v>11.05</v>
      </c>
      <c r="V197">
        <v>1062</v>
      </c>
      <c r="W197">
        <v>29.7</v>
      </c>
      <c r="X197">
        <v>130</v>
      </c>
      <c r="Y197">
        <v>4</v>
      </c>
      <c r="Z197">
        <v>8</v>
      </c>
      <c r="AA197">
        <v>45</v>
      </c>
      <c r="AB197" t="s">
        <v>259</v>
      </c>
      <c r="AC197" t="s">
        <v>279</v>
      </c>
      <c r="AD197" s="5">
        <v>3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</row>
    <row r="198" spans="1:35" x14ac:dyDescent="0.25">
      <c r="A198" s="2" t="s">
        <v>205</v>
      </c>
      <c r="B198" s="3">
        <v>3</v>
      </c>
      <c r="C198" t="s">
        <v>6</v>
      </c>
      <c r="D198" s="4">
        <v>1</v>
      </c>
      <c r="E198" t="s">
        <v>6</v>
      </c>
      <c r="F198">
        <v>1</v>
      </c>
      <c r="G198" t="s">
        <v>9</v>
      </c>
      <c r="H198">
        <v>1</v>
      </c>
      <c r="I198" t="s">
        <v>7</v>
      </c>
      <c r="J198">
        <v>0</v>
      </c>
      <c r="K198" t="s">
        <v>7</v>
      </c>
      <c r="L198">
        <v>0</v>
      </c>
      <c r="M198" t="s">
        <v>7</v>
      </c>
      <c r="N198">
        <v>0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>
        <v>9.0500000000000007</v>
      </c>
      <c r="U198">
        <v>4.5999999999999996</v>
      </c>
      <c r="V198">
        <v>1028</v>
      </c>
      <c r="W198">
        <v>27.6</v>
      </c>
      <c r="X198">
        <v>119</v>
      </c>
      <c r="Y198">
        <v>4</v>
      </c>
      <c r="Z198">
        <v>0.5</v>
      </c>
      <c r="AA198" t="s">
        <v>254</v>
      </c>
      <c r="AB198" t="s">
        <v>259</v>
      </c>
      <c r="AC198" t="s">
        <v>278</v>
      </c>
      <c r="AD198" s="5">
        <v>3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</row>
    <row r="199" spans="1:35" x14ac:dyDescent="0.25">
      <c r="A199" s="2" t="s">
        <v>206</v>
      </c>
      <c r="B199" s="3">
        <v>3</v>
      </c>
      <c r="C199" t="s">
        <v>6</v>
      </c>
      <c r="D199" s="4">
        <v>1</v>
      </c>
      <c r="E199" t="s">
        <v>9</v>
      </c>
      <c r="F199">
        <v>1</v>
      </c>
      <c r="G199" t="s">
        <v>6</v>
      </c>
      <c r="H199">
        <v>1</v>
      </c>
      <c r="I199" t="s">
        <v>7</v>
      </c>
      <c r="J199">
        <v>0</v>
      </c>
      <c r="K199" t="s">
        <v>7</v>
      </c>
      <c r="L199">
        <v>0</v>
      </c>
      <c r="M199" t="s">
        <v>7</v>
      </c>
      <c r="N199">
        <v>0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>
        <v>7.61</v>
      </c>
      <c r="U199">
        <v>6.45</v>
      </c>
      <c r="V199">
        <v>776</v>
      </c>
      <c r="W199">
        <v>28.8</v>
      </c>
      <c r="X199">
        <v>244</v>
      </c>
      <c r="Y199">
        <v>3</v>
      </c>
      <c r="Z199">
        <v>0</v>
      </c>
      <c r="AA199">
        <v>35</v>
      </c>
      <c r="AB199" t="s">
        <v>259</v>
      </c>
      <c r="AC199" t="s">
        <v>273</v>
      </c>
      <c r="AD199" s="5">
        <v>3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</row>
    <row r="200" spans="1:35" x14ac:dyDescent="0.25">
      <c r="A200" s="2" t="s">
        <v>207</v>
      </c>
      <c r="B200" s="3">
        <v>3</v>
      </c>
      <c r="C200" t="s">
        <v>5</v>
      </c>
      <c r="D200" s="4">
        <v>1</v>
      </c>
      <c r="E200" t="s">
        <v>12</v>
      </c>
      <c r="F200">
        <v>1</v>
      </c>
      <c r="G200" t="s">
        <v>12</v>
      </c>
      <c r="H200">
        <v>1</v>
      </c>
      <c r="I200" t="s">
        <v>7</v>
      </c>
      <c r="J200">
        <v>0</v>
      </c>
      <c r="K200" t="s">
        <v>7</v>
      </c>
      <c r="L200">
        <v>0</v>
      </c>
      <c r="M200" t="s">
        <v>7</v>
      </c>
      <c r="N200">
        <v>0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>
        <v>7.84</v>
      </c>
      <c r="U200">
        <v>6.22</v>
      </c>
      <c r="V200">
        <v>1154</v>
      </c>
      <c r="W200">
        <v>25.4</v>
      </c>
      <c r="X200">
        <v>232</v>
      </c>
      <c r="Y200">
        <v>7</v>
      </c>
      <c r="Z200">
        <v>28</v>
      </c>
      <c r="AA200">
        <v>28</v>
      </c>
      <c r="AB200" t="s">
        <v>259</v>
      </c>
      <c r="AC200" t="s">
        <v>273</v>
      </c>
      <c r="AD200" s="5">
        <v>3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</row>
    <row r="201" spans="1:35" x14ac:dyDescent="0.25">
      <c r="A201" s="2" t="s">
        <v>208</v>
      </c>
      <c r="B201" s="3">
        <v>3</v>
      </c>
      <c r="C201" t="s">
        <v>6</v>
      </c>
      <c r="D201" s="4">
        <v>1</v>
      </c>
      <c r="E201" t="s">
        <v>6</v>
      </c>
      <c r="F201">
        <v>1</v>
      </c>
      <c r="G201" t="s">
        <v>9</v>
      </c>
      <c r="H201">
        <v>1</v>
      </c>
      <c r="I201" t="s">
        <v>7</v>
      </c>
      <c r="J201">
        <v>0</v>
      </c>
      <c r="K201" t="s">
        <v>7</v>
      </c>
      <c r="L201">
        <v>0</v>
      </c>
      <c r="M201" t="s">
        <v>7</v>
      </c>
      <c r="N201">
        <v>0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>
        <v>8.33</v>
      </c>
      <c r="U201">
        <v>10.48</v>
      </c>
      <c r="V201">
        <v>1347</v>
      </c>
      <c r="W201">
        <v>25.9</v>
      </c>
      <c r="X201">
        <v>223</v>
      </c>
      <c r="Y201">
        <v>2</v>
      </c>
      <c r="Z201">
        <v>4</v>
      </c>
      <c r="AA201" t="s">
        <v>254</v>
      </c>
      <c r="AB201" t="s">
        <v>259</v>
      </c>
      <c r="AC201" t="s">
        <v>274</v>
      </c>
      <c r="AD201" s="5">
        <v>3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</row>
    <row r="202" spans="1:35" x14ac:dyDescent="0.25">
      <c r="A202" s="2" t="s">
        <v>209</v>
      </c>
      <c r="B202" s="3">
        <v>3</v>
      </c>
      <c r="C202" t="s">
        <v>6</v>
      </c>
      <c r="D202" s="4">
        <v>1</v>
      </c>
      <c r="E202" t="s">
        <v>6</v>
      </c>
      <c r="F202">
        <v>1</v>
      </c>
      <c r="G202" t="s">
        <v>6</v>
      </c>
      <c r="H202">
        <v>1</v>
      </c>
      <c r="I202" t="s">
        <v>7</v>
      </c>
      <c r="J202">
        <v>0</v>
      </c>
      <c r="K202" t="s">
        <v>7</v>
      </c>
      <c r="L202">
        <v>0</v>
      </c>
      <c r="M202" t="s">
        <v>7</v>
      </c>
      <c r="N202">
        <v>0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>
        <v>8.5299999999999994</v>
      </c>
      <c r="U202">
        <v>10.53</v>
      </c>
      <c r="V202">
        <v>1621</v>
      </c>
      <c r="W202">
        <v>27</v>
      </c>
      <c r="X202">
        <v>214</v>
      </c>
      <c r="Y202">
        <v>3</v>
      </c>
      <c r="Z202">
        <v>17</v>
      </c>
      <c r="AA202" t="s">
        <v>254</v>
      </c>
      <c r="AB202" t="s">
        <v>259</v>
      </c>
      <c r="AC202" t="s">
        <v>274</v>
      </c>
      <c r="AD202" s="5">
        <v>3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</row>
    <row r="203" spans="1:35" x14ac:dyDescent="0.25">
      <c r="A203" s="2" t="s">
        <v>210</v>
      </c>
      <c r="B203" s="3">
        <v>3</v>
      </c>
      <c r="C203" t="s">
        <v>5</v>
      </c>
      <c r="D203" s="4">
        <v>1</v>
      </c>
      <c r="E203" t="s">
        <v>5</v>
      </c>
      <c r="F203">
        <v>1</v>
      </c>
      <c r="G203" t="s">
        <v>6</v>
      </c>
      <c r="H203">
        <v>1</v>
      </c>
      <c r="I203" t="s">
        <v>7</v>
      </c>
      <c r="J203">
        <v>0</v>
      </c>
      <c r="K203" t="s">
        <v>7</v>
      </c>
      <c r="L203">
        <v>0</v>
      </c>
      <c r="M203" t="s">
        <v>7</v>
      </c>
      <c r="N203">
        <v>0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>
        <v>8.01</v>
      </c>
      <c r="U203">
        <v>11.13</v>
      </c>
      <c r="V203">
        <v>1653</v>
      </c>
      <c r="W203">
        <v>28.4</v>
      </c>
      <c r="X203">
        <v>247</v>
      </c>
      <c r="Y203">
        <v>0</v>
      </c>
      <c r="Z203">
        <v>12</v>
      </c>
      <c r="AA203" t="s">
        <v>254</v>
      </c>
      <c r="AB203" t="s">
        <v>259</v>
      </c>
      <c r="AC203" t="s">
        <v>274</v>
      </c>
      <c r="AD203" s="5">
        <v>3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</row>
    <row r="204" spans="1:35" x14ac:dyDescent="0.25">
      <c r="A204" s="2" t="s">
        <v>211</v>
      </c>
      <c r="B204" s="3">
        <v>3</v>
      </c>
      <c r="C204" t="s">
        <v>6</v>
      </c>
      <c r="D204" s="4">
        <v>1</v>
      </c>
      <c r="E204" t="s">
        <v>6</v>
      </c>
      <c r="F204">
        <v>1</v>
      </c>
      <c r="G204" t="s">
        <v>6</v>
      </c>
      <c r="H204">
        <v>1</v>
      </c>
      <c r="I204" t="s">
        <v>7</v>
      </c>
      <c r="J204">
        <v>0</v>
      </c>
      <c r="K204" t="s">
        <v>7</v>
      </c>
      <c r="L204">
        <v>0</v>
      </c>
      <c r="M204" t="s">
        <v>7</v>
      </c>
      <c r="N204">
        <v>0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>
        <v>8.1300000000000008</v>
      </c>
      <c r="U204">
        <v>13.55</v>
      </c>
      <c r="V204">
        <v>1625</v>
      </c>
      <c r="W204">
        <v>29.4</v>
      </c>
      <c r="X204">
        <v>223</v>
      </c>
      <c r="Y204">
        <v>6</v>
      </c>
      <c r="Z204">
        <v>25</v>
      </c>
      <c r="AA204">
        <v>51</v>
      </c>
      <c r="AB204" t="s">
        <v>259</v>
      </c>
      <c r="AC204" t="s">
        <v>274</v>
      </c>
      <c r="AD204" s="5">
        <v>3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</row>
    <row r="205" spans="1:35" x14ac:dyDescent="0.25">
      <c r="A205" s="2" t="s">
        <v>212</v>
      </c>
      <c r="B205" s="3">
        <v>2</v>
      </c>
      <c r="C205" t="s">
        <v>5</v>
      </c>
      <c r="D205" s="4">
        <v>1</v>
      </c>
      <c r="E205" t="s">
        <v>7</v>
      </c>
      <c r="F205">
        <v>0</v>
      </c>
      <c r="G205" t="s">
        <v>9</v>
      </c>
      <c r="H205">
        <v>1</v>
      </c>
      <c r="I205" t="s">
        <v>7</v>
      </c>
      <c r="J205">
        <v>0</v>
      </c>
      <c r="K205" t="s">
        <v>7</v>
      </c>
      <c r="L205">
        <v>0</v>
      </c>
      <c r="M205" t="s">
        <v>7</v>
      </c>
      <c r="N205">
        <v>0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>
        <v>0</v>
      </c>
      <c r="Z205">
        <v>21</v>
      </c>
      <c r="AA205" t="s">
        <v>2</v>
      </c>
      <c r="AB205" t="s">
        <v>260</v>
      </c>
      <c r="AC205" t="s">
        <v>293</v>
      </c>
      <c r="AD205" s="5">
        <v>3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</row>
    <row r="206" spans="1:35" x14ac:dyDescent="0.25">
      <c r="A206" s="2" t="s">
        <v>213</v>
      </c>
      <c r="B206" s="3">
        <v>1</v>
      </c>
      <c r="C206" t="s">
        <v>9</v>
      </c>
      <c r="D206" s="4">
        <v>1</v>
      </c>
      <c r="E206" t="s">
        <v>7</v>
      </c>
      <c r="F206">
        <v>0</v>
      </c>
      <c r="G206" t="s">
        <v>7</v>
      </c>
      <c r="H206">
        <v>0</v>
      </c>
      <c r="I206" t="s">
        <v>7</v>
      </c>
      <c r="J206">
        <v>0</v>
      </c>
      <c r="K206" t="s">
        <v>7</v>
      </c>
      <c r="L206">
        <v>0</v>
      </c>
      <c r="M206" t="s">
        <v>7</v>
      </c>
      <c r="N206">
        <v>0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>
        <v>8.85</v>
      </c>
      <c r="U206">
        <v>27.1</v>
      </c>
      <c r="V206">
        <v>2120</v>
      </c>
      <c r="W206">
        <v>28.9</v>
      </c>
      <c r="X206">
        <v>801</v>
      </c>
      <c r="Y206">
        <v>2</v>
      </c>
      <c r="Z206">
        <v>1</v>
      </c>
      <c r="AA206" t="s">
        <v>2</v>
      </c>
      <c r="AB206" t="s">
        <v>257</v>
      </c>
      <c r="AC206" t="s">
        <v>291</v>
      </c>
      <c r="AD206" s="5">
        <v>3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</row>
    <row r="207" spans="1:35" x14ac:dyDescent="0.25">
      <c r="A207" s="2" t="s">
        <v>214</v>
      </c>
      <c r="B207" s="3">
        <v>1</v>
      </c>
      <c r="C207" t="s">
        <v>6</v>
      </c>
      <c r="D207" s="4">
        <v>1</v>
      </c>
      <c r="E207" t="s">
        <v>7</v>
      </c>
      <c r="F207">
        <v>0</v>
      </c>
      <c r="G207" t="s">
        <v>7</v>
      </c>
      <c r="H207">
        <v>0</v>
      </c>
      <c r="I207" t="s">
        <v>7</v>
      </c>
      <c r="J207">
        <v>0</v>
      </c>
      <c r="K207" t="s">
        <v>7</v>
      </c>
      <c r="L207">
        <v>0</v>
      </c>
      <c r="M207" t="s">
        <v>7</v>
      </c>
      <c r="N207">
        <v>0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>
        <v>0</v>
      </c>
      <c r="Z207">
        <v>20</v>
      </c>
      <c r="AA207" t="s">
        <v>2</v>
      </c>
      <c r="AB207" t="s">
        <v>257</v>
      </c>
      <c r="AC207" t="s">
        <v>335</v>
      </c>
      <c r="AD207" s="5">
        <v>3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</row>
    <row r="208" spans="1:35" x14ac:dyDescent="0.25">
      <c r="A208" s="2" t="s">
        <v>215</v>
      </c>
      <c r="B208" s="3">
        <v>1</v>
      </c>
      <c r="C208" t="s">
        <v>9</v>
      </c>
      <c r="D208" s="4">
        <v>1</v>
      </c>
      <c r="E208" t="s">
        <v>7</v>
      </c>
      <c r="F208">
        <v>0</v>
      </c>
      <c r="G208" t="s">
        <v>7</v>
      </c>
      <c r="H208">
        <v>0</v>
      </c>
      <c r="I208" t="s">
        <v>7</v>
      </c>
      <c r="J208">
        <v>0</v>
      </c>
      <c r="K208" t="s">
        <v>7</v>
      </c>
      <c r="L208">
        <v>0</v>
      </c>
      <c r="M208" t="s">
        <v>7</v>
      </c>
      <c r="N208">
        <v>0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>
        <v>8.58</v>
      </c>
      <c r="U208">
        <v>6.85</v>
      </c>
      <c r="V208">
        <v>2130</v>
      </c>
      <c r="W208">
        <v>35.799999999999997</v>
      </c>
      <c r="X208">
        <v>1130</v>
      </c>
      <c r="Y208">
        <v>2</v>
      </c>
      <c r="Z208">
        <v>33</v>
      </c>
      <c r="AA208" t="s">
        <v>2</v>
      </c>
      <c r="AB208" t="s">
        <v>257</v>
      </c>
      <c r="AC208" t="s">
        <v>292</v>
      </c>
      <c r="AD208" s="5">
        <v>3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</row>
    <row r="209" spans="1:35" x14ac:dyDescent="0.25">
      <c r="A209" s="2" t="s">
        <v>216</v>
      </c>
      <c r="B209" s="3">
        <v>3</v>
      </c>
      <c r="C209" t="s">
        <v>5</v>
      </c>
      <c r="D209" s="4">
        <v>1</v>
      </c>
      <c r="E209" t="s">
        <v>6</v>
      </c>
      <c r="F209">
        <v>1</v>
      </c>
      <c r="G209" t="s">
        <v>6</v>
      </c>
      <c r="H209">
        <v>1</v>
      </c>
      <c r="I209" t="s">
        <v>7</v>
      </c>
      <c r="J209">
        <v>0</v>
      </c>
      <c r="K209" t="s">
        <v>7</v>
      </c>
      <c r="L209">
        <v>0</v>
      </c>
      <c r="M209" t="s">
        <v>7</v>
      </c>
      <c r="N209">
        <v>0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>
        <v>7.23</v>
      </c>
      <c r="U209">
        <v>0.79</v>
      </c>
      <c r="V209">
        <v>1868</v>
      </c>
      <c r="W209">
        <v>22.4</v>
      </c>
      <c r="X209">
        <v>146</v>
      </c>
      <c r="Y209">
        <v>18</v>
      </c>
      <c r="Z209">
        <v>2</v>
      </c>
      <c r="AA209">
        <v>10</v>
      </c>
      <c r="AB209" t="s">
        <v>257</v>
      </c>
      <c r="AC209" t="s">
        <v>265</v>
      </c>
      <c r="AD209" s="5">
        <v>3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</row>
    <row r="210" spans="1:35" x14ac:dyDescent="0.25">
      <c r="A210" s="2" t="s">
        <v>217</v>
      </c>
      <c r="B210" s="3">
        <v>3</v>
      </c>
      <c r="C210" t="s">
        <v>5</v>
      </c>
      <c r="D210" s="4">
        <v>1</v>
      </c>
      <c r="E210" t="s">
        <v>12</v>
      </c>
      <c r="F210">
        <v>1</v>
      </c>
      <c r="G210" t="s">
        <v>5</v>
      </c>
      <c r="H210">
        <v>1</v>
      </c>
      <c r="I210" t="s">
        <v>7</v>
      </c>
      <c r="J210">
        <v>0</v>
      </c>
      <c r="K210" t="s">
        <v>7</v>
      </c>
      <c r="L210">
        <v>0</v>
      </c>
      <c r="M210" t="s">
        <v>7</v>
      </c>
      <c r="N210">
        <v>0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>
        <v>7.23</v>
      </c>
      <c r="U210">
        <v>1.39</v>
      </c>
      <c r="V210">
        <v>1772</v>
      </c>
      <c r="W210">
        <v>24.4</v>
      </c>
      <c r="X210">
        <v>144</v>
      </c>
      <c r="Y210">
        <v>5</v>
      </c>
      <c r="Z210">
        <v>9</v>
      </c>
      <c r="AA210" t="s">
        <v>2</v>
      </c>
      <c r="AB210" t="s">
        <v>257</v>
      </c>
      <c r="AC210" t="s">
        <v>301</v>
      </c>
      <c r="AD210" s="5">
        <v>3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</row>
    <row r="211" spans="1:35" x14ac:dyDescent="0.25">
      <c r="A211" s="2" t="s">
        <v>218</v>
      </c>
      <c r="B211" s="3">
        <v>3</v>
      </c>
      <c r="C211" t="s">
        <v>12</v>
      </c>
      <c r="D211" s="4">
        <v>1</v>
      </c>
      <c r="E211" t="s">
        <v>12</v>
      </c>
      <c r="F211">
        <v>1</v>
      </c>
      <c r="G211" t="s">
        <v>12</v>
      </c>
      <c r="H211">
        <v>1</v>
      </c>
      <c r="I211" t="s">
        <v>7</v>
      </c>
      <c r="J211">
        <v>0</v>
      </c>
      <c r="K211" t="s">
        <v>7</v>
      </c>
      <c r="L211">
        <v>0</v>
      </c>
      <c r="M211" t="s">
        <v>7</v>
      </c>
      <c r="N211">
        <v>0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>
        <v>7.16</v>
      </c>
      <c r="U211">
        <v>1.81</v>
      </c>
      <c r="V211">
        <v>2010</v>
      </c>
      <c r="W211">
        <v>24.9</v>
      </c>
      <c r="X211">
        <v>208</v>
      </c>
      <c r="Y211">
        <v>16</v>
      </c>
      <c r="Z211">
        <v>14</v>
      </c>
      <c r="AA211" t="s">
        <v>254</v>
      </c>
      <c r="AB211" t="s">
        <v>257</v>
      </c>
      <c r="AC211" t="s">
        <v>301</v>
      </c>
      <c r="AD211" s="5">
        <v>3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</row>
    <row r="212" spans="1:35" x14ac:dyDescent="0.25">
      <c r="A212" s="2" t="s">
        <v>219</v>
      </c>
      <c r="B212" s="3">
        <v>4</v>
      </c>
      <c r="C212" t="s">
        <v>9</v>
      </c>
      <c r="D212" s="4">
        <v>1</v>
      </c>
      <c r="E212" t="s">
        <v>6</v>
      </c>
      <c r="F212">
        <v>1</v>
      </c>
      <c r="G212" t="s">
        <v>9</v>
      </c>
      <c r="H212">
        <v>1</v>
      </c>
      <c r="I212" t="s">
        <v>7</v>
      </c>
      <c r="J212">
        <v>0</v>
      </c>
      <c r="K212" t="s">
        <v>7</v>
      </c>
      <c r="L212">
        <v>0</v>
      </c>
      <c r="M212" t="s">
        <v>6</v>
      </c>
      <c r="N212">
        <v>0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>
        <v>7.2</v>
      </c>
      <c r="U212">
        <v>7.33</v>
      </c>
      <c r="V212">
        <v>1543</v>
      </c>
      <c r="W212">
        <v>24.7</v>
      </c>
      <c r="X212">
        <v>94</v>
      </c>
      <c r="Y212">
        <v>4</v>
      </c>
      <c r="Z212">
        <v>0</v>
      </c>
      <c r="AA212" t="s">
        <v>254</v>
      </c>
      <c r="AB212" t="s">
        <v>257</v>
      </c>
      <c r="AC212" t="s">
        <v>267</v>
      </c>
      <c r="AD212" s="5">
        <v>3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</row>
    <row r="213" spans="1:35" x14ac:dyDescent="0.25">
      <c r="A213" s="2" t="s">
        <v>220</v>
      </c>
      <c r="B213" s="3">
        <v>4</v>
      </c>
      <c r="C213" t="s">
        <v>6</v>
      </c>
      <c r="D213" s="4">
        <v>1</v>
      </c>
      <c r="E213" t="s">
        <v>12</v>
      </c>
      <c r="F213">
        <v>1</v>
      </c>
      <c r="G213" t="s">
        <v>12</v>
      </c>
      <c r="H213">
        <v>1</v>
      </c>
      <c r="I213" t="s">
        <v>7</v>
      </c>
      <c r="J213">
        <v>0</v>
      </c>
      <c r="K213" t="s">
        <v>7</v>
      </c>
      <c r="L213">
        <v>0</v>
      </c>
      <c r="M213" t="s">
        <v>12</v>
      </c>
      <c r="N213">
        <v>0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>
        <v>7.5</v>
      </c>
      <c r="U213">
        <v>2.78</v>
      </c>
      <c r="V213">
        <v>1762</v>
      </c>
      <c r="W213">
        <v>25.3</v>
      </c>
      <c r="X213">
        <v>138</v>
      </c>
      <c r="Y213">
        <v>22</v>
      </c>
      <c r="Z213">
        <v>4</v>
      </c>
      <c r="AA213" t="s">
        <v>254</v>
      </c>
      <c r="AB213" t="s">
        <v>257</v>
      </c>
      <c r="AC213" t="s">
        <v>267</v>
      </c>
      <c r="AD213" s="5">
        <v>3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</row>
    <row r="214" spans="1:35" x14ac:dyDescent="0.25">
      <c r="A214" s="2" t="s">
        <v>221</v>
      </c>
      <c r="B214" s="3">
        <v>2</v>
      </c>
      <c r="C214" t="s">
        <v>5</v>
      </c>
      <c r="D214" s="4">
        <v>1</v>
      </c>
      <c r="E214" t="s">
        <v>7</v>
      </c>
      <c r="F214">
        <v>0</v>
      </c>
      <c r="G214" t="s">
        <v>5</v>
      </c>
      <c r="H214">
        <v>1</v>
      </c>
      <c r="I214" t="s">
        <v>7</v>
      </c>
      <c r="J214">
        <v>0</v>
      </c>
      <c r="K214" t="s">
        <v>7</v>
      </c>
      <c r="L214">
        <v>0</v>
      </c>
      <c r="M214" t="s">
        <v>7</v>
      </c>
      <c r="N214">
        <v>0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>
        <v>6.79</v>
      </c>
      <c r="U214">
        <v>1.79</v>
      </c>
      <c r="V214">
        <v>978</v>
      </c>
      <c r="W214">
        <v>24.2</v>
      </c>
      <c r="X214">
        <v>33</v>
      </c>
      <c r="Y214">
        <v>5</v>
      </c>
      <c r="Z214">
        <v>7</v>
      </c>
      <c r="AA214" t="s">
        <v>2</v>
      </c>
      <c r="AB214" t="s">
        <v>257</v>
      </c>
      <c r="AC214" t="s">
        <v>268</v>
      </c>
      <c r="AD214" s="5">
        <v>3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</row>
    <row r="215" spans="1:35" x14ac:dyDescent="0.25">
      <c r="A215" s="2" t="s">
        <v>222</v>
      </c>
      <c r="B215" s="3">
        <v>2</v>
      </c>
      <c r="C215" t="s">
        <v>6</v>
      </c>
      <c r="D215" s="4">
        <v>1</v>
      </c>
      <c r="E215" t="s">
        <v>7</v>
      </c>
      <c r="F215">
        <v>0</v>
      </c>
      <c r="G215" t="s">
        <v>5</v>
      </c>
      <c r="H215">
        <v>1</v>
      </c>
      <c r="I215" t="s">
        <v>7</v>
      </c>
      <c r="J215">
        <v>0</v>
      </c>
      <c r="K215" t="s">
        <v>7</v>
      </c>
      <c r="L215">
        <v>0</v>
      </c>
      <c r="M215" t="s">
        <v>7</v>
      </c>
      <c r="N215">
        <v>0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>
        <v>7.97</v>
      </c>
      <c r="U215">
        <v>11.51</v>
      </c>
      <c r="V215">
        <v>1383</v>
      </c>
      <c r="W215">
        <v>28</v>
      </c>
      <c r="X215">
        <v>66</v>
      </c>
      <c r="Y215">
        <v>24</v>
      </c>
      <c r="Z215">
        <v>43</v>
      </c>
      <c r="AA215" t="s">
        <v>2</v>
      </c>
      <c r="AB215" t="s">
        <v>260</v>
      </c>
      <c r="AC215" t="s">
        <v>302</v>
      </c>
      <c r="AD215" s="5">
        <v>3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</row>
    <row r="216" spans="1:35" x14ac:dyDescent="0.25">
      <c r="A216" s="2" t="s">
        <v>223</v>
      </c>
      <c r="B216" s="3">
        <v>2</v>
      </c>
      <c r="C216" t="s">
        <v>5</v>
      </c>
      <c r="D216" s="4">
        <v>1</v>
      </c>
      <c r="E216" t="s">
        <v>7</v>
      </c>
      <c r="F216">
        <v>0</v>
      </c>
      <c r="G216" t="s">
        <v>5</v>
      </c>
      <c r="H216">
        <v>1</v>
      </c>
      <c r="I216" t="s">
        <v>7</v>
      </c>
      <c r="J216">
        <v>0</v>
      </c>
      <c r="K216" t="s">
        <v>7</v>
      </c>
      <c r="L216">
        <v>0</v>
      </c>
      <c r="M216" t="s">
        <v>7</v>
      </c>
      <c r="N216">
        <v>0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>
        <v>6.74</v>
      </c>
      <c r="U216">
        <v>4.6100000000000003</v>
      </c>
      <c r="V216">
        <v>994</v>
      </c>
      <c r="W216">
        <v>26.1</v>
      </c>
      <c r="X216">
        <v>64</v>
      </c>
      <c r="Y216">
        <v>18</v>
      </c>
      <c r="Z216">
        <v>22</v>
      </c>
      <c r="AA216" t="s">
        <v>2</v>
      </c>
      <c r="AB216" t="s">
        <v>257</v>
      </c>
      <c r="AC216" t="s">
        <v>304</v>
      </c>
      <c r="AD216" s="5">
        <v>3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</row>
    <row r="217" spans="1:35" x14ac:dyDescent="0.25">
      <c r="A217" s="2" t="s">
        <v>224</v>
      </c>
      <c r="B217" s="3">
        <v>2</v>
      </c>
      <c r="C217" t="s">
        <v>12</v>
      </c>
      <c r="D217" s="4">
        <v>1</v>
      </c>
      <c r="E217" t="s">
        <v>7</v>
      </c>
      <c r="F217">
        <v>0</v>
      </c>
      <c r="G217" t="s">
        <v>9</v>
      </c>
      <c r="H217">
        <v>1</v>
      </c>
      <c r="I217" t="s">
        <v>7</v>
      </c>
      <c r="J217">
        <v>0</v>
      </c>
      <c r="K217" t="s">
        <v>7</v>
      </c>
      <c r="L217">
        <v>0</v>
      </c>
      <c r="M217" t="s">
        <v>7</v>
      </c>
      <c r="N217">
        <v>0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>
        <v>6.73</v>
      </c>
      <c r="U217">
        <v>1.28</v>
      </c>
      <c r="V217">
        <v>1153</v>
      </c>
      <c r="W217">
        <v>28.6</v>
      </c>
      <c r="X217">
        <v>65</v>
      </c>
      <c r="Y217">
        <v>3</v>
      </c>
      <c r="Z217">
        <v>41</v>
      </c>
      <c r="AA217" t="s">
        <v>254</v>
      </c>
      <c r="AB217" t="s">
        <v>260</v>
      </c>
      <c r="AC217" t="s">
        <v>305</v>
      </c>
      <c r="AD217" s="5">
        <v>3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</row>
    <row r="218" spans="1:35" x14ac:dyDescent="0.25">
      <c r="A218" s="2" t="s">
        <v>225</v>
      </c>
      <c r="B218" s="3">
        <v>2</v>
      </c>
      <c r="C218" t="s">
        <v>5</v>
      </c>
      <c r="D218" s="4">
        <v>1</v>
      </c>
      <c r="E218" t="s">
        <v>7</v>
      </c>
      <c r="F218">
        <v>0</v>
      </c>
      <c r="G218" t="s">
        <v>12</v>
      </c>
      <c r="H218">
        <v>1</v>
      </c>
      <c r="I218" t="s">
        <v>7</v>
      </c>
      <c r="J218">
        <v>0</v>
      </c>
      <c r="K218" t="s">
        <v>7</v>
      </c>
      <c r="L218">
        <v>0</v>
      </c>
      <c r="M218" t="s">
        <v>7</v>
      </c>
      <c r="N218">
        <v>0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>
        <v>7.17</v>
      </c>
      <c r="U218">
        <v>6.94</v>
      </c>
      <c r="V218">
        <v>1122</v>
      </c>
      <c r="W218">
        <v>23.3</v>
      </c>
      <c r="X218">
        <v>80</v>
      </c>
      <c r="Y218">
        <v>9</v>
      </c>
      <c r="Z218">
        <v>11</v>
      </c>
      <c r="AA218" t="s">
        <v>254</v>
      </c>
      <c r="AB218" t="s">
        <v>259</v>
      </c>
      <c r="AC218" t="s">
        <v>296</v>
      </c>
      <c r="AD218" s="5">
        <v>3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</row>
    <row r="219" spans="1:35" x14ac:dyDescent="0.25">
      <c r="A219" s="2" t="s">
        <v>226</v>
      </c>
      <c r="B219" s="3">
        <v>2</v>
      </c>
      <c r="C219" t="s">
        <v>5</v>
      </c>
      <c r="D219" s="4">
        <v>1</v>
      </c>
      <c r="E219" t="s">
        <v>7</v>
      </c>
      <c r="F219">
        <v>0</v>
      </c>
      <c r="G219" t="s">
        <v>5</v>
      </c>
      <c r="H219">
        <v>1</v>
      </c>
      <c r="I219" t="s">
        <v>7</v>
      </c>
      <c r="J219">
        <v>0</v>
      </c>
      <c r="K219" t="s">
        <v>7</v>
      </c>
      <c r="L219">
        <v>0</v>
      </c>
      <c r="M219" t="s">
        <v>7</v>
      </c>
      <c r="N219">
        <v>0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>
        <v>7.31</v>
      </c>
      <c r="U219">
        <v>2.08</v>
      </c>
      <c r="V219">
        <v>40700</v>
      </c>
      <c r="W219">
        <v>23.9</v>
      </c>
      <c r="X219">
        <v>87</v>
      </c>
      <c r="Y219">
        <v>7</v>
      </c>
      <c r="Z219">
        <v>22</v>
      </c>
      <c r="AA219">
        <v>51.2</v>
      </c>
      <c r="AB219" t="s">
        <v>259</v>
      </c>
      <c r="AC219" t="s">
        <v>296</v>
      </c>
      <c r="AD219" s="5">
        <v>3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</row>
    <row r="220" spans="1:35" x14ac:dyDescent="0.25">
      <c r="A220" s="2" t="s">
        <v>227</v>
      </c>
      <c r="B220" s="3">
        <v>2</v>
      </c>
      <c r="C220" t="s">
        <v>12</v>
      </c>
      <c r="D220" s="4">
        <v>1</v>
      </c>
      <c r="E220" t="s">
        <v>7</v>
      </c>
      <c r="F220">
        <v>0</v>
      </c>
      <c r="G220" t="s">
        <v>6</v>
      </c>
      <c r="H220">
        <v>1</v>
      </c>
      <c r="I220" t="s">
        <v>7</v>
      </c>
      <c r="J220">
        <v>0</v>
      </c>
      <c r="K220" t="s">
        <v>7</v>
      </c>
      <c r="L220">
        <v>0</v>
      </c>
      <c r="M220" t="s">
        <v>7</v>
      </c>
      <c r="N220">
        <v>0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>
        <v>7.47</v>
      </c>
      <c r="U220">
        <v>10.9</v>
      </c>
      <c r="V220">
        <v>1372</v>
      </c>
      <c r="W220">
        <v>22.6</v>
      </c>
      <c r="X220">
        <v>158</v>
      </c>
      <c r="Y220">
        <v>3</v>
      </c>
      <c r="Z220">
        <v>12</v>
      </c>
      <c r="AA220" t="s">
        <v>2</v>
      </c>
      <c r="AB220" t="s">
        <v>259</v>
      </c>
      <c r="AC220" t="s">
        <v>296</v>
      </c>
      <c r="AD220" s="5">
        <v>3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</row>
    <row r="221" spans="1:35" x14ac:dyDescent="0.25">
      <c r="A221" s="2" t="s">
        <v>228</v>
      </c>
      <c r="B221" s="3">
        <v>0</v>
      </c>
      <c r="C221" t="s">
        <v>7</v>
      </c>
      <c r="D221" s="4">
        <v>0</v>
      </c>
      <c r="E221" t="s">
        <v>7</v>
      </c>
      <c r="F221">
        <v>0</v>
      </c>
      <c r="G221" t="s">
        <v>7</v>
      </c>
      <c r="H221">
        <v>0</v>
      </c>
      <c r="I221" t="s">
        <v>7</v>
      </c>
      <c r="J221">
        <v>0</v>
      </c>
      <c r="K221" t="s">
        <v>7</v>
      </c>
      <c r="L221">
        <v>0</v>
      </c>
      <c r="M221" t="s">
        <v>7</v>
      </c>
      <c r="N221">
        <v>0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259</v>
      </c>
      <c r="AC221" t="s">
        <v>296</v>
      </c>
      <c r="AD221" s="5">
        <v>3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</row>
    <row r="222" spans="1:35" x14ac:dyDescent="0.25">
      <c r="A222" s="2" t="s">
        <v>229</v>
      </c>
      <c r="B222" s="3">
        <v>2</v>
      </c>
      <c r="C222" t="s">
        <v>6</v>
      </c>
      <c r="D222" s="4">
        <v>1</v>
      </c>
      <c r="E222" t="s">
        <v>7</v>
      </c>
      <c r="F222">
        <v>0</v>
      </c>
      <c r="G222" t="s">
        <v>12</v>
      </c>
      <c r="H222">
        <v>1</v>
      </c>
      <c r="I222" t="s">
        <v>7</v>
      </c>
      <c r="J222">
        <v>0</v>
      </c>
      <c r="K222" t="s">
        <v>7</v>
      </c>
      <c r="L222">
        <v>0</v>
      </c>
      <c r="M222" t="s">
        <v>7</v>
      </c>
      <c r="N222">
        <v>0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>
        <v>7.39</v>
      </c>
      <c r="U222">
        <v>9.6999999999999993</v>
      </c>
      <c r="V222">
        <v>1068</v>
      </c>
      <c r="W222">
        <v>24.3</v>
      </c>
      <c r="X222">
        <v>82</v>
      </c>
      <c r="Y222">
        <v>19</v>
      </c>
      <c r="Z222">
        <v>5</v>
      </c>
      <c r="AA222" t="s">
        <v>254</v>
      </c>
      <c r="AB222" t="s">
        <v>259</v>
      </c>
      <c r="AC222" t="s">
        <v>296</v>
      </c>
      <c r="AD222" s="5">
        <v>3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</row>
    <row r="223" spans="1:35" x14ac:dyDescent="0.25">
      <c r="A223" s="2" t="s">
        <v>230</v>
      </c>
      <c r="B223" s="3">
        <v>1</v>
      </c>
      <c r="C223" t="s">
        <v>9</v>
      </c>
      <c r="D223" s="4">
        <v>1</v>
      </c>
      <c r="E223" t="s">
        <v>7</v>
      </c>
      <c r="F223">
        <v>0</v>
      </c>
      <c r="G223" t="s">
        <v>7</v>
      </c>
      <c r="H223">
        <v>0</v>
      </c>
      <c r="I223" t="s">
        <v>7</v>
      </c>
      <c r="J223">
        <v>0</v>
      </c>
      <c r="K223" t="s">
        <v>7</v>
      </c>
      <c r="L223">
        <v>0</v>
      </c>
      <c r="M223" t="s">
        <v>7</v>
      </c>
      <c r="N223">
        <v>0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>
        <v>7.09</v>
      </c>
      <c r="U223">
        <v>6.21</v>
      </c>
      <c r="V223">
        <v>1467</v>
      </c>
      <c r="W223">
        <v>23</v>
      </c>
      <c r="X223">
        <v>280</v>
      </c>
      <c r="Y223">
        <v>1</v>
      </c>
      <c r="Z223">
        <v>7</v>
      </c>
      <c r="AA223" t="s">
        <v>254</v>
      </c>
      <c r="AB223" t="s">
        <v>258</v>
      </c>
      <c r="AC223" t="s">
        <v>294</v>
      </c>
      <c r="AD223" s="5">
        <v>3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</row>
    <row r="224" spans="1:35" x14ac:dyDescent="0.25">
      <c r="A224" s="2" t="s">
        <v>231</v>
      </c>
      <c r="B224" s="3">
        <v>1</v>
      </c>
      <c r="C224" t="s">
        <v>12</v>
      </c>
      <c r="D224" s="4">
        <v>1</v>
      </c>
      <c r="E224" t="s">
        <v>7</v>
      </c>
      <c r="F224">
        <v>0</v>
      </c>
      <c r="G224" t="s">
        <v>7</v>
      </c>
      <c r="H224">
        <v>0</v>
      </c>
      <c r="I224" t="s">
        <v>7</v>
      </c>
      <c r="J224">
        <v>0</v>
      </c>
      <c r="K224" t="s">
        <v>7</v>
      </c>
      <c r="L224">
        <v>0</v>
      </c>
      <c r="M224" t="s">
        <v>7</v>
      </c>
      <c r="N224">
        <v>0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>
        <v>0</v>
      </c>
      <c r="Z224">
        <v>30</v>
      </c>
      <c r="AA224" t="s">
        <v>2</v>
      </c>
      <c r="AB224" t="s">
        <v>257</v>
      </c>
      <c r="AC224" t="s">
        <v>295</v>
      </c>
      <c r="AD224" s="5">
        <v>3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</row>
    <row r="225" spans="1:48" x14ac:dyDescent="0.25">
      <c r="A225" s="2" t="s">
        <v>232</v>
      </c>
      <c r="B225" s="3">
        <v>1</v>
      </c>
      <c r="C225" t="s">
        <v>9</v>
      </c>
      <c r="D225" s="4">
        <v>1</v>
      </c>
      <c r="E225" t="s">
        <v>7</v>
      </c>
      <c r="F225">
        <v>0</v>
      </c>
      <c r="G225" t="s">
        <v>7</v>
      </c>
      <c r="H225">
        <v>0</v>
      </c>
      <c r="I225" t="s">
        <v>7</v>
      </c>
      <c r="J225">
        <v>0</v>
      </c>
      <c r="K225" t="s">
        <v>7</v>
      </c>
      <c r="L225">
        <v>0</v>
      </c>
      <c r="M225" t="s">
        <v>7</v>
      </c>
      <c r="N225">
        <v>0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>
        <v>0</v>
      </c>
      <c r="Z225">
        <v>30</v>
      </c>
      <c r="AA225" t="s">
        <v>2</v>
      </c>
      <c r="AB225" t="s">
        <v>257</v>
      </c>
      <c r="AC225" t="s">
        <v>294</v>
      </c>
      <c r="AD225" s="5">
        <v>3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</row>
    <row r="226" spans="1:48" x14ac:dyDescent="0.25">
      <c r="A226" s="2" t="s">
        <v>233</v>
      </c>
      <c r="B226" s="3">
        <v>2</v>
      </c>
      <c r="C226" t="s">
        <v>6</v>
      </c>
      <c r="D226" s="4">
        <v>1</v>
      </c>
      <c r="E226" t="s">
        <v>7</v>
      </c>
      <c r="F226">
        <v>0</v>
      </c>
      <c r="G226" t="s">
        <v>6</v>
      </c>
      <c r="H226">
        <v>0</v>
      </c>
      <c r="I226" t="s">
        <v>7</v>
      </c>
      <c r="J226">
        <v>0</v>
      </c>
      <c r="K226" t="s">
        <v>7</v>
      </c>
      <c r="L226">
        <v>0</v>
      </c>
      <c r="M226" t="s">
        <v>7</v>
      </c>
      <c r="N226">
        <v>0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>
        <v>8.34</v>
      </c>
      <c r="U226">
        <v>12.55</v>
      </c>
      <c r="V226">
        <v>1523</v>
      </c>
      <c r="W226">
        <v>23.4</v>
      </c>
      <c r="X226">
        <v>271</v>
      </c>
      <c r="Y226">
        <v>4</v>
      </c>
      <c r="Z226">
        <v>6</v>
      </c>
      <c r="AA226" t="s">
        <v>254</v>
      </c>
      <c r="AB226" t="s">
        <v>259</v>
      </c>
      <c r="AC226" t="s">
        <v>294</v>
      </c>
      <c r="AD226" s="5">
        <v>3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</row>
    <row r="227" spans="1:48" x14ac:dyDescent="0.25">
      <c r="A227" s="2" t="s">
        <v>234</v>
      </c>
      <c r="B227" s="3">
        <v>2</v>
      </c>
      <c r="C227" t="s">
        <v>6</v>
      </c>
      <c r="D227" s="4">
        <v>1</v>
      </c>
      <c r="E227" t="s">
        <v>7</v>
      </c>
      <c r="F227">
        <v>0</v>
      </c>
      <c r="G227" t="s">
        <v>5</v>
      </c>
      <c r="H227">
        <v>1</v>
      </c>
      <c r="I227" t="s">
        <v>7</v>
      </c>
      <c r="J227">
        <v>0</v>
      </c>
      <c r="K227" t="s">
        <v>7</v>
      </c>
      <c r="L227">
        <v>0</v>
      </c>
      <c r="M227" t="s">
        <v>7</v>
      </c>
      <c r="N227">
        <v>0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>
        <v>8.01</v>
      </c>
      <c r="U227">
        <v>10.53</v>
      </c>
      <c r="V227">
        <v>35200</v>
      </c>
      <c r="W227">
        <v>27.7</v>
      </c>
      <c r="X227">
        <v>296</v>
      </c>
      <c r="Y227">
        <v>8</v>
      </c>
      <c r="Z227">
        <v>0</v>
      </c>
      <c r="AA227" t="s">
        <v>2</v>
      </c>
      <c r="AB227" t="s">
        <v>259</v>
      </c>
      <c r="AC227" t="s">
        <v>294</v>
      </c>
      <c r="AD227" s="5">
        <v>3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</row>
    <row r="228" spans="1:48" x14ac:dyDescent="0.25">
      <c r="A228" s="2" t="s">
        <v>235</v>
      </c>
      <c r="B228">
        <v>4</v>
      </c>
      <c r="C228" t="s">
        <v>6</v>
      </c>
      <c r="D228" s="4">
        <v>1</v>
      </c>
      <c r="E228" t="s">
        <v>6</v>
      </c>
      <c r="F228">
        <v>1</v>
      </c>
      <c r="G228" t="s">
        <v>12</v>
      </c>
      <c r="H228">
        <v>1</v>
      </c>
      <c r="I228" t="s">
        <v>7</v>
      </c>
      <c r="J228">
        <v>0</v>
      </c>
      <c r="K228" t="s">
        <v>6</v>
      </c>
      <c r="L228">
        <v>1</v>
      </c>
      <c r="M228" t="s">
        <v>7</v>
      </c>
      <c r="N228">
        <v>0</v>
      </c>
      <c r="O228">
        <v>1</v>
      </c>
      <c r="P228">
        <v>2</v>
      </c>
      <c r="Q228">
        <v>2</v>
      </c>
      <c r="R228">
        <v>0</v>
      </c>
      <c r="S228">
        <v>0</v>
      </c>
      <c r="T228">
        <v>8.92</v>
      </c>
      <c r="U228">
        <v>11.88</v>
      </c>
      <c r="V228">
        <v>655</v>
      </c>
      <c r="W228">
        <v>25.6</v>
      </c>
      <c r="X228">
        <v>72</v>
      </c>
      <c r="Y228">
        <v>5.5</v>
      </c>
      <c r="Z228">
        <v>0.5</v>
      </c>
      <c r="AA228" t="s">
        <v>256</v>
      </c>
      <c r="AB228" t="s">
        <v>257</v>
      </c>
      <c r="AC228" t="s">
        <v>290</v>
      </c>
      <c r="AD228" s="5">
        <v>3</v>
      </c>
      <c r="AE228" t="s">
        <v>373</v>
      </c>
      <c r="AF228">
        <f>((14+42+8+2+0)/5)*1.04</f>
        <v>13.728</v>
      </c>
      <c r="AG228" t="s">
        <v>386</v>
      </c>
      <c r="AH228">
        <v>1</v>
      </c>
      <c r="AI228">
        <v>0</v>
      </c>
      <c r="AJ228" t="s">
        <v>394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 x14ac:dyDescent="0.25">
      <c r="A229" s="2" t="s">
        <v>236</v>
      </c>
      <c r="B229">
        <v>4</v>
      </c>
      <c r="C229" t="s">
        <v>6</v>
      </c>
      <c r="D229" s="4">
        <v>1</v>
      </c>
      <c r="E229" t="s">
        <v>12</v>
      </c>
      <c r="F229">
        <v>1</v>
      </c>
      <c r="G229" t="s">
        <v>12</v>
      </c>
      <c r="H229">
        <v>1</v>
      </c>
      <c r="I229" t="s">
        <v>7</v>
      </c>
      <c r="J229">
        <v>0</v>
      </c>
      <c r="K229" t="s">
        <v>7</v>
      </c>
      <c r="L229">
        <v>0</v>
      </c>
      <c r="M229" t="s">
        <v>9</v>
      </c>
      <c r="N229">
        <v>1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8.7799999999999994</v>
      </c>
      <c r="U229">
        <v>1.68</v>
      </c>
      <c r="V229">
        <v>633</v>
      </c>
      <c r="W229">
        <v>24</v>
      </c>
      <c r="X229">
        <v>63</v>
      </c>
      <c r="Y229">
        <v>7.5</v>
      </c>
      <c r="Z229">
        <v>0.5</v>
      </c>
      <c r="AA229" t="s">
        <v>256</v>
      </c>
      <c r="AB229" t="s">
        <v>257</v>
      </c>
      <c r="AC229" t="s">
        <v>290</v>
      </c>
      <c r="AD229" s="5">
        <v>3</v>
      </c>
      <c r="AE229" t="s">
        <v>369</v>
      </c>
      <c r="AF229">
        <f>((79+75+51+94+66)/5)*1.04</f>
        <v>75.92</v>
      </c>
      <c r="AG229" t="s">
        <v>367</v>
      </c>
      <c r="AH229">
        <v>1</v>
      </c>
      <c r="AI229">
        <v>0</v>
      </c>
      <c r="AJ229" t="s">
        <v>395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5">
      <c r="A230" s="2" t="s">
        <v>237</v>
      </c>
      <c r="B230">
        <v>3</v>
      </c>
      <c r="C230" t="s">
        <v>12</v>
      </c>
      <c r="D230" s="4">
        <v>1</v>
      </c>
      <c r="E230" t="s">
        <v>6</v>
      </c>
      <c r="F230">
        <v>1</v>
      </c>
      <c r="G230" t="s">
        <v>25</v>
      </c>
      <c r="H230">
        <v>1</v>
      </c>
      <c r="I230" t="s">
        <v>7</v>
      </c>
      <c r="J230">
        <v>0</v>
      </c>
      <c r="K230" t="s">
        <v>7</v>
      </c>
      <c r="L230">
        <v>0</v>
      </c>
      <c r="M230" t="s">
        <v>7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8.4600000000000009</v>
      </c>
      <c r="U230">
        <v>1.94</v>
      </c>
      <c r="V230">
        <v>570</v>
      </c>
      <c r="W230">
        <v>26.6</v>
      </c>
      <c r="X230">
        <v>54</v>
      </c>
      <c r="Y230">
        <v>4</v>
      </c>
      <c r="Z230" t="s">
        <v>2</v>
      </c>
      <c r="AA230" t="s">
        <v>256</v>
      </c>
      <c r="AB230" t="s">
        <v>257</v>
      </c>
      <c r="AC230" t="s">
        <v>290</v>
      </c>
      <c r="AD230" s="5">
        <v>3</v>
      </c>
      <c r="AE230" t="s">
        <v>369</v>
      </c>
      <c r="AF230">
        <f>((84+42+89+14+84)/5)*1.04</f>
        <v>65.103999999999999</v>
      </c>
      <c r="AG230" t="s">
        <v>387</v>
      </c>
      <c r="AH230">
        <v>1</v>
      </c>
      <c r="AI230">
        <v>0</v>
      </c>
      <c r="AJ230" t="s">
        <v>394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 x14ac:dyDescent="0.25">
      <c r="A231" s="2" t="s">
        <v>238</v>
      </c>
      <c r="B231">
        <v>5</v>
      </c>
      <c r="C231" t="s">
        <v>5</v>
      </c>
      <c r="D231" s="4">
        <v>1</v>
      </c>
      <c r="E231" t="s">
        <v>6</v>
      </c>
      <c r="F231">
        <v>1</v>
      </c>
      <c r="G231" t="s">
        <v>6</v>
      </c>
      <c r="H231">
        <v>1</v>
      </c>
      <c r="I231" t="s">
        <v>7</v>
      </c>
      <c r="J231">
        <v>0</v>
      </c>
      <c r="K231" t="s">
        <v>5</v>
      </c>
      <c r="L231">
        <v>1</v>
      </c>
      <c r="M231" t="s">
        <v>9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6.91</v>
      </c>
      <c r="U231">
        <v>2.65</v>
      </c>
      <c r="V231">
        <v>506</v>
      </c>
      <c r="W231">
        <v>28.3</v>
      </c>
      <c r="X231">
        <v>39</v>
      </c>
      <c r="Y231">
        <v>2</v>
      </c>
      <c r="Z231">
        <v>1</v>
      </c>
      <c r="AA231" t="s">
        <v>256</v>
      </c>
      <c r="AB231" t="s">
        <v>257</v>
      </c>
      <c r="AC231" t="s">
        <v>290</v>
      </c>
      <c r="AD231" s="5">
        <v>3</v>
      </c>
      <c r="AE231" t="s">
        <v>369</v>
      </c>
      <c r="AF231">
        <f>((74+86+83+79+72)/5)*1.04</f>
        <v>81.951999999999998</v>
      </c>
      <c r="AG231" t="s">
        <v>370</v>
      </c>
      <c r="AH231">
        <v>1</v>
      </c>
      <c r="AI231">
        <v>0</v>
      </c>
      <c r="AJ231" t="s">
        <v>394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</row>
    <row r="232" spans="1:48" x14ac:dyDescent="0.25">
      <c r="A232" s="2" t="s">
        <v>239</v>
      </c>
      <c r="B232">
        <v>5</v>
      </c>
      <c r="C232" t="s">
        <v>12</v>
      </c>
      <c r="D232" s="4">
        <v>1</v>
      </c>
      <c r="E232" t="s">
        <v>9</v>
      </c>
      <c r="F232">
        <v>1</v>
      </c>
      <c r="G232" t="s">
        <v>6</v>
      </c>
      <c r="H232">
        <v>1</v>
      </c>
      <c r="I232" t="s">
        <v>7</v>
      </c>
      <c r="J232">
        <v>0</v>
      </c>
      <c r="K232" t="s">
        <v>6</v>
      </c>
      <c r="L232">
        <v>1</v>
      </c>
      <c r="M232" t="s">
        <v>9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6.93</v>
      </c>
      <c r="U232">
        <v>3.51</v>
      </c>
      <c r="V232">
        <v>485</v>
      </c>
      <c r="W232">
        <v>28.4</v>
      </c>
      <c r="X232">
        <v>31</v>
      </c>
      <c r="Y232">
        <v>6</v>
      </c>
      <c r="Z232">
        <v>5</v>
      </c>
      <c r="AA232" t="s">
        <v>256</v>
      </c>
      <c r="AB232" t="s">
        <v>257</v>
      </c>
      <c r="AC232" t="s">
        <v>290</v>
      </c>
      <c r="AD232" s="5">
        <v>3</v>
      </c>
      <c r="AE232" t="s">
        <v>369</v>
      </c>
      <c r="AF232">
        <f>((84+83+90+77+85)/5)*1.04</f>
        <v>87.152000000000001</v>
      </c>
      <c r="AG232" t="s">
        <v>388</v>
      </c>
      <c r="AH232">
        <v>1</v>
      </c>
      <c r="AI232">
        <v>0</v>
      </c>
      <c r="AJ232" t="s">
        <v>395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t="s">
        <v>2</v>
      </c>
      <c r="AS232">
        <v>0</v>
      </c>
      <c r="AT232">
        <v>0</v>
      </c>
      <c r="AU232">
        <v>1</v>
      </c>
      <c r="AV232">
        <v>0</v>
      </c>
    </row>
    <row r="233" spans="1:48" x14ac:dyDescent="0.25">
      <c r="A233" s="2" t="s">
        <v>240</v>
      </c>
      <c r="B233">
        <v>5</v>
      </c>
      <c r="C233" t="s">
        <v>12</v>
      </c>
      <c r="D233" s="4">
        <v>1</v>
      </c>
      <c r="E233" t="s">
        <v>9</v>
      </c>
      <c r="F233">
        <v>1</v>
      </c>
      <c r="G233" t="s">
        <v>12</v>
      </c>
      <c r="H233">
        <v>1</v>
      </c>
      <c r="I233" t="s">
        <v>7</v>
      </c>
      <c r="J233">
        <v>0</v>
      </c>
      <c r="K233" t="s">
        <v>5</v>
      </c>
      <c r="L233">
        <v>1</v>
      </c>
      <c r="M233" t="s">
        <v>9</v>
      </c>
      <c r="N233">
        <v>1</v>
      </c>
      <c r="O233">
        <v>1</v>
      </c>
      <c r="P233">
        <v>3</v>
      </c>
      <c r="Q233">
        <v>0</v>
      </c>
      <c r="R233">
        <v>0</v>
      </c>
      <c r="S233">
        <v>0</v>
      </c>
      <c r="T233">
        <v>7.05</v>
      </c>
      <c r="U233">
        <v>5.84</v>
      </c>
      <c r="V233">
        <v>518</v>
      </c>
      <c r="W233">
        <v>25.7</v>
      </c>
      <c r="X233">
        <v>30</v>
      </c>
      <c r="Y233">
        <v>4.5</v>
      </c>
      <c r="Z233">
        <v>1</v>
      </c>
      <c r="AA233" t="s">
        <v>256</v>
      </c>
      <c r="AB233" t="s">
        <v>257</v>
      </c>
      <c r="AC233" t="s">
        <v>290</v>
      </c>
      <c r="AD233" s="5">
        <v>3</v>
      </c>
      <c r="AE233" t="s">
        <v>369</v>
      </c>
      <c r="AF233">
        <f>((40+73+83+9+70)/5)*1.04</f>
        <v>57.2</v>
      </c>
      <c r="AG233" t="s">
        <v>367</v>
      </c>
      <c r="AH233">
        <v>1</v>
      </c>
      <c r="AI233">
        <v>0</v>
      </c>
      <c r="AJ233" t="s">
        <v>394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</row>
    <row r="234" spans="1:48" x14ac:dyDescent="0.25">
      <c r="A234" s="2" t="s">
        <v>241</v>
      </c>
      <c r="B234">
        <v>4</v>
      </c>
      <c r="C234" t="s">
        <v>12</v>
      </c>
      <c r="D234" s="4">
        <v>1</v>
      </c>
      <c r="E234" t="s">
        <v>6</v>
      </c>
      <c r="F234">
        <v>1</v>
      </c>
      <c r="G234" t="s">
        <v>9</v>
      </c>
      <c r="H234">
        <v>1</v>
      </c>
      <c r="I234" t="s">
        <v>7</v>
      </c>
      <c r="J234">
        <v>0</v>
      </c>
      <c r="K234" t="s">
        <v>5</v>
      </c>
      <c r="L234">
        <v>1</v>
      </c>
      <c r="M234" t="s">
        <v>7</v>
      </c>
      <c r="N234">
        <v>0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257</v>
      </c>
      <c r="AC234" t="s">
        <v>339</v>
      </c>
      <c r="AD234" s="5" t="s">
        <v>341</v>
      </c>
      <c r="AE234" t="s">
        <v>373</v>
      </c>
      <c r="AF234" t="s">
        <v>2</v>
      </c>
      <c r="AG234" t="s">
        <v>367</v>
      </c>
      <c r="AH234">
        <v>1</v>
      </c>
      <c r="AI234">
        <v>0</v>
      </c>
      <c r="AJ234" t="s">
        <v>395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 x14ac:dyDescent="0.25">
      <c r="A235" s="2" t="s">
        <v>242</v>
      </c>
      <c r="B235">
        <v>3</v>
      </c>
      <c r="C235" t="s">
        <v>5</v>
      </c>
      <c r="D235" s="4">
        <v>1</v>
      </c>
      <c r="E235" t="s">
        <v>6</v>
      </c>
      <c r="F235">
        <v>1</v>
      </c>
      <c r="G235" t="s">
        <v>12</v>
      </c>
      <c r="H235">
        <v>1</v>
      </c>
      <c r="I235" t="s">
        <v>7</v>
      </c>
      <c r="J235">
        <v>0</v>
      </c>
      <c r="K235" t="s">
        <v>7</v>
      </c>
      <c r="L235">
        <v>0</v>
      </c>
      <c r="M235" t="s">
        <v>7</v>
      </c>
      <c r="N235">
        <v>0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7.82</v>
      </c>
      <c r="U235">
        <v>7.72</v>
      </c>
      <c r="V235">
        <v>1169</v>
      </c>
      <c r="W235">
        <v>23.2</v>
      </c>
      <c r="X235">
        <v>87</v>
      </c>
      <c r="Y235">
        <v>4</v>
      </c>
      <c r="Z235">
        <v>2.5</v>
      </c>
      <c r="AA235" t="s">
        <v>256</v>
      </c>
      <c r="AB235" t="s">
        <v>257</v>
      </c>
      <c r="AC235" t="s">
        <v>287</v>
      </c>
      <c r="AD235" s="5">
        <v>3</v>
      </c>
      <c r="AE235" t="s">
        <v>373</v>
      </c>
      <c r="AF235">
        <v>0</v>
      </c>
      <c r="AG235" t="s">
        <v>367</v>
      </c>
      <c r="AH235">
        <v>1</v>
      </c>
      <c r="AI235">
        <v>0</v>
      </c>
      <c r="AJ235" t="s">
        <v>395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5">
      <c r="A236" s="2" t="s">
        <v>243</v>
      </c>
      <c r="B236">
        <v>3</v>
      </c>
      <c r="C236" t="s">
        <v>12</v>
      </c>
      <c r="D236" s="4">
        <v>1</v>
      </c>
      <c r="E236" t="s">
        <v>6</v>
      </c>
      <c r="F236">
        <v>1</v>
      </c>
      <c r="G236" t="s">
        <v>9</v>
      </c>
      <c r="H236">
        <v>1</v>
      </c>
      <c r="I236" t="s">
        <v>7</v>
      </c>
      <c r="J236">
        <v>0</v>
      </c>
      <c r="K236" t="s">
        <v>7</v>
      </c>
      <c r="L236">
        <v>0</v>
      </c>
      <c r="M236" t="s">
        <v>7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7.45</v>
      </c>
      <c r="U236">
        <v>0.67</v>
      </c>
      <c r="V236">
        <v>1543</v>
      </c>
      <c r="W236">
        <v>19.8</v>
      </c>
      <c r="X236">
        <v>197</v>
      </c>
      <c r="Y236">
        <v>3.9</v>
      </c>
      <c r="Z236">
        <v>5.0999999999999996</v>
      </c>
      <c r="AA236">
        <v>30</v>
      </c>
      <c r="AB236" t="s">
        <v>257</v>
      </c>
      <c r="AC236" t="s">
        <v>288</v>
      </c>
      <c r="AD236" s="5">
        <v>3</v>
      </c>
      <c r="AE236" t="s">
        <v>371</v>
      </c>
      <c r="AF236">
        <f>((83+84+85+89+90)/5)*1.04</f>
        <v>89.64800000000001</v>
      </c>
      <c r="AG236" t="s">
        <v>370</v>
      </c>
      <c r="AH236">
        <v>1</v>
      </c>
      <c r="AI236">
        <v>1</v>
      </c>
      <c r="AJ236" t="s">
        <v>395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5">
      <c r="A237" s="2" t="s">
        <v>244</v>
      </c>
      <c r="B237">
        <v>1</v>
      </c>
      <c r="C237" t="s">
        <v>12</v>
      </c>
      <c r="D237" s="4">
        <v>1</v>
      </c>
      <c r="E237" t="s">
        <v>7</v>
      </c>
      <c r="F237">
        <v>0</v>
      </c>
      <c r="G237" t="s">
        <v>7</v>
      </c>
      <c r="H237">
        <v>0</v>
      </c>
      <c r="I237" t="s">
        <v>7</v>
      </c>
      <c r="J237">
        <v>0</v>
      </c>
      <c r="K237" t="s">
        <v>7</v>
      </c>
      <c r="L237">
        <v>0</v>
      </c>
      <c r="M237" t="s">
        <v>7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7.15</v>
      </c>
      <c r="U237">
        <v>0.97</v>
      </c>
      <c r="V237">
        <v>1324</v>
      </c>
      <c r="W237">
        <v>21.9</v>
      </c>
      <c r="X237">
        <v>183</v>
      </c>
      <c r="Y237">
        <v>7.1</v>
      </c>
      <c r="Z237">
        <v>6.2</v>
      </c>
      <c r="AA237">
        <v>55</v>
      </c>
      <c r="AB237" t="s">
        <v>257</v>
      </c>
      <c r="AC237" t="s">
        <v>289</v>
      </c>
      <c r="AD237" s="5">
        <v>3</v>
      </c>
      <c r="AE237" t="s">
        <v>371</v>
      </c>
      <c r="AF237">
        <f>((86+74+90+77+91)/5)*1.04</f>
        <v>86.944000000000003</v>
      </c>
      <c r="AG237" t="s">
        <v>370</v>
      </c>
      <c r="AH237">
        <v>1</v>
      </c>
      <c r="AI237">
        <v>1</v>
      </c>
      <c r="AJ237" t="s">
        <v>394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5">
      <c r="A238" s="2" t="s">
        <v>245</v>
      </c>
      <c r="B238">
        <v>2</v>
      </c>
      <c r="C238" t="s">
        <v>5</v>
      </c>
      <c r="D238" s="4">
        <v>1</v>
      </c>
      <c r="E238" t="s">
        <v>7</v>
      </c>
      <c r="F238">
        <v>0</v>
      </c>
      <c r="G238" t="s">
        <v>5</v>
      </c>
      <c r="H238">
        <v>1</v>
      </c>
      <c r="I238" t="s">
        <v>7</v>
      </c>
      <c r="J238">
        <v>0</v>
      </c>
      <c r="K238" t="s">
        <v>7</v>
      </c>
      <c r="L238">
        <v>0</v>
      </c>
      <c r="M238" t="s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7.43</v>
      </c>
      <c r="U238">
        <v>7.11</v>
      </c>
      <c r="V238">
        <v>2100</v>
      </c>
      <c r="W238">
        <v>23.6</v>
      </c>
      <c r="X238">
        <v>280</v>
      </c>
      <c r="Y238">
        <v>25.4</v>
      </c>
      <c r="Z238">
        <v>3.6</v>
      </c>
      <c r="AA238" t="s">
        <v>2</v>
      </c>
      <c r="AB238" t="s">
        <v>257</v>
      </c>
      <c r="AC238" t="s">
        <v>287</v>
      </c>
      <c r="AD238" s="5">
        <v>3</v>
      </c>
      <c r="AE238" t="s">
        <v>369</v>
      </c>
      <c r="AF238">
        <f>((60+78+82+8+89)/5)*1.04</f>
        <v>65.936000000000007</v>
      </c>
      <c r="AG238" t="s">
        <v>370</v>
      </c>
      <c r="AH238">
        <v>1</v>
      </c>
      <c r="AI238">
        <v>0</v>
      </c>
      <c r="AJ238" t="s">
        <v>395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 x14ac:dyDescent="0.25">
      <c r="A239" s="2" t="s">
        <v>246</v>
      </c>
      <c r="B239">
        <v>1</v>
      </c>
      <c r="C239" t="s">
        <v>12</v>
      </c>
      <c r="D239" s="4">
        <v>1</v>
      </c>
      <c r="E239" t="s">
        <v>7</v>
      </c>
      <c r="F239">
        <v>0</v>
      </c>
      <c r="G239" t="s">
        <v>7</v>
      </c>
      <c r="H239">
        <v>0</v>
      </c>
      <c r="I239" t="s">
        <v>7</v>
      </c>
      <c r="J239">
        <v>0</v>
      </c>
      <c r="K239" t="s">
        <v>7</v>
      </c>
      <c r="L239">
        <v>0</v>
      </c>
      <c r="M239" t="s">
        <v>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6.62</v>
      </c>
      <c r="U239">
        <v>0.28000000000000003</v>
      </c>
      <c r="V239">
        <v>1323</v>
      </c>
      <c r="W239">
        <v>23.3</v>
      </c>
      <c r="X239">
        <v>197</v>
      </c>
      <c r="Y239">
        <v>9.1999999999999993</v>
      </c>
      <c r="Z239">
        <v>2</v>
      </c>
      <c r="AA239">
        <v>0</v>
      </c>
      <c r="AB239" t="s">
        <v>257</v>
      </c>
      <c r="AC239" t="s">
        <v>287</v>
      </c>
      <c r="AD239" s="5">
        <v>3</v>
      </c>
      <c r="AE239" t="s">
        <v>371</v>
      </c>
      <c r="AF239">
        <f>((93+93+91+94+87)/5)*1.04</f>
        <v>95.263999999999996</v>
      </c>
      <c r="AG239" t="s">
        <v>370</v>
      </c>
      <c r="AH239">
        <v>0</v>
      </c>
      <c r="AI239">
        <v>1</v>
      </c>
      <c r="AJ239" t="s">
        <v>394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5">
      <c r="A240" s="2" t="s">
        <v>247</v>
      </c>
      <c r="B240">
        <v>2</v>
      </c>
      <c r="C240" t="s">
        <v>9</v>
      </c>
      <c r="D240" s="4">
        <v>1</v>
      </c>
      <c r="E240" t="s">
        <v>9</v>
      </c>
      <c r="F240">
        <v>1</v>
      </c>
      <c r="G240" t="s">
        <v>7</v>
      </c>
      <c r="H240">
        <v>0</v>
      </c>
      <c r="I240" t="s">
        <v>7</v>
      </c>
      <c r="J240">
        <v>0</v>
      </c>
      <c r="K240" t="s">
        <v>7</v>
      </c>
      <c r="L240">
        <v>0</v>
      </c>
      <c r="M240" t="s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7.43</v>
      </c>
      <c r="U240">
        <v>3.03</v>
      </c>
      <c r="V240">
        <v>1110</v>
      </c>
      <c r="W240">
        <v>24.6</v>
      </c>
      <c r="X240">
        <v>128</v>
      </c>
      <c r="Y240">
        <v>3.9</v>
      </c>
      <c r="Z240">
        <v>3.1</v>
      </c>
      <c r="AA240" t="s">
        <v>254</v>
      </c>
      <c r="AB240" t="s">
        <v>259</v>
      </c>
      <c r="AC240" t="s">
        <v>287</v>
      </c>
      <c r="AD240" s="5">
        <v>3</v>
      </c>
      <c r="AE240" t="s">
        <v>371</v>
      </c>
      <c r="AF240">
        <f>((87+89+79+89+89)/5)*1.04</f>
        <v>90.063999999999993</v>
      </c>
      <c r="AG240" t="s">
        <v>367</v>
      </c>
      <c r="AH240">
        <v>1</v>
      </c>
      <c r="AI240">
        <v>0</v>
      </c>
      <c r="AJ240" t="s">
        <v>395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5">
      <c r="A241" s="2" t="s">
        <v>248</v>
      </c>
      <c r="B241">
        <v>2</v>
      </c>
      <c r="C241" t="s">
        <v>6</v>
      </c>
      <c r="D241" s="4">
        <v>1</v>
      </c>
      <c r="E241" t="s">
        <v>9</v>
      </c>
      <c r="F241">
        <v>1</v>
      </c>
      <c r="G241" t="s">
        <v>7</v>
      </c>
      <c r="H241">
        <v>0</v>
      </c>
      <c r="I241" t="s">
        <v>7</v>
      </c>
      <c r="J241">
        <v>0</v>
      </c>
      <c r="K241" t="s">
        <v>7</v>
      </c>
      <c r="L241">
        <v>0</v>
      </c>
      <c r="M241" t="s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7.35</v>
      </c>
      <c r="U241">
        <v>7.92</v>
      </c>
      <c r="V241">
        <v>863</v>
      </c>
      <c r="W241">
        <v>24.3</v>
      </c>
      <c r="X241">
        <v>135</v>
      </c>
      <c r="Y241">
        <v>7.9</v>
      </c>
      <c r="Z241">
        <v>2.7</v>
      </c>
      <c r="AA241" t="s">
        <v>254</v>
      </c>
      <c r="AB241" t="s">
        <v>257</v>
      </c>
      <c r="AC241" t="s">
        <v>298</v>
      </c>
      <c r="AD241" s="5">
        <v>3</v>
      </c>
      <c r="AE241" t="s">
        <v>373</v>
      </c>
      <c r="AF241">
        <f>((2+0+4+0+0)/5)*1.04</f>
        <v>1.248</v>
      </c>
      <c r="AG241" t="s">
        <v>367</v>
      </c>
      <c r="AH241">
        <v>1</v>
      </c>
      <c r="AI241">
        <v>1</v>
      </c>
      <c r="AJ241" t="s">
        <v>396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 x14ac:dyDescent="0.25">
      <c r="A242" s="2" t="s">
        <v>249</v>
      </c>
      <c r="B242">
        <v>3</v>
      </c>
      <c r="C242" t="s">
        <v>12</v>
      </c>
      <c r="D242" s="4">
        <v>1</v>
      </c>
      <c r="E242" t="s">
        <v>6</v>
      </c>
      <c r="F242">
        <v>1</v>
      </c>
      <c r="G242" t="s">
        <v>7</v>
      </c>
      <c r="H242">
        <v>0</v>
      </c>
      <c r="I242" t="s">
        <v>7</v>
      </c>
      <c r="J242">
        <v>0</v>
      </c>
      <c r="K242" t="s">
        <v>7</v>
      </c>
      <c r="L242">
        <v>0</v>
      </c>
      <c r="M242" t="s">
        <v>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6.53</v>
      </c>
      <c r="U242">
        <v>5.5</v>
      </c>
      <c r="V242">
        <v>681</v>
      </c>
      <c r="W242">
        <v>25.5</v>
      </c>
      <c r="X242">
        <v>127</v>
      </c>
      <c r="Y242">
        <v>14.5</v>
      </c>
      <c r="Z242">
        <v>2.7</v>
      </c>
      <c r="AA242" t="s">
        <v>256</v>
      </c>
      <c r="AB242" t="s">
        <v>257</v>
      </c>
      <c r="AC242" t="s">
        <v>298</v>
      </c>
      <c r="AD242" s="5">
        <v>3</v>
      </c>
      <c r="AE242" t="s">
        <v>373</v>
      </c>
      <c r="AF242">
        <f>((0+0+0+0+6)/5)*1.04</f>
        <v>1.248</v>
      </c>
      <c r="AG242" t="s">
        <v>367</v>
      </c>
      <c r="AH242">
        <v>1</v>
      </c>
      <c r="AI242">
        <v>1</v>
      </c>
      <c r="AJ242" t="s">
        <v>395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 x14ac:dyDescent="0.25">
      <c r="A243" s="2" t="s">
        <v>250</v>
      </c>
      <c r="B243">
        <v>3</v>
      </c>
      <c r="C243" t="s">
        <v>5</v>
      </c>
      <c r="D243" s="4">
        <v>1</v>
      </c>
      <c r="E243" t="s">
        <v>12</v>
      </c>
      <c r="F243">
        <v>1</v>
      </c>
      <c r="G243" t="s">
        <v>7</v>
      </c>
      <c r="H243">
        <v>0</v>
      </c>
      <c r="I243" t="s">
        <v>7</v>
      </c>
      <c r="J243">
        <v>0</v>
      </c>
      <c r="K243" t="s">
        <v>7</v>
      </c>
      <c r="L243">
        <v>0</v>
      </c>
      <c r="M243" t="s">
        <v>9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7.04</v>
      </c>
      <c r="U243">
        <v>1.25</v>
      </c>
      <c r="V243">
        <v>634</v>
      </c>
      <c r="W243">
        <v>28.4</v>
      </c>
      <c r="X243">
        <v>102</v>
      </c>
      <c r="Y243">
        <v>9.1999999999999993</v>
      </c>
      <c r="Z243">
        <v>13.3</v>
      </c>
      <c r="AA243" t="s">
        <v>2</v>
      </c>
      <c r="AB243" t="s">
        <v>257</v>
      </c>
      <c r="AC243" t="s">
        <v>299</v>
      </c>
      <c r="AD243" s="5">
        <v>3</v>
      </c>
      <c r="AE243" t="s">
        <v>369</v>
      </c>
      <c r="AF243">
        <f>((76+88+4+93+28)/5)*1.04</f>
        <v>60.112000000000002</v>
      </c>
      <c r="AG243" t="s">
        <v>367</v>
      </c>
      <c r="AH243">
        <v>1</v>
      </c>
      <c r="AI243">
        <v>0</v>
      </c>
      <c r="AJ243" t="s">
        <v>394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5">
      <c r="A244" s="2" t="s">
        <v>251</v>
      </c>
      <c r="B244">
        <v>3</v>
      </c>
      <c r="C244" t="s">
        <v>5</v>
      </c>
      <c r="D244" s="4">
        <v>1</v>
      </c>
      <c r="E244" t="s">
        <v>12</v>
      </c>
      <c r="F244">
        <v>1</v>
      </c>
      <c r="G244" t="s">
        <v>9</v>
      </c>
      <c r="H244">
        <v>1</v>
      </c>
      <c r="I244" t="s">
        <v>7</v>
      </c>
      <c r="J244">
        <v>0</v>
      </c>
      <c r="K244" t="s">
        <v>7</v>
      </c>
      <c r="L244">
        <v>0</v>
      </c>
      <c r="M244" t="s">
        <v>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6.84</v>
      </c>
      <c r="U244">
        <v>3.33</v>
      </c>
      <c r="V244">
        <v>774</v>
      </c>
      <c r="W244">
        <v>22.9</v>
      </c>
      <c r="X244">
        <v>104</v>
      </c>
      <c r="Y244">
        <v>6.8</v>
      </c>
      <c r="Z244">
        <v>6</v>
      </c>
      <c r="AA244" t="s">
        <v>256</v>
      </c>
      <c r="AB244" t="s">
        <v>257</v>
      </c>
      <c r="AC244" t="s">
        <v>299</v>
      </c>
      <c r="AD244" s="5">
        <v>3</v>
      </c>
      <c r="AE244" t="s">
        <v>369</v>
      </c>
      <c r="AF244">
        <f>((83+88+1+72+9)/5)*1.04</f>
        <v>52.624000000000002</v>
      </c>
      <c r="AG244" t="s">
        <v>367</v>
      </c>
      <c r="AH244">
        <v>1</v>
      </c>
      <c r="AI244">
        <v>0</v>
      </c>
      <c r="AJ244" t="s">
        <v>394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 x14ac:dyDescent="0.25">
      <c r="A245" s="2" t="s">
        <v>252</v>
      </c>
      <c r="B245">
        <v>2</v>
      </c>
      <c r="C245" t="s">
        <v>5</v>
      </c>
      <c r="D245" s="4">
        <v>1</v>
      </c>
      <c r="E245" t="s">
        <v>7</v>
      </c>
      <c r="F245">
        <v>0</v>
      </c>
      <c r="G245" t="s">
        <v>5</v>
      </c>
      <c r="H245">
        <v>1</v>
      </c>
      <c r="I245" t="s">
        <v>7</v>
      </c>
      <c r="J245">
        <v>0</v>
      </c>
      <c r="K245" t="s">
        <v>7</v>
      </c>
      <c r="L245">
        <v>0</v>
      </c>
      <c r="M245" t="s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7.02</v>
      </c>
      <c r="U245">
        <v>2.34</v>
      </c>
      <c r="V245">
        <v>683</v>
      </c>
      <c r="W245">
        <v>26.8</v>
      </c>
      <c r="X245">
        <v>161</v>
      </c>
      <c r="Y245">
        <v>3.3</v>
      </c>
      <c r="Z245">
        <v>5.7</v>
      </c>
      <c r="AA245" t="s">
        <v>2</v>
      </c>
      <c r="AB245" t="s">
        <v>260</v>
      </c>
      <c r="AC245" t="s">
        <v>300</v>
      </c>
      <c r="AD245" s="5">
        <v>3</v>
      </c>
      <c r="AE245" t="s">
        <v>369</v>
      </c>
      <c r="AF245">
        <f>((15+96+1+96+12)/5)*1.04</f>
        <v>45.760000000000005</v>
      </c>
      <c r="AG245" t="s">
        <v>367</v>
      </c>
      <c r="AH245">
        <v>1</v>
      </c>
      <c r="AI245">
        <v>0</v>
      </c>
      <c r="AJ245" t="s">
        <v>394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2019-11-22T19:25:05Z</dcterms:created>
  <dcterms:modified xsi:type="dcterms:W3CDTF">2019-11-30T15:32:05Z</dcterms:modified>
</cp:coreProperties>
</file>