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nant\Desktop\Ananthi\Illinois Urbana-Champaign\WEST hpic2 RustBCA\WEST probe\"/>
    </mc:Choice>
  </mc:AlternateContent>
  <xr:revisionPtr revIDLastSave="0" documentId="13_ncr:1_{DB816F19-C377-44FF-A58B-5C8730D41A2E}" xr6:coauthVersionLast="47" xr6:coauthVersionMax="47" xr10:uidLastSave="{00000000-0000-0000-0000-000000000000}"/>
  <bookViews>
    <workbookView xWindow="-108" yWindow="-108" windowWidth="23256" windowHeight="12576" xr2:uid="{AF85BF3F-11C5-4438-8BE4-D9978BD22C6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 i="1" l="1"/>
  <c r="S9" i="1"/>
  <c r="R9" i="1"/>
  <c r="I9" i="1"/>
  <c r="J9" i="1" s="1"/>
  <c r="M9" i="1" s="1"/>
  <c r="A9" i="1"/>
  <c r="H9" i="1"/>
  <c r="P9" i="1"/>
  <c r="Q9" i="1"/>
  <c r="V9" i="1"/>
  <c r="X8" i="1"/>
  <c r="J4" i="1"/>
  <c r="I4" i="1"/>
  <c r="H4" i="1"/>
  <c r="G4" i="1"/>
  <c r="H3" i="1"/>
  <c r="I3" i="1"/>
  <c r="J2" i="1"/>
  <c r="I2" i="1"/>
  <c r="H2" i="1"/>
  <c r="G2" i="1"/>
  <c r="F2" i="1"/>
  <c r="E2" i="1"/>
  <c r="V8" i="1"/>
  <c r="Q8" i="1"/>
  <c r="P8" i="1"/>
  <c r="I8" i="1"/>
  <c r="Z8" i="1" s="1"/>
  <c r="H8" i="1"/>
  <c r="A8" i="1"/>
  <c r="X9" i="1" l="1"/>
  <c r="U9" i="1"/>
  <c r="W9" i="1" s="1"/>
  <c r="Y9" i="1"/>
  <c r="K9" i="1"/>
  <c r="N9" i="1" s="1"/>
  <c r="AA9" i="1"/>
  <c r="Z9" i="1"/>
  <c r="J8" i="1"/>
  <c r="R8" i="1"/>
  <c r="U8" i="1" s="1"/>
  <c r="W8" i="1" s="1"/>
  <c r="M8" i="1"/>
  <c r="K8" i="1"/>
  <c r="N8" i="1" s="1"/>
  <c r="L8" i="1"/>
  <c r="O8" i="1" s="1"/>
  <c r="AA8" i="1"/>
  <c r="Y8" i="1"/>
  <c r="S8" i="1" l="1"/>
  <c r="T8" i="1" s="1"/>
</calcChain>
</file>

<file path=xl/sharedStrings.xml><?xml version="1.0" encoding="utf-8"?>
<sst xmlns="http://schemas.openxmlformats.org/spreadsheetml/2006/main" count="39" uniqueCount="38">
  <si>
    <t>Position (m)</t>
  </si>
  <si>
    <t>B (T)</t>
  </si>
  <si>
    <t>T_i (eV)</t>
  </si>
  <si>
    <t>T_e (eV)</t>
  </si>
  <si>
    <t>n_He+</t>
  </si>
  <si>
    <t>n_He2+</t>
  </si>
  <si>
    <t>n_e (m^-3)</t>
  </si>
  <si>
    <t>Plasma potential</t>
  </si>
  <si>
    <t>ion velocity - He+ 1/2 mv^2 = plasma potential in J</t>
  </si>
  <si>
    <t>ion velocity - He2+ 1/2 mv^2 = plasma potential in J</t>
  </si>
  <si>
    <t>ion velocity - O 1/2 mv^2 = 8*plasma potential in J</t>
  </si>
  <si>
    <t>He+ ion larmor radius = mv/qB</t>
  </si>
  <si>
    <t>He2+ ion larmor radius = mv/qB</t>
  </si>
  <si>
    <t>O ion larmor radius = mv/qB</t>
  </si>
  <si>
    <t>T_e (K)</t>
  </si>
  <si>
    <t>T_i (K)</t>
  </si>
  <si>
    <t>debye length</t>
  </si>
  <si>
    <t>rL*sin psi = based on the angle of the magnetic line with the normal which decides how much of it needs to be included in the domain for hpic simulation and comparing the larmor radii of both the ions</t>
  </si>
  <si>
    <t>total domain size = (6*debye length + rL*sin psi + 50*debye length)*2</t>
  </si>
  <si>
    <t>dt_thermal = 2*debye length/vth</t>
  </si>
  <si>
    <t>dt_gyro = 2pi/omega_c/30(no. of points on the gyro motion trace)</t>
  </si>
  <si>
    <t>dt</t>
  </si>
  <si>
    <t>dx = nearest to the total domain size/int(domain size/debye length)</t>
  </si>
  <si>
    <t>max energy te He+ =&gt; Te*max_te is the max energy in an IEAD plot =&gt; deV = Te*max_te/number of bin</t>
  </si>
  <si>
    <t>max energy te He2+ =&gt; Te*max_te is the max energy in an IEAD plot =&gt; deV = Te*max_te/number of bin</t>
  </si>
  <si>
    <t>max energy te O8+ =&gt; deV*max_te is the max energy in an IEAD plot =&gt; deV = Te*max_te/number of bin</t>
  </si>
  <si>
    <t xml:space="preserve"> Ti(eV)</t>
  </si>
  <si>
    <t>Te(eV)</t>
  </si>
  <si>
    <t xml:space="preserve"> nHe2+</t>
  </si>
  <si>
    <t xml:space="preserve"> nHe1+</t>
  </si>
  <si>
    <t>FACTOR</t>
  </si>
  <si>
    <t>ne</t>
  </si>
  <si>
    <t>nO8+</t>
  </si>
  <si>
    <t>nHe+</t>
  </si>
  <si>
    <t>nHe++</t>
  </si>
  <si>
    <t>Factor</t>
  </si>
  <si>
    <t>perecnatge</t>
  </si>
  <si>
    <t>5% oxygen n_O8+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</si>
</sst>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1" fontId="0" fillId="0" borderId="0" xfId="0" applyNumberFormat="1" applyAlignment="1">
      <alignment wrapText="1"/>
    </xf>
    <xf numFmtId="11"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13135-3946-4647-A5E9-4E52EC7DA207}">
  <dimension ref="A1:AA9"/>
  <sheetViews>
    <sheetView tabSelected="1" workbookViewId="0">
      <selection activeCell="F9" sqref="F9"/>
    </sheetView>
  </sheetViews>
  <sheetFormatPr defaultRowHeight="14.4" x14ac:dyDescent="0.3"/>
  <cols>
    <col min="2" max="2" width="8.88671875" customWidth="1"/>
    <col min="10" max="10" width="14" customWidth="1"/>
    <col min="11" max="11" width="13.44140625" customWidth="1"/>
    <col min="12" max="12" width="14.33203125" customWidth="1"/>
    <col min="19" max="19" width="23.88671875" customWidth="1"/>
    <col min="20" max="20" width="14.33203125" customWidth="1"/>
    <col min="21" max="21" width="10.6640625" customWidth="1"/>
    <col min="22" max="22" width="13.44140625" customWidth="1"/>
    <col min="24" max="24" width="13.77734375" customWidth="1"/>
    <col min="25" max="26" width="17.109375" customWidth="1"/>
    <col min="27" max="27" width="22.109375" customWidth="1"/>
  </cols>
  <sheetData>
    <row r="1" spans="1:27" x14ac:dyDescent="0.3">
      <c r="A1" t="s">
        <v>26</v>
      </c>
      <c r="B1" t="s">
        <v>27</v>
      </c>
      <c r="C1" t="s">
        <v>28</v>
      </c>
      <c r="D1" t="s">
        <v>29</v>
      </c>
      <c r="E1" t="s">
        <v>31</v>
      </c>
      <c r="F1" t="s">
        <v>30</v>
      </c>
      <c r="G1" t="s">
        <v>32</v>
      </c>
      <c r="H1" t="s">
        <v>33</v>
      </c>
      <c r="I1" t="s">
        <v>34</v>
      </c>
      <c r="J1" t="s">
        <v>31</v>
      </c>
    </row>
    <row r="2" spans="1:27" x14ac:dyDescent="0.3">
      <c r="A2" s="2">
        <v>68.754172699999998</v>
      </c>
      <c r="B2" s="2">
        <v>16.216719000000001</v>
      </c>
      <c r="C2" s="2">
        <v>1.23440566E+18</v>
      </c>
      <c r="D2" s="2">
        <v>1.3048E+17</v>
      </c>
      <c r="E2" s="2">
        <f>C2*2+D2</f>
        <v>2.59929132E+18</v>
      </c>
      <c r="F2" s="2">
        <f>(19/8)*E2/(D2+C2+(19/8)*E2)</f>
        <v>0.81893751834708761</v>
      </c>
      <c r="G2" s="2">
        <f>(1-F2)*E2/8</f>
        <v>5.8829267117259304E+16</v>
      </c>
      <c r="H2" s="2">
        <f>F2*D2</f>
        <v>1.0685496739392798E+17</v>
      </c>
      <c r="I2" s="2">
        <f>F2*C2</f>
        <v>1.0109011078339988E+18</v>
      </c>
      <c r="J2" s="2">
        <f>8*G2+H2+2*I2</f>
        <v>2.59929132E+18</v>
      </c>
    </row>
    <row r="3" spans="1:27" x14ac:dyDescent="0.3">
      <c r="G3" t="s">
        <v>35</v>
      </c>
      <c r="H3" s="2">
        <f>H2/D2</f>
        <v>0.8189375183470875</v>
      </c>
      <c r="I3" s="2">
        <f>I2/C2</f>
        <v>0.81893751834708761</v>
      </c>
    </row>
    <row r="4" spans="1:27" x14ac:dyDescent="0.3">
      <c r="F4" t="s">
        <v>36</v>
      </c>
      <c r="G4" s="2">
        <f>G2/(G2+H2+I2)*100</f>
        <v>5</v>
      </c>
      <c r="H4" s="2">
        <f>H2*100/(G2+H2+I2)</f>
        <v>9.0817863820182563</v>
      </c>
      <c r="I4" s="2">
        <f>I2*100/(G2+H2+I2)</f>
        <v>85.918213617981749</v>
      </c>
      <c r="J4" s="2">
        <f>SUM(G4:I4)</f>
        <v>100</v>
      </c>
    </row>
    <row r="7" spans="1:27" ht="115.2" x14ac:dyDescent="0.3">
      <c r="A7" s="1" t="s">
        <v>0</v>
      </c>
      <c r="B7" s="1" t="s">
        <v>1</v>
      </c>
      <c r="C7" s="1" t="s">
        <v>2</v>
      </c>
      <c r="D7" s="1" t="s">
        <v>3</v>
      </c>
      <c r="E7" s="1" t="s">
        <v>4</v>
      </c>
      <c r="F7" s="1" t="s">
        <v>5</v>
      </c>
      <c r="G7" s="1" t="s">
        <v>37</v>
      </c>
      <c r="H7" s="1" t="s">
        <v>6</v>
      </c>
      <c r="I7" s="1" t="s">
        <v>7</v>
      </c>
      <c r="J7" s="1" t="s">
        <v>8</v>
      </c>
      <c r="K7" s="1" t="s">
        <v>9</v>
      </c>
      <c r="L7" s="1" t="s">
        <v>10</v>
      </c>
      <c r="M7" s="1" t="s">
        <v>11</v>
      </c>
      <c r="N7" s="1" t="s">
        <v>12</v>
      </c>
      <c r="O7" s="1" t="s">
        <v>13</v>
      </c>
      <c r="P7" s="1" t="s">
        <v>14</v>
      </c>
      <c r="Q7" s="1" t="s">
        <v>15</v>
      </c>
      <c r="R7" s="1" t="s">
        <v>16</v>
      </c>
      <c r="S7" s="1" t="s">
        <v>17</v>
      </c>
      <c r="T7" s="1" t="s">
        <v>18</v>
      </c>
      <c r="U7" s="1" t="s">
        <v>19</v>
      </c>
      <c r="V7" s="1" t="s">
        <v>20</v>
      </c>
      <c r="W7" s="1" t="s">
        <v>21</v>
      </c>
      <c r="X7" s="1" t="s">
        <v>22</v>
      </c>
      <c r="Y7" s="1" t="s">
        <v>23</v>
      </c>
      <c r="Z7" s="1" t="s">
        <v>24</v>
      </c>
      <c r="AA7" s="1" t="s">
        <v>25</v>
      </c>
    </row>
    <row r="8" spans="1:27" x14ac:dyDescent="0.3">
      <c r="A8" s="1">
        <f>0.025</f>
        <v>2.5000000000000001E-2</v>
      </c>
      <c r="B8" s="1">
        <v>3.5625145779272001</v>
      </c>
      <c r="C8" s="1">
        <v>68.8</v>
      </c>
      <c r="D8" s="1">
        <v>16.2</v>
      </c>
      <c r="E8" s="2">
        <v>1.0685496739392798E+17</v>
      </c>
      <c r="F8" s="2">
        <v>1.0109011078339988E+18</v>
      </c>
      <c r="G8" s="2">
        <v>5.8829267117259304E+16</v>
      </c>
      <c r="H8" s="1">
        <f>E8+F8*2+G8*8</f>
        <v>2.59929132E+18</v>
      </c>
      <c r="I8" s="1">
        <f>D8*LN(0.433*6.646*10^-27/(9.109*10^-31))/2</f>
        <v>65.270407946846746</v>
      </c>
      <c r="J8" s="1">
        <f>SQRT(2*I8*1.602*10^-19/(6.646*10^-27))</f>
        <v>56095.012454177966</v>
      </c>
      <c r="K8" s="1">
        <f>SQRT(2*2*I8*1.602*10^-19/(6.646*10^-27))</f>
        <v>79330.327394186155</v>
      </c>
      <c r="L8" s="1">
        <f>SQRT(2*8*I8*1.602*10^-19/(2.656*10^-26))</f>
        <v>79366.161316390426</v>
      </c>
      <c r="M8" s="1">
        <f>6.646*10^-27*J8/(1.602*10^-19*B8)</f>
        <v>6.5322895018081624E-4</v>
      </c>
      <c r="N8" s="1">
        <f>6.646*10^-27*K8/(1.602*10^-19*2*B8)</f>
        <v>4.6190262034022454E-4</v>
      </c>
      <c r="O8" s="1">
        <f>2.656*10^-26*L8/(8*1.602*10^-19*B8)</f>
        <v>4.6169407072299876E-4</v>
      </c>
      <c r="P8" s="3">
        <f>D8*1.602*10^-19/(1.38*10^-23)</f>
        <v>188060.86956521738</v>
      </c>
      <c r="Q8" s="3">
        <f>C8*1.602*10^-19/(1.38*10^-23)</f>
        <v>798678.26086956519</v>
      </c>
      <c r="R8" s="1">
        <f>SQRT(0.0000000000088*P8*1.38E-23/(1.602E-19)^2/H8)</f>
        <v>1.8502913102976632E-5</v>
      </c>
      <c r="S8" s="1">
        <f>MAX(M8*SIN(9*PI()/180),N8*SIN(9*PI()/180),O8*SIN(9*PI()/180))</f>
        <v>1.0218752137032761E-4</v>
      </c>
      <c r="T8" s="1">
        <f>2*(6*R8+S8+50*R8)</f>
        <v>2.2767013102740381E-3</v>
      </c>
      <c r="U8" s="1">
        <f>2*R8/SQRT(2*1.38E-23*Q8/6.646E-27)</f>
        <v>6.4255425009813146E-10</v>
      </c>
      <c r="V8" s="1">
        <f>2*PI()*6.646E-27/1.602E-19/B8/30</f>
        <v>2.438932543455122E-9</v>
      </c>
      <c r="W8" s="1">
        <f>MIN(U8:V8)/8</f>
        <v>8.0319281262266433E-11</v>
      </c>
      <c r="X8" s="1">
        <f>0.003/(INT(0.003/R8))</f>
        <v>1.8518518518518518E-5</v>
      </c>
      <c r="Y8" s="1">
        <f>I8*2/D8</f>
        <v>8.058075055166265</v>
      </c>
      <c r="Z8" s="1">
        <f>I8*2*2/D8</f>
        <v>16.11615011033253</v>
      </c>
      <c r="AA8" s="1">
        <f>I8*8*2/D8</f>
        <v>64.46460044133012</v>
      </c>
    </row>
    <row r="9" spans="1:27" x14ac:dyDescent="0.3">
      <c r="A9" s="1">
        <f>0.025</f>
        <v>2.5000000000000001E-2</v>
      </c>
      <c r="B9" s="1">
        <v>3.5625145779272001</v>
      </c>
      <c r="C9" s="1">
        <v>68.8</v>
      </c>
      <c r="D9" s="1">
        <v>16.2</v>
      </c>
      <c r="E9" s="2">
        <v>1.3048E+17</v>
      </c>
      <c r="F9" s="2">
        <v>1.23440566E+18</v>
      </c>
      <c r="G9" s="2"/>
      <c r="H9" s="1">
        <f>E9+F9*2+G9*8</f>
        <v>2.59929132E+18</v>
      </c>
      <c r="I9" s="1">
        <f>D9*LN(0.433*6.646*10^-27/(9.109*10^-31))/2</f>
        <v>65.270407946846746</v>
      </c>
      <c r="J9" s="1">
        <f>SQRT(2*I9*1.602*10^-19/(6.646*10^-27))</f>
        <v>56095.012454177966</v>
      </c>
      <c r="K9" s="1">
        <f>SQRT(2*2*I9*1.602*10^-19/(6.646*10^-27))</f>
        <v>79330.327394186155</v>
      </c>
      <c r="L9" s="1"/>
      <c r="M9" s="1">
        <f>6.646*10^-27*J9/(1.602*10^-19*B9)</f>
        <v>6.5322895018081624E-4</v>
      </c>
      <c r="N9" s="1">
        <f>6.646*10^-27*K9/(1.602*10^-19*2*B9)</f>
        <v>4.6190262034022454E-4</v>
      </c>
      <c r="O9" s="1"/>
      <c r="P9" s="3">
        <f>D9*1.602*10^-19/(1.38*10^-23)</f>
        <v>188060.86956521738</v>
      </c>
      <c r="Q9" s="3">
        <f>C9*1.602*10^-19/(1.38*10^-23)</f>
        <v>798678.26086956519</v>
      </c>
      <c r="R9" s="1">
        <f>SQRT(0.0000000000088*P9*1.38E-23/(1.602E-19)^2/H9)</f>
        <v>1.8502913102976632E-5</v>
      </c>
      <c r="S9" s="1">
        <f>MAX(M9*SIN(9*PI()/180),N9*SIN(9*PI()/180),O9*SIN(9*PI()/180))</f>
        <v>1.0218752137032761E-4</v>
      </c>
      <c r="T9" s="1">
        <f>2*(6*R9+S9+50*R9)</f>
        <v>2.2767013102740381E-3</v>
      </c>
      <c r="U9" s="1">
        <f>2*R9/SQRT(2*1.38E-23*Q9/6.646E-27)</f>
        <v>6.4255425009813146E-10</v>
      </c>
      <c r="V9" s="1">
        <f>2*PI()*6.646E-27/1.602E-19/B9/30</f>
        <v>2.438932543455122E-9</v>
      </c>
      <c r="W9" s="1">
        <f>MIN(U9:V9)/8</f>
        <v>8.0319281262266433E-11</v>
      </c>
      <c r="X9" s="1">
        <f>0.003/(INT(0.003/R9))</f>
        <v>1.8518518518518518E-5</v>
      </c>
      <c r="Y9" s="1">
        <f>I9*2/D9</f>
        <v>8.058075055166265</v>
      </c>
      <c r="Z9" s="1">
        <f>I9*2*2/D9</f>
        <v>16.11615011033253</v>
      </c>
      <c r="AA9" s="1">
        <f>I9*8*2/D9</f>
        <v>64.46460044133012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Ananthi Renganathan</dc:creator>
  <cp:lastModifiedBy>Ananthi Renganathan</cp:lastModifiedBy>
  <dcterms:created xsi:type="dcterms:W3CDTF">2022-09-14T23:01:57Z</dcterms:created>
  <dcterms:modified xsi:type="dcterms:W3CDTF">2022-09-14T23:36:06Z</dcterms:modified>
</cp:coreProperties>
</file>