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liana/Desktop/"/>
    </mc:Choice>
  </mc:AlternateContent>
  <xr:revisionPtr revIDLastSave="0" documentId="13_ncr:1_{FE45C76A-DCCB-3D4E-9EAF-FEF2689EB60E}" xr6:coauthVersionLast="47" xr6:coauthVersionMax="47" xr10:uidLastSave="{00000000-0000-0000-0000-000000000000}"/>
  <bookViews>
    <workbookView xWindow="0" yWindow="500" windowWidth="28800" windowHeight="16400" activeTab="2" xr2:uid="{2AD209B8-1E30-4062-BF90-E7DB830BA215}"/>
  </bookViews>
  <sheets>
    <sheet name="Part A" sheetId="1" r:id="rId1"/>
    <sheet name="Part B (no adjustments)" sheetId="3" r:id="rId2"/>
    <sheet name="Part B (adjustments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T32" i="1" l="1"/>
  <c r="E4" i="2"/>
  <c r="E6" i="2"/>
  <c r="E5" i="2"/>
  <c r="E7" i="2"/>
  <c r="E8" i="2"/>
  <c r="E9" i="2"/>
  <c r="E10" i="2"/>
  <c r="E11" i="2"/>
  <c r="E12" i="2"/>
  <c r="T31" i="1" l="1"/>
  <c r="T30" i="1"/>
  <c r="N4" i="3" l="1"/>
  <c r="N6" i="3"/>
  <c r="N5" i="3"/>
  <c r="N7" i="3"/>
  <c r="N8" i="3"/>
  <c r="N9" i="3"/>
  <c r="N10" i="3"/>
  <c r="N11" i="3"/>
  <c r="N12" i="3"/>
  <c r="L4" i="3"/>
  <c r="H4" i="3"/>
  <c r="I4" i="3" s="1"/>
  <c r="I4" i="2"/>
  <c r="H7" i="3" l="1"/>
  <c r="J7" i="3" s="1"/>
  <c r="H10" i="3"/>
  <c r="F12" i="3"/>
  <c r="E12" i="3"/>
  <c r="G12" i="3" s="1"/>
  <c r="F11" i="3"/>
  <c r="E11" i="3"/>
  <c r="F10" i="3"/>
  <c r="E10" i="3"/>
  <c r="F9" i="3"/>
  <c r="E9" i="3"/>
  <c r="H9" i="3" s="1"/>
  <c r="J9" i="3" s="1"/>
  <c r="F8" i="3"/>
  <c r="E8" i="3"/>
  <c r="H8" i="3" s="1"/>
  <c r="G7" i="3"/>
  <c r="F7" i="3"/>
  <c r="E7" i="3"/>
  <c r="F6" i="3"/>
  <c r="E6" i="3"/>
  <c r="H6" i="3" s="1"/>
  <c r="F5" i="3"/>
  <c r="E5" i="3"/>
  <c r="H5" i="3" s="1"/>
  <c r="F4" i="3"/>
  <c r="E4" i="3"/>
  <c r="G4" i="3" s="1"/>
  <c r="I9" i="2"/>
  <c r="H12" i="3" l="1"/>
  <c r="J12" i="3" s="1"/>
  <c r="L12" i="3" s="1"/>
  <c r="J4" i="3"/>
  <c r="J10" i="3"/>
  <c r="K7" i="3"/>
  <c r="M7" i="3" s="1"/>
  <c r="L7" i="3"/>
  <c r="J8" i="3"/>
  <c r="J6" i="3"/>
  <c r="I6" i="3"/>
  <c r="L9" i="3"/>
  <c r="K9" i="3"/>
  <c r="M9" i="3" s="1"/>
  <c r="I9" i="3"/>
  <c r="G10" i="3"/>
  <c r="G5" i="3"/>
  <c r="I12" i="3"/>
  <c r="I7" i="3"/>
  <c r="I10" i="3"/>
  <c r="G6" i="3"/>
  <c r="I8" i="3"/>
  <c r="G9" i="3"/>
  <c r="H11" i="3"/>
  <c r="J11" i="3" s="1"/>
  <c r="G8" i="3"/>
  <c r="J5" i="3"/>
  <c r="G11" i="3"/>
  <c r="K12" i="3" l="1"/>
  <c r="M12" i="3" s="1"/>
  <c r="K4" i="3"/>
  <c r="M4" i="3" s="1"/>
  <c r="I5" i="3"/>
  <c r="K5" i="3"/>
  <c r="M5" i="3" s="1"/>
  <c r="L5" i="3"/>
  <c r="L8" i="3"/>
  <c r="K8" i="3"/>
  <c r="M8" i="3" s="1"/>
  <c r="L11" i="3"/>
  <c r="K11" i="3"/>
  <c r="M11" i="3" s="1"/>
  <c r="I11" i="3"/>
  <c r="L10" i="3"/>
  <c r="K10" i="3"/>
  <c r="M10" i="3" s="1"/>
  <c r="L6" i="3"/>
  <c r="K6" i="3"/>
  <c r="M6" i="3" s="1"/>
  <c r="I12" i="2"/>
  <c r="J12" i="2" s="1"/>
  <c r="I6" i="2"/>
  <c r="I5" i="2"/>
  <c r="I11" i="2"/>
  <c r="J11" i="2" s="1"/>
  <c r="K11" i="2"/>
  <c r="I10" i="2"/>
  <c r="K10" i="2" s="1"/>
  <c r="I8" i="2"/>
  <c r="K8" i="2" s="1"/>
  <c r="I7" i="2"/>
  <c r="F4" i="2"/>
  <c r="L8" i="2" l="1"/>
  <c r="M8" i="2"/>
  <c r="O8" i="2" s="1"/>
  <c r="M11" i="2"/>
  <c r="O11" i="2" s="1"/>
  <c r="L11" i="2"/>
  <c r="M10" i="2"/>
  <c r="O10" i="2" s="1"/>
  <c r="L10" i="2"/>
  <c r="K4" i="2"/>
  <c r="M4" i="2" s="1"/>
  <c r="O4" i="2" s="1"/>
  <c r="D5" i="2"/>
  <c r="D6" i="2"/>
  <c r="D7" i="2"/>
  <c r="D8" i="2"/>
  <c r="D9" i="2"/>
  <c r="D10" i="2"/>
  <c r="D11" i="2"/>
  <c r="D12" i="2"/>
  <c r="K12" i="2"/>
  <c r="K9" i="2"/>
  <c r="K5" i="2"/>
  <c r="K6" i="2"/>
  <c r="K7" i="2"/>
  <c r="H4" i="2"/>
  <c r="H5" i="2"/>
  <c r="H6" i="2"/>
  <c r="H7" i="2"/>
  <c r="H8" i="2"/>
  <c r="H9" i="2"/>
  <c r="H10" i="2"/>
  <c r="H11" i="2"/>
  <c r="H12" i="2"/>
  <c r="F5" i="2"/>
  <c r="F6" i="2"/>
  <c r="F7" i="2"/>
  <c r="F8" i="2"/>
  <c r="F9" i="2"/>
  <c r="F10" i="2"/>
  <c r="F11" i="2"/>
  <c r="F12" i="2"/>
  <c r="G4" i="2"/>
  <c r="T39" i="1"/>
  <c r="G12" i="2"/>
  <c r="G11" i="2"/>
  <c r="G10" i="2"/>
  <c r="G9" i="2"/>
  <c r="G8" i="2"/>
  <c r="G7" i="2"/>
  <c r="G6" i="2"/>
  <c r="G5" i="2"/>
  <c r="T36" i="1"/>
  <c r="T44" i="1"/>
  <c r="T43" i="1"/>
  <c r="T42" i="1"/>
  <c r="T41" i="1"/>
  <c r="T40" i="1"/>
  <c r="T38" i="1"/>
  <c r="T37" i="1"/>
  <c r="L12" i="2" l="1"/>
  <c r="M12" i="2"/>
  <c r="O12" i="2" s="1"/>
  <c r="M9" i="2"/>
  <c r="O9" i="2" s="1"/>
  <c r="L9" i="2"/>
  <c r="M7" i="2"/>
  <c r="O7" i="2" s="1"/>
  <c r="L7" i="2"/>
  <c r="M6" i="2"/>
  <c r="O6" i="2" s="1"/>
  <c r="L6" i="2"/>
  <c r="N6" i="2" s="1"/>
  <c r="M5" i="2"/>
  <c r="O5" i="2" s="1"/>
  <c r="L5" i="2"/>
  <c r="L4" i="2"/>
  <c r="N4" i="2" s="1"/>
  <c r="J4" i="2"/>
  <c r="J10" i="2"/>
  <c r="J6" i="2"/>
  <c r="J8" i="2"/>
  <c r="J9" i="2" l="1"/>
  <c r="N9" i="2"/>
  <c r="N5" i="2"/>
  <c r="N11" i="2"/>
  <c r="N7" i="2"/>
  <c r="N10" i="2"/>
  <c r="J5" i="2"/>
  <c r="J7" i="2"/>
  <c r="N8" i="2" l="1"/>
  <c r="N12" i="2"/>
</calcChain>
</file>

<file path=xl/sharedStrings.xml><?xml version="1.0" encoding="utf-8"?>
<sst xmlns="http://schemas.openxmlformats.org/spreadsheetml/2006/main" count="118" uniqueCount="70">
  <si>
    <t>Day</t>
  </si>
  <si>
    <t>4-6 AM</t>
  </si>
  <si>
    <t>6-8 AM</t>
  </si>
  <si>
    <t>8-10 AM</t>
  </si>
  <si>
    <t>10-noon</t>
  </si>
  <si>
    <t>noon-2 PM</t>
  </si>
  <si>
    <t>2-4 PM</t>
  </si>
  <si>
    <t>4-6 PM</t>
  </si>
  <si>
    <t>6-8 PM</t>
  </si>
  <si>
    <t>8-10 PM</t>
  </si>
  <si>
    <t>Total</t>
  </si>
  <si>
    <t>Year</t>
  </si>
  <si>
    <t>One</t>
  </si>
  <si>
    <t xml:space="preserve">YEAR </t>
  </si>
  <si>
    <t xml:space="preserve">DAY </t>
  </si>
  <si>
    <t xml:space="preserve">Total DAILY ARRIVALS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</si>
  <si>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</si>
  <si>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</si>
  <si>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</si>
  <si>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</si>
  <si>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</si>
  <si>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</si>
  <si>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</si>
  <si>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Two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</si>
  <si>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</si>
  <si>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</si>
  <si>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</si>
  <si>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</si>
  <si>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</si>
  <si>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</si>
  <si>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</si>
  <si>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</si>
  <si>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</si>
  <si>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</si>
  <si>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</si>
  <si>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</si>
  <si>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</si>
  <si>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</si>
  <si>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</si>
  <si>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</si>
  <si>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</si>
  <si>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Three</t>
  </si>
  <si>
    <t>Linear Trend Line</t>
  </si>
  <si>
    <t>Forecasted</t>
  </si>
  <si>
    <t>Checkpoints</t>
  </si>
  <si>
    <t>Time Block</t>
  </si>
  <si>
    <t>Passengers</t>
  </si>
  <si>
    <t>Used</t>
  </si>
  <si>
    <t>(Passenger/Hour)</t>
  </si>
  <si>
    <t>P(0)</t>
  </si>
  <si>
    <t>P(W)</t>
  </si>
  <si>
    <t>L</t>
  </si>
  <si>
    <t>Lq</t>
  </si>
  <si>
    <t xml:space="preserve">10-Noon </t>
  </si>
  <si>
    <t>Noon-2 PM</t>
  </si>
  <si>
    <t>Meet</t>
  </si>
  <si>
    <t>Goal?</t>
  </si>
  <si>
    <t>W (Min)</t>
  </si>
  <si>
    <t>Wq (Min)</t>
  </si>
  <si>
    <t>U</t>
  </si>
  <si>
    <t>Needed</t>
  </si>
  <si>
    <t>Linear Trend Line for Year 4, Day 31</t>
  </si>
  <si>
    <t>Intercept (a)</t>
  </si>
  <si>
    <t>Slope (b)</t>
  </si>
  <si>
    <t>Year 4, Day 31</t>
  </si>
  <si>
    <t>Arrival Rate (λ)</t>
  </si>
  <si>
    <t>Service Rate (μ)</t>
  </si>
  <si>
    <t xml:space="preserve">Used </t>
  </si>
  <si>
    <t>Min. Checkpoints</t>
  </si>
  <si>
    <t>Passenger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</si>
</sst>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i/>
      <sz val="11"/>
      <color theme="1"/>
      <name val="Aptos Narrow"/>
      <family val="2"/>
      <scheme val="minor"/>
    </font>
    <font>
      <b/>
      <sz val="14"/>
      <name val="Aptos Narrow"/>
      <scheme val="minor"/>
    </font>
    <font>
      <b/>
      <sz val="14"/>
      <color theme="1"/>
      <name val="Aptos Narrow"/>
      <scheme val="minor"/>
    </font>
    <font>
      <sz val="14"/>
      <name val="Aptos Narrow"/>
      <scheme val="minor"/>
    </font>
    <font>
      <sz val="14"/>
      <color theme="1"/>
      <name val="Aptos Narrow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2" fillId="0" borderId="0" xfId="1"/>
    <xf numFmtId="0" fontId="1" fillId="0" borderId="0" xfId="2"/>
    <xf numFmtId="0" fontId="1" fillId="0" borderId="2" xfId="2" applyBorder="1"/>
    <xf numFmtId="0" fontId="1" fillId="0" borderId="1" xfId="2" applyBorder="1" applyAlignment="1">
      <alignment horizontal="center"/>
    </xf>
    <xf numFmtId="0" fontId="1" fillId="0" borderId="3" xfId="2" applyBorder="1"/>
    <xf numFmtId="0" fontId="1" fillId="0" borderId="3" xfId="2" applyBorder="1" applyAlignment="1">
      <alignment horizontal="center"/>
    </xf>
    <xf numFmtId="0" fontId="1" fillId="0" borderId="4" xfId="2" applyBorder="1"/>
    <xf numFmtId="0" fontId="1" fillId="0" borderId="2" xfId="2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0" xfId="2" applyAlignment="1">
      <alignment horizontal="center"/>
    </xf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Continuous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4" borderId="1" xfId="2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3A062E7A-157F-49FF-B85B-0CD48C4F3B49}"/>
    <cellStyle name="Normal 3" xfId="1" xr:uid="{76401C57-0C9C-4FC2-B3E2-CA1E084D3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345350</xdr:colOff>
      <xdr:row>0</xdr:row>
      <xdr:rowOff>178246</xdr:rowOff>
    </xdr:from>
    <xdr:to>
      <xdr:col>21</xdr:col>
      <xdr:colOff>311930</xdr:colOff>
      <xdr:row>3</xdr:row>
      <xdr:rowOff>111403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49CB60-4A9B-29FE-DB84-5826AB279157}"/>
            </a:ext>
          </a:extLst>
        </xdr:cNvPr>
        <xdr:cNvSpPr txBox="1"/>
      </xdr:nvSpPr>
      <xdr:spPr>
        <a:xfrm>
          <a:off x="7697982" y="178246"/>
          <a:ext cx="5481053" cy="501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Part (a) Develop a forecast for daily passenger arrivals at the South concourse at BEI for each time period for one day in July of year 4.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670247</xdr:colOff>
      <xdr:row>13</xdr:row>
      <xdr:rowOff>203201</xdr:rowOff>
    </xdr:from>
    <xdr:to>
      <xdr:col>5</xdr:col>
      <xdr:colOff>203200</xdr:colOff>
      <xdr:row>21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169D4F-10BA-8F4B-BF7B-D0DC226B1700}"/>
            </a:ext>
          </a:extLst>
        </xdr:cNvPr>
        <xdr:cNvSpPr txBox="1"/>
      </xdr:nvSpPr>
      <xdr:spPr>
        <a:xfrm>
          <a:off x="670247" y="3340101"/>
          <a:ext cx="4397053" cy="1828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Check </a:t>
          </a:r>
          <a:r>
            <a:rPr lang="en-US" sz="1800" b="1" baseline="0"/>
            <a:t>Points Currently Used: </a:t>
          </a:r>
        </a:p>
        <a:p>
          <a:r>
            <a:rPr lang="en-US" sz="1800" baseline="0"/>
            <a:t>6 from 4a-6p</a:t>
          </a:r>
        </a:p>
        <a:p>
          <a:r>
            <a:rPr lang="en-US" sz="1800" baseline="0"/>
            <a:t>3 from 6p-8p</a:t>
          </a:r>
        </a:p>
        <a:p>
          <a:r>
            <a:rPr lang="en-US" sz="1800" baseline="0"/>
            <a:t>2 from 8p to 10p</a:t>
          </a:r>
        </a:p>
        <a:p>
          <a:endParaRPr lang="en-US" sz="1800" baseline="0"/>
        </a:p>
        <a:p>
          <a:r>
            <a:rPr lang="en-US" sz="1800" b="1" baseline="0"/>
            <a:t>Average wait time in system goal: </a:t>
          </a:r>
          <a:r>
            <a:rPr lang="en-US" sz="1800" baseline="0"/>
            <a:t>5 min</a:t>
          </a:r>
        </a:p>
      </xdr:txBody>
    </xdr:sp>
    <xdr:clientData/>
  </xdr:twoCellAnchor>
  <xdr:twoCellAnchor>
    <xdr:from>
      <xdr:col>5</xdr:col>
      <xdr:colOff>1358900</xdr:colOff>
      <xdr:row>14</xdr:row>
      <xdr:rowOff>12700</xdr:rowOff>
    </xdr:from>
    <xdr:to>
      <xdr:col>16</xdr:col>
      <xdr:colOff>114300</xdr:colOff>
      <xdr:row>23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2C9174-28FB-063B-388F-9B17E4166512}"/>
            </a:ext>
          </a:extLst>
        </xdr:cNvPr>
        <xdr:cNvSpPr txBox="1"/>
      </xdr:nvSpPr>
      <xdr:spPr>
        <a:xfrm>
          <a:off x="6223000" y="3390900"/>
          <a:ext cx="75946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current model is invalid because the highlighted time blocks do not meet the service goal. Additionally, they show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 values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for the Average Time in the System (W), Average Wait Time in the Queue (Wq), and the Probability of No Passengers (P(0)), which are not logically possible. Furthermore, the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Utilization factors (U) are greater than 1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indicating that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passenger arrival demand exceeds the system's service capacity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As a result, the current system is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overloaded and unstable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1308099</xdr:colOff>
      <xdr:row>12</xdr:row>
      <xdr:rowOff>114300</xdr:rowOff>
    </xdr:from>
    <xdr:to>
      <xdr:col>11</xdr:col>
      <xdr:colOff>414866</xdr:colOff>
      <xdr:row>30</xdr:row>
      <xdr:rowOff>46567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9B6E8E-1FB9-34D7-6CC9-F7DC84027E4D}"/>
                </a:ext>
              </a:extLst>
            </xdr:cNvPr>
            <xdr:cNvSpPr txBox="1"/>
          </xdr:nvSpPr>
          <xdr:spPr>
            <a:xfrm>
              <a:off x="3898899" y="3009900"/>
              <a:ext cx="7564967" cy="427566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With our adjusted model, we determined the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 number of checkpoints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needed in each time block by comparing the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arrival rate (𝜆)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to the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service rate per checkpoint (𝜇)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Specifically, we used the formula:</a:t>
              </a:r>
            </a:p>
            <a:p>
              <a:endParaRPr lang="en-US" sz="16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8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b="1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800" b="1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𝝀</m:t>
                      </m:r>
                    </m:num>
                    <m:den>
                      <m:r>
                        <a:rPr lang="en-US" sz="1800" b="1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𝝁</m:t>
                      </m:r>
                    </m:den>
                  </m:f>
                </m:oMath>
              </a14:m>
              <a:endParaRPr lang="en-US" sz="18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ensures that the number of checkpoints are sufficient to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meet 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arrival demand. By rounding up to the nearest integer, we make sure the system can handle the passenger flow in each time block.</a:t>
              </a:r>
              <a:r>
                <a:rPr lang="en-US" sz="16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As a result, we were not only able to present a more balanced model of the airport security system, but also able to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meet and exceed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the Average Time in the System (W) goal of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 minutes or less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However, it's important to note that this model is based on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forecasted arrival rates for Year 4, Day 31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We recommend that both the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arrival and service rates be regularly updated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to ensure the continued efficiency and accuracy of the security queueing system.</a:t>
              </a:r>
              <a:endParaRPr lang="en-US" sz="1600" baseline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9B6E8E-1FB9-34D7-6CC9-F7DC84027E4D}"/>
                </a:ext>
              </a:extLst>
            </xdr:cNvPr>
            <xdr:cNvSpPr txBox="1"/>
          </xdr:nvSpPr>
          <xdr:spPr>
            <a:xfrm>
              <a:off x="3898899" y="3009900"/>
              <a:ext cx="7564967" cy="427566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With our adjusted model, we determined the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 number of checkpoints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needed in each time block by comparing the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arrival rate (𝜆)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to the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service rate per checkpoint (𝜇)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Specifically, we used the formula:</a:t>
              </a:r>
            </a:p>
            <a:p>
              <a:endParaRPr lang="en-US" sz="16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8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 = </a:t>
              </a:r>
              <a:r>
                <a:rPr lang="en-US" sz="1800" b="1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𝝀</a:t>
              </a:r>
              <a:r>
                <a:rPr lang="en-US" sz="1800" b="1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800" b="1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𝝁</a:t>
              </a:r>
              <a:endParaRPr lang="en-US" sz="18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ensures that the number of checkpoints are sufficient to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meet 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arrival demand. By rounding up to the nearest integer, we make sure the system can handle the passenger flow in each time block.</a:t>
              </a:r>
              <a:r>
                <a:rPr lang="en-US" sz="16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As a result, we were not only able to present a more balanced model of the airport security system, but also able to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meet and exceed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the Average Time in the System (W) goal of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 minutes or less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However, it's important to note that this model is based on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forecasted arrival rates for Year 4, Day 31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We recommend that both the </a:t>
              </a:r>
              <a:r>
                <a:rPr lang="en-US" sz="16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arrival and service rates be regularly updated</a:t>
              </a:r>
              <a:r>
                <a:rPr lang="en-US" sz="16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to ensure the continued efficiency and accuracy of the security queueing system.</a:t>
              </a:r>
              <a:endParaRPr lang="en-US" sz="1600" baseline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6594-4E84-4644-8F7E-664ECAB17D4E}">
  <dimension ref="A1:AA44"/>
  <sheetViews>
    <sheetView zoomScale="90" zoomScaleNormal="400" workbookViewId="0">
      <selection activeCell="I38" sqref="I38"/>
    </sheetView>
  </sheetViews>
  <sheetFormatPr baseColWidth="10" defaultColWidth="8.83203125" defaultRowHeight="15" x14ac:dyDescent="0.2"/>
  <cols>
    <col min="2" max="12" width="9" bestFit="1" customWidth="1"/>
    <col min="14" max="15" width="9.1640625" bestFit="1" customWidth="1"/>
    <col min="16" max="16" width="19.83203125" bestFit="1" customWidth="1"/>
    <col min="19" max="19" width="28.6640625" bestFit="1" customWidth="1"/>
    <col min="20" max="20" width="16.83203125" bestFit="1" customWidth="1"/>
    <col min="21" max="22" width="12.6640625" bestFit="1" customWidth="1"/>
    <col min="23" max="23" width="11.1640625" bestFit="1" customWidth="1"/>
    <col min="24" max="26" width="9.1640625" bestFit="1" customWidth="1"/>
  </cols>
  <sheetData>
    <row r="1" spans="1:20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2" t="s">
        <v>10</v>
      </c>
    </row>
    <row r="2" spans="1:20" x14ac:dyDescent="0.2">
      <c r="A2" s="5"/>
      <c r="B2" s="4">
        <v>1</v>
      </c>
      <c r="C2" s="4">
        <v>2400</v>
      </c>
      <c r="D2" s="4">
        <v>2700</v>
      </c>
      <c r="E2" s="4">
        <v>3200</v>
      </c>
      <c r="F2" s="4">
        <v>1400</v>
      </c>
      <c r="G2" s="4">
        <v>1700</v>
      </c>
      <c r="H2" s="4">
        <v>1800</v>
      </c>
      <c r="I2" s="4">
        <v>1600</v>
      </c>
      <c r="J2" s="4">
        <v>800</v>
      </c>
      <c r="K2" s="4">
        <v>200</v>
      </c>
      <c r="L2" s="2">
        <v>15800</v>
      </c>
    </row>
    <row r="3" spans="1:20" x14ac:dyDescent="0.2">
      <c r="A3" s="5"/>
      <c r="B3" s="4">
        <v>2</v>
      </c>
      <c r="C3" s="4">
        <v>1900</v>
      </c>
      <c r="D3" s="4">
        <v>2500</v>
      </c>
      <c r="E3" s="4">
        <v>3100</v>
      </c>
      <c r="F3" s="4">
        <v>1600</v>
      </c>
      <c r="G3" s="4">
        <v>1800</v>
      </c>
      <c r="H3" s="4">
        <v>2000</v>
      </c>
      <c r="I3" s="4">
        <v>1800</v>
      </c>
      <c r="J3" s="4">
        <v>900</v>
      </c>
      <c r="K3" s="4">
        <v>300</v>
      </c>
      <c r="L3" s="2">
        <v>15900</v>
      </c>
    </row>
    <row r="4" spans="1:20" x14ac:dyDescent="0.2">
      <c r="A4" s="5"/>
      <c r="B4" s="4">
        <v>3</v>
      </c>
      <c r="C4" s="4">
        <v>2300</v>
      </c>
      <c r="D4" s="4">
        <v>3100</v>
      </c>
      <c r="E4" s="4">
        <v>2500</v>
      </c>
      <c r="F4" s="4">
        <v>1500</v>
      </c>
      <c r="G4" s="4">
        <v>1500</v>
      </c>
      <c r="H4" s="4">
        <v>1800</v>
      </c>
      <c r="I4" s="4">
        <v>1900</v>
      </c>
      <c r="J4" s="4">
        <v>1100</v>
      </c>
      <c r="K4" s="4">
        <v>200</v>
      </c>
      <c r="L4" s="2">
        <v>15900</v>
      </c>
    </row>
    <row r="5" spans="1:20" x14ac:dyDescent="0.2">
      <c r="A5" s="5"/>
      <c r="B5" s="4">
        <v>4</v>
      </c>
      <c r="C5" s="4">
        <v>2200</v>
      </c>
      <c r="D5" s="4">
        <v>3200</v>
      </c>
      <c r="E5" s="4">
        <v>3100</v>
      </c>
      <c r="F5" s="4">
        <v>2200</v>
      </c>
      <c r="G5" s="4">
        <v>1900</v>
      </c>
      <c r="H5" s="4">
        <v>2400</v>
      </c>
      <c r="I5" s="4">
        <v>2100</v>
      </c>
      <c r="J5" s="4">
        <v>1200</v>
      </c>
      <c r="K5" s="4">
        <v>400</v>
      </c>
      <c r="L5" s="2">
        <v>18700</v>
      </c>
    </row>
    <row r="6" spans="1:20" x14ac:dyDescent="0.2">
      <c r="A6" s="6" t="s">
        <v>11</v>
      </c>
      <c r="B6" s="4">
        <v>5</v>
      </c>
      <c r="C6" s="4">
        <v>2400</v>
      </c>
      <c r="D6" s="4">
        <v>3300</v>
      </c>
      <c r="E6" s="4">
        <v>3400</v>
      </c>
      <c r="F6" s="4">
        <v>1700</v>
      </c>
      <c r="G6" s="4">
        <v>2200</v>
      </c>
      <c r="H6" s="4">
        <v>2100</v>
      </c>
      <c r="I6" s="4">
        <v>2000</v>
      </c>
      <c r="J6" s="4">
        <v>1000</v>
      </c>
      <c r="K6" s="4">
        <v>600</v>
      </c>
      <c r="L6" s="2">
        <v>18700</v>
      </c>
    </row>
    <row r="7" spans="1:20" x14ac:dyDescent="0.2">
      <c r="A7" s="6" t="s">
        <v>12</v>
      </c>
      <c r="B7" s="4">
        <v>6</v>
      </c>
      <c r="C7" s="4">
        <v>2600</v>
      </c>
      <c r="D7" s="4">
        <v>2800</v>
      </c>
      <c r="E7" s="4">
        <v>3500</v>
      </c>
      <c r="F7" s="4">
        <v>1500</v>
      </c>
      <c r="G7" s="4">
        <v>1700</v>
      </c>
      <c r="H7" s="4">
        <v>1900</v>
      </c>
      <c r="I7" s="4">
        <v>1500</v>
      </c>
      <c r="J7" s="4">
        <v>1100</v>
      </c>
      <c r="K7" s="4">
        <v>300</v>
      </c>
      <c r="L7" s="2">
        <v>16900</v>
      </c>
      <c r="N7" t="s">
        <v>13</v>
      </c>
      <c r="O7" t="s">
        <v>14</v>
      </c>
      <c r="P7" t="s">
        <v>15</v>
      </c>
    </row>
    <row r="8" spans="1:20" x14ac:dyDescent="0.2">
      <c r="A8" s="5"/>
      <c r="B8" s="4">
        <v>7</v>
      </c>
      <c r="C8" s="4">
        <v>1900</v>
      </c>
      <c r="D8" s="4">
        <v>2800</v>
      </c>
      <c r="E8" s="4">
        <v>3100</v>
      </c>
      <c r="F8" s="4">
        <v>1200</v>
      </c>
      <c r="G8" s="4">
        <v>1500</v>
      </c>
      <c r="H8" s="4">
        <v>2000</v>
      </c>
      <c r="I8" s="4">
        <v>1400</v>
      </c>
      <c r="J8" s="4">
        <v>900</v>
      </c>
      <c r="K8" s="4">
        <v>400</v>
      </c>
      <c r="L8" s="2">
        <v>15200</v>
      </c>
      <c r="N8" s="10">
        <v>1</v>
      </c>
      <c r="O8" s="4">
        <v>1</v>
      </c>
      <c r="P8" s="2">
        <v>15800</v>
      </c>
      <c r="S8" t="s">
        <v>16</v>
      </c>
    </row>
    <row r="9" spans="1:20" ht="16" thickBot="1" x14ac:dyDescent="0.25">
      <c r="A9" s="5"/>
      <c r="B9" s="4">
        <v>8</v>
      </c>
      <c r="C9" s="4">
        <v>2000</v>
      </c>
      <c r="D9" s="4">
        <v>2700</v>
      </c>
      <c r="E9" s="4">
        <v>2500</v>
      </c>
      <c r="F9" s="4">
        <v>1500</v>
      </c>
      <c r="G9" s="4">
        <v>2000</v>
      </c>
      <c r="H9" s="4">
        <v>2300</v>
      </c>
      <c r="I9" s="4">
        <v>1900</v>
      </c>
      <c r="J9" s="4">
        <v>1000</v>
      </c>
      <c r="K9" s="4">
        <v>200</v>
      </c>
      <c r="L9" s="2">
        <v>16100</v>
      </c>
      <c r="O9" s="4">
        <v>2</v>
      </c>
      <c r="P9" s="2">
        <v>15900</v>
      </c>
    </row>
    <row r="10" spans="1:20" x14ac:dyDescent="0.2">
      <c r="A10" s="5"/>
      <c r="B10" s="4">
        <v>9</v>
      </c>
      <c r="C10" s="4">
        <v>2400</v>
      </c>
      <c r="D10" s="4">
        <v>3200</v>
      </c>
      <c r="E10" s="4">
        <v>3600</v>
      </c>
      <c r="F10" s="4">
        <v>1600</v>
      </c>
      <c r="G10" s="4">
        <v>2100</v>
      </c>
      <c r="H10" s="4">
        <v>2500</v>
      </c>
      <c r="I10" s="4">
        <v>1800</v>
      </c>
      <c r="J10" s="4">
        <v>1400</v>
      </c>
      <c r="K10" s="4">
        <v>200</v>
      </c>
      <c r="L10" s="2">
        <v>18800</v>
      </c>
      <c r="O10" s="4">
        <v>3</v>
      </c>
      <c r="P10" s="2">
        <v>15900</v>
      </c>
      <c r="S10" s="13" t="s">
        <v>17</v>
      </c>
      <c r="T10" s="13"/>
    </row>
    <row r="11" spans="1:20" x14ac:dyDescent="0.2">
      <c r="A11" s="7"/>
      <c r="B11" s="4">
        <v>10</v>
      </c>
      <c r="C11" s="4">
        <v>2600</v>
      </c>
      <c r="D11" s="4">
        <v>3300</v>
      </c>
      <c r="E11" s="4">
        <v>3100</v>
      </c>
      <c r="F11" s="4">
        <v>200</v>
      </c>
      <c r="G11" s="4">
        <v>2500</v>
      </c>
      <c r="H11" s="4">
        <v>2600</v>
      </c>
      <c r="I11" s="4">
        <v>2400</v>
      </c>
      <c r="J11" s="4">
        <v>1100</v>
      </c>
      <c r="K11" s="4">
        <v>400</v>
      </c>
      <c r="L11" s="2">
        <v>18200</v>
      </c>
      <c r="O11" s="4">
        <v>4</v>
      </c>
      <c r="P11" s="2">
        <v>18700</v>
      </c>
      <c r="S11" t="s">
        <v>18</v>
      </c>
      <c r="T11">
        <v>0.95872226017047346</v>
      </c>
    </row>
    <row r="12" spans="1:20" x14ac:dyDescent="0.2">
      <c r="A12" s="8"/>
      <c r="B12" s="4">
        <v>11</v>
      </c>
      <c r="C12" s="4">
        <v>3100</v>
      </c>
      <c r="D12" s="4">
        <v>3900</v>
      </c>
      <c r="E12" s="4">
        <v>4100</v>
      </c>
      <c r="F12" s="4">
        <v>2200</v>
      </c>
      <c r="G12" s="4">
        <v>2600</v>
      </c>
      <c r="H12" s="4">
        <v>2300</v>
      </c>
      <c r="I12" s="4">
        <v>2500</v>
      </c>
      <c r="J12" s="4">
        <v>1100</v>
      </c>
      <c r="K12" s="4">
        <v>300</v>
      </c>
      <c r="L12" s="2">
        <v>22100</v>
      </c>
      <c r="O12" s="4">
        <v>5</v>
      </c>
      <c r="P12" s="2">
        <v>18700</v>
      </c>
      <c r="S12" t="s">
        <v>19</v>
      </c>
      <c r="T12">
        <v>0.9191483721463809</v>
      </c>
    </row>
    <row r="13" spans="1:20" x14ac:dyDescent="0.2">
      <c r="A13" s="6"/>
      <c r="B13" s="4">
        <v>12</v>
      </c>
      <c r="C13" s="4">
        <v>2800</v>
      </c>
      <c r="D13" s="4">
        <v>3400</v>
      </c>
      <c r="E13" s="4">
        <v>3900</v>
      </c>
      <c r="F13" s="4">
        <v>1900</v>
      </c>
      <c r="G13" s="4">
        <v>2100</v>
      </c>
      <c r="H13" s="4">
        <v>2500</v>
      </c>
      <c r="I13" s="4">
        <v>2000</v>
      </c>
      <c r="J13" s="4">
        <v>1200</v>
      </c>
      <c r="K13" s="4">
        <v>300</v>
      </c>
      <c r="L13" s="2">
        <v>20100</v>
      </c>
      <c r="O13" s="4">
        <v>6</v>
      </c>
      <c r="P13" s="2">
        <v>16900</v>
      </c>
      <c r="S13" t="s">
        <v>20</v>
      </c>
      <c r="T13">
        <v>0.91626081400875159</v>
      </c>
    </row>
    <row r="14" spans="1:20" x14ac:dyDescent="0.2">
      <c r="A14" s="6"/>
      <c r="B14" s="4">
        <v>13</v>
      </c>
      <c r="C14" s="4">
        <v>2700</v>
      </c>
      <c r="D14" s="4">
        <v>3800</v>
      </c>
      <c r="E14" s="4">
        <v>4300</v>
      </c>
      <c r="F14" s="4">
        <v>2100</v>
      </c>
      <c r="G14" s="4">
        <v>2400</v>
      </c>
      <c r="H14" s="4">
        <v>2400</v>
      </c>
      <c r="I14" s="4">
        <v>2400</v>
      </c>
      <c r="J14" s="4">
        <v>1200</v>
      </c>
      <c r="K14" s="4">
        <v>400</v>
      </c>
      <c r="L14" s="2">
        <v>21700</v>
      </c>
      <c r="O14" s="4">
        <v>7</v>
      </c>
      <c r="P14" s="2">
        <v>15200</v>
      </c>
      <c r="S14" t="s">
        <v>21</v>
      </c>
      <c r="T14">
        <v>1378.0730698618597</v>
      </c>
    </row>
    <row r="15" spans="1:20" ht="16" thickBot="1" x14ac:dyDescent="0.25">
      <c r="A15" s="6"/>
      <c r="B15" s="4">
        <v>14</v>
      </c>
      <c r="C15" s="4">
        <v>2400</v>
      </c>
      <c r="D15" s="4">
        <v>3500</v>
      </c>
      <c r="E15" s="4">
        <v>4100</v>
      </c>
      <c r="F15" s="4">
        <v>2400</v>
      </c>
      <c r="G15" s="4">
        <v>3000</v>
      </c>
      <c r="H15" s="4">
        <v>3200</v>
      </c>
      <c r="I15" s="4">
        <v>2600</v>
      </c>
      <c r="J15" s="4">
        <v>1200</v>
      </c>
      <c r="K15" s="4">
        <v>700</v>
      </c>
      <c r="L15" s="2">
        <v>23100</v>
      </c>
      <c r="O15" s="4">
        <v>8</v>
      </c>
      <c r="P15" s="2">
        <v>16100</v>
      </c>
      <c r="S15" s="11" t="s">
        <v>22</v>
      </c>
      <c r="T15" s="11">
        <v>30</v>
      </c>
    </row>
    <row r="16" spans="1:20" x14ac:dyDescent="0.2">
      <c r="A16" s="6" t="s">
        <v>11</v>
      </c>
      <c r="B16" s="4">
        <v>15</v>
      </c>
      <c r="C16" s="4">
        <v>3300</v>
      </c>
      <c r="D16" s="4">
        <v>3700</v>
      </c>
      <c r="E16" s="4">
        <v>4000</v>
      </c>
      <c r="F16" s="4">
        <v>2600</v>
      </c>
      <c r="G16" s="4">
        <v>2600</v>
      </c>
      <c r="H16" s="4">
        <v>2700</v>
      </c>
      <c r="I16" s="4">
        <v>2900</v>
      </c>
      <c r="J16" s="4">
        <v>1000</v>
      </c>
      <c r="K16" s="4">
        <v>300</v>
      </c>
      <c r="L16" s="2">
        <v>23100</v>
      </c>
      <c r="O16" s="4">
        <v>9</v>
      </c>
      <c r="P16" s="2">
        <v>18800</v>
      </c>
    </row>
    <row r="17" spans="1:27" ht="16" thickBot="1" x14ac:dyDescent="0.25">
      <c r="A17" s="6" t="s">
        <v>23</v>
      </c>
      <c r="B17" s="4">
        <v>16</v>
      </c>
      <c r="C17" s="4">
        <v>3500</v>
      </c>
      <c r="D17" s="4">
        <v>4000</v>
      </c>
      <c r="E17" s="4">
        <v>3800</v>
      </c>
      <c r="F17" s="4">
        <v>2300</v>
      </c>
      <c r="G17" s="4">
        <v>2700</v>
      </c>
      <c r="H17" s="4">
        <v>3100</v>
      </c>
      <c r="I17" s="4">
        <v>3000</v>
      </c>
      <c r="J17" s="4">
        <v>900</v>
      </c>
      <c r="K17" s="4">
        <v>200</v>
      </c>
      <c r="L17" s="2">
        <v>23500</v>
      </c>
      <c r="O17" s="4">
        <v>10</v>
      </c>
      <c r="P17" s="2">
        <v>18200</v>
      </c>
      <c r="S17" t="s">
        <v>24</v>
      </c>
    </row>
    <row r="18" spans="1:27" x14ac:dyDescent="0.2">
      <c r="A18" s="6"/>
      <c r="B18" s="4">
        <v>17</v>
      </c>
      <c r="C18" s="4">
        <v>2900</v>
      </c>
      <c r="D18" s="4">
        <v>4100</v>
      </c>
      <c r="E18" s="4">
        <v>3900</v>
      </c>
      <c r="F18" s="4">
        <v>2400</v>
      </c>
      <c r="G18" s="4">
        <v>3000</v>
      </c>
      <c r="H18" s="4">
        <v>3200</v>
      </c>
      <c r="I18" s="4">
        <v>2500</v>
      </c>
      <c r="J18" s="4">
        <v>1100</v>
      </c>
      <c r="K18" s="4">
        <v>500</v>
      </c>
      <c r="L18" s="2">
        <v>23600</v>
      </c>
      <c r="N18" s="10">
        <v>2</v>
      </c>
      <c r="O18" s="4">
        <v>11</v>
      </c>
      <c r="P18" s="2">
        <v>22100</v>
      </c>
      <c r="S18" s="12"/>
      <c r="T18" s="12" t="s">
        <v>25</v>
      </c>
      <c r="U18" s="12" t="s">
        <v>26</v>
      </c>
      <c r="V18" s="12" t="s">
        <v>27</v>
      </c>
      <c r="W18" s="12" t="s">
        <v>28</v>
      </c>
      <c r="X18" s="12" t="s">
        <v>29</v>
      </c>
    </row>
    <row r="19" spans="1:27" x14ac:dyDescent="0.2">
      <c r="A19" s="6"/>
      <c r="B19" s="4">
        <v>18</v>
      </c>
      <c r="C19" s="4">
        <v>3400</v>
      </c>
      <c r="D19" s="4">
        <v>3800</v>
      </c>
      <c r="E19" s="4">
        <v>4200</v>
      </c>
      <c r="F19" s="4">
        <v>2000</v>
      </c>
      <c r="G19" s="4">
        <v>2500</v>
      </c>
      <c r="H19" s="4">
        <v>3000</v>
      </c>
      <c r="I19" s="4">
        <v>2200</v>
      </c>
      <c r="J19" s="4">
        <v>1000</v>
      </c>
      <c r="K19" s="4">
        <v>300</v>
      </c>
      <c r="L19" s="2">
        <v>22400</v>
      </c>
      <c r="O19" s="4">
        <v>12</v>
      </c>
      <c r="P19" s="2">
        <v>20100</v>
      </c>
      <c r="S19" t="s">
        <v>30</v>
      </c>
      <c r="T19">
        <v>1</v>
      </c>
      <c r="U19">
        <v>604504275.86206877</v>
      </c>
      <c r="V19">
        <v>604504275.86206877</v>
      </c>
      <c r="W19">
        <v>318.31337356241818</v>
      </c>
      <c r="X19">
        <v>7.928103455988765E-17</v>
      </c>
    </row>
    <row r="20" spans="1:27" x14ac:dyDescent="0.2">
      <c r="A20" s="6"/>
      <c r="B20" s="4">
        <v>19</v>
      </c>
      <c r="C20" s="4">
        <v>3600</v>
      </c>
      <c r="D20" s="4">
        <v>3600</v>
      </c>
      <c r="E20" s="4">
        <v>4000</v>
      </c>
      <c r="F20" s="4">
        <v>2300</v>
      </c>
      <c r="G20" s="4">
        <v>2600</v>
      </c>
      <c r="H20" s="4">
        <v>2800</v>
      </c>
      <c r="I20" s="4">
        <v>2600</v>
      </c>
      <c r="J20" s="4">
        <v>1200</v>
      </c>
      <c r="K20" s="4">
        <v>200</v>
      </c>
      <c r="L20" s="2">
        <v>22900</v>
      </c>
      <c r="O20" s="4">
        <v>13</v>
      </c>
      <c r="P20" s="2">
        <v>21700</v>
      </c>
      <c r="S20" t="s">
        <v>31</v>
      </c>
      <c r="T20">
        <v>28</v>
      </c>
      <c r="U20">
        <v>53174390.804597713</v>
      </c>
      <c r="V20">
        <v>1899085.3858784898</v>
      </c>
    </row>
    <row r="21" spans="1:27" ht="16" thickBot="1" x14ac:dyDescent="0.25">
      <c r="A21" s="9"/>
      <c r="B21" s="4">
        <v>20</v>
      </c>
      <c r="C21" s="4">
        <v>3700</v>
      </c>
      <c r="D21" s="4">
        <v>3700</v>
      </c>
      <c r="E21" s="4">
        <v>4000</v>
      </c>
      <c r="F21" s="4">
        <v>2200</v>
      </c>
      <c r="G21" s="4">
        <v>2600</v>
      </c>
      <c r="H21" s="4">
        <v>2700</v>
      </c>
      <c r="I21" s="4">
        <v>2400</v>
      </c>
      <c r="J21" s="4">
        <v>1200</v>
      </c>
      <c r="K21" s="4">
        <v>200</v>
      </c>
      <c r="L21" s="2">
        <v>22700</v>
      </c>
      <c r="O21" s="4">
        <v>14</v>
      </c>
      <c r="P21" s="2">
        <v>23100</v>
      </c>
      <c r="S21" s="11" t="s">
        <v>10</v>
      </c>
      <c r="T21" s="11">
        <v>29</v>
      </c>
      <c r="U21" s="11">
        <v>657678666.66666651</v>
      </c>
      <c r="V21" s="11"/>
      <c r="W21" s="11"/>
      <c r="X21" s="11"/>
    </row>
    <row r="22" spans="1:27" ht="16" thickBot="1" x14ac:dyDescent="0.25">
      <c r="A22" s="8"/>
      <c r="B22" s="4">
        <v>21</v>
      </c>
      <c r="C22" s="4">
        <v>4400</v>
      </c>
      <c r="D22" s="4">
        <v>4400</v>
      </c>
      <c r="E22" s="4">
        <v>4500</v>
      </c>
      <c r="F22" s="4">
        <v>2600</v>
      </c>
      <c r="G22" s="4">
        <v>3300</v>
      </c>
      <c r="H22" s="4">
        <v>3400</v>
      </c>
      <c r="I22" s="4">
        <v>3000</v>
      </c>
      <c r="J22" s="4">
        <v>1200</v>
      </c>
      <c r="K22" s="4">
        <v>400</v>
      </c>
      <c r="L22" s="2">
        <v>27200</v>
      </c>
      <c r="O22" s="4">
        <v>15</v>
      </c>
      <c r="P22" s="2">
        <v>23100</v>
      </c>
    </row>
    <row r="23" spans="1:27" x14ac:dyDescent="0.2">
      <c r="A23" s="6"/>
      <c r="B23" s="4">
        <v>22</v>
      </c>
      <c r="C23" s="4">
        <v>4200</v>
      </c>
      <c r="D23" s="4">
        <v>4500</v>
      </c>
      <c r="E23" s="4">
        <v>4300</v>
      </c>
      <c r="F23" s="4">
        <v>2500</v>
      </c>
      <c r="G23" s="4">
        <v>3400</v>
      </c>
      <c r="H23" s="4">
        <v>3600</v>
      </c>
      <c r="I23" s="4">
        <v>3100</v>
      </c>
      <c r="J23" s="4">
        <v>1400</v>
      </c>
      <c r="K23" s="4">
        <v>300</v>
      </c>
      <c r="L23" s="2">
        <v>27300</v>
      </c>
      <c r="O23" s="4">
        <v>16</v>
      </c>
      <c r="P23" s="2">
        <v>23500</v>
      </c>
      <c r="S23" s="12"/>
      <c r="T23" s="12" t="s">
        <v>32</v>
      </c>
      <c r="U23" s="12" t="s">
        <v>21</v>
      </c>
      <c r="V23" s="12" t="s">
        <v>33</v>
      </c>
      <c r="W23" s="12" t="s">
        <v>34</v>
      </c>
      <c r="X23" s="12" t="s">
        <v>35</v>
      </c>
      <c r="Y23" s="12" t="s">
        <v>36</v>
      </c>
      <c r="Z23" s="12" t="s">
        <v>37</v>
      </c>
      <c r="AA23" s="12" t="s">
        <v>38</v>
      </c>
    </row>
    <row r="24" spans="1:27" x14ac:dyDescent="0.2">
      <c r="A24" s="6"/>
      <c r="B24" s="4">
        <v>23</v>
      </c>
      <c r="C24" s="4">
        <v>4500</v>
      </c>
      <c r="D24" s="4">
        <v>4500</v>
      </c>
      <c r="E24" s="4">
        <v>4700</v>
      </c>
      <c r="F24" s="4">
        <v>2700</v>
      </c>
      <c r="G24" s="4">
        <v>3400</v>
      </c>
      <c r="H24" s="4">
        <v>3500</v>
      </c>
      <c r="I24" s="4">
        <v>2900</v>
      </c>
      <c r="J24" s="4">
        <v>1200</v>
      </c>
      <c r="K24" s="4">
        <v>300</v>
      </c>
      <c r="L24" s="2">
        <v>27700</v>
      </c>
      <c r="O24" s="4">
        <v>17</v>
      </c>
      <c r="P24" s="2">
        <v>23600</v>
      </c>
      <c r="S24" t="s">
        <v>39</v>
      </c>
      <c r="T24">
        <v>14534.712643678162</v>
      </c>
      <c r="U24">
        <v>516.05089417233262</v>
      </c>
      <c r="V24">
        <v>28.165269758886161</v>
      </c>
      <c r="W24">
        <v>4.353354817203474E-22</v>
      </c>
      <c r="X24">
        <v>13477.630306525734</v>
      </c>
      <c r="Y24">
        <v>15591.794980830589</v>
      </c>
      <c r="Z24">
        <v>13477.630306525734</v>
      </c>
      <c r="AA24">
        <v>15591.794980830589</v>
      </c>
    </row>
    <row r="25" spans="1:27" ht="16" thickBot="1" x14ac:dyDescent="0.25">
      <c r="A25" s="6"/>
      <c r="B25" s="4">
        <v>24</v>
      </c>
      <c r="C25" s="4">
        <v>4600</v>
      </c>
      <c r="D25" s="4">
        <v>4600</v>
      </c>
      <c r="E25" s="4">
        <v>4600</v>
      </c>
      <c r="F25" s="4">
        <v>2500</v>
      </c>
      <c r="G25" s="4">
        <v>3200</v>
      </c>
      <c r="H25" s="4">
        <v>3500</v>
      </c>
      <c r="I25" s="4">
        <v>2800</v>
      </c>
      <c r="J25" s="4">
        <v>1300</v>
      </c>
      <c r="K25" s="4">
        <v>300</v>
      </c>
      <c r="L25" s="2">
        <v>27400</v>
      </c>
      <c r="O25" s="4">
        <v>18</v>
      </c>
      <c r="P25" s="2">
        <v>22400</v>
      </c>
      <c r="S25" s="11" t="s">
        <v>40</v>
      </c>
      <c r="T25" s="11">
        <v>518.62068965517233</v>
      </c>
      <c r="U25" s="11">
        <v>29.068484865988843</v>
      </c>
      <c r="V25" s="11">
        <v>17.8413388948929</v>
      </c>
      <c r="W25" s="11">
        <v>7.928103455988765E-17</v>
      </c>
      <c r="X25" s="11">
        <v>459.07659765451382</v>
      </c>
      <c r="Y25" s="11">
        <v>578.16478165583089</v>
      </c>
      <c r="Z25" s="11">
        <v>459.07659765451382</v>
      </c>
      <c r="AA25" s="11">
        <v>578.16478165583089</v>
      </c>
    </row>
    <row r="26" spans="1:27" x14ac:dyDescent="0.2">
      <c r="A26" s="6" t="s">
        <v>11</v>
      </c>
      <c r="B26" s="4">
        <v>25</v>
      </c>
      <c r="C26" s="4">
        <v>4500</v>
      </c>
      <c r="D26" s="4">
        <v>4300</v>
      </c>
      <c r="E26" s="4">
        <v>4400</v>
      </c>
      <c r="F26" s="4">
        <v>2900</v>
      </c>
      <c r="G26" s="4">
        <v>3300</v>
      </c>
      <c r="H26" s="4">
        <v>3300</v>
      </c>
      <c r="I26" s="4">
        <v>3300</v>
      </c>
      <c r="J26" s="4">
        <v>1500</v>
      </c>
      <c r="K26" s="4">
        <v>400</v>
      </c>
      <c r="L26" s="2">
        <v>27900</v>
      </c>
      <c r="O26" s="4">
        <v>19</v>
      </c>
      <c r="P26" s="2">
        <v>22900</v>
      </c>
    </row>
    <row r="27" spans="1:27" x14ac:dyDescent="0.2">
      <c r="A27" s="6" t="s">
        <v>41</v>
      </c>
      <c r="B27" s="4">
        <v>26</v>
      </c>
      <c r="C27" s="4">
        <v>4200</v>
      </c>
      <c r="D27" s="4">
        <v>4300</v>
      </c>
      <c r="E27" s="4">
        <v>4500</v>
      </c>
      <c r="F27" s="4">
        <v>3000</v>
      </c>
      <c r="G27" s="4">
        <v>4000</v>
      </c>
      <c r="H27" s="4">
        <v>3400</v>
      </c>
      <c r="I27" s="4">
        <v>3000</v>
      </c>
      <c r="J27" s="4">
        <v>1500</v>
      </c>
      <c r="K27" s="4">
        <v>600</v>
      </c>
      <c r="L27" s="2">
        <v>28500</v>
      </c>
      <c r="O27" s="4">
        <v>20</v>
      </c>
      <c r="P27" s="2">
        <v>22700</v>
      </c>
    </row>
    <row r="28" spans="1:27" x14ac:dyDescent="0.2">
      <c r="A28" s="6"/>
      <c r="B28" s="4">
        <v>27</v>
      </c>
      <c r="C28" s="4">
        <v>4500</v>
      </c>
      <c r="D28" s="4">
        <v>4500</v>
      </c>
      <c r="E28" s="4">
        <v>5100</v>
      </c>
      <c r="F28" s="4">
        <v>3300</v>
      </c>
      <c r="G28" s="4">
        <v>4000</v>
      </c>
      <c r="H28" s="4">
        <v>3700</v>
      </c>
      <c r="I28" s="4">
        <v>3100</v>
      </c>
      <c r="J28" s="4">
        <v>1200</v>
      </c>
      <c r="K28" s="4">
        <v>300</v>
      </c>
      <c r="L28" s="2">
        <v>29700</v>
      </c>
      <c r="N28" s="10">
        <v>3</v>
      </c>
      <c r="O28" s="4">
        <v>21</v>
      </c>
      <c r="P28" s="2">
        <v>27200</v>
      </c>
    </row>
    <row r="29" spans="1:27" x14ac:dyDescent="0.2">
      <c r="A29" s="6"/>
      <c r="B29" s="4">
        <v>28</v>
      </c>
      <c r="C29" s="4">
        <v>4300</v>
      </c>
      <c r="D29" s="4">
        <v>4200</v>
      </c>
      <c r="E29" s="4">
        <v>4300</v>
      </c>
      <c r="F29" s="4">
        <v>2800</v>
      </c>
      <c r="G29" s="4">
        <v>3500</v>
      </c>
      <c r="H29" s="4">
        <v>4000</v>
      </c>
      <c r="I29" s="4">
        <v>3300</v>
      </c>
      <c r="J29" s="4">
        <v>1100</v>
      </c>
      <c r="K29" s="4">
        <v>400</v>
      </c>
      <c r="L29" s="2">
        <v>27900</v>
      </c>
      <c r="O29" s="4">
        <v>22</v>
      </c>
      <c r="P29" s="2">
        <v>27300</v>
      </c>
      <c r="S29" s="33" t="s">
        <v>42</v>
      </c>
      <c r="T29" s="32"/>
    </row>
    <row r="30" spans="1:27" x14ac:dyDescent="0.2">
      <c r="A30" s="6"/>
      <c r="B30" s="4">
        <v>29</v>
      </c>
      <c r="C30" s="4">
        <v>4900</v>
      </c>
      <c r="D30" s="4">
        <v>4100</v>
      </c>
      <c r="E30" s="4">
        <v>4200</v>
      </c>
      <c r="F30" s="4">
        <v>3100</v>
      </c>
      <c r="G30" s="4">
        <v>3600</v>
      </c>
      <c r="H30" s="4">
        <v>3900</v>
      </c>
      <c r="I30" s="4">
        <v>3400</v>
      </c>
      <c r="J30" s="4">
        <v>1400</v>
      </c>
      <c r="K30" s="4">
        <v>500</v>
      </c>
      <c r="L30" s="2">
        <v>29100</v>
      </c>
      <c r="O30" s="4">
        <v>23</v>
      </c>
      <c r="P30" s="2">
        <v>27700</v>
      </c>
      <c r="S30" s="33" t="s">
        <v>62</v>
      </c>
      <c r="T30" s="49">
        <f>INTERCEPT(P8:P37,O8:O37)</f>
        <v>14534.712643678158</v>
      </c>
    </row>
    <row r="31" spans="1:27" x14ac:dyDescent="0.2">
      <c r="A31" s="9"/>
      <c r="B31" s="4">
        <v>30</v>
      </c>
      <c r="C31" s="4">
        <v>4700</v>
      </c>
      <c r="D31" s="4">
        <v>4500</v>
      </c>
      <c r="E31" s="4">
        <v>4100</v>
      </c>
      <c r="F31" s="4">
        <v>3000</v>
      </c>
      <c r="G31" s="4">
        <v>4000</v>
      </c>
      <c r="H31" s="4">
        <v>3700</v>
      </c>
      <c r="I31" s="4">
        <v>3400</v>
      </c>
      <c r="J31" s="4">
        <v>1200</v>
      </c>
      <c r="K31" s="4">
        <v>500</v>
      </c>
      <c r="L31" s="2">
        <v>29100</v>
      </c>
      <c r="O31" s="4">
        <v>24</v>
      </c>
      <c r="P31" s="2">
        <v>27400</v>
      </c>
      <c r="S31" s="33" t="s">
        <v>63</v>
      </c>
      <c r="T31" s="49">
        <f>SLOPE(P8:P37,O8:O37)</f>
        <v>518.62068965517255</v>
      </c>
    </row>
    <row r="32" spans="1:27" x14ac:dyDescent="0.2">
      <c r="A32" s="2" t="s">
        <v>10</v>
      </c>
      <c r="B32" s="1"/>
      <c r="C32" s="2">
        <v>98900</v>
      </c>
      <c r="D32" s="2">
        <v>111000</v>
      </c>
      <c r="E32" s="2">
        <v>116100</v>
      </c>
      <c r="F32" s="2">
        <v>65200</v>
      </c>
      <c r="G32" s="2">
        <v>80700</v>
      </c>
      <c r="H32" s="2">
        <v>85300</v>
      </c>
      <c r="I32" s="2">
        <v>74800</v>
      </c>
      <c r="J32" s="2">
        <v>34600</v>
      </c>
      <c r="K32" s="2">
        <v>10600</v>
      </c>
      <c r="L32" s="2">
        <v>677200</v>
      </c>
      <c r="O32" s="4">
        <v>25</v>
      </c>
      <c r="P32" s="2">
        <v>27900</v>
      </c>
      <c r="S32" s="34" t="s">
        <v>61</v>
      </c>
      <c r="T32" s="50">
        <f>T30+T31*31</f>
        <v>30611.95402298851</v>
      </c>
    </row>
    <row r="33" spans="15:20" x14ac:dyDescent="0.2">
      <c r="O33" s="4">
        <v>26</v>
      </c>
      <c r="P33" s="2">
        <v>28500</v>
      </c>
    </row>
    <row r="34" spans="15:20" x14ac:dyDescent="0.2">
      <c r="O34" s="4">
        <v>27</v>
      </c>
      <c r="P34" s="2">
        <v>29700</v>
      </c>
    </row>
    <row r="35" spans="15:20" x14ac:dyDescent="0.2">
      <c r="O35" s="4">
        <v>28</v>
      </c>
      <c r="P35" s="2">
        <v>27900</v>
      </c>
      <c r="S35" s="34" t="s">
        <v>64</v>
      </c>
      <c r="T35" s="34" t="s">
        <v>69</v>
      </c>
    </row>
    <row r="36" spans="15:20" x14ac:dyDescent="0.2">
      <c r="O36" s="4">
        <v>29</v>
      </c>
      <c r="P36" s="2">
        <v>29100</v>
      </c>
      <c r="S36" s="47" t="s">
        <v>1</v>
      </c>
      <c r="T36" s="48">
        <f>(C32/$L$32)*$T$32</f>
        <v>4470.6471542728341</v>
      </c>
    </row>
    <row r="37" spans="15:20" x14ac:dyDescent="0.2">
      <c r="O37" s="4">
        <v>30</v>
      </c>
      <c r="P37" s="2">
        <v>29100</v>
      </c>
      <c r="S37" s="47" t="s">
        <v>2</v>
      </c>
      <c r="T37" s="48">
        <f>(D32/$L$32)*$T$32</f>
        <v>5017.6120740574788</v>
      </c>
    </row>
    <row r="38" spans="15:20" x14ac:dyDescent="0.2">
      <c r="S38" s="47" t="s">
        <v>3</v>
      </c>
      <c r="T38" s="48">
        <f>(E32/$L$32)*$T$32</f>
        <v>5248.1510071898492</v>
      </c>
    </row>
    <row r="39" spans="15:20" x14ac:dyDescent="0.2">
      <c r="S39" s="47" t="s">
        <v>4</v>
      </c>
      <c r="T39" s="48">
        <f>(F32/$L$32)*$T$32</f>
        <v>2947.2820471040327</v>
      </c>
    </row>
    <row r="40" spans="15:20" x14ac:dyDescent="0.2">
      <c r="S40" s="47" t="s">
        <v>5</v>
      </c>
      <c r="T40" s="48">
        <f>(G32/$L$32)*$T$32</f>
        <v>3647.9395889769235</v>
      </c>
    </row>
    <row r="41" spans="15:20" x14ac:dyDescent="0.2">
      <c r="S41" s="47" t="s">
        <v>6</v>
      </c>
      <c r="T41" s="48">
        <f>(H32/$L$32)*$T$32</f>
        <v>3855.8766659198468</v>
      </c>
    </row>
    <row r="42" spans="15:20" x14ac:dyDescent="0.2">
      <c r="S42" s="47" t="s">
        <v>7</v>
      </c>
      <c r="T42" s="48">
        <f>(I32/$L$32)*$T$32</f>
        <v>3381.2376859414358</v>
      </c>
    </row>
    <row r="43" spans="15:20" x14ac:dyDescent="0.2">
      <c r="S43" s="47" t="s">
        <v>8</v>
      </c>
      <c r="T43" s="48">
        <f>(J32/$L$32)*$T$32</f>
        <v>1564.0484483098087</v>
      </c>
    </row>
    <row r="44" spans="15:20" x14ac:dyDescent="0.2">
      <c r="S44" s="47" t="s">
        <v>9</v>
      </c>
      <c r="T44" s="48">
        <f>(K32/$L$32)*$T$32</f>
        <v>479.15935121629974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F989-6126-9E41-BD54-C5DFA2858AB8}">
  <dimension ref="B2:N21"/>
  <sheetViews>
    <sheetView zoomScale="99" workbookViewId="0">
      <selection activeCell="F25" sqref="F25"/>
    </sheetView>
  </sheetViews>
  <sheetFormatPr baseColWidth="10" defaultColWidth="8.83203125" defaultRowHeight="19" x14ac:dyDescent="0.2"/>
  <cols>
    <col min="1" max="1" width="8.83203125" style="17"/>
    <col min="2" max="2" width="11.83203125" style="17" bestFit="1" customWidth="1"/>
    <col min="3" max="3" width="12" style="17" bestFit="1" customWidth="1"/>
    <col min="4" max="4" width="15.33203125" style="17" bestFit="1" customWidth="1"/>
    <col min="5" max="6" width="18" style="17" bestFit="1" customWidth="1"/>
    <col min="7" max="7" width="8.5" style="17" customWidth="1"/>
    <col min="8" max="8" width="12.5" style="17" bestFit="1" customWidth="1"/>
    <col min="9" max="9" width="9.5" style="17" bestFit="1" customWidth="1"/>
    <col min="10" max="11" width="8.83203125" style="17"/>
    <col min="12" max="12" width="12.83203125" style="17" bestFit="1" customWidth="1"/>
    <col min="13" max="14" width="9.6640625" style="17" bestFit="1" customWidth="1"/>
    <col min="15" max="16384" width="8.83203125" style="17"/>
  </cols>
  <sheetData>
    <row r="2" spans="2:14" x14ac:dyDescent="0.2">
      <c r="B2" s="16"/>
      <c r="C2" s="14" t="s">
        <v>43</v>
      </c>
      <c r="D2" s="14" t="s">
        <v>44</v>
      </c>
      <c r="E2" s="14" t="s">
        <v>65</v>
      </c>
      <c r="F2" s="14" t="s">
        <v>66</v>
      </c>
      <c r="G2" s="16"/>
      <c r="I2" s="16"/>
      <c r="J2" s="16"/>
      <c r="K2" s="16"/>
      <c r="L2" s="16"/>
      <c r="N2" s="27" t="s">
        <v>55</v>
      </c>
    </row>
    <row r="3" spans="2:14" x14ac:dyDescent="0.2">
      <c r="B3" s="18" t="s">
        <v>45</v>
      </c>
      <c r="C3" s="15" t="s">
        <v>46</v>
      </c>
      <c r="D3" s="15" t="s">
        <v>67</v>
      </c>
      <c r="E3" s="15" t="s">
        <v>48</v>
      </c>
      <c r="F3" s="15" t="s">
        <v>48</v>
      </c>
      <c r="G3" s="19" t="s">
        <v>59</v>
      </c>
      <c r="H3" s="18" t="s">
        <v>49</v>
      </c>
      <c r="I3" s="26" t="s">
        <v>50</v>
      </c>
      <c r="J3" s="19" t="s">
        <v>51</v>
      </c>
      <c r="K3" s="19" t="s">
        <v>52</v>
      </c>
      <c r="L3" s="19" t="s">
        <v>57</v>
      </c>
      <c r="M3" s="18" t="s">
        <v>58</v>
      </c>
      <c r="N3" s="28" t="s">
        <v>56</v>
      </c>
    </row>
    <row r="4" spans="2:14" x14ac:dyDescent="0.2">
      <c r="B4" s="36" t="s">
        <v>1</v>
      </c>
      <c r="C4" s="37">
        <v>4471</v>
      </c>
      <c r="D4" s="37">
        <v>6</v>
      </c>
      <c r="E4" s="38">
        <f>(C4/2)</f>
        <v>2235.5</v>
      </c>
      <c r="F4" s="39">
        <f>3600/11.6</f>
        <v>310.34482758620692</v>
      </c>
      <c r="G4" s="40">
        <f>E4/(D4*F4)</f>
        <v>1.2005462962962963</v>
      </c>
      <c r="H4" s="41">
        <f>1/(1/FACT(0)*(E4/F4)^0+1/FACT(1)*(E4/F4)^1+1/FACT(2)*(E4/F4)^2+1/FACT(3)*(E4/F4)^3+1/FACT(4)*(E4/F4)^4+1/FACT(5)*(E4/F4)^5+(1/FACT(D4))*(E4/F4)^D4*(D4*F4)/(D4*(F4)-(E4)))</f>
        <v>-1.67438840300875E-3</v>
      </c>
      <c r="I4" s="39">
        <f t="shared" ref="I4:I12" si="0">(1/FACT(D4))*((E4/F4)^D4)*(D4*F4*H4)/((D4)*(F4)-(E4))</f>
        <v>1.6199068470943108</v>
      </c>
      <c r="J4" s="42">
        <f t="shared" ref="J4:J12" si="1">((((E4)*(F4)*((E4/F4)^D4)*(H4))/(FACT(D4-1)*(((D4*F4)-E4)^2))))+(E4/F4)</f>
        <v>-2.4940998429526919</v>
      </c>
      <c r="K4" s="42">
        <f t="shared" ref="K4:K12" si="2">J4-(E4/F4)</f>
        <v>-9.6973776207304692</v>
      </c>
      <c r="L4" s="39">
        <f>(J4/E4)*60</f>
        <v>-6.6940724928276227E-2</v>
      </c>
      <c r="M4" s="39">
        <f t="shared" ref="M4:M12" si="3">(K4/E4)*60</f>
        <v>-0.2602740582616096</v>
      </c>
      <c r="N4" s="43" t="str">
        <f>IF(AND(L4&gt;0, L4&lt;=5), "Yes", "No")</f>
        <v>No</v>
      </c>
    </row>
    <row r="5" spans="2:14" x14ac:dyDescent="0.2">
      <c r="B5" s="36" t="s">
        <v>2</v>
      </c>
      <c r="C5" s="37">
        <v>5018</v>
      </c>
      <c r="D5" s="37">
        <v>6</v>
      </c>
      <c r="E5" s="38">
        <f t="shared" ref="E5:E12" si="4">(C5/2)</f>
        <v>2509</v>
      </c>
      <c r="F5" s="39">
        <f t="shared" ref="F5:F12" si="5">3600/11.6</f>
        <v>310.34482758620692</v>
      </c>
      <c r="G5" s="40">
        <f t="shared" ref="G5:G12" si="6">E5/(D5*F5)</f>
        <v>1.3474259259259258</v>
      </c>
      <c r="H5" s="41">
        <f t="shared" ref="H5:H10" si="7">1/(1/FACT(0)*(E5/F5)^0+1/FACT(1)*(E5/F5)^1+1/FACT(2)*(E5/F5)^2+1/FACT(3)*(E5/F5)^3+1/FACT(4)*(E5/F5)^4+1/FACT(5)*(E5/F5)^5+(1/FACT(D5))*(E5/F5)^D5*(D5*F5)/(D5*(F5)-(E5)))</f>
        <v>-1.9209897813338831E-3</v>
      </c>
      <c r="I5" s="39">
        <f t="shared" si="0"/>
        <v>2.1442095858791212</v>
      </c>
      <c r="J5" s="42">
        <f t="shared" si="1"/>
        <v>-0.23135690530211583</v>
      </c>
      <c r="K5" s="42">
        <f t="shared" si="2"/>
        <v>-8.3159124608576711</v>
      </c>
      <c r="L5" s="39">
        <f t="shared" ref="L5:L12" si="8">(J5/E5)*60</f>
        <v>-5.532648193753268E-3</v>
      </c>
      <c r="M5" s="39">
        <f t="shared" si="3"/>
        <v>-0.19886598152708659</v>
      </c>
      <c r="N5" s="43" t="str">
        <f t="shared" ref="N5:N12" si="9">IF(AND(L5&gt;0, L5&lt;=5), "Yes", "No")</f>
        <v>No</v>
      </c>
    </row>
    <row r="6" spans="2:14" x14ac:dyDescent="0.2">
      <c r="B6" s="36" t="s">
        <v>3</v>
      </c>
      <c r="C6" s="37">
        <v>5248</v>
      </c>
      <c r="D6" s="37">
        <v>6</v>
      </c>
      <c r="E6" s="38">
        <f t="shared" si="4"/>
        <v>2624</v>
      </c>
      <c r="F6" s="39">
        <f t="shared" si="5"/>
        <v>310.34482758620692</v>
      </c>
      <c r="G6" s="40">
        <f t="shared" si="6"/>
        <v>1.4091851851851851</v>
      </c>
      <c r="H6" s="41">
        <f t="shared" si="7"/>
        <v>-1.9188668053112653E-3</v>
      </c>
      <c r="I6" s="39">
        <f t="shared" si="0"/>
        <v>2.3796240369341675</v>
      </c>
      <c r="J6" s="42">
        <f t="shared" si="1"/>
        <v>0.25996851903370377</v>
      </c>
      <c r="K6" s="42">
        <f t="shared" si="2"/>
        <v>-8.1951425920774064</v>
      </c>
      <c r="L6" s="39">
        <f t="shared" si="8"/>
        <v>5.9444021120511536E-3</v>
      </c>
      <c r="M6" s="39">
        <f t="shared" si="3"/>
        <v>-0.18738893122128217</v>
      </c>
      <c r="N6" s="43" t="str">
        <f>IF(AND(L6&gt;0, L6&lt;=5), "Yes", "No")</f>
        <v>Yes</v>
      </c>
    </row>
    <row r="7" spans="2:14" x14ac:dyDescent="0.2">
      <c r="B7" s="20" t="s">
        <v>53</v>
      </c>
      <c r="C7" s="21">
        <v>2947</v>
      </c>
      <c r="D7" s="21">
        <v>6</v>
      </c>
      <c r="E7" s="22">
        <f t="shared" si="4"/>
        <v>1473.5</v>
      </c>
      <c r="F7" s="23">
        <f t="shared" si="5"/>
        <v>310.34482758620692</v>
      </c>
      <c r="G7" s="24">
        <f t="shared" si="6"/>
        <v>0.79132407407407401</v>
      </c>
      <c r="H7" s="30">
        <f t="shared" si="7"/>
        <v>6.5622091904524119E-3</v>
      </c>
      <c r="I7" s="23">
        <f t="shared" si="0"/>
        <v>0.50035586749693339</v>
      </c>
      <c r="J7" s="25">
        <f t="shared" si="1"/>
        <v>6.6453537493160075</v>
      </c>
      <c r="K7" s="25">
        <f t="shared" si="2"/>
        <v>1.8974093048715632</v>
      </c>
      <c r="L7" s="23">
        <f t="shared" si="8"/>
        <v>0.27059465555409601</v>
      </c>
      <c r="M7" s="23">
        <f t="shared" si="3"/>
        <v>7.7261322220762665E-2</v>
      </c>
      <c r="N7" s="29" t="str">
        <f t="shared" si="9"/>
        <v>Yes</v>
      </c>
    </row>
    <row r="8" spans="2:14" x14ac:dyDescent="0.2">
      <c r="B8" s="20" t="s">
        <v>54</v>
      </c>
      <c r="C8" s="21">
        <v>3648</v>
      </c>
      <c r="D8" s="21">
        <v>6</v>
      </c>
      <c r="E8" s="22">
        <f t="shared" si="4"/>
        <v>1824</v>
      </c>
      <c r="F8" s="23">
        <f t="shared" si="5"/>
        <v>310.34482758620692</v>
      </c>
      <c r="G8" s="24">
        <f t="shared" si="6"/>
        <v>0.97955555555555551</v>
      </c>
      <c r="H8" s="30">
        <f t="shared" si="7"/>
        <v>3.3712618212249545E-4</v>
      </c>
      <c r="I8" s="23">
        <f t="shared" si="0"/>
        <v>0.94398829005565765</v>
      </c>
      <c r="J8" s="25">
        <f t="shared" si="1"/>
        <v>51.106685317739178</v>
      </c>
      <c r="K8" s="25">
        <f t="shared" si="2"/>
        <v>45.229351984405845</v>
      </c>
      <c r="L8" s="23">
        <f t="shared" si="8"/>
        <v>1.6811409643993152</v>
      </c>
      <c r="M8" s="23">
        <f t="shared" si="3"/>
        <v>1.4878076310659818</v>
      </c>
      <c r="N8" s="29" t="str">
        <f t="shared" si="9"/>
        <v>Yes</v>
      </c>
    </row>
    <row r="9" spans="2:14" x14ac:dyDescent="0.2">
      <c r="B9" s="36" t="s">
        <v>6</v>
      </c>
      <c r="C9" s="37">
        <v>3856</v>
      </c>
      <c r="D9" s="37">
        <v>6</v>
      </c>
      <c r="E9" s="38">
        <f t="shared" si="4"/>
        <v>1928</v>
      </c>
      <c r="F9" s="39">
        <f t="shared" si="5"/>
        <v>310.34482758620692</v>
      </c>
      <c r="G9" s="40">
        <f t="shared" si="6"/>
        <v>1.0354074074074073</v>
      </c>
      <c r="H9" s="41">
        <f t="shared" si="7"/>
        <v>-4.8795677435904428E-4</v>
      </c>
      <c r="I9" s="39">
        <f t="shared" si="0"/>
        <v>1.1003474348404301</v>
      </c>
      <c r="J9" s="42">
        <f t="shared" si="1"/>
        <v>-25.964661087353754</v>
      </c>
      <c r="K9" s="42">
        <f t="shared" si="2"/>
        <v>-32.177105531798198</v>
      </c>
      <c r="L9" s="39">
        <f t="shared" si="8"/>
        <v>-0.80802887201308371</v>
      </c>
      <c r="M9" s="39">
        <f t="shared" si="3"/>
        <v>-1.0013622053464171</v>
      </c>
      <c r="N9" s="43" t="str">
        <f t="shared" si="9"/>
        <v>No</v>
      </c>
    </row>
    <row r="10" spans="2:14" x14ac:dyDescent="0.2">
      <c r="B10" s="20" t="s">
        <v>7</v>
      </c>
      <c r="C10" s="21">
        <v>3381</v>
      </c>
      <c r="D10" s="21">
        <v>6</v>
      </c>
      <c r="E10" s="22">
        <f t="shared" si="4"/>
        <v>1690.5</v>
      </c>
      <c r="F10" s="23">
        <f t="shared" si="5"/>
        <v>310.34482758620692</v>
      </c>
      <c r="G10" s="24">
        <f t="shared" si="6"/>
        <v>0.90786111111111112</v>
      </c>
      <c r="H10" s="30">
        <f t="shared" si="7"/>
        <v>1.9281052948799007E-3</v>
      </c>
      <c r="I10" s="23">
        <f t="shared" si="0"/>
        <v>0.75924031634094891</v>
      </c>
      <c r="J10" s="25">
        <f t="shared" si="1"/>
        <v>12.928098610884703</v>
      </c>
      <c r="K10" s="25">
        <f t="shared" si="2"/>
        <v>7.4809319442180371</v>
      </c>
      <c r="L10" s="23">
        <f t="shared" si="8"/>
        <v>0.45884999506245616</v>
      </c>
      <c r="M10" s="23">
        <f t="shared" si="3"/>
        <v>0.26551666172912286</v>
      </c>
      <c r="N10" s="29" t="str">
        <f t="shared" si="9"/>
        <v>Yes</v>
      </c>
    </row>
    <row r="11" spans="2:14" x14ac:dyDescent="0.2">
      <c r="B11" s="20" t="s">
        <v>8</v>
      </c>
      <c r="C11" s="21">
        <v>1564</v>
      </c>
      <c r="D11" s="21">
        <v>3</v>
      </c>
      <c r="E11" s="22">
        <f t="shared" si="4"/>
        <v>782</v>
      </c>
      <c r="F11" s="23">
        <f t="shared" si="5"/>
        <v>310.34482758620692</v>
      </c>
      <c r="G11" s="24">
        <f t="shared" si="6"/>
        <v>0.83992592592592596</v>
      </c>
      <c r="H11" s="30">
        <f>1/(1/FACT(0)*(E11/F11)^0+1/FACT(1)*(E11/F11)^1+1/FACT(2)*(E11/F11)^2+(1/FACT(D11))*(E11/F11)^D11*(D11*F11)/(D11*(F11)-(E11)))</f>
        <v>4.2822707949565546E-2</v>
      </c>
      <c r="I11" s="23">
        <f t="shared" si="0"/>
        <v>0.7133269015524919</v>
      </c>
      <c r="J11" s="25">
        <f t="shared" si="1"/>
        <v>6.2626809414537172</v>
      </c>
      <c r="K11" s="25">
        <f t="shared" si="2"/>
        <v>3.7429031636759396</v>
      </c>
      <c r="L11" s="23">
        <f t="shared" si="8"/>
        <v>0.48051260420361003</v>
      </c>
      <c r="M11" s="23">
        <f t="shared" si="3"/>
        <v>0.28717927087027667</v>
      </c>
      <c r="N11" s="29" t="str">
        <f t="shared" si="9"/>
        <v>Yes</v>
      </c>
    </row>
    <row r="12" spans="2:14" x14ac:dyDescent="0.2">
      <c r="B12" s="20" t="s">
        <v>9</v>
      </c>
      <c r="C12" s="21">
        <v>479</v>
      </c>
      <c r="D12" s="21">
        <v>2</v>
      </c>
      <c r="E12" s="22">
        <f t="shared" si="4"/>
        <v>239.5</v>
      </c>
      <c r="F12" s="23">
        <f t="shared" si="5"/>
        <v>310.34482758620692</v>
      </c>
      <c r="G12" s="24">
        <f t="shared" si="6"/>
        <v>0.3858611111111111</v>
      </c>
      <c r="H12" s="30">
        <f>1/(1/FACT(0)*(E12/F12)^0+(1/FACT(1)*(E12/F12)^1+(1/FACT(D12))*(E12/F12)^D12*(D12*F12)/(D12*(F12)-(E12))))</f>
        <v>0.44314605840732801</v>
      </c>
      <c r="I12" s="23">
        <f t="shared" si="0"/>
        <v>0.21486828062955021</v>
      </c>
      <c r="J12" s="25">
        <f t="shared" si="1"/>
        <v>0.90672313977729391</v>
      </c>
      <c r="K12" s="25">
        <f t="shared" si="2"/>
        <v>0.13500091755507171</v>
      </c>
      <c r="L12" s="23">
        <f t="shared" si="8"/>
        <v>0.22715402249118008</v>
      </c>
      <c r="M12" s="23">
        <f t="shared" si="3"/>
        <v>3.3820689157846778E-2</v>
      </c>
      <c r="N12" s="29" t="str">
        <f t="shared" si="9"/>
        <v>Yes</v>
      </c>
    </row>
    <row r="13" spans="2:14" x14ac:dyDescent="0.2">
      <c r="B13" s="16"/>
      <c r="C13" s="16"/>
      <c r="D13" s="16"/>
      <c r="E13" s="16"/>
      <c r="F13" s="16"/>
      <c r="G13" s="16"/>
      <c r="I13" s="16"/>
      <c r="J13" s="16"/>
      <c r="K13" s="16"/>
      <c r="L13" s="16"/>
      <c r="M13" s="16"/>
    </row>
    <row r="14" spans="2:14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4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2:14" x14ac:dyDescent="0.2"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</row>
    <row r="17" spans="2:13" x14ac:dyDescent="0.2"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</row>
    <row r="18" spans="2:13" x14ac:dyDescent="0.2"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</row>
    <row r="19" spans="2:13" x14ac:dyDescent="0.2"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</row>
    <row r="20" spans="2:13" x14ac:dyDescent="0.2"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</row>
    <row r="21" spans="2:13" x14ac:dyDescent="0.2"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7A5E-848F-4AEA-BCC2-BB5A162C908F}">
  <dimension ref="B2:O21"/>
  <sheetViews>
    <sheetView tabSelected="1" workbookViewId="0">
      <selection activeCell="D17" sqref="D17"/>
    </sheetView>
  </sheetViews>
  <sheetFormatPr baseColWidth="10" defaultColWidth="8.83203125" defaultRowHeight="19" x14ac:dyDescent="0.2"/>
  <cols>
    <col min="1" max="1" width="8.83203125" style="17"/>
    <col min="2" max="2" width="11.83203125" style="17" bestFit="1" customWidth="1"/>
    <col min="3" max="3" width="13.33203125" style="17" bestFit="1" customWidth="1"/>
    <col min="4" max="7" width="18" style="17" bestFit="1" customWidth="1"/>
    <col min="8" max="8" width="12.5" style="17" bestFit="1" customWidth="1"/>
    <col min="9" max="9" width="8.83203125" style="17" bestFit="1" customWidth="1"/>
    <col min="10" max="11" width="8.83203125" style="17"/>
    <col min="12" max="12" width="12.83203125" style="17" bestFit="1" customWidth="1"/>
    <col min="13" max="13" width="8.5" style="17" bestFit="1" customWidth="1"/>
    <col min="14" max="14" width="9.6640625" style="17" bestFit="1" customWidth="1"/>
    <col min="15" max="16384" width="8.83203125" style="17"/>
  </cols>
  <sheetData>
    <row r="2" spans="2:15" x14ac:dyDescent="0.2">
      <c r="B2" s="16"/>
      <c r="C2" s="14" t="s">
        <v>43</v>
      </c>
      <c r="D2" s="44" t="s">
        <v>68</v>
      </c>
      <c r="E2" s="14" t="s">
        <v>44</v>
      </c>
      <c r="F2" s="14" t="s">
        <v>65</v>
      </c>
      <c r="G2" s="14" t="s">
        <v>66</v>
      </c>
      <c r="H2" s="16"/>
      <c r="J2" s="16"/>
      <c r="K2" s="16"/>
      <c r="L2" s="16"/>
      <c r="M2" s="16"/>
      <c r="O2" s="14" t="s">
        <v>55</v>
      </c>
    </row>
    <row r="3" spans="2:15" x14ac:dyDescent="0.2">
      <c r="B3" s="18" t="s">
        <v>45</v>
      </c>
      <c r="C3" s="15" t="s">
        <v>46</v>
      </c>
      <c r="D3" s="45" t="s">
        <v>60</v>
      </c>
      <c r="E3" s="15" t="s">
        <v>47</v>
      </c>
      <c r="F3" s="15" t="s">
        <v>48</v>
      </c>
      <c r="G3" s="15" t="s">
        <v>48</v>
      </c>
      <c r="H3" s="19" t="s">
        <v>59</v>
      </c>
      <c r="I3" s="18" t="s">
        <v>49</v>
      </c>
      <c r="J3" s="26" t="s">
        <v>50</v>
      </c>
      <c r="K3" s="19" t="s">
        <v>51</v>
      </c>
      <c r="L3" s="19" t="s">
        <v>52</v>
      </c>
      <c r="M3" s="31" t="s">
        <v>57</v>
      </c>
      <c r="N3" s="18" t="s">
        <v>58</v>
      </c>
      <c r="O3" s="15" t="s">
        <v>56</v>
      </c>
    </row>
    <row r="4" spans="2:15" x14ac:dyDescent="0.2">
      <c r="B4" s="20" t="s">
        <v>1</v>
      </c>
      <c r="C4" s="21">
        <v>4471</v>
      </c>
      <c r="D4" s="35">
        <f>CEILING(F4/G4,1)</f>
        <v>8</v>
      </c>
      <c r="E4" s="21">
        <f>D4</f>
        <v>8</v>
      </c>
      <c r="F4" s="22">
        <f t="shared" ref="F4:F12" si="0">(C4/2)</f>
        <v>2235.5</v>
      </c>
      <c r="G4" s="23">
        <f>3600/11.6</f>
        <v>310.34482758620692</v>
      </c>
      <c r="H4" s="24">
        <f t="shared" ref="H4:H12" si="1">F4/(E4*G4)</f>
        <v>0.90040972222222215</v>
      </c>
      <c r="I4" s="30">
        <f>1/(1/FACT(0)*(F4/G4)^0+1/FACT(1)*(F4/G4)^1+1/FACT(2)*(F4/G4)^2+1/FACT(3)*(F4/G4)^3+1/FACT(4)*(F4/G4)^4+1/FACT(5)*(F4/G4)^5+1/FACT(6)*(F4/G4)^6+1/FACT(7)*(F4/G4)^7+(1/FACT(E4))*(F4/G4)^E4*(E4*G4)/(E4*(G4)-(F4)))</f>
        <v>3.8925416096289949E-4</v>
      </c>
      <c r="J4" s="23">
        <f t="shared" ref="J4:J12" si="2">(1/FACT(E4))*((F4/G4)^E4)*(E4*G4*I4)/((E4)*(G4)-(F4))</f>
        <v>0.70264684064095795</v>
      </c>
      <c r="K4" s="25">
        <f t="shared" ref="K4:K12" si="3">((((F4)*(G4)*((F4/G4)^E4)*(I4))/(FACT(E4-1)*(((E4*G4)-F4)^2))))+(F4/G4)</f>
        <v>13.556006786261559</v>
      </c>
      <c r="L4" s="25">
        <f t="shared" ref="L4:L12" si="4">K4-(F4/G4)</f>
        <v>6.3527290084837817</v>
      </c>
      <c r="M4" s="46">
        <f t="shared" ref="M4:M12" si="5">(K4/F4)*60</f>
        <v>0.3638382496871812</v>
      </c>
      <c r="N4" s="23">
        <f t="shared" ref="N4:N12" si="6">(L4/F4)*60</f>
        <v>0.17050491635384787</v>
      </c>
      <c r="O4" s="21" t="str">
        <f>IF(M4 &lt;= 5, "Yes", "No")</f>
        <v>Yes</v>
      </c>
    </row>
    <row r="5" spans="2:15" x14ac:dyDescent="0.2">
      <c r="B5" s="20" t="s">
        <v>2</v>
      </c>
      <c r="C5" s="21">
        <v>5018</v>
      </c>
      <c r="D5" s="35">
        <f t="shared" ref="D5:D12" si="7">CEILING(F5/G5,1)</f>
        <v>9</v>
      </c>
      <c r="E5" s="21">
        <f t="shared" ref="E5:E12" si="8">D5</f>
        <v>9</v>
      </c>
      <c r="F5" s="22">
        <f t="shared" si="0"/>
        <v>2509</v>
      </c>
      <c r="G5" s="23">
        <f t="shared" ref="G5:G12" si="9">3600/11.6</f>
        <v>310.34482758620692</v>
      </c>
      <c r="H5" s="24">
        <f t="shared" si="1"/>
        <v>0.89828395061728383</v>
      </c>
      <c r="I5" s="30">
        <f>1/(1/FACT(0)*(F5/G5)^0+1/FACT(1)*(F5/G5)^1+1/FACT(2)*(F5/G5)^2+1/FACT(3)*(F5/G5)^3+1/FACT(4)*(F5/G5)^4+1/FACT(5)*(F5/G5)^5+1/FACT(6)*(F5/G5)^6+1/FACT(7)*(F5/G5)^7+1/FACT(8)*(F5/G5)^8+(1/FACT(E5))*(F5/G5)^E5*(E5*G5)/(E5*(G5)-(F5)))</f>
        <v>1.7003621952651341E-4</v>
      </c>
      <c r="J5" s="23">
        <f t="shared" si="2"/>
        <v>0.67966400718734987</v>
      </c>
      <c r="K5" s="25">
        <f t="shared" si="3"/>
        <v>14.086865645003147</v>
      </c>
      <c r="L5" s="25">
        <f t="shared" si="4"/>
        <v>6.002310089447592</v>
      </c>
      <c r="M5" s="46">
        <f t="shared" si="5"/>
        <v>0.33687203614993577</v>
      </c>
      <c r="N5" s="23">
        <f t="shared" si="6"/>
        <v>0.14353870281660244</v>
      </c>
      <c r="O5" s="21" t="str">
        <f>IF(M5 &lt;= 5, "Yes", "No")</f>
        <v>Yes</v>
      </c>
    </row>
    <row r="6" spans="2:15" x14ac:dyDescent="0.2">
      <c r="B6" s="20" t="s">
        <v>3</v>
      </c>
      <c r="C6" s="21">
        <v>5248</v>
      </c>
      <c r="D6" s="35">
        <f t="shared" si="7"/>
        <v>9</v>
      </c>
      <c r="E6" s="21">
        <f>D6</f>
        <v>9</v>
      </c>
      <c r="F6" s="22">
        <f t="shared" si="0"/>
        <v>2624</v>
      </c>
      <c r="G6" s="23">
        <f t="shared" si="9"/>
        <v>310.34482758620692</v>
      </c>
      <c r="H6" s="24">
        <f t="shared" si="1"/>
        <v>0.93945679012345673</v>
      </c>
      <c r="I6" s="30">
        <f>1/(1/FACT(0)*(F6/G6)^0+1/FACT(1)*(F6/G6)^1+1/FACT(2)*(F6/G6)^2+1/FACT(3)*(F6/G6)^3+1/FACT(4)*(F6/G6)^4+1/FACT(5)*(F6/G6)^5+1/FACT(6)*(F6/G6)^6+1/FACT(7)*(F6/G6)^7+1/FACT(8)*(F6/G6)^8+(1/FACT(E6))*(F6/G6)^E6*(E6*G6)/(E6*(G6)-(F6)))</f>
        <v>7.9751404905151226E-5</v>
      </c>
      <c r="J6" s="23">
        <f t="shared" si="2"/>
        <v>0.80164804782771859</v>
      </c>
      <c r="K6" s="25">
        <f t="shared" si="3"/>
        <v>20.894387181155562</v>
      </c>
      <c r="L6" s="25">
        <f t="shared" si="4"/>
        <v>12.439276070044452</v>
      </c>
      <c r="M6" s="46">
        <f t="shared" si="5"/>
        <v>0.47776799956910587</v>
      </c>
      <c r="N6" s="23">
        <f t="shared" si="6"/>
        <v>0.28443466623577252</v>
      </c>
      <c r="O6" s="21" t="str">
        <f t="shared" ref="O6:O12" si="10">IF(M6 &lt;= 5, "Yes", "No")</f>
        <v>Yes</v>
      </c>
    </row>
    <row r="7" spans="2:15" x14ac:dyDescent="0.2">
      <c r="B7" s="20" t="s">
        <v>53</v>
      </c>
      <c r="C7" s="21">
        <v>2947</v>
      </c>
      <c r="D7" s="35">
        <f t="shared" si="7"/>
        <v>5</v>
      </c>
      <c r="E7" s="21">
        <f t="shared" si="8"/>
        <v>5</v>
      </c>
      <c r="F7" s="22">
        <f t="shared" si="0"/>
        <v>1473.5</v>
      </c>
      <c r="G7" s="23">
        <f t="shared" si="9"/>
        <v>310.34482758620692</v>
      </c>
      <c r="H7" s="24">
        <f t="shared" si="1"/>
        <v>0.94958888888888882</v>
      </c>
      <c r="I7" s="30">
        <f>1/(1/FACT(0)*(F7/G7)^0+1/FACT(1)*(F7/G7)^1+1/FACT(2)*(F7/G7)^2+1/FACT(3)*(F7/G7)^3+1/FACT(4)*(F7/G7)^4+(1/FACT(E7))*(F7/G7)^E7*(E7*G7)/(E7*(G7)-(F7)))</f>
        <v>2.1983202706584511E-3</v>
      </c>
      <c r="J7" s="23">
        <f t="shared" si="2"/>
        <v>0.87682231072676542</v>
      </c>
      <c r="K7" s="25">
        <f t="shared" si="3"/>
        <v>21.264555672489713</v>
      </c>
      <c r="L7" s="25">
        <f t="shared" si="4"/>
        <v>16.516611228045271</v>
      </c>
      <c r="M7" s="46">
        <f t="shared" si="5"/>
        <v>0.865879430165852</v>
      </c>
      <c r="N7" s="23">
        <f t="shared" si="6"/>
        <v>0.67254609683251865</v>
      </c>
      <c r="O7" s="21" t="str">
        <f t="shared" si="10"/>
        <v>Yes</v>
      </c>
    </row>
    <row r="8" spans="2:15" x14ac:dyDescent="0.2">
      <c r="B8" s="20" t="s">
        <v>54</v>
      </c>
      <c r="C8" s="21">
        <v>3648</v>
      </c>
      <c r="D8" s="35">
        <f t="shared" si="7"/>
        <v>6</v>
      </c>
      <c r="E8" s="21">
        <f t="shared" si="8"/>
        <v>6</v>
      </c>
      <c r="F8" s="22">
        <f t="shared" si="0"/>
        <v>1824</v>
      </c>
      <c r="G8" s="23">
        <f t="shared" si="9"/>
        <v>310.34482758620692</v>
      </c>
      <c r="H8" s="24">
        <f t="shared" si="1"/>
        <v>0.97955555555555551</v>
      </c>
      <c r="I8" s="30">
        <f>1/(1/FACT(0)*(F8/G8)^0+1/FACT(1)*(F8/G8)^1+1/FACT(2)*(F8/G8)^2+1/FACT(3)*(F8/G8)^3+1/FACT(4)*(F8/G8)^4+1/FACT(5)*(F8/G8)^5+(1/FACT(E8))*(F8/G8)^E8*(E8*G8)/(E8*(G8)-(F8)))</f>
        <v>3.3712618212249545E-4</v>
      </c>
      <c r="J8" s="23">
        <f t="shared" si="2"/>
        <v>0.94398829005565765</v>
      </c>
      <c r="K8" s="25">
        <f t="shared" si="3"/>
        <v>51.106685317739178</v>
      </c>
      <c r="L8" s="25">
        <f t="shared" si="4"/>
        <v>45.229351984405845</v>
      </c>
      <c r="M8" s="46">
        <f t="shared" si="5"/>
        <v>1.6811409643993152</v>
      </c>
      <c r="N8" s="23">
        <f t="shared" si="6"/>
        <v>1.4878076310659818</v>
      </c>
      <c r="O8" s="21" t="str">
        <f t="shared" si="10"/>
        <v>Yes</v>
      </c>
    </row>
    <row r="9" spans="2:15" x14ac:dyDescent="0.2">
      <c r="B9" s="20" t="s">
        <v>6</v>
      </c>
      <c r="C9" s="21">
        <v>3856</v>
      </c>
      <c r="D9" s="35">
        <f t="shared" si="7"/>
        <v>7</v>
      </c>
      <c r="E9" s="21">
        <f t="shared" si="8"/>
        <v>7</v>
      </c>
      <c r="F9" s="22">
        <f t="shared" si="0"/>
        <v>1928</v>
      </c>
      <c r="G9" s="23">
        <f t="shared" si="9"/>
        <v>310.34482758620692</v>
      </c>
      <c r="H9" s="24">
        <f t="shared" si="1"/>
        <v>0.88749206349206344</v>
      </c>
      <c r="I9" s="30">
        <f>1/(1/FACT(0)*(F9/G9)^0+1/FACT(1)*(F9/G9)^1+1/FACT(2)*(F9/G9)^2+1/FACT(3)*(F9/G9)^3+1/FACT(4)*(F9/G9)^4+1/FACT(5)*(F9/G9)^5+1/FACT(5)*(F9/G9)^5+1/FACT(6)*(F9/G9)^6+(1/FACT(E9))*(F9/G9)^E9*(E9*G9)/(E9*(G9)-(F9)))</f>
        <v>1.0076208565688676E-3</v>
      </c>
      <c r="J9" s="23">
        <f t="shared" si="2"/>
        <v>0.63463070223447349</v>
      </c>
      <c r="K9" s="25">
        <f t="shared" si="3"/>
        <v>11.218577602364007</v>
      </c>
      <c r="L9" s="25">
        <f t="shared" si="4"/>
        <v>5.0061331579195629</v>
      </c>
      <c r="M9" s="46">
        <f t="shared" si="5"/>
        <v>0.34912585899473053</v>
      </c>
      <c r="N9" s="23">
        <f t="shared" si="6"/>
        <v>0.15579252566139717</v>
      </c>
      <c r="O9" s="21" t="str">
        <f t="shared" si="10"/>
        <v>Yes</v>
      </c>
    </row>
    <row r="10" spans="2:15" x14ac:dyDescent="0.2">
      <c r="B10" s="20" t="s">
        <v>7</v>
      </c>
      <c r="C10" s="21">
        <v>3381</v>
      </c>
      <c r="D10" s="35">
        <f t="shared" si="7"/>
        <v>6</v>
      </c>
      <c r="E10" s="21">
        <f t="shared" si="8"/>
        <v>6</v>
      </c>
      <c r="F10" s="22">
        <f t="shared" si="0"/>
        <v>1690.5</v>
      </c>
      <c r="G10" s="23">
        <f t="shared" si="9"/>
        <v>310.34482758620692</v>
      </c>
      <c r="H10" s="24">
        <f t="shared" si="1"/>
        <v>0.90786111111111112</v>
      </c>
      <c r="I10" s="30">
        <f>1/(1/FACT(0)*(F10/G10)^0+1/FACT(1)*(F10/G10)^1+1/FACT(2)*(F10/G10)^2+1/FACT(3)*(F10/G10)^3+1/FACT(4)*(F10/G10)^4+1/FACT(5)*(F10/G10)^5+(1/FACT(E10))*(F10/G10)^E10*(E10*G10)/(E10*(G10)-(F10)))</f>
        <v>1.9281052948799007E-3</v>
      </c>
      <c r="J10" s="23">
        <f t="shared" si="2"/>
        <v>0.75924031634094891</v>
      </c>
      <c r="K10" s="25">
        <f t="shared" si="3"/>
        <v>12.928098610884703</v>
      </c>
      <c r="L10" s="25">
        <f t="shared" si="4"/>
        <v>7.4809319442180371</v>
      </c>
      <c r="M10" s="46">
        <f t="shared" si="5"/>
        <v>0.45884999506245616</v>
      </c>
      <c r="N10" s="23">
        <f t="shared" si="6"/>
        <v>0.26551666172912286</v>
      </c>
      <c r="O10" s="21" t="str">
        <f t="shared" si="10"/>
        <v>Yes</v>
      </c>
    </row>
    <row r="11" spans="2:15" x14ac:dyDescent="0.2">
      <c r="B11" s="20" t="s">
        <v>8</v>
      </c>
      <c r="C11" s="21">
        <v>1564</v>
      </c>
      <c r="D11" s="35">
        <f t="shared" si="7"/>
        <v>3</v>
      </c>
      <c r="E11" s="21">
        <f t="shared" si="8"/>
        <v>3</v>
      </c>
      <c r="F11" s="22">
        <f t="shared" si="0"/>
        <v>782</v>
      </c>
      <c r="G11" s="23">
        <f t="shared" si="9"/>
        <v>310.34482758620692</v>
      </c>
      <c r="H11" s="24">
        <f t="shared" si="1"/>
        <v>0.83992592592592596</v>
      </c>
      <c r="I11" s="30">
        <f>1/(1/FACT(0)*(F11/G11)^0+1/FACT(1)*(F11/G11)^1+1/FACT(2)*(F11/G11)^2+(1/FACT(E11))*(F11/G11)^E11*(E11*G11)/(E11*(G11)-(F11)))</f>
        <v>4.2822707949565546E-2</v>
      </c>
      <c r="J11" s="23">
        <f t="shared" si="2"/>
        <v>0.7133269015524919</v>
      </c>
      <c r="K11" s="25">
        <f t="shared" si="3"/>
        <v>6.2626809414537172</v>
      </c>
      <c r="L11" s="25">
        <f t="shared" si="4"/>
        <v>3.7429031636759396</v>
      </c>
      <c r="M11" s="46">
        <f t="shared" si="5"/>
        <v>0.48051260420361003</v>
      </c>
      <c r="N11" s="23">
        <f t="shared" si="6"/>
        <v>0.28717927087027667</v>
      </c>
      <c r="O11" s="21" t="str">
        <f t="shared" si="10"/>
        <v>Yes</v>
      </c>
    </row>
    <row r="12" spans="2:15" x14ac:dyDescent="0.2">
      <c r="B12" s="20" t="s">
        <v>9</v>
      </c>
      <c r="C12" s="21">
        <v>479</v>
      </c>
      <c r="D12" s="35">
        <f t="shared" si="7"/>
        <v>1</v>
      </c>
      <c r="E12" s="21">
        <f t="shared" si="8"/>
        <v>1</v>
      </c>
      <c r="F12" s="22">
        <f t="shared" si="0"/>
        <v>239.5</v>
      </c>
      <c r="G12" s="23">
        <f t="shared" si="9"/>
        <v>310.34482758620692</v>
      </c>
      <c r="H12" s="24">
        <f t="shared" si="1"/>
        <v>0.7717222222222222</v>
      </c>
      <c r="I12" s="30">
        <f>1/(1/FACT(0)*(F12/G12)^0+(1/FACT(E12))*(F12/G12)^E12*(E12*G12)/(E12*(G12)-(F12)))</f>
        <v>0.2282777777777778</v>
      </c>
      <c r="J12" s="23">
        <f t="shared" si="2"/>
        <v>0.77172222222222198</v>
      </c>
      <c r="K12" s="25">
        <f t="shared" si="3"/>
        <v>3.380627889997565</v>
      </c>
      <c r="L12" s="25">
        <f t="shared" si="4"/>
        <v>2.6089056677753426</v>
      </c>
      <c r="M12" s="46">
        <f t="shared" si="5"/>
        <v>0.84692139206619577</v>
      </c>
      <c r="N12" s="23">
        <f t="shared" si="6"/>
        <v>0.65358805873286252</v>
      </c>
      <c r="O12" s="21" t="str">
        <f t="shared" si="10"/>
        <v>Yes</v>
      </c>
    </row>
    <row r="13" spans="2:15" x14ac:dyDescent="0.2">
      <c r="B13" s="16"/>
      <c r="C13" s="16"/>
      <c r="D13" s="16"/>
      <c r="E13" s="16"/>
      <c r="F13" s="16"/>
      <c r="G13" s="16"/>
      <c r="I13" s="16"/>
      <c r="J13" s="16"/>
      <c r="K13" s="16"/>
      <c r="L13" s="16"/>
      <c r="M13" s="16"/>
    </row>
    <row r="14" spans="2:15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5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2:15" x14ac:dyDescent="0.2"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</row>
    <row r="17" spans="2:13" x14ac:dyDescent="0.2">
      <c r="B17" s="16"/>
      <c r="C17" s="16"/>
      <c r="E17" s="16"/>
      <c r="F17" s="16"/>
      <c r="G17" s="16"/>
      <c r="H17" s="16"/>
      <c r="J17" s="16"/>
      <c r="K17" s="16"/>
      <c r="L17" s="16"/>
      <c r="M17" s="16"/>
    </row>
    <row r="18" spans="2:13" x14ac:dyDescent="0.2">
      <c r="B18" s="16"/>
      <c r="C18" s="16"/>
      <c r="E18" s="16"/>
      <c r="F18" s="16"/>
      <c r="G18" s="16"/>
      <c r="H18" s="16"/>
      <c r="J18" s="16"/>
      <c r="K18" s="16"/>
      <c r="L18" s="16"/>
      <c r="M18" s="16"/>
    </row>
    <row r="19" spans="2:13" x14ac:dyDescent="0.2">
      <c r="B19" s="16"/>
      <c r="C19" s="16"/>
      <c r="E19" s="16"/>
      <c r="F19" s="16"/>
      <c r="G19" s="16"/>
      <c r="H19" s="16"/>
      <c r="J19" s="16"/>
      <c r="K19" s="16"/>
      <c r="L19" s="16"/>
      <c r="M19" s="16"/>
    </row>
    <row r="20" spans="2:13" x14ac:dyDescent="0.2">
      <c r="B20" s="16"/>
      <c r="C20" s="16"/>
      <c r="E20" s="16"/>
      <c r="F20" s="16"/>
      <c r="G20" s="16"/>
      <c r="H20" s="16"/>
      <c r="J20" s="16"/>
      <c r="K20" s="16"/>
      <c r="L20" s="16"/>
      <c r="M20" s="16"/>
    </row>
    <row r="21" spans="2:13" x14ac:dyDescent="0.2">
      <c r="B21" s="16"/>
      <c r="C21" s="16"/>
      <c r="E21" s="16"/>
      <c r="F21" s="16"/>
      <c r="G21" s="16"/>
      <c r="H21" s="16"/>
      <c r="J21" s="16"/>
      <c r="K21" s="16"/>
      <c r="L21" s="16"/>
      <c r="M2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 B (no adjustments)</vt:lpstr>
      <vt:lpstr>Part B (adjustments)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Disha Sheth</dc:creator>
  <cp:keywords/>
  <dc:description/>
  <cp:lastModifiedBy>Cramb, Liana</cp:lastModifiedBy>
  <cp:revision/>
  <dcterms:created xsi:type="dcterms:W3CDTF">2025-05-25T21:21:13Z</dcterms:created>
  <dcterms:modified xsi:type="dcterms:W3CDTF">2025-06-04T21:26:36Z</dcterms:modified>
  <cp:category/>
  <cp:contentStatus/>
</cp:coreProperties>
</file>