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xr:revisionPtr revIDLastSave="0" documentId="13_ncr:1_{F4CEC416-52F8-4DA7-8192-229FA4D0AEA6}" xr6:coauthVersionLast="45" xr6:coauthVersionMax="45" xr10:uidLastSave="{00000000-0000-0000-0000-000000000000}"/>
  <bookViews>
    <workbookView xWindow="-110" yWindow="-110" windowWidth="18170" windowHeight="11020" activeTab="4" xr2:uid="{00000000-000D-0000-FFFF-FFFF00000000}"/>
  </bookViews>
  <sheets>
    <sheet name="1 maquina" sheetId="2" r:id="rId1"/>
    <sheet name="subcontratatcion" sheetId="3" r:id="rId2"/>
    <sheet name="Modo Facil" sheetId="4" r:id="rId3"/>
    <sheet name="horas extra" sheetId="5" r:id="rId4"/>
    <sheet name="Modo Legendario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6" l="1"/>
  <c r="L11" i="6"/>
  <c r="S19" i="6" s="1"/>
  <c r="K15" i="6"/>
  <c r="L15" i="6"/>
  <c r="M15" i="6"/>
  <c r="N15" i="6"/>
  <c r="O15" i="6"/>
  <c r="S15" i="6"/>
  <c r="K16" i="6"/>
  <c r="L16" i="6"/>
  <c r="M16" i="6"/>
  <c r="N16" i="6"/>
  <c r="O16" i="6"/>
  <c r="S16" i="6"/>
  <c r="K17" i="6"/>
  <c r="L17" i="6"/>
  <c r="M17" i="6"/>
  <c r="N17" i="6"/>
  <c r="Q17" i="6" s="1"/>
  <c r="O17" i="6"/>
  <c r="S17" i="6"/>
  <c r="K18" i="6"/>
  <c r="L18" i="6"/>
  <c r="M18" i="6"/>
  <c r="N18" i="6"/>
  <c r="O18" i="6"/>
  <c r="S18" i="6"/>
  <c r="K19" i="6"/>
  <c r="L19" i="6"/>
  <c r="M19" i="6"/>
  <c r="N19" i="6"/>
  <c r="O19" i="6"/>
  <c r="Q19" i="6"/>
  <c r="K20" i="6"/>
  <c r="L20" i="6"/>
  <c r="M20" i="6"/>
  <c r="N20" i="6"/>
  <c r="O20" i="6"/>
  <c r="K21" i="6"/>
  <c r="L21" i="6"/>
  <c r="M21" i="6"/>
  <c r="N21" i="6"/>
  <c r="O21" i="6"/>
  <c r="R27" i="6"/>
  <c r="C29" i="6"/>
  <c r="D29" i="6"/>
  <c r="E29" i="6"/>
  <c r="E31" i="6" s="1"/>
  <c r="F29" i="6"/>
  <c r="G29" i="6"/>
  <c r="G31" i="6" s="1"/>
  <c r="C31" i="6"/>
  <c r="D31" i="6"/>
  <c r="F31" i="6"/>
  <c r="K38" i="6"/>
  <c r="L38" i="6"/>
  <c r="M38" i="6"/>
  <c r="N38" i="6"/>
  <c r="O38" i="6"/>
  <c r="S38" i="6"/>
  <c r="K39" i="6"/>
  <c r="L39" i="6"/>
  <c r="M39" i="6"/>
  <c r="N39" i="6"/>
  <c r="O39" i="6"/>
  <c r="S39" i="6"/>
  <c r="K40" i="6"/>
  <c r="L40" i="6"/>
  <c r="M40" i="6"/>
  <c r="N40" i="6"/>
  <c r="O40" i="6"/>
  <c r="S40" i="6"/>
  <c r="K41" i="6"/>
  <c r="L41" i="6"/>
  <c r="M41" i="6"/>
  <c r="N41" i="6"/>
  <c r="O41" i="6"/>
  <c r="Q41" i="6"/>
  <c r="R41" i="6" s="1"/>
  <c r="S41" i="6"/>
  <c r="K42" i="6"/>
  <c r="L42" i="6"/>
  <c r="M42" i="6"/>
  <c r="N42" i="6"/>
  <c r="O42" i="6"/>
  <c r="S42" i="6"/>
  <c r="C43" i="6"/>
  <c r="K43" i="6" s="1"/>
  <c r="D43" i="6"/>
  <c r="L43" i="6" s="1"/>
  <c r="E43" i="6"/>
  <c r="F43" i="6"/>
  <c r="N43" i="6" s="1"/>
  <c r="G43" i="6"/>
  <c r="O43" i="6" s="1"/>
  <c r="M43" i="6"/>
  <c r="S43" i="6"/>
  <c r="K44" i="6"/>
  <c r="L44" i="6"/>
  <c r="M44" i="6"/>
  <c r="N44" i="6"/>
  <c r="O44" i="6"/>
  <c r="Q44" i="6"/>
  <c r="R44" i="6" s="1"/>
  <c r="S44" i="6"/>
  <c r="L10" i="5"/>
  <c r="L11" i="5" s="1"/>
  <c r="K15" i="5"/>
  <c r="L15" i="5"/>
  <c r="M15" i="5"/>
  <c r="N15" i="5"/>
  <c r="O15" i="5"/>
  <c r="Q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Q19" i="5" s="1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C30" i="5"/>
  <c r="C32" i="5" s="1"/>
  <c r="D30" i="5"/>
  <c r="E30" i="5"/>
  <c r="E32" i="5" s="1"/>
  <c r="M25" i="5" s="1"/>
  <c r="F30" i="5"/>
  <c r="F32" i="5" s="1"/>
  <c r="G30" i="5"/>
  <c r="G32" i="5" s="1"/>
  <c r="O25" i="5" s="1"/>
  <c r="D32" i="5"/>
  <c r="L25" i="5" s="1"/>
  <c r="K33" i="5"/>
  <c r="L33" i="5"/>
  <c r="M33" i="5"/>
  <c r="N33" i="5"/>
  <c r="O33" i="5"/>
  <c r="L10" i="4"/>
  <c r="L11" i="4"/>
  <c r="K15" i="4"/>
  <c r="L15" i="4"/>
  <c r="M15" i="4"/>
  <c r="N15" i="4"/>
  <c r="O15" i="4"/>
  <c r="S15" i="4"/>
  <c r="K16" i="4"/>
  <c r="L16" i="4"/>
  <c r="M16" i="4"/>
  <c r="N16" i="4"/>
  <c r="O16" i="4"/>
  <c r="S16" i="4"/>
  <c r="K17" i="4"/>
  <c r="L17" i="4"/>
  <c r="M17" i="4"/>
  <c r="N17" i="4"/>
  <c r="O17" i="4"/>
  <c r="S17" i="4"/>
  <c r="K18" i="4"/>
  <c r="L18" i="4"/>
  <c r="M18" i="4"/>
  <c r="N18" i="4"/>
  <c r="O18" i="4"/>
  <c r="S18" i="4"/>
  <c r="K19" i="4"/>
  <c r="L19" i="4"/>
  <c r="M19" i="4"/>
  <c r="N19" i="4"/>
  <c r="O19" i="4"/>
  <c r="S19" i="4"/>
  <c r="K20" i="4"/>
  <c r="L20" i="4"/>
  <c r="M20" i="4"/>
  <c r="N20" i="4"/>
  <c r="O20" i="4"/>
  <c r="S20" i="4"/>
  <c r="K21" i="4"/>
  <c r="L21" i="4"/>
  <c r="M21" i="4"/>
  <c r="N21" i="4"/>
  <c r="Q21" i="4" s="1"/>
  <c r="O21" i="4"/>
  <c r="S21" i="4"/>
  <c r="C29" i="4"/>
  <c r="D29" i="4"/>
  <c r="D31" i="4" s="1"/>
  <c r="L25" i="4" s="1"/>
  <c r="E29" i="4"/>
  <c r="E31" i="4" s="1"/>
  <c r="M25" i="4" s="1"/>
  <c r="F29" i="4"/>
  <c r="F31" i="4" s="1"/>
  <c r="G29" i="4"/>
  <c r="C31" i="4"/>
  <c r="G31" i="4"/>
  <c r="O25" i="4" s="1"/>
  <c r="K31" i="4"/>
  <c r="L31" i="4"/>
  <c r="M31" i="4"/>
  <c r="N31" i="4"/>
  <c r="O31" i="4"/>
  <c r="L10" i="3"/>
  <c r="L11" i="3" s="1"/>
  <c r="K15" i="3"/>
  <c r="L15" i="3"/>
  <c r="M15" i="3"/>
  <c r="N15" i="3"/>
  <c r="O15" i="3"/>
  <c r="K16" i="3"/>
  <c r="Q16" i="3" s="1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Q19" i="3" s="1"/>
  <c r="N19" i="3"/>
  <c r="O19" i="3"/>
  <c r="K20" i="3"/>
  <c r="L20" i="3"/>
  <c r="M20" i="3"/>
  <c r="N20" i="3"/>
  <c r="O20" i="3"/>
  <c r="Q20" i="3"/>
  <c r="K21" i="3"/>
  <c r="L21" i="3"/>
  <c r="M21" i="3"/>
  <c r="N21" i="3"/>
  <c r="O21" i="3"/>
  <c r="C30" i="3"/>
  <c r="C32" i="3" s="1"/>
  <c r="D30" i="3"/>
  <c r="E30" i="3"/>
  <c r="E32" i="3" s="1"/>
  <c r="M25" i="3" s="1"/>
  <c r="F30" i="3"/>
  <c r="F32" i="3" s="1"/>
  <c r="G30" i="3"/>
  <c r="G32" i="3" s="1"/>
  <c r="O25" i="3" s="1"/>
  <c r="D32" i="3"/>
  <c r="L25" i="3" s="1"/>
  <c r="K33" i="3"/>
  <c r="L33" i="3"/>
  <c r="M33" i="3"/>
  <c r="Q33" i="3" s="1"/>
  <c r="N33" i="3"/>
  <c r="O33" i="3"/>
  <c r="K37" i="3"/>
  <c r="D47" i="3"/>
  <c r="D53" i="3" s="1"/>
  <c r="G42" i="3" s="1"/>
  <c r="D48" i="3"/>
  <c r="D49" i="3"/>
  <c r="D50" i="3"/>
  <c r="D51" i="3"/>
  <c r="C52" i="3"/>
  <c r="D52" i="3"/>
  <c r="M20" i="2"/>
  <c r="M21" i="2" s="1"/>
  <c r="L25" i="2"/>
  <c r="M25" i="2"/>
  <c r="N25" i="2"/>
  <c r="O25" i="2"/>
  <c r="P25" i="2"/>
  <c r="R25" i="2"/>
  <c r="L26" i="2"/>
  <c r="M26" i="2"/>
  <c r="N26" i="2"/>
  <c r="O26" i="2"/>
  <c r="P26" i="2"/>
  <c r="L27" i="2"/>
  <c r="R27" i="2" s="1"/>
  <c r="M27" i="2"/>
  <c r="N27" i="2"/>
  <c r="O27" i="2"/>
  <c r="P27" i="2"/>
  <c r="L28" i="2"/>
  <c r="M28" i="2"/>
  <c r="N28" i="2"/>
  <c r="O28" i="2"/>
  <c r="P28" i="2"/>
  <c r="L29" i="2"/>
  <c r="R29" i="2" s="1"/>
  <c r="M29" i="2"/>
  <c r="N29" i="2"/>
  <c r="O29" i="2"/>
  <c r="P29" i="2"/>
  <c r="L30" i="2"/>
  <c r="M30" i="2"/>
  <c r="N30" i="2"/>
  <c r="O30" i="2"/>
  <c r="P30" i="2"/>
  <c r="D39" i="2"/>
  <c r="E39" i="2"/>
  <c r="E41" i="2" s="1"/>
  <c r="M35" i="2" s="1"/>
  <c r="F39" i="2"/>
  <c r="F41" i="2" s="1"/>
  <c r="G39" i="2"/>
  <c r="H39" i="2"/>
  <c r="H41" i="2" s="1"/>
  <c r="D41" i="2"/>
  <c r="G41" i="2"/>
  <c r="R43" i="2"/>
  <c r="S50" i="2"/>
  <c r="D52" i="2"/>
  <c r="D20" i="2" s="1"/>
  <c r="E52" i="2"/>
  <c r="E20" i="2" s="1"/>
  <c r="F52" i="2"/>
  <c r="F20" i="2" s="1"/>
  <c r="G52" i="2"/>
  <c r="G20" i="2" s="1"/>
  <c r="H52" i="2"/>
  <c r="H20" i="2" s="1"/>
  <c r="I52" i="2"/>
  <c r="R28" i="5" l="1"/>
  <c r="R30" i="5" s="1"/>
  <c r="Q43" i="6"/>
  <c r="R30" i="2"/>
  <c r="Q17" i="3"/>
  <c r="Q27" i="4"/>
  <c r="Q19" i="4"/>
  <c r="Q15" i="4"/>
  <c r="Q33" i="5"/>
  <c r="Q20" i="5"/>
  <c r="Q17" i="5"/>
  <c r="Q39" i="6"/>
  <c r="N25" i="6"/>
  <c r="Q28" i="6"/>
  <c r="Q21" i="6"/>
  <c r="Q20" i="6"/>
  <c r="R19" i="6"/>
  <c r="Q15" i="6"/>
  <c r="R37" i="2"/>
  <c r="Q42" i="6"/>
  <c r="R28" i="2"/>
  <c r="R26" i="2"/>
  <c r="Q21" i="3"/>
  <c r="Q18" i="3"/>
  <c r="Q15" i="3"/>
  <c r="Q31" i="4"/>
  <c r="Q20" i="4"/>
  <c r="Q18" i="4"/>
  <c r="Q17" i="4"/>
  <c r="Q16" i="4"/>
  <c r="Q21" i="5"/>
  <c r="Q18" i="5"/>
  <c r="Q16" i="5"/>
  <c r="Q40" i="6"/>
  <c r="R40" i="6" s="1"/>
  <c r="Q38" i="6"/>
  <c r="L25" i="6"/>
  <c r="O25" i="6"/>
  <c r="M25" i="6"/>
  <c r="S21" i="6"/>
  <c r="S20" i="6"/>
  <c r="U20" i="6" s="1"/>
  <c r="Q18" i="6"/>
  <c r="Q16" i="6"/>
  <c r="U43" i="6"/>
  <c r="R43" i="6"/>
  <c r="U40" i="6"/>
  <c r="U38" i="6"/>
  <c r="R38" i="6"/>
  <c r="U18" i="6"/>
  <c r="R18" i="6"/>
  <c r="U21" i="6"/>
  <c r="R21" i="6"/>
  <c r="R20" i="6"/>
  <c r="U17" i="6"/>
  <c r="R17" i="6"/>
  <c r="R42" i="6"/>
  <c r="U42" i="6"/>
  <c r="U39" i="6"/>
  <c r="R39" i="6"/>
  <c r="R15" i="6"/>
  <c r="U15" i="6"/>
  <c r="R16" i="6"/>
  <c r="U16" i="6"/>
  <c r="U44" i="6"/>
  <c r="U41" i="6"/>
  <c r="Q27" i="6"/>
  <c r="U19" i="6"/>
  <c r="K25" i="6"/>
  <c r="S18" i="5"/>
  <c r="T18" i="5" s="1"/>
  <c r="S15" i="5"/>
  <c r="T15" i="5" s="1"/>
  <c r="S19" i="5"/>
  <c r="R19" i="5" s="1"/>
  <c r="S21" i="5"/>
  <c r="S33" i="5" s="1"/>
  <c r="S16" i="5"/>
  <c r="T16" i="5" s="1"/>
  <c r="S20" i="5"/>
  <c r="R20" i="5" s="1"/>
  <c r="S17" i="5"/>
  <c r="T17" i="5" s="1"/>
  <c r="R19" i="4"/>
  <c r="T19" i="4"/>
  <c r="T18" i="4"/>
  <c r="R18" i="4"/>
  <c r="T21" i="4"/>
  <c r="R21" i="4"/>
  <c r="R15" i="4"/>
  <c r="T15" i="4"/>
  <c r="R20" i="4"/>
  <c r="T20" i="4"/>
  <c r="T17" i="4"/>
  <c r="R17" i="4"/>
  <c r="R16" i="4"/>
  <c r="T16" i="4"/>
  <c r="Q28" i="4"/>
  <c r="S15" i="3"/>
  <c r="S19" i="3"/>
  <c r="T19" i="3" s="1"/>
  <c r="S17" i="3"/>
  <c r="T17" i="3" s="1"/>
  <c r="S16" i="3"/>
  <c r="R16" i="3" s="1"/>
  <c r="S20" i="3"/>
  <c r="R20" i="3" s="1"/>
  <c r="S21" i="3"/>
  <c r="S33" i="3" s="1"/>
  <c r="S18" i="3"/>
  <c r="R18" i="3" s="1"/>
  <c r="I44" i="3"/>
  <c r="G45" i="3"/>
  <c r="K43" i="3" s="1"/>
  <c r="R28" i="3"/>
  <c r="R30" i="3" s="1"/>
  <c r="R15" i="3"/>
  <c r="T15" i="3"/>
  <c r="T16" i="3"/>
  <c r="T20" i="3"/>
  <c r="P31" i="2"/>
  <c r="P41" i="2"/>
  <c r="L41" i="2"/>
  <c r="L31" i="2"/>
  <c r="S48" i="2"/>
  <c r="S51" i="2" s="1"/>
  <c r="N35" i="2"/>
  <c r="U26" i="2"/>
  <c r="O31" i="2"/>
  <c r="O41" i="2"/>
  <c r="P35" i="2"/>
  <c r="N41" i="2"/>
  <c r="N31" i="2"/>
  <c r="M31" i="2"/>
  <c r="M41" i="2"/>
  <c r="T27" i="2"/>
  <c r="S27" i="2" s="1"/>
  <c r="T31" i="2"/>
  <c r="T28" i="2"/>
  <c r="U28" i="2" s="1"/>
  <c r="T25" i="2"/>
  <c r="S25" i="2" s="1"/>
  <c r="T29" i="2"/>
  <c r="U29" i="2" s="1"/>
  <c r="T26" i="2"/>
  <c r="S26" i="2" s="1"/>
  <c r="T30" i="2"/>
  <c r="S30" i="2" s="1"/>
  <c r="U25" i="2"/>
  <c r="R38" i="2"/>
  <c r="R44" i="2" s="1"/>
  <c r="S28" i="2" l="1"/>
  <c r="U30" i="2"/>
  <c r="R31" i="2"/>
  <c r="T19" i="5"/>
  <c r="R17" i="5"/>
  <c r="R16" i="5"/>
  <c r="R18" i="5"/>
  <c r="T21" i="5"/>
  <c r="R21" i="5"/>
  <c r="T20" i="5"/>
  <c r="R15" i="5"/>
  <c r="T18" i="3"/>
  <c r="R17" i="3"/>
  <c r="R19" i="3"/>
  <c r="R21" i="3"/>
  <c r="R31" i="3"/>
  <c r="R32" i="3" s="1"/>
  <c r="R38" i="3" s="1"/>
  <c r="K45" i="3"/>
  <c r="K46" i="3" s="1"/>
  <c r="T21" i="3"/>
  <c r="S29" i="2"/>
  <c r="R41" i="2"/>
  <c r="U27" i="2"/>
  <c r="U31" i="2"/>
  <c r="S31" i="2"/>
</calcChain>
</file>

<file path=xl/sharedStrings.xml><?xml version="1.0" encoding="utf-8"?>
<sst xmlns="http://schemas.openxmlformats.org/spreadsheetml/2006/main" count="540" uniqueCount="64">
  <si>
    <t>G</t>
  </si>
  <si>
    <t>Total</t>
  </si>
  <si>
    <t>Inc. GO</t>
  </si>
  <si>
    <t>GO</t>
  </si>
  <si>
    <t>Ingresos</t>
  </si>
  <si>
    <t>=</t>
  </si>
  <si>
    <t>Dem (und)</t>
  </si>
  <si>
    <t>T</t>
  </si>
  <si>
    <t>S</t>
  </si>
  <si>
    <t>R</t>
  </si>
  <si>
    <t>Q</t>
  </si>
  <si>
    <t>P</t>
  </si>
  <si>
    <t>MCU</t>
  </si>
  <si>
    <t>CVU</t>
  </si>
  <si>
    <t>PV</t>
  </si>
  <si>
    <t>&gt;</t>
  </si>
  <si>
    <t xml:space="preserve">PROCESOS </t>
  </si>
  <si>
    <t>Nueva Dem</t>
  </si>
  <si>
    <t>Dem Orig</t>
  </si>
  <si>
    <t>M.O (Hrs)</t>
  </si>
  <si>
    <t>MP5</t>
  </si>
  <si>
    <t>MP4</t>
  </si>
  <si>
    <t>F</t>
  </si>
  <si>
    <t>MP3</t>
  </si>
  <si>
    <t>E</t>
  </si>
  <si>
    <t>MP2</t>
  </si>
  <si>
    <t>D</t>
  </si>
  <si>
    <t>MP1</t>
  </si>
  <si>
    <t>C</t>
  </si>
  <si>
    <t>$/und</t>
  </si>
  <si>
    <t>MAT. PRIMA</t>
  </si>
  <si>
    <t>B</t>
  </si>
  <si>
    <t>&lt;</t>
  </si>
  <si>
    <t>A</t>
  </si>
  <si>
    <t>Minutos</t>
  </si>
  <si>
    <t>Dem/Sem</t>
  </si>
  <si>
    <t>Semanales</t>
  </si>
  <si>
    <t>Horas</t>
  </si>
  <si>
    <t>Jornada Laboral</t>
  </si>
  <si>
    <t>Gastos Operativos</t>
  </si>
  <si>
    <t># de Máq</t>
  </si>
  <si>
    <t>PRODUCTOS</t>
  </si>
  <si>
    <t>ENUNCIADO</t>
  </si>
  <si>
    <t>Horas extra</t>
  </si>
  <si>
    <t>subcontratacion</t>
  </si>
  <si>
    <t>Deducciones</t>
  </si>
  <si>
    <t>Demanda</t>
  </si>
  <si>
    <t>Costo H.E.</t>
  </si>
  <si>
    <t>G.O.</t>
  </si>
  <si>
    <t>G ($)</t>
  </si>
  <si>
    <t>Aumentando el # de máquinas</t>
  </si>
  <si>
    <t>Horas Extras</t>
  </si>
  <si>
    <t>Ingreso</t>
  </si>
  <si>
    <t>1er Troughput</t>
  </si>
  <si>
    <t>Tabla 1.</t>
  </si>
  <si>
    <t>Tabla 2.</t>
  </si>
  <si>
    <t>los gastos operativos son $7.000.000 semanales . La empresa trabajo  dos  turnos de  8 horas , 6 dias y su eficiencia es del 70%.si  se  quiere utilizar horas extra para  algun proceso, cosot es de $25.000 por hora.Tambien se  puede  utilizar una maquina con una disponibilidad   de  un 1/4 de las actuales,pero  los costos  aumentan un un 4 Tambien se puede subcontratar las  unidades  faltantes  si hay pero   a un costo de  40% mayor  que  el estandar o actual.</t>
  </si>
  <si>
    <t xml:space="preserve">tabla 1. </t>
  </si>
  <si>
    <t>tabla 2.</t>
  </si>
  <si>
    <t>Tabla 2</t>
  </si>
  <si>
    <t>Tabla1.</t>
  </si>
  <si>
    <t>Tabla2.</t>
  </si>
  <si>
    <t>tabla 1</t>
  </si>
  <si>
    <t xml:space="preserve">tabla 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</si>
</sst>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48">
    <border>
      <left/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164" fontId="3" fillId="0" borderId="10" xfId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2" xfId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9" fontId="0" fillId="2" borderId="10" xfId="2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23" xfId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5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164" fontId="0" fillId="0" borderId="0" xfId="1" applyFont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4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9" fontId="0" fillId="3" borderId="10" xfId="2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4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42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4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4" fillId="7" borderId="2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vertical="center" wrapText="1"/>
    </xf>
    <xf numFmtId="0" fontId="4" fillId="7" borderId="40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 wrapText="1"/>
    </xf>
    <xf numFmtId="0" fontId="4" fillId="7" borderId="26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4" fillId="7" borderId="26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40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4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3" fillId="8" borderId="24" xfId="0" applyFont="1" applyFill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29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9" fontId="0" fillId="3" borderId="0" xfId="2" applyFont="1" applyFill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</cellXfs>
  <cellStyles count="3">
    <cellStyle name="Moneda [0]" xfId="1" builtinId="7"/>
    <cellStyle name="Normal" xfId="0" builtinId="0"/>
    <cellStyle name="Porcentaje" xfId="2" builtinId="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517770</xdr:colOff>
      <xdr:row>5</xdr:row>
      <xdr:rowOff>107462</xdr:rowOff>
    </xdr:from>
    <xdr:ext cx="5790476" cy="342857"/>
    <xdr:pic>
      <xdr:nvPicPr>
        <xdr:cNvPr id="2" name="Imagen 1">
          <a:extLst>
            <a:ext uri="{FF2B5EF4-FFF2-40B4-BE49-F238E27FC236}">
              <a16:creationId xmlns:a16="http://schemas.microsoft.com/office/drawing/2014/main" id="{EB5C18A8-BFB0-468E-8380-C8D6E6648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7462" y="1035539"/>
          <a:ext cx="5790476" cy="3428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9</xdr:col>
      <xdr:colOff>508978</xdr:colOff>
      <xdr:row>1</xdr:row>
      <xdr:rowOff>75955</xdr:rowOff>
    </xdr:from>
    <xdr:ext cx="5780952" cy="380952"/>
    <xdr:pic>
      <xdr:nvPicPr>
        <xdr:cNvPr id="3" name="Imagen 2">
          <a:extLst>
            <a:ext uri="{FF2B5EF4-FFF2-40B4-BE49-F238E27FC236}">
              <a16:creationId xmlns:a16="http://schemas.microsoft.com/office/drawing/2014/main" id="{E84E6A8A-0A72-405B-9A54-797C0C960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8670" y="261570"/>
          <a:ext cx="5780952" cy="3809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130735</xdr:colOff>
      <xdr:row>3</xdr:row>
      <xdr:rowOff>74705</xdr:rowOff>
    </xdr:from>
    <xdr:ext cx="5790476" cy="342857"/>
    <xdr:pic>
      <xdr:nvPicPr>
        <xdr:cNvPr id="2" name="Imagen 1">
          <a:extLst>
            <a:ext uri="{FF2B5EF4-FFF2-40B4-BE49-F238E27FC236}">
              <a16:creationId xmlns:a16="http://schemas.microsoft.com/office/drawing/2014/main" id="{7B591F24-6B9C-4E81-900B-7CF687148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5441" y="653676"/>
          <a:ext cx="5790476" cy="3428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8</xdr:col>
      <xdr:colOff>116915</xdr:colOff>
      <xdr:row>0</xdr:row>
      <xdr:rowOff>67048</xdr:rowOff>
    </xdr:from>
    <xdr:ext cx="5780952" cy="380952"/>
    <xdr:pic>
      <xdr:nvPicPr>
        <xdr:cNvPr id="3" name="Imagen 2">
          <a:extLst>
            <a:ext uri="{FF2B5EF4-FFF2-40B4-BE49-F238E27FC236}">
              <a16:creationId xmlns:a16="http://schemas.microsoft.com/office/drawing/2014/main" id="{666A242D-5B70-400E-9E22-C2135B9F3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1621" y="67048"/>
          <a:ext cx="5780952" cy="3809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342698</xdr:colOff>
      <xdr:row>3</xdr:row>
      <xdr:rowOff>90715</xdr:rowOff>
    </xdr:from>
    <xdr:ext cx="5790476" cy="342857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2857" y="675318"/>
          <a:ext cx="5790476" cy="3428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8</xdr:col>
      <xdr:colOff>340884</xdr:colOff>
      <xdr:row>0</xdr:row>
      <xdr:rowOff>126042</xdr:rowOff>
    </xdr:from>
    <xdr:ext cx="5780952" cy="380952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1043" y="126042"/>
          <a:ext cx="5780952" cy="3809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68035</xdr:colOff>
      <xdr:row>3</xdr:row>
      <xdr:rowOff>45357</xdr:rowOff>
    </xdr:from>
    <xdr:ext cx="5790476" cy="342857"/>
    <xdr:pic>
      <xdr:nvPicPr>
        <xdr:cNvPr id="2" name="Imagen 1">
          <a:extLst>
            <a:ext uri="{FF2B5EF4-FFF2-40B4-BE49-F238E27FC236}">
              <a16:creationId xmlns:a16="http://schemas.microsoft.com/office/drawing/2014/main" id="{9DB186BB-2E73-4D7E-8635-523F939D0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3839" y="635000"/>
          <a:ext cx="5790476" cy="3428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9</xdr:col>
      <xdr:colOff>32203</xdr:colOff>
      <xdr:row>0</xdr:row>
      <xdr:rowOff>85725</xdr:rowOff>
    </xdr:from>
    <xdr:ext cx="5780952" cy="380952"/>
    <xdr:pic>
      <xdr:nvPicPr>
        <xdr:cNvPr id="3" name="Imagen 2">
          <a:extLst>
            <a:ext uri="{FF2B5EF4-FFF2-40B4-BE49-F238E27FC236}">
              <a16:creationId xmlns:a16="http://schemas.microsoft.com/office/drawing/2014/main" id="{BE63CC5D-77FA-4C09-963A-9C755DFE2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78007" y="85725"/>
          <a:ext cx="5780952" cy="3809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125212</xdr:colOff>
      <xdr:row>3</xdr:row>
      <xdr:rowOff>80493</xdr:rowOff>
    </xdr:from>
    <xdr:ext cx="5790476" cy="342857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9085" y="661831"/>
          <a:ext cx="5790476" cy="3428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9</xdr:col>
      <xdr:colOff>88900</xdr:colOff>
      <xdr:row>0</xdr:row>
      <xdr:rowOff>112556</xdr:rowOff>
    </xdr:from>
    <xdr:ext cx="5780952" cy="380952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2773" y="112556"/>
          <a:ext cx="5780952" cy="3809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52"/>
  <sheetViews>
    <sheetView showGridLines="0" zoomScale="65" zoomScaleNormal="65" workbookViewId="0">
      <selection activeCell="T21" sqref="T21"/>
    </sheetView>
  </sheetViews>
  <sheetFormatPr baseColWidth="10" defaultColWidth="11.453125" defaultRowHeight="14.5" x14ac:dyDescent="0.35"/>
  <cols>
    <col min="1" max="12" width="11.453125" style="1"/>
    <col min="13" max="13" width="12" style="1" bestFit="1" customWidth="1"/>
    <col min="14" max="16" width="11.453125" style="1"/>
    <col min="17" max="17" width="5.1796875" style="1" customWidth="1"/>
    <col min="18" max="19" width="13" style="1" bestFit="1" customWidth="1"/>
    <col min="20" max="16384" width="11.453125" style="1"/>
  </cols>
  <sheetData>
    <row r="2" spans="2:10" x14ac:dyDescent="0.35">
      <c r="B2" s="42"/>
      <c r="C2" s="116" t="s">
        <v>42</v>
      </c>
      <c r="D2" s="116"/>
      <c r="E2" s="116"/>
      <c r="F2" s="116"/>
      <c r="G2" s="116"/>
      <c r="H2" s="116"/>
      <c r="I2" s="116"/>
      <c r="J2" s="42"/>
    </row>
    <row r="3" spans="2:10" x14ac:dyDescent="0.35">
      <c r="B3" s="42"/>
      <c r="C3" s="116"/>
      <c r="D3" s="116"/>
      <c r="E3" s="116"/>
      <c r="F3" s="116"/>
      <c r="G3" s="116"/>
      <c r="H3" s="116"/>
      <c r="I3" s="116"/>
      <c r="J3" s="42"/>
    </row>
    <row r="4" spans="2:10" ht="14.5" customHeight="1" x14ac:dyDescent="0.35">
      <c r="B4" s="42"/>
      <c r="C4" s="42"/>
      <c r="D4" s="42"/>
      <c r="E4" s="42"/>
      <c r="F4" s="42"/>
      <c r="G4" s="42"/>
      <c r="H4" s="42"/>
      <c r="I4" s="42"/>
      <c r="J4" s="42"/>
    </row>
    <row r="5" spans="2:10" x14ac:dyDescent="0.35">
      <c r="B5" s="42"/>
      <c r="C5" s="42"/>
      <c r="D5" s="86" t="s">
        <v>56</v>
      </c>
      <c r="E5" s="86"/>
      <c r="F5" s="86"/>
      <c r="G5" s="86"/>
      <c r="H5" s="86"/>
      <c r="I5" s="42"/>
      <c r="J5" s="42"/>
    </row>
    <row r="6" spans="2:10" x14ac:dyDescent="0.35">
      <c r="B6" s="42"/>
      <c r="C6" s="42"/>
      <c r="D6" s="86"/>
      <c r="E6" s="86"/>
      <c r="F6" s="86"/>
      <c r="G6" s="86"/>
      <c r="H6" s="86"/>
      <c r="I6" s="42"/>
      <c r="J6" s="42"/>
    </row>
    <row r="7" spans="2:10" x14ac:dyDescent="0.35">
      <c r="B7" s="42"/>
      <c r="C7" s="42"/>
      <c r="D7" s="86"/>
      <c r="E7" s="86"/>
      <c r="F7" s="86"/>
      <c r="G7" s="86"/>
      <c r="H7" s="86"/>
      <c r="I7" s="42"/>
      <c r="J7" s="42"/>
    </row>
    <row r="8" spans="2:10" x14ac:dyDescent="0.35">
      <c r="B8" s="42"/>
      <c r="C8" s="42"/>
      <c r="D8" s="86"/>
      <c r="E8" s="86"/>
      <c r="F8" s="86"/>
      <c r="G8" s="86"/>
      <c r="H8" s="86"/>
      <c r="I8" s="42"/>
      <c r="J8" s="42"/>
    </row>
    <row r="9" spans="2:10" x14ac:dyDescent="0.35">
      <c r="B9" s="42"/>
      <c r="C9" s="42"/>
      <c r="D9" s="86"/>
      <c r="E9" s="86"/>
      <c r="F9" s="86"/>
      <c r="G9" s="86"/>
      <c r="H9" s="86"/>
      <c r="I9" s="42"/>
      <c r="J9" s="42"/>
    </row>
    <row r="10" spans="2:10" x14ac:dyDescent="0.35">
      <c r="B10" s="42"/>
      <c r="C10" s="42"/>
      <c r="D10" s="86"/>
      <c r="E10" s="86"/>
      <c r="F10" s="86"/>
      <c r="G10" s="86"/>
      <c r="H10" s="86"/>
      <c r="I10" s="42"/>
      <c r="J10" s="42"/>
    </row>
    <row r="11" spans="2:10" x14ac:dyDescent="0.35">
      <c r="B11" s="42"/>
      <c r="C11" s="42"/>
      <c r="D11" s="86"/>
      <c r="E11" s="86"/>
      <c r="F11" s="86"/>
      <c r="G11" s="86"/>
      <c r="H11" s="86"/>
      <c r="I11" s="42"/>
      <c r="J11" s="42"/>
    </row>
    <row r="12" spans="2:10" ht="16" thickBot="1" x14ac:dyDescent="0.4">
      <c r="C12" s="41"/>
      <c r="D12" s="113" t="s">
        <v>41</v>
      </c>
      <c r="E12" s="114"/>
      <c r="F12" s="114"/>
      <c r="G12" s="114"/>
      <c r="H12" s="115"/>
      <c r="I12" s="40"/>
    </row>
    <row r="13" spans="2:10" ht="15" thickBot="1" x14ac:dyDescent="0.4">
      <c r="C13" s="117" t="s">
        <v>16</v>
      </c>
      <c r="D13" s="119" t="s">
        <v>11</v>
      </c>
      <c r="E13" s="119" t="s">
        <v>10</v>
      </c>
      <c r="F13" s="119" t="s">
        <v>9</v>
      </c>
      <c r="G13" s="119" t="s">
        <v>8</v>
      </c>
      <c r="H13" s="119" t="s">
        <v>7</v>
      </c>
      <c r="I13" s="120" t="s">
        <v>40</v>
      </c>
    </row>
    <row r="14" spans="2:10" ht="15" thickBot="1" x14ac:dyDescent="0.4">
      <c r="C14" s="118" t="s">
        <v>33</v>
      </c>
      <c r="D14" s="25">
        <v>10</v>
      </c>
      <c r="E14" s="25">
        <v>15</v>
      </c>
      <c r="F14" s="25">
        <v>8</v>
      </c>
      <c r="G14" s="25">
        <v>4</v>
      </c>
      <c r="H14" s="25">
        <v>14</v>
      </c>
      <c r="I14" s="25">
        <v>2</v>
      </c>
    </row>
    <row r="15" spans="2:10" ht="15" thickBot="1" x14ac:dyDescent="0.4">
      <c r="C15" s="118" t="s">
        <v>31</v>
      </c>
      <c r="D15" s="25">
        <v>5</v>
      </c>
      <c r="E15" s="25">
        <v>8</v>
      </c>
      <c r="F15" s="25">
        <v>10</v>
      </c>
      <c r="G15" s="25">
        <v>8</v>
      </c>
      <c r="H15" s="25">
        <v>12</v>
      </c>
      <c r="I15" s="25">
        <v>2</v>
      </c>
    </row>
    <row r="16" spans="2:10" ht="15" thickBot="1" x14ac:dyDescent="0.4">
      <c r="C16" s="118" t="s">
        <v>28</v>
      </c>
      <c r="D16" s="25">
        <v>20</v>
      </c>
      <c r="E16" s="25">
        <v>7</v>
      </c>
      <c r="F16" s="25">
        <v>10</v>
      </c>
      <c r="G16" s="25">
        <v>15</v>
      </c>
      <c r="H16" s="25">
        <v>5</v>
      </c>
      <c r="I16" s="25">
        <v>4</v>
      </c>
    </row>
    <row r="17" spans="3:33" ht="15" thickBot="1" x14ac:dyDescent="0.4">
      <c r="C17" s="118" t="s">
        <v>26</v>
      </c>
      <c r="D17" s="25">
        <v>7</v>
      </c>
      <c r="E17" s="25">
        <v>15</v>
      </c>
      <c r="F17" s="25">
        <v>20</v>
      </c>
      <c r="G17" s="25">
        <v>12</v>
      </c>
      <c r="H17" s="25">
        <v>6</v>
      </c>
      <c r="I17" s="25">
        <v>3</v>
      </c>
    </row>
    <row r="18" spans="3:33" ht="15" thickBot="1" x14ac:dyDescent="0.4">
      <c r="C18" s="118" t="s">
        <v>24</v>
      </c>
      <c r="D18" s="25">
        <v>12</v>
      </c>
      <c r="E18" s="25">
        <v>8</v>
      </c>
      <c r="F18" s="25">
        <v>5</v>
      </c>
      <c r="G18" s="25">
        <v>7</v>
      </c>
      <c r="H18" s="25">
        <v>12</v>
      </c>
      <c r="I18" s="25">
        <v>2</v>
      </c>
      <c r="K18" s="143" t="s">
        <v>39</v>
      </c>
      <c r="L18" s="144"/>
      <c r="M18" s="39">
        <v>7000000</v>
      </c>
      <c r="N18" s="38" t="s">
        <v>36</v>
      </c>
    </row>
    <row r="19" spans="3:33" ht="15" thickBot="1" x14ac:dyDescent="0.4">
      <c r="C19" s="118" t="s">
        <v>22</v>
      </c>
      <c r="D19" s="25">
        <v>20</v>
      </c>
      <c r="E19" s="25">
        <v>4</v>
      </c>
      <c r="F19" s="25">
        <v>12</v>
      </c>
      <c r="G19" s="25">
        <v>18</v>
      </c>
      <c r="H19" s="25">
        <v>10</v>
      </c>
      <c r="I19" s="25">
        <v>4</v>
      </c>
    </row>
    <row r="20" spans="3:33" ht="15" thickBot="1" x14ac:dyDescent="0.4">
      <c r="C20" s="118" t="s">
        <v>0</v>
      </c>
      <c r="D20" s="25">
        <f>+D52</f>
        <v>0</v>
      </c>
      <c r="E20" s="25">
        <f>+E52</f>
        <v>22.222222222222221</v>
      </c>
      <c r="F20" s="25">
        <f>+F52</f>
        <v>18.666666666666668</v>
      </c>
      <c r="G20" s="25">
        <f>+G52</f>
        <v>0</v>
      </c>
      <c r="H20" s="25">
        <f>+H52</f>
        <v>19.555555555555557</v>
      </c>
      <c r="I20" s="25">
        <v>2.25</v>
      </c>
      <c r="K20" s="145" t="s">
        <v>38</v>
      </c>
      <c r="L20" s="146"/>
      <c r="M20" s="37">
        <f>16*6*0.7</f>
        <v>67.199999999999989</v>
      </c>
      <c r="N20" s="36" t="s">
        <v>37</v>
      </c>
      <c r="O20" s="54" t="s">
        <v>36</v>
      </c>
    </row>
    <row r="21" spans="3:33" ht="15" thickBot="1" x14ac:dyDescent="0.4">
      <c r="C21" s="118" t="s">
        <v>35</v>
      </c>
      <c r="D21" s="25">
        <v>200</v>
      </c>
      <c r="E21" s="25">
        <v>100</v>
      </c>
      <c r="F21" s="25">
        <v>180</v>
      </c>
      <c r="G21" s="25">
        <v>250</v>
      </c>
      <c r="H21" s="25">
        <v>120</v>
      </c>
      <c r="I21" s="32"/>
      <c r="K21" s="147"/>
      <c r="L21" s="148"/>
      <c r="M21" s="35">
        <f>+M20*60</f>
        <v>4031.9999999999991</v>
      </c>
      <c r="N21" s="34" t="s">
        <v>34</v>
      </c>
      <c r="O21" s="55"/>
    </row>
    <row r="22" spans="3:33" ht="15" thickBot="1" x14ac:dyDescent="0.4">
      <c r="C22" s="118" t="s">
        <v>14</v>
      </c>
      <c r="D22" s="33">
        <v>33000</v>
      </c>
      <c r="E22" s="33">
        <v>41500</v>
      </c>
      <c r="F22" s="33">
        <v>42300</v>
      </c>
      <c r="G22" s="33">
        <v>27000</v>
      </c>
      <c r="H22" s="33">
        <v>32400</v>
      </c>
      <c r="I22" s="32"/>
    </row>
    <row r="23" spans="3:33" ht="15" thickBot="1" x14ac:dyDescent="0.4"/>
    <row r="24" spans="3:33" ht="15" thickBot="1" x14ac:dyDescent="0.4">
      <c r="C24" s="129" t="s">
        <v>54</v>
      </c>
      <c r="D24" s="130"/>
      <c r="E24" s="130"/>
      <c r="F24" s="130"/>
      <c r="G24" s="130"/>
      <c r="H24" s="130"/>
      <c r="I24" s="131"/>
      <c r="K24" s="149" t="s">
        <v>16</v>
      </c>
      <c r="L24" s="153" t="s">
        <v>11</v>
      </c>
      <c r="M24" s="154" t="s">
        <v>10</v>
      </c>
      <c r="N24" s="154" t="s">
        <v>9</v>
      </c>
      <c r="O24" s="154" t="s">
        <v>8</v>
      </c>
      <c r="P24" s="155" t="s">
        <v>7</v>
      </c>
      <c r="W24" s="149" t="s">
        <v>16</v>
      </c>
      <c r="X24" s="153" t="s">
        <v>11</v>
      </c>
      <c r="Y24" s="154" t="s">
        <v>10</v>
      </c>
      <c r="Z24" s="154" t="s">
        <v>9</v>
      </c>
      <c r="AA24" s="154" t="s">
        <v>8</v>
      </c>
      <c r="AB24" s="155" t="s">
        <v>7</v>
      </c>
    </row>
    <row r="25" spans="3:33" ht="15" thickBot="1" x14ac:dyDescent="0.4">
      <c r="C25" s="132"/>
      <c r="D25" s="133"/>
      <c r="E25" s="133"/>
      <c r="F25" s="133"/>
      <c r="G25" s="133"/>
      <c r="H25" s="133"/>
      <c r="I25" s="134"/>
      <c r="K25" s="150" t="s">
        <v>33</v>
      </c>
      <c r="L25" s="24">
        <f t="shared" ref="L25:P31" si="0">+D14*D$21</f>
        <v>2000</v>
      </c>
      <c r="M25" s="31">
        <f t="shared" si="0"/>
        <v>1500</v>
      </c>
      <c r="N25" s="31">
        <f t="shared" si="0"/>
        <v>1440</v>
      </c>
      <c r="O25" s="31">
        <f t="shared" si="0"/>
        <v>1000</v>
      </c>
      <c r="P25" s="31">
        <f t="shared" si="0"/>
        <v>1680</v>
      </c>
      <c r="Q25" s="1" t="s">
        <v>5</v>
      </c>
      <c r="R25" s="14">
        <f t="shared" ref="R25:R31" si="1">+SUM(L25:P25)</f>
        <v>7620</v>
      </c>
      <c r="S25" s="14" t="str">
        <f t="shared" ref="S25:S31" si="2">+IF(R25&gt;T25,"&gt;","&lt;")</f>
        <v>&lt;</v>
      </c>
      <c r="T25" s="14">
        <f t="shared" ref="T25:T31" si="3">+$M$21*I14</f>
        <v>8063.9999999999982</v>
      </c>
      <c r="U25" s="30">
        <f t="shared" ref="U25:U31" si="4">+R25/T25</f>
        <v>0.94494047619047639</v>
      </c>
      <c r="W25" s="152" t="s">
        <v>0</v>
      </c>
      <c r="X25" s="18">
        <v>0</v>
      </c>
      <c r="Y25" s="14">
        <v>833.33333333333337</v>
      </c>
      <c r="Z25" s="14">
        <v>1260</v>
      </c>
      <c r="AA25" s="14">
        <v>0</v>
      </c>
      <c r="AB25" s="14">
        <v>880</v>
      </c>
      <c r="AC25" s="1" t="s">
        <v>5</v>
      </c>
      <c r="AD25" s="14">
        <v>2973.3333333333335</v>
      </c>
      <c r="AE25" s="14" t="s">
        <v>32</v>
      </c>
      <c r="AF25" s="14">
        <v>12095.999999999996</v>
      </c>
      <c r="AG25" s="26">
        <v>0.24581128747795422</v>
      </c>
    </row>
    <row r="26" spans="3:33" ht="15" thickBot="1" x14ac:dyDescent="0.4">
      <c r="K26" s="151" t="s">
        <v>31</v>
      </c>
      <c r="L26" s="18">
        <f t="shared" si="0"/>
        <v>1000</v>
      </c>
      <c r="M26" s="14">
        <f t="shared" si="0"/>
        <v>800</v>
      </c>
      <c r="N26" s="14">
        <f t="shared" si="0"/>
        <v>1800</v>
      </c>
      <c r="O26" s="14">
        <f t="shared" si="0"/>
        <v>2000</v>
      </c>
      <c r="P26" s="14">
        <f t="shared" si="0"/>
        <v>1440</v>
      </c>
      <c r="Q26" s="1" t="s">
        <v>5</v>
      </c>
      <c r="R26" s="14">
        <f t="shared" si="1"/>
        <v>7040</v>
      </c>
      <c r="S26" s="14" t="str">
        <f t="shared" si="2"/>
        <v>&lt;</v>
      </c>
      <c r="T26" s="14">
        <f t="shared" si="3"/>
        <v>8063.9999999999982</v>
      </c>
      <c r="U26" s="30">
        <f t="shared" si="4"/>
        <v>0.87301587301587324</v>
      </c>
    </row>
    <row r="27" spans="3:33" ht="15" thickBot="1" x14ac:dyDescent="0.4">
      <c r="C27" s="117" t="s">
        <v>30</v>
      </c>
      <c r="D27" s="120" t="s">
        <v>11</v>
      </c>
      <c r="E27" s="120" t="s">
        <v>10</v>
      </c>
      <c r="F27" s="120" t="s">
        <v>9</v>
      </c>
      <c r="G27" s="120" t="s">
        <v>8</v>
      </c>
      <c r="H27" s="120" t="s">
        <v>7</v>
      </c>
      <c r="I27" s="120" t="s">
        <v>29</v>
      </c>
      <c r="K27" s="151" t="s">
        <v>28</v>
      </c>
      <c r="L27" s="18">
        <f t="shared" si="0"/>
        <v>4000</v>
      </c>
      <c r="M27" s="14">
        <f t="shared" si="0"/>
        <v>700</v>
      </c>
      <c r="N27" s="14">
        <f t="shared" si="0"/>
        <v>1800</v>
      </c>
      <c r="O27" s="14">
        <f t="shared" si="0"/>
        <v>3750</v>
      </c>
      <c r="P27" s="14">
        <f t="shared" si="0"/>
        <v>600</v>
      </c>
      <c r="Q27" s="1" t="s">
        <v>5</v>
      </c>
      <c r="R27" s="14">
        <f t="shared" si="1"/>
        <v>10850</v>
      </c>
      <c r="S27" s="14" t="str">
        <f t="shared" si="2"/>
        <v>&lt;</v>
      </c>
      <c r="T27" s="14">
        <f t="shared" si="3"/>
        <v>16127.999999999996</v>
      </c>
      <c r="U27" s="30">
        <f t="shared" si="4"/>
        <v>0.67274305555555569</v>
      </c>
    </row>
    <row r="28" spans="3:33" ht="15" thickBot="1" x14ac:dyDescent="0.4">
      <c r="C28" s="135" t="s">
        <v>27</v>
      </c>
      <c r="D28" s="25">
        <v>0.5</v>
      </c>
      <c r="E28" s="25">
        <v>1.5</v>
      </c>
      <c r="F28" s="25">
        <v>0</v>
      </c>
      <c r="G28" s="25">
        <v>0.3</v>
      </c>
      <c r="H28" s="25">
        <v>0</v>
      </c>
      <c r="I28" s="25">
        <v>1500</v>
      </c>
      <c r="K28" s="151" t="s">
        <v>26</v>
      </c>
      <c r="L28" s="18">
        <f t="shared" si="0"/>
        <v>1400</v>
      </c>
      <c r="M28" s="14">
        <f t="shared" si="0"/>
        <v>1500</v>
      </c>
      <c r="N28" s="14">
        <f t="shared" si="0"/>
        <v>3600</v>
      </c>
      <c r="O28" s="14">
        <f t="shared" si="0"/>
        <v>3000</v>
      </c>
      <c r="P28" s="14">
        <f t="shared" si="0"/>
        <v>720</v>
      </c>
      <c r="Q28" s="1" t="s">
        <v>5</v>
      </c>
      <c r="R28" s="14">
        <f t="shared" si="1"/>
        <v>10220</v>
      </c>
      <c r="S28" s="14" t="str">
        <f t="shared" si="2"/>
        <v>&lt;</v>
      </c>
      <c r="T28" s="14">
        <f t="shared" si="3"/>
        <v>12095.999999999996</v>
      </c>
      <c r="U28" s="30">
        <f t="shared" si="4"/>
        <v>0.84490740740740766</v>
      </c>
    </row>
    <row r="29" spans="3:33" ht="15" thickBot="1" x14ac:dyDescent="0.4">
      <c r="C29" s="135" t="s">
        <v>25</v>
      </c>
      <c r="D29" s="25">
        <v>0</v>
      </c>
      <c r="E29" s="25">
        <v>0.3</v>
      </c>
      <c r="F29" s="25">
        <v>2</v>
      </c>
      <c r="G29" s="25">
        <v>0</v>
      </c>
      <c r="H29" s="25">
        <v>0.8</v>
      </c>
      <c r="I29" s="25">
        <v>3000</v>
      </c>
      <c r="K29" s="151" t="s">
        <v>24</v>
      </c>
      <c r="L29" s="18">
        <f t="shared" si="0"/>
        <v>2400</v>
      </c>
      <c r="M29" s="14">
        <f t="shared" si="0"/>
        <v>800</v>
      </c>
      <c r="N29" s="14">
        <f t="shared" si="0"/>
        <v>900</v>
      </c>
      <c r="O29" s="14">
        <f t="shared" si="0"/>
        <v>1750</v>
      </c>
      <c r="P29" s="14">
        <f t="shared" si="0"/>
        <v>1440</v>
      </c>
      <c r="Q29" s="1" t="s">
        <v>5</v>
      </c>
      <c r="R29" s="14">
        <f t="shared" si="1"/>
        <v>7290</v>
      </c>
      <c r="S29" s="14" t="str">
        <f t="shared" si="2"/>
        <v>&lt;</v>
      </c>
      <c r="T29" s="14">
        <f t="shared" si="3"/>
        <v>8063.9999999999982</v>
      </c>
      <c r="U29" s="30">
        <f t="shared" si="4"/>
        <v>0.90401785714285732</v>
      </c>
    </row>
    <row r="30" spans="3:33" ht="15" thickBot="1" x14ac:dyDescent="0.4">
      <c r="C30" s="135" t="s">
        <v>23</v>
      </c>
      <c r="D30" s="25">
        <v>2.5</v>
      </c>
      <c r="E30" s="25">
        <v>0.7</v>
      </c>
      <c r="F30" s="25">
        <v>1.2</v>
      </c>
      <c r="G30" s="25">
        <v>3</v>
      </c>
      <c r="H30" s="25">
        <v>0</v>
      </c>
      <c r="I30" s="25">
        <v>1200</v>
      </c>
      <c r="K30" s="151" t="s">
        <v>22</v>
      </c>
      <c r="L30" s="18">
        <f t="shared" si="0"/>
        <v>4000</v>
      </c>
      <c r="M30" s="14">
        <f t="shared" si="0"/>
        <v>400</v>
      </c>
      <c r="N30" s="14">
        <f t="shared" si="0"/>
        <v>2160</v>
      </c>
      <c r="O30" s="14">
        <f t="shared" si="0"/>
        <v>4500</v>
      </c>
      <c r="P30" s="14">
        <f t="shared" si="0"/>
        <v>1200</v>
      </c>
      <c r="Q30" s="1" t="s">
        <v>5</v>
      </c>
      <c r="R30" s="14">
        <f t="shared" si="1"/>
        <v>12260</v>
      </c>
      <c r="S30" s="14" t="str">
        <f t="shared" si="2"/>
        <v>&lt;</v>
      </c>
      <c r="T30" s="14">
        <f t="shared" si="3"/>
        <v>16127.999999999996</v>
      </c>
      <c r="U30" s="30">
        <f t="shared" si="4"/>
        <v>0.76016865079365092</v>
      </c>
    </row>
    <row r="31" spans="3:33" ht="15" thickBot="1" x14ac:dyDescent="0.4">
      <c r="C31" s="135" t="s">
        <v>21</v>
      </c>
      <c r="D31" s="25">
        <v>1.2</v>
      </c>
      <c r="E31" s="25">
        <v>0</v>
      </c>
      <c r="F31" s="25">
        <v>0.4</v>
      </c>
      <c r="G31" s="25">
        <v>2.5</v>
      </c>
      <c r="H31" s="25">
        <v>3</v>
      </c>
      <c r="I31" s="25">
        <v>2800</v>
      </c>
      <c r="K31" s="152" t="s">
        <v>0</v>
      </c>
      <c r="L31" s="29">
        <f t="shared" si="0"/>
        <v>0</v>
      </c>
      <c r="M31" s="27">
        <f t="shared" si="0"/>
        <v>2222.2222222222222</v>
      </c>
      <c r="N31" s="27">
        <f t="shared" si="0"/>
        <v>3360</v>
      </c>
      <c r="O31" s="27">
        <f t="shared" si="0"/>
        <v>0</v>
      </c>
      <c r="P31" s="27">
        <f t="shared" si="0"/>
        <v>2346.666666666667</v>
      </c>
      <c r="Q31" s="28" t="s">
        <v>5</v>
      </c>
      <c r="R31" s="27">
        <f t="shared" si="1"/>
        <v>7928.8888888888896</v>
      </c>
      <c r="S31" s="27" t="str">
        <f t="shared" si="2"/>
        <v>&lt;</v>
      </c>
      <c r="T31" s="27">
        <f t="shared" si="3"/>
        <v>9071.9999999999982</v>
      </c>
      <c r="U31" s="26">
        <f t="shared" si="4"/>
        <v>0.87399568881050382</v>
      </c>
    </row>
    <row r="32" spans="3:33" ht="15" thickBot="1" x14ac:dyDescent="0.4">
      <c r="C32" s="135" t="s">
        <v>20</v>
      </c>
      <c r="D32" s="25">
        <v>0.8</v>
      </c>
      <c r="E32" s="25">
        <v>2.5</v>
      </c>
      <c r="F32" s="25">
        <v>1.4</v>
      </c>
      <c r="G32" s="25">
        <v>0</v>
      </c>
      <c r="H32" s="25">
        <v>0.2</v>
      </c>
      <c r="I32" s="25">
        <v>3400</v>
      </c>
    </row>
    <row r="33" spans="3:20" ht="15" thickBot="1" x14ac:dyDescent="0.4">
      <c r="C33" s="118" t="s">
        <v>19</v>
      </c>
      <c r="D33" s="25">
        <v>1</v>
      </c>
      <c r="E33" s="25">
        <v>0.8</v>
      </c>
      <c r="F33" s="25">
        <v>1.5</v>
      </c>
      <c r="G33" s="25">
        <v>0.5</v>
      </c>
      <c r="H33" s="25">
        <v>1.2</v>
      </c>
      <c r="I33" s="25">
        <v>9500</v>
      </c>
    </row>
    <row r="34" spans="3:20" ht="15" thickBot="1" x14ac:dyDescent="0.4">
      <c r="K34" s="149" t="s">
        <v>16</v>
      </c>
      <c r="L34" s="153" t="s">
        <v>11</v>
      </c>
      <c r="M34" s="154" t="s">
        <v>10</v>
      </c>
      <c r="N34" s="154" t="s">
        <v>9</v>
      </c>
      <c r="O34" s="154" t="s">
        <v>8</v>
      </c>
      <c r="P34" s="155" t="s">
        <v>7</v>
      </c>
    </row>
    <row r="35" spans="3:20" ht="15" thickBot="1" x14ac:dyDescent="0.4">
      <c r="C35" s="123" t="s">
        <v>59</v>
      </c>
      <c r="D35" s="124"/>
      <c r="E35" s="124"/>
      <c r="F35" s="124"/>
      <c r="G35" s="124"/>
      <c r="H35" s="124"/>
      <c r="I35" s="125"/>
      <c r="K35" s="152" t="s">
        <v>0</v>
      </c>
      <c r="L35" s="24">
        <v>0</v>
      </c>
      <c r="M35" s="24">
        <f>+E$41/E20</f>
        <v>963.45</v>
      </c>
      <c r="N35" s="23">
        <f>+F$41/F20</f>
        <v>789.10714285714278</v>
      </c>
      <c r="O35" s="24">
        <v>0</v>
      </c>
      <c r="P35" s="23">
        <f>+H$41/H20</f>
        <v>486.81818181818176</v>
      </c>
    </row>
    <row r="36" spans="3:20" ht="15" thickBot="1" x14ac:dyDescent="0.4">
      <c r="C36" s="126"/>
      <c r="D36" s="127"/>
      <c r="E36" s="127"/>
      <c r="F36" s="127"/>
      <c r="G36" s="127"/>
      <c r="H36" s="127"/>
      <c r="I36" s="128"/>
      <c r="R36" s="137" t="s">
        <v>4</v>
      </c>
    </row>
    <row r="37" spans="3:20" ht="15" thickBot="1" x14ac:dyDescent="0.4">
      <c r="K37" s="156" t="s">
        <v>18</v>
      </c>
      <c r="L37" s="22">
        <v>200</v>
      </c>
      <c r="M37" s="7">
        <v>100</v>
      </c>
      <c r="N37" s="7">
        <v>180</v>
      </c>
      <c r="O37" s="7">
        <v>250</v>
      </c>
      <c r="P37" s="7">
        <v>120</v>
      </c>
      <c r="Q37" s="1" t="s">
        <v>5</v>
      </c>
      <c r="R37" s="21">
        <f>SUMPRODUCT(L37:P37,$D$41:$H$41)</f>
        <v>11468800</v>
      </c>
    </row>
    <row r="38" spans="3:20" ht="15" thickBot="1" x14ac:dyDescent="0.4">
      <c r="C38" s="136"/>
      <c r="D38" s="138" t="s">
        <v>11</v>
      </c>
      <c r="E38" s="138" t="s">
        <v>10</v>
      </c>
      <c r="F38" s="138" t="s">
        <v>9</v>
      </c>
      <c r="G38" s="138" t="s">
        <v>8</v>
      </c>
      <c r="H38" s="139" t="s">
        <v>7</v>
      </c>
      <c r="K38" s="157" t="s">
        <v>17</v>
      </c>
      <c r="L38" s="18">
        <v>200</v>
      </c>
      <c r="M38" s="14">
        <v>100</v>
      </c>
      <c r="N38" s="14">
        <v>180</v>
      </c>
      <c r="O38" s="14">
        <v>250</v>
      </c>
      <c r="P38" s="14">
        <v>120</v>
      </c>
      <c r="Q38" s="1" t="s">
        <v>5</v>
      </c>
      <c r="R38" s="20">
        <f>SUMPRODUCT(L38:P38,$D$41:$H$41)</f>
        <v>11468800</v>
      </c>
    </row>
    <row r="39" spans="3:20" ht="15" thickBot="1" x14ac:dyDescent="0.4">
      <c r="C39" s="137" t="s">
        <v>13</v>
      </c>
      <c r="D39" s="19">
        <f>+SUMPRODUCT(D28:D33*$I$28:$I$33)</f>
        <v>19330</v>
      </c>
      <c r="E39" s="19">
        <f>+SUMPRODUCT(E28:E33*$I$28:$I$33)</f>
        <v>20090</v>
      </c>
      <c r="F39" s="19">
        <f>+SUMPRODUCT(F28:F33*$I$28:$I$33)</f>
        <v>27570</v>
      </c>
      <c r="G39" s="19">
        <f>+SUMPRODUCT(G28:G33*$I$28:$I$33)</f>
        <v>15800</v>
      </c>
      <c r="H39" s="19">
        <f>+SUMPRODUCT(H28:H33*$I$28:$I$33)</f>
        <v>22880</v>
      </c>
    </row>
    <row r="40" spans="3:20" ht="15" thickBot="1" x14ac:dyDescent="0.4">
      <c r="K40" s="149" t="s">
        <v>16</v>
      </c>
      <c r="L40" s="11" t="s">
        <v>11</v>
      </c>
      <c r="M40" s="10" t="s">
        <v>10</v>
      </c>
      <c r="N40" s="10" t="s">
        <v>9</v>
      </c>
      <c r="O40" s="10" t="s">
        <v>8</v>
      </c>
      <c r="P40" s="9" t="s">
        <v>7</v>
      </c>
    </row>
    <row r="41" spans="3:20" ht="15" thickBot="1" x14ac:dyDescent="0.4">
      <c r="C41" s="1" t="s">
        <v>12</v>
      </c>
      <c r="D41" s="17">
        <f>+D22-D39</f>
        <v>13670</v>
      </c>
      <c r="E41" s="17">
        <f>+E22-E39</f>
        <v>21410</v>
      </c>
      <c r="F41" s="17">
        <f>+F22-F39</f>
        <v>14730</v>
      </c>
      <c r="G41" s="17">
        <f>+G22-G39</f>
        <v>11200</v>
      </c>
      <c r="H41" s="17">
        <f>+H22-H39</f>
        <v>9520</v>
      </c>
      <c r="K41" s="152" t="s">
        <v>0</v>
      </c>
      <c r="L41" s="18">
        <f>+D20*L38</f>
        <v>0</v>
      </c>
      <c r="M41" s="18">
        <f>+E20*M38</f>
        <v>2222.2222222222222</v>
      </c>
      <c r="N41" s="18">
        <f>+F20*N38</f>
        <v>3360</v>
      </c>
      <c r="O41" s="18">
        <f>+G20*O38</f>
        <v>0</v>
      </c>
      <c r="P41" s="18">
        <f>+H20*P38</f>
        <v>2346.666666666667</v>
      </c>
      <c r="Q41" s="1" t="s">
        <v>5</v>
      </c>
      <c r="R41" s="14">
        <f>+SUM(L41:P41)</f>
        <v>7928.8888888888896</v>
      </c>
      <c r="S41" s="14" t="s">
        <v>15</v>
      </c>
      <c r="T41" s="14">
        <v>8063.9999999999982</v>
      </c>
    </row>
    <row r="43" spans="3:20" x14ac:dyDescent="0.35">
      <c r="R43" s="1">
        <f>7000000*1.04</f>
        <v>7280000</v>
      </c>
    </row>
    <row r="44" spans="3:20" x14ac:dyDescent="0.35">
      <c r="R44" s="17">
        <f>+R38-R43</f>
        <v>4188800</v>
      </c>
    </row>
    <row r="45" spans="3:20" x14ac:dyDescent="0.35">
      <c r="C45" s="140" t="s">
        <v>14</v>
      </c>
      <c r="D45" s="16">
        <v>33000</v>
      </c>
      <c r="E45" s="16">
        <v>41500</v>
      </c>
      <c r="F45" s="16">
        <v>42300</v>
      </c>
      <c r="G45" s="16">
        <v>27000</v>
      </c>
      <c r="H45" s="16">
        <v>32400</v>
      </c>
    </row>
    <row r="46" spans="3:20" ht="15" thickBot="1" x14ac:dyDescent="0.4">
      <c r="C46" s="141" t="s">
        <v>13</v>
      </c>
      <c r="D46" s="15">
        <v>19330</v>
      </c>
      <c r="E46" s="15">
        <v>20090</v>
      </c>
      <c r="F46" s="15">
        <v>27570</v>
      </c>
      <c r="G46" s="15">
        <v>15800</v>
      </c>
      <c r="H46" s="15">
        <v>22880</v>
      </c>
    </row>
    <row r="47" spans="3:20" ht="15" thickBot="1" x14ac:dyDescent="0.4">
      <c r="C47" s="141" t="s">
        <v>12</v>
      </c>
      <c r="D47" s="13">
        <v>13670</v>
      </c>
      <c r="E47" s="13">
        <v>21410</v>
      </c>
      <c r="F47" s="13">
        <v>14730</v>
      </c>
      <c r="G47" s="13">
        <v>11200</v>
      </c>
      <c r="H47" s="13">
        <v>9520</v>
      </c>
      <c r="K47" s="12"/>
      <c r="L47" s="149" t="s">
        <v>11</v>
      </c>
      <c r="M47" s="153" t="s">
        <v>10</v>
      </c>
      <c r="N47" s="154" t="s">
        <v>9</v>
      </c>
      <c r="O47" s="154" t="s">
        <v>8</v>
      </c>
      <c r="P47" s="155" t="s">
        <v>7</v>
      </c>
    </row>
    <row r="48" spans="3:20" ht="15" thickBot="1" x14ac:dyDescent="0.4">
      <c r="K48" s="158" t="s">
        <v>6</v>
      </c>
      <c r="L48" s="8">
        <v>200</v>
      </c>
      <c r="M48" s="7">
        <v>100</v>
      </c>
      <c r="N48" s="7">
        <v>180</v>
      </c>
      <c r="O48" s="7">
        <v>250</v>
      </c>
      <c r="P48" s="7">
        <v>120</v>
      </c>
      <c r="Q48" s="1" t="s">
        <v>5</v>
      </c>
      <c r="R48" s="121" t="s">
        <v>4</v>
      </c>
      <c r="S48" s="6">
        <f>SUMPRODUCT(L48:P48,$D$41:$H$41)</f>
        <v>11468800</v>
      </c>
    </row>
    <row r="49" spans="3:19" ht="15" thickBot="1" x14ac:dyDescent="0.4">
      <c r="R49" s="159" t="s">
        <v>3</v>
      </c>
      <c r="S49" s="4">
        <v>7000000</v>
      </c>
    </row>
    <row r="50" spans="3:19" ht="15" thickBot="1" x14ac:dyDescent="0.4">
      <c r="C50" s="142" t="s">
        <v>0</v>
      </c>
      <c r="D50" s="2">
        <v>0</v>
      </c>
      <c r="E50" s="2">
        <v>25</v>
      </c>
      <c r="F50" s="2">
        <v>21</v>
      </c>
      <c r="G50" s="2">
        <v>0</v>
      </c>
      <c r="H50" s="2">
        <v>22</v>
      </c>
      <c r="I50" s="5">
        <v>2</v>
      </c>
      <c r="R50" s="159" t="s">
        <v>2</v>
      </c>
      <c r="S50" s="4">
        <f>+S49*0.04</f>
        <v>280000</v>
      </c>
    </row>
    <row r="51" spans="3:19" ht="15" thickBot="1" x14ac:dyDescent="0.4">
      <c r="R51" s="122" t="s">
        <v>1</v>
      </c>
      <c r="S51" s="3">
        <f>+S48-S49-S50</f>
        <v>4188800</v>
      </c>
    </row>
    <row r="52" spans="3:19" ht="15" thickBot="1" x14ac:dyDescent="0.4">
      <c r="C52" s="142" t="s">
        <v>0</v>
      </c>
      <c r="D52" s="2">
        <f t="shared" ref="D52:I52" si="5">+D50*2/2.25</f>
        <v>0</v>
      </c>
      <c r="E52" s="2">
        <f t="shared" si="5"/>
        <v>22.222222222222221</v>
      </c>
      <c r="F52" s="2">
        <f t="shared" si="5"/>
        <v>18.666666666666668</v>
      </c>
      <c r="G52" s="2">
        <f t="shared" si="5"/>
        <v>0</v>
      </c>
      <c r="H52" s="2">
        <f t="shared" si="5"/>
        <v>19.555555555555557</v>
      </c>
      <c r="I52" s="2">
        <f t="shared" si="5"/>
        <v>1.7777777777777777</v>
      </c>
    </row>
  </sheetData>
  <mergeCells count="8">
    <mergeCell ref="C24:I25"/>
    <mergeCell ref="C35:I36"/>
    <mergeCell ref="D12:H12"/>
    <mergeCell ref="K18:L18"/>
    <mergeCell ref="K20:L21"/>
    <mergeCell ref="O20:O21"/>
    <mergeCell ref="C2:I3"/>
    <mergeCell ref="D5:H11"/>
  </mergeCells>
  <conditionalFormatting sqref="R25:R31 R41">
    <cfRule type="cellIs" dxfId="6" priority="2" operator="greaterThan">
      <formula>T25</formula>
    </cfRule>
  </conditionalFormatting>
  <conditionalFormatting sqref="AD25">
    <cfRule type="cellIs" dxfId="5" priority="1" operator="greaterThan">
      <formula>AF25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3"/>
  <sheetViews>
    <sheetView showGridLines="0" zoomScale="68" zoomScaleNormal="68" workbookViewId="0">
      <selection activeCell="K32" sqref="K32:O32"/>
    </sheetView>
  </sheetViews>
  <sheetFormatPr baseColWidth="10" defaultColWidth="11.453125" defaultRowHeight="14.5" x14ac:dyDescent="0.35"/>
  <cols>
    <col min="1" max="8" width="11.453125" style="1"/>
    <col min="9" max="9" width="12" style="1" bestFit="1" customWidth="1"/>
    <col min="10" max="10" width="11.453125" style="1"/>
    <col min="11" max="11" width="13" style="1" bestFit="1" customWidth="1"/>
    <col min="12" max="12" width="12" style="1" bestFit="1" customWidth="1"/>
    <col min="13" max="15" width="11.453125" style="1"/>
    <col min="16" max="16" width="5.1796875" style="1" customWidth="1"/>
    <col min="17" max="18" width="13" style="1" bestFit="1" customWidth="1"/>
    <col min="19" max="16384" width="11.453125" style="1"/>
  </cols>
  <sheetData>
    <row r="1" spans="2:21" ht="15" thickBot="1" x14ac:dyDescent="0.4"/>
    <row r="2" spans="2:21" ht="16" thickBot="1" x14ac:dyDescent="0.4">
      <c r="B2" s="41"/>
      <c r="C2" s="168" t="s">
        <v>41</v>
      </c>
      <c r="D2" s="169"/>
      <c r="E2" s="169"/>
      <c r="F2" s="169"/>
      <c r="G2" s="170"/>
      <c r="H2" s="40"/>
      <c r="Q2" s="82" t="s">
        <v>56</v>
      </c>
      <c r="R2" s="83"/>
      <c r="S2" s="83"/>
      <c r="T2" s="83"/>
      <c r="U2" s="84"/>
    </row>
    <row r="3" spans="2:21" ht="15" thickBot="1" x14ac:dyDescent="0.4">
      <c r="B3" s="166" t="s">
        <v>16</v>
      </c>
      <c r="C3" s="171" t="s">
        <v>11</v>
      </c>
      <c r="D3" s="171" t="s">
        <v>10</v>
      </c>
      <c r="E3" s="171" t="s">
        <v>9</v>
      </c>
      <c r="F3" s="171" t="s">
        <v>8</v>
      </c>
      <c r="G3" s="171" t="s">
        <v>7</v>
      </c>
      <c r="H3" s="172" t="s">
        <v>40</v>
      </c>
      <c r="Q3" s="85"/>
      <c r="R3" s="86"/>
      <c r="S3" s="86"/>
      <c r="T3" s="86"/>
      <c r="U3" s="87"/>
    </row>
    <row r="4" spans="2:21" ht="15" thickBot="1" x14ac:dyDescent="0.4">
      <c r="B4" s="167" t="s">
        <v>33</v>
      </c>
      <c r="C4" s="25">
        <v>10</v>
      </c>
      <c r="D4" s="25">
        <v>15</v>
      </c>
      <c r="E4" s="25">
        <v>8</v>
      </c>
      <c r="F4" s="25">
        <v>4</v>
      </c>
      <c r="G4" s="25">
        <v>14</v>
      </c>
      <c r="H4" s="25">
        <v>2</v>
      </c>
      <c r="Q4" s="85"/>
      <c r="R4" s="86"/>
      <c r="S4" s="86"/>
      <c r="T4" s="86"/>
      <c r="U4" s="87"/>
    </row>
    <row r="5" spans="2:21" ht="15" thickBot="1" x14ac:dyDescent="0.4">
      <c r="B5" s="167" t="s">
        <v>31</v>
      </c>
      <c r="C5" s="25">
        <v>5</v>
      </c>
      <c r="D5" s="25">
        <v>8</v>
      </c>
      <c r="E5" s="25">
        <v>10</v>
      </c>
      <c r="F5" s="25">
        <v>8</v>
      </c>
      <c r="G5" s="25">
        <v>12</v>
      </c>
      <c r="H5" s="25">
        <v>2</v>
      </c>
      <c r="Q5" s="85"/>
      <c r="R5" s="86"/>
      <c r="S5" s="86"/>
      <c r="T5" s="86"/>
      <c r="U5" s="87"/>
    </row>
    <row r="6" spans="2:21" ht="15" thickBot="1" x14ac:dyDescent="0.4">
      <c r="B6" s="167" t="s">
        <v>28</v>
      </c>
      <c r="C6" s="25">
        <v>20</v>
      </c>
      <c r="D6" s="25">
        <v>7</v>
      </c>
      <c r="E6" s="25">
        <v>10</v>
      </c>
      <c r="F6" s="25">
        <v>15</v>
      </c>
      <c r="G6" s="25">
        <v>5</v>
      </c>
      <c r="H6" s="25">
        <v>4</v>
      </c>
      <c r="Q6" s="85"/>
      <c r="R6" s="86"/>
      <c r="S6" s="86"/>
      <c r="T6" s="86"/>
      <c r="U6" s="87"/>
    </row>
    <row r="7" spans="2:21" ht="15" thickBot="1" x14ac:dyDescent="0.4">
      <c r="B7" s="167" t="s">
        <v>26</v>
      </c>
      <c r="C7" s="25">
        <v>7</v>
      </c>
      <c r="D7" s="25">
        <v>15</v>
      </c>
      <c r="E7" s="25">
        <v>20</v>
      </c>
      <c r="F7" s="25">
        <v>12</v>
      </c>
      <c r="G7" s="25">
        <v>6</v>
      </c>
      <c r="H7" s="25">
        <v>3</v>
      </c>
      <c r="Q7" s="85"/>
      <c r="R7" s="86"/>
      <c r="S7" s="86"/>
      <c r="T7" s="86"/>
      <c r="U7" s="87"/>
    </row>
    <row r="8" spans="2:21" ht="15" thickBot="1" x14ac:dyDescent="0.4">
      <c r="B8" s="167" t="s">
        <v>24</v>
      </c>
      <c r="C8" s="25">
        <v>12</v>
      </c>
      <c r="D8" s="25">
        <v>8</v>
      </c>
      <c r="E8" s="25">
        <v>5</v>
      </c>
      <c r="F8" s="25">
        <v>7</v>
      </c>
      <c r="G8" s="25">
        <v>12</v>
      </c>
      <c r="H8" s="25">
        <v>2</v>
      </c>
      <c r="J8" s="178" t="s">
        <v>39</v>
      </c>
      <c r="K8" s="178"/>
      <c r="L8" s="15">
        <v>7000000</v>
      </c>
      <c r="M8" s="14" t="s">
        <v>36</v>
      </c>
      <c r="Q8" s="88"/>
      <c r="R8" s="89"/>
      <c r="S8" s="89"/>
      <c r="T8" s="89"/>
      <c r="U8" s="90"/>
    </row>
    <row r="9" spans="2:21" ht="15" thickBot="1" x14ac:dyDescent="0.4">
      <c r="B9" s="167" t="s">
        <v>22</v>
      </c>
      <c r="C9" s="25">
        <v>20</v>
      </c>
      <c r="D9" s="25">
        <v>4</v>
      </c>
      <c r="E9" s="25">
        <v>12</v>
      </c>
      <c r="F9" s="25">
        <v>18</v>
      </c>
      <c r="G9" s="25">
        <v>10</v>
      </c>
      <c r="H9" s="25">
        <v>4</v>
      </c>
    </row>
    <row r="10" spans="2:21" ht="15" thickBot="1" x14ac:dyDescent="0.4">
      <c r="B10" s="167" t="s">
        <v>0</v>
      </c>
      <c r="C10" s="25">
        <v>0</v>
      </c>
      <c r="D10" s="25">
        <v>25</v>
      </c>
      <c r="E10" s="25">
        <v>21</v>
      </c>
      <c r="F10" s="25">
        <v>0</v>
      </c>
      <c r="G10" s="25">
        <v>22</v>
      </c>
      <c r="H10" s="25">
        <v>2</v>
      </c>
      <c r="J10" s="178" t="s">
        <v>38</v>
      </c>
      <c r="K10" s="178"/>
      <c r="L10" s="14">
        <f>16*6*0.7</f>
        <v>67.199999999999989</v>
      </c>
      <c r="M10" s="14" t="s">
        <v>37</v>
      </c>
      <c r="N10" s="56" t="s">
        <v>36</v>
      </c>
    </row>
    <row r="11" spans="2:21" ht="15" thickBot="1" x14ac:dyDescent="0.4">
      <c r="B11" s="167" t="s">
        <v>35</v>
      </c>
      <c r="C11" s="25">
        <v>200</v>
      </c>
      <c r="D11" s="25">
        <v>100</v>
      </c>
      <c r="E11" s="25">
        <v>180</v>
      </c>
      <c r="F11" s="25">
        <v>250</v>
      </c>
      <c r="G11" s="25">
        <v>120</v>
      </c>
      <c r="H11" s="32"/>
      <c r="J11" s="178"/>
      <c r="K11" s="178"/>
      <c r="L11" s="14">
        <f>+L10*60</f>
        <v>4031.9999999999991</v>
      </c>
      <c r="M11" s="14" t="s">
        <v>34</v>
      </c>
      <c r="N11" s="56"/>
    </row>
    <row r="12" spans="2:21" ht="15" thickBot="1" x14ac:dyDescent="0.4">
      <c r="B12" s="167" t="s">
        <v>14</v>
      </c>
      <c r="C12" s="33">
        <v>33000</v>
      </c>
      <c r="D12" s="33">
        <v>41500</v>
      </c>
      <c r="E12" s="33">
        <v>42300</v>
      </c>
      <c r="F12" s="33">
        <v>27000</v>
      </c>
      <c r="G12" s="33">
        <v>32400</v>
      </c>
      <c r="H12" s="32"/>
    </row>
    <row r="13" spans="2:21" ht="15" thickBot="1" x14ac:dyDescent="0.4"/>
    <row r="14" spans="2:21" ht="15" thickBot="1" x14ac:dyDescent="0.4">
      <c r="B14" s="160" t="s">
        <v>60</v>
      </c>
      <c r="C14" s="161"/>
      <c r="D14" s="161"/>
      <c r="E14" s="161"/>
      <c r="F14" s="161"/>
      <c r="G14" s="162"/>
      <c r="J14" s="182" t="s">
        <v>16</v>
      </c>
      <c r="K14" s="186" t="s">
        <v>11</v>
      </c>
      <c r="L14" s="187" t="s">
        <v>10</v>
      </c>
      <c r="M14" s="187" t="s">
        <v>9</v>
      </c>
      <c r="N14" s="187" t="s">
        <v>8</v>
      </c>
      <c r="O14" s="188" t="s">
        <v>7</v>
      </c>
    </row>
    <row r="15" spans="2:21" ht="15" thickBot="1" x14ac:dyDescent="0.4">
      <c r="B15" s="163"/>
      <c r="C15" s="164"/>
      <c r="D15" s="164"/>
      <c r="E15" s="164"/>
      <c r="F15" s="164"/>
      <c r="G15" s="165"/>
      <c r="J15" s="183" t="s">
        <v>33</v>
      </c>
      <c r="K15" s="24">
        <f t="shared" ref="K15:O21" si="0">+C4*C$11</f>
        <v>2000</v>
      </c>
      <c r="L15" s="31">
        <f t="shared" si="0"/>
        <v>1500</v>
      </c>
      <c r="M15" s="31">
        <f t="shared" si="0"/>
        <v>1440</v>
      </c>
      <c r="N15" s="31">
        <f t="shared" si="0"/>
        <v>1000</v>
      </c>
      <c r="O15" s="31">
        <f t="shared" si="0"/>
        <v>1680</v>
      </c>
      <c r="P15" s="1" t="s">
        <v>5</v>
      </c>
      <c r="Q15" s="14">
        <f t="shared" ref="Q15:Q21" si="1">+SUM(K15:O15)</f>
        <v>7620</v>
      </c>
      <c r="R15" s="14" t="str">
        <f t="shared" ref="R15:R21" si="2">+IF(Q15&gt;S15,"&gt;","&lt;")</f>
        <v>&lt;</v>
      </c>
      <c r="S15" s="14">
        <f t="shared" ref="S15:S21" si="3">+$L$11*H4</f>
        <v>8063.9999999999982</v>
      </c>
      <c r="T15" s="30">
        <f t="shared" ref="T15:T21" si="4">+Q15/S15</f>
        <v>0.94494047619047639</v>
      </c>
    </row>
    <row r="16" spans="2:21" ht="15" thickBot="1" x14ac:dyDescent="0.4">
      <c r="J16" s="184" t="s">
        <v>31</v>
      </c>
      <c r="K16" s="18">
        <f t="shared" si="0"/>
        <v>1000</v>
      </c>
      <c r="L16" s="14">
        <f t="shared" si="0"/>
        <v>800</v>
      </c>
      <c r="M16" s="14">
        <f t="shared" si="0"/>
        <v>1800</v>
      </c>
      <c r="N16" s="14">
        <f t="shared" si="0"/>
        <v>2000</v>
      </c>
      <c r="O16" s="14">
        <f t="shared" si="0"/>
        <v>1440</v>
      </c>
      <c r="P16" s="1" t="s">
        <v>5</v>
      </c>
      <c r="Q16" s="14">
        <f t="shared" si="1"/>
        <v>7040</v>
      </c>
      <c r="R16" s="14" t="str">
        <f t="shared" si="2"/>
        <v>&lt;</v>
      </c>
      <c r="S16" s="14">
        <f t="shared" si="3"/>
        <v>8063.9999999999982</v>
      </c>
      <c r="T16" s="30">
        <f t="shared" si="4"/>
        <v>0.87301587301587324</v>
      </c>
    </row>
    <row r="17" spans="2:20" ht="15" thickBot="1" x14ac:dyDescent="0.4">
      <c r="B17" s="166" t="s">
        <v>30</v>
      </c>
      <c r="C17" s="172" t="s">
        <v>11</v>
      </c>
      <c r="D17" s="172" t="s">
        <v>10</v>
      </c>
      <c r="E17" s="172" t="s">
        <v>9</v>
      </c>
      <c r="F17" s="172" t="s">
        <v>8</v>
      </c>
      <c r="G17" s="172" t="s">
        <v>7</v>
      </c>
      <c r="H17" s="172" t="s">
        <v>29</v>
      </c>
      <c r="J17" s="184" t="s">
        <v>28</v>
      </c>
      <c r="K17" s="18">
        <f t="shared" si="0"/>
        <v>4000</v>
      </c>
      <c r="L17" s="14">
        <f t="shared" si="0"/>
        <v>700</v>
      </c>
      <c r="M17" s="14">
        <f t="shared" si="0"/>
        <v>1800</v>
      </c>
      <c r="N17" s="14">
        <f t="shared" si="0"/>
        <v>3750</v>
      </c>
      <c r="O17" s="14">
        <f t="shared" si="0"/>
        <v>600</v>
      </c>
      <c r="P17" s="1" t="s">
        <v>5</v>
      </c>
      <c r="Q17" s="14">
        <f t="shared" si="1"/>
        <v>10850</v>
      </c>
      <c r="R17" s="14" t="str">
        <f t="shared" si="2"/>
        <v>&lt;</v>
      </c>
      <c r="S17" s="14">
        <f t="shared" si="3"/>
        <v>16127.999999999996</v>
      </c>
      <c r="T17" s="30">
        <f t="shared" si="4"/>
        <v>0.67274305555555569</v>
      </c>
    </row>
    <row r="18" spans="2:20" ht="15" thickBot="1" x14ac:dyDescent="0.4">
      <c r="B18" s="173" t="s">
        <v>27</v>
      </c>
      <c r="C18" s="25">
        <v>0.5</v>
      </c>
      <c r="D18" s="25">
        <v>1.5</v>
      </c>
      <c r="E18" s="25">
        <v>0</v>
      </c>
      <c r="F18" s="25">
        <v>0.3</v>
      </c>
      <c r="G18" s="25">
        <v>0</v>
      </c>
      <c r="H18" s="25">
        <v>1500</v>
      </c>
      <c r="J18" s="184" t="s">
        <v>26</v>
      </c>
      <c r="K18" s="18">
        <f t="shared" si="0"/>
        <v>1400</v>
      </c>
      <c r="L18" s="14">
        <f t="shared" si="0"/>
        <v>1500</v>
      </c>
      <c r="M18" s="14">
        <f t="shared" si="0"/>
        <v>3600</v>
      </c>
      <c r="N18" s="14">
        <f t="shared" si="0"/>
        <v>3000</v>
      </c>
      <c r="O18" s="14">
        <f t="shared" si="0"/>
        <v>720</v>
      </c>
      <c r="P18" s="1" t="s">
        <v>5</v>
      </c>
      <c r="Q18" s="14">
        <f t="shared" si="1"/>
        <v>10220</v>
      </c>
      <c r="R18" s="14" t="str">
        <f t="shared" si="2"/>
        <v>&lt;</v>
      </c>
      <c r="S18" s="14">
        <f t="shared" si="3"/>
        <v>12095.999999999996</v>
      </c>
      <c r="T18" s="30">
        <f t="shared" si="4"/>
        <v>0.84490740740740766</v>
      </c>
    </row>
    <row r="19" spans="2:20" ht="15" thickBot="1" x14ac:dyDescent="0.4">
      <c r="B19" s="173" t="s">
        <v>25</v>
      </c>
      <c r="C19" s="25">
        <v>0</v>
      </c>
      <c r="D19" s="25">
        <v>0.3</v>
      </c>
      <c r="E19" s="25">
        <v>2</v>
      </c>
      <c r="F19" s="25">
        <v>0</v>
      </c>
      <c r="G19" s="25">
        <v>0.8</v>
      </c>
      <c r="H19" s="25">
        <v>3000</v>
      </c>
      <c r="J19" s="184" t="s">
        <v>24</v>
      </c>
      <c r="K19" s="18">
        <f t="shared" si="0"/>
        <v>2400</v>
      </c>
      <c r="L19" s="14">
        <f t="shared" si="0"/>
        <v>800</v>
      </c>
      <c r="M19" s="14">
        <f t="shared" si="0"/>
        <v>900</v>
      </c>
      <c r="N19" s="14">
        <f t="shared" si="0"/>
        <v>1750</v>
      </c>
      <c r="O19" s="14">
        <f t="shared" si="0"/>
        <v>1440</v>
      </c>
      <c r="P19" s="1" t="s">
        <v>5</v>
      </c>
      <c r="Q19" s="14">
        <f t="shared" si="1"/>
        <v>7290</v>
      </c>
      <c r="R19" s="14" t="str">
        <f t="shared" si="2"/>
        <v>&lt;</v>
      </c>
      <c r="S19" s="14">
        <f t="shared" si="3"/>
        <v>8063.9999999999982</v>
      </c>
      <c r="T19" s="30">
        <f t="shared" si="4"/>
        <v>0.90401785714285732</v>
      </c>
    </row>
    <row r="20" spans="2:20" ht="15" thickBot="1" x14ac:dyDescent="0.4">
      <c r="B20" s="173" t="s">
        <v>23</v>
      </c>
      <c r="C20" s="25">
        <v>2.5</v>
      </c>
      <c r="D20" s="25">
        <v>0.7</v>
      </c>
      <c r="E20" s="25">
        <v>1.2</v>
      </c>
      <c r="F20" s="25">
        <v>3</v>
      </c>
      <c r="G20" s="25">
        <v>0</v>
      </c>
      <c r="H20" s="25">
        <v>1200</v>
      </c>
      <c r="J20" s="184" t="s">
        <v>22</v>
      </c>
      <c r="K20" s="18">
        <f t="shared" si="0"/>
        <v>4000</v>
      </c>
      <c r="L20" s="14">
        <f t="shared" si="0"/>
        <v>400</v>
      </c>
      <c r="M20" s="14">
        <f t="shared" si="0"/>
        <v>2160</v>
      </c>
      <c r="N20" s="14">
        <f t="shared" si="0"/>
        <v>4500</v>
      </c>
      <c r="O20" s="14">
        <f t="shared" si="0"/>
        <v>1200</v>
      </c>
      <c r="P20" s="1" t="s">
        <v>5</v>
      </c>
      <c r="Q20" s="14">
        <f t="shared" si="1"/>
        <v>12260</v>
      </c>
      <c r="R20" s="14" t="str">
        <f t="shared" si="2"/>
        <v>&lt;</v>
      </c>
      <c r="S20" s="14">
        <f t="shared" si="3"/>
        <v>16127.999999999996</v>
      </c>
      <c r="T20" s="30">
        <f t="shared" si="4"/>
        <v>0.76016865079365092</v>
      </c>
    </row>
    <row r="21" spans="2:20" ht="15" thickBot="1" x14ac:dyDescent="0.4">
      <c r="B21" s="173" t="s">
        <v>21</v>
      </c>
      <c r="C21" s="25">
        <v>1.2</v>
      </c>
      <c r="D21" s="25">
        <v>0</v>
      </c>
      <c r="E21" s="25">
        <v>0.4</v>
      </c>
      <c r="F21" s="25">
        <v>2.5</v>
      </c>
      <c r="G21" s="25">
        <v>3</v>
      </c>
      <c r="H21" s="25">
        <v>2800</v>
      </c>
      <c r="J21" s="185" t="s">
        <v>0</v>
      </c>
      <c r="K21" s="18">
        <f t="shared" si="0"/>
        <v>0</v>
      </c>
      <c r="L21" s="14">
        <f t="shared" si="0"/>
        <v>2500</v>
      </c>
      <c r="M21" s="14">
        <f t="shared" si="0"/>
        <v>3780</v>
      </c>
      <c r="N21" s="14">
        <f t="shared" si="0"/>
        <v>0</v>
      </c>
      <c r="O21" s="14">
        <f t="shared" si="0"/>
        <v>2640</v>
      </c>
      <c r="P21" s="1" t="s">
        <v>5</v>
      </c>
      <c r="Q21" s="14">
        <f t="shared" si="1"/>
        <v>8920</v>
      </c>
      <c r="R21" s="14" t="str">
        <f t="shared" si="2"/>
        <v>&gt;</v>
      </c>
      <c r="S21" s="14">
        <f t="shared" si="3"/>
        <v>8063.9999999999982</v>
      </c>
      <c r="T21" s="26">
        <f t="shared" si="4"/>
        <v>1.1061507936507939</v>
      </c>
    </row>
    <row r="22" spans="2:20" ht="15" thickBot="1" x14ac:dyDescent="0.4">
      <c r="B22" s="173" t="s">
        <v>20</v>
      </c>
      <c r="C22" s="25">
        <v>0.8</v>
      </c>
      <c r="D22" s="25">
        <v>2.5</v>
      </c>
      <c r="E22" s="25">
        <v>1.4</v>
      </c>
      <c r="F22" s="25">
        <v>0</v>
      </c>
      <c r="G22" s="25">
        <v>0.2</v>
      </c>
      <c r="H22" s="25">
        <v>3400</v>
      </c>
    </row>
    <row r="23" spans="2:20" ht="15" thickBot="1" x14ac:dyDescent="0.4">
      <c r="B23" s="167" t="s">
        <v>19</v>
      </c>
      <c r="C23" s="25">
        <v>1</v>
      </c>
      <c r="D23" s="25">
        <v>0.8</v>
      </c>
      <c r="E23" s="25">
        <v>1.5</v>
      </c>
      <c r="F23" s="25">
        <v>0.5</v>
      </c>
      <c r="G23" s="25">
        <v>1.2</v>
      </c>
      <c r="H23" s="25">
        <v>9500</v>
      </c>
    </row>
    <row r="24" spans="2:20" ht="15" thickBot="1" x14ac:dyDescent="0.4">
      <c r="J24" s="182" t="s">
        <v>16</v>
      </c>
      <c r="K24" s="186" t="s">
        <v>11</v>
      </c>
      <c r="L24" s="187" t="s">
        <v>10</v>
      </c>
      <c r="M24" s="187" t="s">
        <v>9</v>
      </c>
      <c r="N24" s="187" t="s">
        <v>8</v>
      </c>
      <c r="O24" s="188" t="s">
        <v>7</v>
      </c>
    </row>
    <row r="25" spans="2:20" ht="15" thickBot="1" x14ac:dyDescent="0.4">
      <c r="B25" s="160" t="s">
        <v>61</v>
      </c>
      <c r="C25" s="161"/>
      <c r="D25" s="161"/>
      <c r="E25" s="161"/>
      <c r="F25" s="161"/>
      <c r="G25" s="162"/>
      <c r="J25" s="185" t="s">
        <v>0</v>
      </c>
      <c r="K25" s="24">
        <v>0</v>
      </c>
      <c r="L25" s="24">
        <f>+D$32/D10</f>
        <v>856.4</v>
      </c>
      <c r="M25" s="23">
        <f>+E$32/E10</f>
        <v>701.42857142857144</v>
      </c>
      <c r="N25" s="24">
        <v>0</v>
      </c>
      <c r="O25" s="23">
        <f>+G$32/G10</f>
        <v>432.72727272727275</v>
      </c>
    </row>
    <row r="26" spans="2:20" ht="15" thickBot="1" x14ac:dyDescent="0.4">
      <c r="B26" s="163"/>
      <c r="C26" s="164"/>
      <c r="D26" s="164"/>
      <c r="E26" s="164"/>
      <c r="F26" s="164"/>
      <c r="G26" s="165"/>
      <c r="J26" s="47"/>
      <c r="K26" s="12"/>
      <c r="L26" s="12"/>
      <c r="M26" s="46"/>
      <c r="N26" s="12"/>
      <c r="O26" s="46"/>
    </row>
    <row r="27" spans="2:20" ht="15" thickBot="1" x14ac:dyDescent="0.4">
      <c r="J27" s="189" t="s">
        <v>41</v>
      </c>
      <c r="K27" s="182" t="s">
        <v>11</v>
      </c>
      <c r="L27" s="186" t="s">
        <v>10</v>
      </c>
      <c r="M27" s="187" t="s">
        <v>9</v>
      </c>
      <c r="N27" s="187" t="s">
        <v>8</v>
      </c>
      <c r="O27" s="188" t="s">
        <v>7</v>
      </c>
    </row>
    <row r="28" spans="2:20" ht="15" thickBot="1" x14ac:dyDescent="0.4">
      <c r="J28" s="190" t="s">
        <v>46</v>
      </c>
      <c r="K28" s="18">
        <v>200</v>
      </c>
      <c r="L28" s="14">
        <v>100</v>
      </c>
      <c r="M28" s="14">
        <v>180</v>
      </c>
      <c r="N28" s="14">
        <v>250</v>
      </c>
      <c r="O28" s="14">
        <v>120</v>
      </c>
      <c r="P28" s="1" t="s">
        <v>5</v>
      </c>
      <c r="Q28" s="1" t="s">
        <v>4</v>
      </c>
      <c r="R28" s="17">
        <f>SUMPRODUCT(K28:O28,$C$32:$G$32)</f>
        <v>11468800</v>
      </c>
    </row>
    <row r="29" spans="2:20" ht="15" thickBot="1" x14ac:dyDescent="0.4">
      <c r="B29" s="175"/>
      <c r="C29" s="176" t="s">
        <v>11</v>
      </c>
      <c r="D29" s="176" t="s">
        <v>10</v>
      </c>
      <c r="E29" s="176" t="s">
        <v>9</v>
      </c>
      <c r="F29" s="176" t="s">
        <v>8</v>
      </c>
      <c r="G29" s="177" t="s">
        <v>7</v>
      </c>
      <c r="Q29" s="1" t="s">
        <v>45</v>
      </c>
      <c r="R29" s="45">
        <v>300000</v>
      </c>
    </row>
    <row r="30" spans="2:20" ht="15" thickBot="1" x14ac:dyDescent="0.4">
      <c r="B30" s="174" t="s">
        <v>13</v>
      </c>
      <c r="C30" s="19">
        <f>+SUMPRODUCT(C18:C23*$H$18:$H$23)</f>
        <v>19330</v>
      </c>
      <c r="D30" s="19">
        <f>+SUMPRODUCT(D18:D23*$H$18:$H$23)</f>
        <v>20090</v>
      </c>
      <c r="E30" s="19">
        <f>+SUMPRODUCT(E18:E23*$H$18:$H$23)</f>
        <v>27570</v>
      </c>
      <c r="F30" s="19">
        <f>+SUMPRODUCT(F18:F23*$H$18:$H$23)</f>
        <v>15800</v>
      </c>
      <c r="G30" s="19">
        <f>+SUMPRODUCT(G18:G23*$H$18:$H$23)</f>
        <v>22880</v>
      </c>
      <c r="Q30" s="1" t="s">
        <v>1</v>
      </c>
      <c r="R30" s="17">
        <f>+R28-R29</f>
        <v>11168800</v>
      </c>
    </row>
    <row r="31" spans="2:20" ht="15" thickBot="1" x14ac:dyDescent="0.4">
      <c r="Q31" s="1" t="s">
        <v>44</v>
      </c>
      <c r="R31" s="17">
        <f>+I44</f>
        <v>1070160</v>
      </c>
    </row>
    <row r="32" spans="2:20" ht="15" thickBot="1" x14ac:dyDescent="0.4">
      <c r="B32" s="1" t="s">
        <v>12</v>
      </c>
      <c r="C32" s="17">
        <f>+C12-C30</f>
        <v>13670</v>
      </c>
      <c r="D32" s="17">
        <f>+D12-D30</f>
        <v>21410</v>
      </c>
      <c r="E32" s="17">
        <f>+E12-E30</f>
        <v>14730</v>
      </c>
      <c r="F32" s="17">
        <f>+F12-F30</f>
        <v>11200</v>
      </c>
      <c r="G32" s="17">
        <f>+G12-G30</f>
        <v>9520</v>
      </c>
      <c r="J32" s="182" t="s">
        <v>16</v>
      </c>
      <c r="K32" s="186" t="s">
        <v>11</v>
      </c>
      <c r="L32" s="187" t="s">
        <v>10</v>
      </c>
      <c r="M32" s="187" t="s">
        <v>9</v>
      </c>
      <c r="N32" s="187" t="s">
        <v>8</v>
      </c>
      <c r="O32" s="188" t="s">
        <v>7</v>
      </c>
      <c r="R32" s="17">
        <f>+R30-R31</f>
        <v>10098640</v>
      </c>
    </row>
    <row r="33" spans="2:19" ht="15" thickBot="1" x14ac:dyDescent="0.4">
      <c r="J33" s="185" t="s">
        <v>0</v>
      </c>
      <c r="K33" s="18">
        <f>+C10*K28</f>
        <v>0</v>
      </c>
      <c r="L33" s="18">
        <f>+D10*L28</f>
        <v>2500</v>
      </c>
      <c r="M33" s="18">
        <f>+E10*M28</f>
        <v>3780</v>
      </c>
      <c r="N33" s="18">
        <f>+F10*N28</f>
        <v>0</v>
      </c>
      <c r="O33" s="18">
        <f>+G10*O28</f>
        <v>2640</v>
      </c>
      <c r="P33" s="1" t="s">
        <v>5</v>
      </c>
      <c r="Q33" s="14">
        <f>+SUM(K33:O33)</f>
        <v>8920</v>
      </c>
      <c r="R33" s="14" t="s">
        <v>32</v>
      </c>
      <c r="S33" s="14">
        <f>+S21+900</f>
        <v>8963.9999999999982</v>
      </c>
    </row>
    <row r="35" spans="2:19" x14ac:dyDescent="0.35">
      <c r="R35" s="1" t="s">
        <v>43</v>
      </c>
      <c r="S35" s="1">
        <v>15</v>
      </c>
    </row>
    <row r="36" spans="2:19" x14ac:dyDescent="0.35">
      <c r="B36" s="179" t="s">
        <v>14</v>
      </c>
      <c r="C36" s="16">
        <v>33000</v>
      </c>
      <c r="D36" s="16">
        <v>41500</v>
      </c>
      <c r="E36" s="16">
        <v>42300</v>
      </c>
      <c r="F36" s="16">
        <v>27000</v>
      </c>
      <c r="G36" s="16">
        <v>32400</v>
      </c>
    </row>
    <row r="37" spans="2:19" x14ac:dyDescent="0.35">
      <c r="B37" s="180" t="s">
        <v>13</v>
      </c>
      <c r="C37" s="15">
        <v>19330</v>
      </c>
      <c r="D37" s="15">
        <v>20090</v>
      </c>
      <c r="E37" s="15">
        <v>27570</v>
      </c>
      <c r="F37" s="15">
        <v>15800</v>
      </c>
      <c r="G37" s="15">
        <v>22880</v>
      </c>
      <c r="K37" s="1">
        <f>120-81</f>
        <v>39</v>
      </c>
      <c r="R37" s="1">
        <v>7000000</v>
      </c>
    </row>
    <row r="38" spans="2:19" x14ac:dyDescent="0.35">
      <c r="B38" s="180" t="s">
        <v>12</v>
      </c>
      <c r="C38" s="13">
        <v>13670</v>
      </c>
      <c r="D38" s="13">
        <v>21410</v>
      </c>
      <c r="E38" s="13">
        <v>14730</v>
      </c>
      <c r="F38" s="13">
        <v>11200</v>
      </c>
      <c r="G38" s="13">
        <v>9520</v>
      </c>
      <c r="R38" s="17">
        <f>+R32-R37</f>
        <v>3098640</v>
      </c>
    </row>
    <row r="40" spans="2:19" ht="15" thickBot="1" x14ac:dyDescent="0.4"/>
    <row r="41" spans="2:19" ht="15" thickBot="1" x14ac:dyDescent="0.4">
      <c r="B41" s="175"/>
      <c r="C41" s="176" t="s">
        <v>11</v>
      </c>
      <c r="D41" s="176" t="s">
        <v>10</v>
      </c>
      <c r="E41" s="176" t="s">
        <v>9</v>
      </c>
      <c r="F41" s="176" t="s">
        <v>8</v>
      </c>
      <c r="G41" s="177" t="s">
        <v>7</v>
      </c>
    </row>
    <row r="42" spans="2:19" ht="15" thickBot="1" x14ac:dyDescent="0.4">
      <c r="B42" s="174" t="s">
        <v>13</v>
      </c>
      <c r="C42" s="19">
        <v>19330</v>
      </c>
      <c r="D42" s="19">
        <v>20090</v>
      </c>
      <c r="E42" s="19">
        <v>27570</v>
      </c>
      <c r="F42" s="19">
        <v>15800</v>
      </c>
      <c r="G42" s="19">
        <f>+D53</f>
        <v>27440</v>
      </c>
      <c r="K42" s="45">
        <v>11097520</v>
      </c>
    </row>
    <row r="43" spans="2:19" x14ac:dyDescent="0.35">
      <c r="K43" s="17">
        <f>+K37*G45</f>
        <v>193440</v>
      </c>
    </row>
    <row r="44" spans="2:19" x14ac:dyDescent="0.35">
      <c r="I44" s="45">
        <f>+G42*K37</f>
        <v>1070160</v>
      </c>
      <c r="K44" s="45">
        <v>7000000</v>
      </c>
    </row>
    <row r="45" spans="2:19" ht="15" thickBot="1" x14ac:dyDescent="0.4">
      <c r="G45" s="17">
        <f>+G36-G42</f>
        <v>4960</v>
      </c>
      <c r="K45" s="45">
        <f>+I44</f>
        <v>1070160</v>
      </c>
    </row>
    <row r="46" spans="2:19" ht="15" thickBot="1" x14ac:dyDescent="0.4">
      <c r="B46" s="181" t="s">
        <v>7</v>
      </c>
      <c r="C46" s="172" t="s">
        <v>29</v>
      </c>
      <c r="K46" s="17">
        <f>+K42-K44-K45+K43</f>
        <v>3220800</v>
      </c>
    </row>
    <row r="47" spans="2:19" ht="15" thickBot="1" x14ac:dyDescent="0.4">
      <c r="B47" s="44">
        <v>0</v>
      </c>
      <c r="C47" s="25">
        <v>1500</v>
      </c>
      <c r="D47" s="1">
        <f t="shared" ref="D47:D52" si="5">+C47*B47</f>
        <v>0</v>
      </c>
    </row>
    <row r="48" spans="2:19" ht="15" thickBot="1" x14ac:dyDescent="0.4">
      <c r="B48" s="44">
        <v>0.8</v>
      </c>
      <c r="C48" s="25">
        <v>3000</v>
      </c>
      <c r="D48" s="1">
        <f t="shared" si="5"/>
        <v>2400</v>
      </c>
    </row>
    <row r="49" spans="2:4" ht="15" thickBot="1" x14ac:dyDescent="0.4">
      <c r="B49" s="44">
        <v>0</v>
      </c>
      <c r="C49" s="25">
        <v>1200</v>
      </c>
      <c r="D49" s="1">
        <f t="shared" si="5"/>
        <v>0</v>
      </c>
    </row>
    <row r="50" spans="2:4" ht="15" thickBot="1" x14ac:dyDescent="0.4">
      <c r="B50" s="44">
        <v>3</v>
      </c>
      <c r="C50" s="25">
        <v>2800</v>
      </c>
      <c r="D50" s="1">
        <f t="shared" si="5"/>
        <v>8400</v>
      </c>
    </row>
    <row r="51" spans="2:4" ht="15" thickBot="1" x14ac:dyDescent="0.4">
      <c r="B51" s="44">
        <v>0.2</v>
      </c>
      <c r="C51" s="25">
        <v>3400</v>
      </c>
      <c r="D51" s="1">
        <f t="shared" si="5"/>
        <v>680</v>
      </c>
    </row>
    <row r="52" spans="2:4" ht="15" thickBot="1" x14ac:dyDescent="0.4">
      <c r="B52" s="43">
        <v>1.2</v>
      </c>
      <c r="C52" s="25">
        <f>9500*1.4</f>
        <v>13300</v>
      </c>
      <c r="D52" s="1">
        <f t="shared" si="5"/>
        <v>15960</v>
      </c>
    </row>
    <row r="53" spans="2:4" x14ac:dyDescent="0.35">
      <c r="D53" s="1">
        <f>SUM(D47:D52)</f>
        <v>27440</v>
      </c>
    </row>
  </sheetData>
  <mergeCells count="7">
    <mergeCell ref="B14:G15"/>
    <mergeCell ref="B25:G26"/>
    <mergeCell ref="C2:G2"/>
    <mergeCell ref="J8:K8"/>
    <mergeCell ref="J10:K11"/>
    <mergeCell ref="N10:N11"/>
    <mergeCell ref="Q2:U8"/>
  </mergeCells>
  <conditionalFormatting sqref="Q15:Q21 Q33">
    <cfRule type="cellIs" dxfId="4" priority="1" operator="greaterThan">
      <formula>S15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37"/>
  <sheetViews>
    <sheetView showGridLines="0" zoomScale="63" zoomScaleNormal="63" workbookViewId="0">
      <selection activeCell="U23" sqref="U23"/>
    </sheetView>
  </sheetViews>
  <sheetFormatPr baseColWidth="10" defaultColWidth="11.453125" defaultRowHeight="14.5" x14ac:dyDescent="0.35"/>
  <cols>
    <col min="1" max="11" width="11.453125" style="1"/>
    <col min="12" max="12" width="12" style="1" bestFit="1" customWidth="1"/>
    <col min="13" max="15" width="11.453125" style="1"/>
    <col min="16" max="16" width="5.1796875" style="1" customWidth="1"/>
    <col min="17" max="17" width="13" style="1" bestFit="1" customWidth="1"/>
    <col min="18" max="16384" width="11.453125" style="1"/>
  </cols>
  <sheetData>
    <row r="1" spans="2:22" ht="15" thickBot="1" x14ac:dyDescent="0.4"/>
    <row r="2" spans="2:22" ht="16" thickBot="1" x14ac:dyDescent="0.4">
      <c r="B2" s="229"/>
      <c r="C2" s="230" t="s">
        <v>41</v>
      </c>
      <c r="D2" s="231"/>
      <c r="E2" s="231"/>
      <c r="F2" s="231"/>
      <c r="G2" s="232"/>
      <c r="H2" s="234"/>
    </row>
    <row r="3" spans="2:22" ht="15" thickBot="1" x14ac:dyDescent="0.4">
      <c r="B3" s="219" t="s">
        <v>16</v>
      </c>
      <c r="C3" s="233" t="s">
        <v>11</v>
      </c>
      <c r="D3" s="233" t="s">
        <v>10</v>
      </c>
      <c r="E3" s="233" t="s">
        <v>9</v>
      </c>
      <c r="F3" s="233" t="s">
        <v>8</v>
      </c>
      <c r="G3" s="233" t="s">
        <v>7</v>
      </c>
      <c r="H3" s="222" t="s">
        <v>40</v>
      </c>
      <c r="R3" s="82" t="s">
        <v>56</v>
      </c>
      <c r="S3" s="83"/>
      <c r="T3" s="83"/>
      <c r="U3" s="83"/>
      <c r="V3" s="84"/>
    </row>
    <row r="4" spans="2:22" ht="15" thickBot="1" x14ac:dyDescent="0.4">
      <c r="B4" s="221" t="s">
        <v>33</v>
      </c>
      <c r="C4" s="25">
        <v>10</v>
      </c>
      <c r="D4" s="25">
        <v>15</v>
      </c>
      <c r="E4" s="25">
        <v>8</v>
      </c>
      <c r="F4" s="25">
        <v>4</v>
      </c>
      <c r="G4" s="25">
        <v>14</v>
      </c>
      <c r="H4" s="25">
        <v>2</v>
      </c>
      <c r="R4" s="85"/>
      <c r="S4" s="86"/>
      <c r="T4" s="86"/>
      <c r="U4" s="86"/>
      <c r="V4" s="87"/>
    </row>
    <row r="5" spans="2:22" ht="15" thickBot="1" x14ac:dyDescent="0.4">
      <c r="B5" s="221" t="s">
        <v>31</v>
      </c>
      <c r="C5" s="25">
        <v>5</v>
      </c>
      <c r="D5" s="25">
        <v>8</v>
      </c>
      <c r="E5" s="25">
        <v>10</v>
      </c>
      <c r="F5" s="25">
        <v>8</v>
      </c>
      <c r="G5" s="25">
        <v>12</v>
      </c>
      <c r="H5" s="25">
        <v>2</v>
      </c>
      <c r="R5" s="85"/>
      <c r="S5" s="86"/>
      <c r="T5" s="86"/>
      <c r="U5" s="86"/>
      <c r="V5" s="87"/>
    </row>
    <row r="6" spans="2:22" ht="15" thickBot="1" x14ac:dyDescent="0.4">
      <c r="B6" s="221" t="s">
        <v>28</v>
      </c>
      <c r="C6" s="25">
        <v>20</v>
      </c>
      <c r="D6" s="25">
        <v>7</v>
      </c>
      <c r="E6" s="25">
        <v>10</v>
      </c>
      <c r="F6" s="25">
        <v>15</v>
      </c>
      <c r="G6" s="25">
        <v>5</v>
      </c>
      <c r="H6" s="25">
        <v>4</v>
      </c>
      <c r="R6" s="85"/>
      <c r="S6" s="86"/>
      <c r="T6" s="86"/>
      <c r="U6" s="86"/>
      <c r="V6" s="87"/>
    </row>
    <row r="7" spans="2:22" ht="15" thickBot="1" x14ac:dyDescent="0.4">
      <c r="B7" s="221" t="s">
        <v>26</v>
      </c>
      <c r="C7" s="25">
        <v>7</v>
      </c>
      <c r="D7" s="25">
        <v>15</v>
      </c>
      <c r="E7" s="25">
        <v>20</v>
      </c>
      <c r="F7" s="25">
        <v>12</v>
      </c>
      <c r="G7" s="25">
        <v>6</v>
      </c>
      <c r="H7" s="25">
        <v>3</v>
      </c>
      <c r="R7" s="85"/>
      <c r="S7" s="86"/>
      <c r="T7" s="86"/>
      <c r="U7" s="86"/>
      <c r="V7" s="87"/>
    </row>
    <row r="8" spans="2:22" ht="15" thickBot="1" x14ac:dyDescent="0.4">
      <c r="B8" s="221" t="s">
        <v>24</v>
      </c>
      <c r="C8" s="25">
        <v>12</v>
      </c>
      <c r="D8" s="25">
        <v>8</v>
      </c>
      <c r="E8" s="25">
        <v>5</v>
      </c>
      <c r="F8" s="25">
        <v>7</v>
      </c>
      <c r="G8" s="25">
        <v>12</v>
      </c>
      <c r="H8" s="25">
        <v>2</v>
      </c>
      <c r="J8" s="79" t="s">
        <v>39</v>
      </c>
      <c r="K8" s="79"/>
      <c r="L8" s="15">
        <v>7000000</v>
      </c>
      <c r="M8" s="14" t="s">
        <v>36</v>
      </c>
      <c r="R8" s="85"/>
      <c r="S8" s="86"/>
      <c r="T8" s="86"/>
      <c r="U8" s="86"/>
      <c r="V8" s="87"/>
    </row>
    <row r="9" spans="2:22" ht="15" thickBot="1" x14ac:dyDescent="0.4">
      <c r="B9" s="221" t="s">
        <v>22</v>
      </c>
      <c r="C9" s="25">
        <v>20</v>
      </c>
      <c r="D9" s="25">
        <v>4</v>
      </c>
      <c r="E9" s="25">
        <v>12</v>
      </c>
      <c r="F9" s="25">
        <v>18</v>
      </c>
      <c r="G9" s="25">
        <v>10</v>
      </c>
      <c r="H9" s="25">
        <v>4</v>
      </c>
      <c r="R9" s="88"/>
      <c r="S9" s="89"/>
      <c r="T9" s="89"/>
      <c r="U9" s="89"/>
      <c r="V9" s="90"/>
    </row>
    <row r="10" spans="2:22" ht="15" thickBot="1" x14ac:dyDescent="0.4">
      <c r="B10" s="221" t="s">
        <v>0</v>
      </c>
      <c r="C10" s="25">
        <v>0</v>
      </c>
      <c r="D10" s="25">
        <v>25</v>
      </c>
      <c r="E10" s="25">
        <v>21</v>
      </c>
      <c r="F10" s="25">
        <v>0</v>
      </c>
      <c r="G10" s="25">
        <v>22</v>
      </c>
      <c r="H10" s="25">
        <v>2</v>
      </c>
      <c r="J10" s="79" t="s">
        <v>38</v>
      </c>
      <c r="K10" s="79"/>
      <c r="L10" s="14">
        <f>16*6*0.7</f>
        <v>67.199999999999989</v>
      </c>
      <c r="M10" s="14" t="s">
        <v>37</v>
      </c>
      <c r="N10" s="56" t="s">
        <v>36</v>
      </c>
    </row>
    <row r="11" spans="2:22" ht="15" thickBot="1" x14ac:dyDescent="0.4">
      <c r="B11" s="221" t="s">
        <v>35</v>
      </c>
      <c r="C11" s="25">
        <v>200</v>
      </c>
      <c r="D11" s="25">
        <v>100</v>
      </c>
      <c r="E11" s="25">
        <v>180</v>
      </c>
      <c r="F11" s="25">
        <v>250</v>
      </c>
      <c r="G11" s="25">
        <v>120</v>
      </c>
      <c r="H11" s="32"/>
      <c r="J11" s="79"/>
      <c r="K11" s="79"/>
      <c r="L11" s="14">
        <f>+L10*60</f>
        <v>4031.9999999999991</v>
      </c>
      <c r="M11" s="14" t="s">
        <v>34</v>
      </c>
      <c r="N11" s="56"/>
    </row>
    <row r="12" spans="2:22" ht="15" thickBot="1" x14ac:dyDescent="0.4">
      <c r="B12" s="221" t="s">
        <v>14</v>
      </c>
      <c r="C12" s="33">
        <v>33000</v>
      </c>
      <c r="D12" s="33">
        <v>41500</v>
      </c>
      <c r="E12" s="33">
        <v>42300</v>
      </c>
      <c r="F12" s="33">
        <v>27000</v>
      </c>
      <c r="G12" s="33">
        <v>32400</v>
      </c>
      <c r="H12" s="32"/>
    </row>
    <row r="13" spans="2:22" ht="15" thickBot="1" x14ac:dyDescent="0.4"/>
    <row r="14" spans="2:22" ht="15" thickBot="1" x14ac:dyDescent="0.4">
      <c r="B14" s="223" t="s">
        <v>54</v>
      </c>
      <c r="C14" s="224"/>
      <c r="D14" s="224"/>
      <c r="E14" s="224"/>
      <c r="F14" s="224"/>
      <c r="G14" s="224"/>
      <c r="H14" s="225"/>
      <c r="J14" s="72" t="s">
        <v>16</v>
      </c>
      <c r="K14" s="76" t="s">
        <v>11</v>
      </c>
      <c r="L14" s="77" t="s">
        <v>10</v>
      </c>
      <c r="M14" s="77" t="s">
        <v>9</v>
      </c>
      <c r="N14" s="77" t="s">
        <v>8</v>
      </c>
      <c r="O14" s="78" t="s">
        <v>7</v>
      </c>
    </row>
    <row r="15" spans="2:22" ht="15" thickBot="1" x14ac:dyDescent="0.4">
      <c r="B15" s="226"/>
      <c r="C15" s="227"/>
      <c r="D15" s="227"/>
      <c r="E15" s="227"/>
      <c r="F15" s="227"/>
      <c r="G15" s="227"/>
      <c r="H15" s="228"/>
      <c r="J15" s="73" t="s">
        <v>33</v>
      </c>
      <c r="K15" s="24">
        <f t="shared" ref="K15:O21" si="0">+C4*C$11</f>
        <v>2000</v>
      </c>
      <c r="L15" s="31">
        <f t="shared" si="0"/>
        <v>1500</v>
      </c>
      <c r="M15" s="31">
        <f t="shared" si="0"/>
        <v>1440</v>
      </c>
      <c r="N15" s="31">
        <f t="shared" si="0"/>
        <v>1000</v>
      </c>
      <c r="O15" s="31">
        <f t="shared" si="0"/>
        <v>1680</v>
      </c>
      <c r="P15" s="1" t="s">
        <v>5</v>
      </c>
      <c r="Q15" s="14">
        <f t="shared" ref="Q15:Q21" si="1">+SUM(K15:O15)</f>
        <v>7620</v>
      </c>
      <c r="R15" s="14" t="str">
        <f t="shared" ref="R15:R21" si="2">+IF(Q15&gt;S15,"&gt;","&lt;")</f>
        <v>&lt;</v>
      </c>
      <c r="S15" s="14">
        <f t="shared" ref="S15:S21" si="3">+$L$11*H4</f>
        <v>8063.9999999999982</v>
      </c>
      <c r="T15" s="30">
        <f t="shared" ref="T15:T21" si="4">+Q15/S15</f>
        <v>0.94494047619047639</v>
      </c>
    </row>
    <row r="16" spans="2:22" ht="15" thickBot="1" x14ac:dyDescent="0.4">
      <c r="J16" s="74" t="s">
        <v>31</v>
      </c>
      <c r="K16" s="18">
        <f t="shared" si="0"/>
        <v>1000</v>
      </c>
      <c r="L16" s="14">
        <f t="shared" si="0"/>
        <v>800</v>
      </c>
      <c r="M16" s="14">
        <f t="shared" si="0"/>
        <v>1800</v>
      </c>
      <c r="N16" s="14">
        <f t="shared" si="0"/>
        <v>2000</v>
      </c>
      <c r="O16" s="14">
        <f t="shared" si="0"/>
        <v>1440</v>
      </c>
      <c r="P16" s="1" t="s">
        <v>5</v>
      </c>
      <c r="Q16" s="14">
        <f t="shared" si="1"/>
        <v>7040</v>
      </c>
      <c r="R16" s="14" t="str">
        <f t="shared" si="2"/>
        <v>&lt;</v>
      </c>
      <c r="S16" s="14">
        <f t="shared" si="3"/>
        <v>8063.9999999999982</v>
      </c>
      <c r="T16" s="30">
        <f t="shared" si="4"/>
        <v>0.87301587301587324</v>
      </c>
    </row>
    <row r="17" spans="2:20" ht="15" thickBot="1" x14ac:dyDescent="0.4">
      <c r="B17" s="219" t="s">
        <v>30</v>
      </c>
      <c r="C17" s="222" t="s">
        <v>11</v>
      </c>
      <c r="D17" s="222" t="s">
        <v>10</v>
      </c>
      <c r="E17" s="222" t="s">
        <v>9</v>
      </c>
      <c r="F17" s="222" t="s">
        <v>8</v>
      </c>
      <c r="G17" s="222" t="s">
        <v>7</v>
      </c>
      <c r="H17" s="222" t="s">
        <v>29</v>
      </c>
      <c r="J17" s="74" t="s">
        <v>28</v>
      </c>
      <c r="K17" s="18">
        <f t="shared" si="0"/>
        <v>4000</v>
      </c>
      <c r="L17" s="14">
        <f t="shared" si="0"/>
        <v>700</v>
      </c>
      <c r="M17" s="14">
        <f t="shared" si="0"/>
        <v>1800</v>
      </c>
      <c r="N17" s="14">
        <f t="shared" si="0"/>
        <v>3750</v>
      </c>
      <c r="O17" s="14">
        <f t="shared" si="0"/>
        <v>600</v>
      </c>
      <c r="P17" s="1" t="s">
        <v>5</v>
      </c>
      <c r="Q17" s="14">
        <f t="shared" si="1"/>
        <v>10850</v>
      </c>
      <c r="R17" s="14" t="str">
        <f t="shared" si="2"/>
        <v>&lt;</v>
      </c>
      <c r="S17" s="14">
        <f t="shared" si="3"/>
        <v>16127.999999999996</v>
      </c>
      <c r="T17" s="30">
        <f t="shared" si="4"/>
        <v>0.67274305555555569</v>
      </c>
    </row>
    <row r="18" spans="2:20" ht="15" thickBot="1" x14ac:dyDescent="0.4">
      <c r="B18" s="220" t="s">
        <v>27</v>
      </c>
      <c r="C18" s="25">
        <v>0.5</v>
      </c>
      <c r="D18" s="25">
        <v>1.5</v>
      </c>
      <c r="E18" s="25">
        <v>0</v>
      </c>
      <c r="F18" s="25">
        <v>0.3</v>
      </c>
      <c r="G18" s="25">
        <v>0</v>
      </c>
      <c r="H18" s="25">
        <v>1500</v>
      </c>
      <c r="J18" s="74" t="s">
        <v>26</v>
      </c>
      <c r="K18" s="18">
        <f t="shared" si="0"/>
        <v>1400</v>
      </c>
      <c r="L18" s="14">
        <f t="shared" si="0"/>
        <v>1500</v>
      </c>
      <c r="M18" s="14">
        <f t="shared" si="0"/>
        <v>3600</v>
      </c>
      <c r="N18" s="14">
        <f t="shared" si="0"/>
        <v>3000</v>
      </c>
      <c r="O18" s="14">
        <f t="shared" si="0"/>
        <v>720</v>
      </c>
      <c r="P18" s="1" t="s">
        <v>5</v>
      </c>
      <c r="Q18" s="14">
        <f t="shared" si="1"/>
        <v>10220</v>
      </c>
      <c r="R18" s="14" t="str">
        <f t="shared" si="2"/>
        <v>&lt;</v>
      </c>
      <c r="S18" s="14">
        <f t="shared" si="3"/>
        <v>12095.999999999996</v>
      </c>
      <c r="T18" s="30">
        <f t="shared" si="4"/>
        <v>0.84490740740740766</v>
      </c>
    </row>
    <row r="19" spans="2:20" ht="15" thickBot="1" x14ac:dyDescent="0.4">
      <c r="B19" s="220" t="s">
        <v>25</v>
      </c>
      <c r="C19" s="25">
        <v>0</v>
      </c>
      <c r="D19" s="25">
        <v>0.3</v>
      </c>
      <c r="E19" s="25">
        <v>2</v>
      </c>
      <c r="F19" s="25">
        <v>0</v>
      </c>
      <c r="G19" s="25">
        <v>0.8</v>
      </c>
      <c r="H19" s="25">
        <v>3000</v>
      </c>
      <c r="J19" s="74" t="s">
        <v>24</v>
      </c>
      <c r="K19" s="18">
        <f t="shared" si="0"/>
        <v>2400</v>
      </c>
      <c r="L19" s="14">
        <f t="shared" si="0"/>
        <v>800</v>
      </c>
      <c r="M19" s="14">
        <f t="shared" si="0"/>
        <v>900</v>
      </c>
      <c r="N19" s="14">
        <f t="shared" si="0"/>
        <v>1750</v>
      </c>
      <c r="O19" s="14">
        <f t="shared" si="0"/>
        <v>1440</v>
      </c>
      <c r="P19" s="1" t="s">
        <v>5</v>
      </c>
      <c r="Q19" s="14">
        <f t="shared" si="1"/>
        <v>7290</v>
      </c>
      <c r="R19" s="14" t="str">
        <f t="shared" si="2"/>
        <v>&lt;</v>
      </c>
      <c r="S19" s="14">
        <f t="shared" si="3"/>
        <v>8063.9999999999982</v>
      </c>
      <c r="T19" s="30">
        <f t="shared" si="4"/>
        <v>0.90401785714285732</v>
      </c>
    </row>
    <row r="20" spans="2:20" ht="15" thickBot="1" x14ac:dyDescent="0.4">
      <c r="B20" s="220" t="s">
        <v>23</v>
      </c>
      <c r="C20" s="25">
        <v>2.5</v>
      </c>
      <c r="D20" s="25">
        <v>0.7</v>
      </c>
      <c r="E20" s="25">
        <v>1.2</v>
      </c>
      <c r="F20" s="25">
        <v>3</v>
      </c>
      <c r="G20" s="25">
        <v>0</v>
      </c>
      <c r="H20" s="25">
        <v>1200</v>
      </c>
      <c r="J20" s="74" t="s">
        <v>22</v>
      </c>
      <c r="K20" s="18">
        <f t="shared" si="0"/>
        <v>4000</v>
      </c>
      <c r="L20" s="14">
        <f t="shared" si="0"/>
        <v>400</v>
      </c>
      <c r="M20" s="14">
        <f t="shared" si="0"/>
        <v>2160</v>
      </c>
      <c r="N20" s="14">
        <f t="shared" si="0"/>
        <v>4500</v>
      </c>
      <c r="O20" s="14">
        <f t="shared" si="0"/>
        <v>1200</v>
      </c>
      <c r="P20" s="1" t="s">
        <v>5</v>
      </c>
      <c r="Q20" s="14">
        <f t="shared" si="1"/>
        <v>12260</v>
      </c>
      <c r="R20" s="14" t="str">
        <f t="shared" si="2"/>
        <v>&lt;</v>
      </c>
      <c r="S20" s="14">
        <f t="shared" si="3"/>
        <v>16127.999999999996</v>
      </c>
      <c r="T20" s="30">
        <f t="shared" si="4"/>
        <v>0.76016865079365092</v>
      </c>
    </row>
    <row r="21" spans="2:20" ht="15" thickBot="1" x14ac:dyDescent="0.4">
      <c r="B21" s="220" t="s">
        <v>21</v>
      </c>
      <c r="C21" s="25">
        <v>1.2</v>
      </c>
      <c r="D21" s="25">
        <v>0</v>
      </c>
      <c r="E21" s="25">
        <v>0.4</v>
      </c>
      <c r="F21" s="25">
        <v>2.5</v>
      </c>
      <c r="G21" s="25">
        <v>3</v>
      </c>
      <c r="H21" s="25">
        <v>2800</v>
      </c>
      <c r="J21" s="75" t="s">
        <v>0</v>
      </c>
      <c r="K21" s="18">
        <f t="shared" si="0"/>
        <v>0</v>
      </c>
      <c r="L21" s="14">
        <f t="shared" si="0"/>
        <v>2500</v>
      </c>
      <c r="M21" s="14">
        <f t="shared" si="0"/>
        <v>3780</v>
      </c>
      <c r="N21" s="14">
        <f t="shared" si="0"/>
        <v>0</v>
      </c>
      <c r="O21" s="14">
        <f t="shared" si="0"/>
        <v>2640</v>
      </c>
      <c r="P21" s="1" t="s">
        <v>5</v>
      </c>
      <c r="Q21" s="27">
        <f t="shared" si="1"/>
        <v>8920</v>
      </c>
      <c r="R21" s="14" t="str">
        <f t="shared" si="2"/>
        <v>&gt;</v>
      </c>
      <c r="S21" s="14">
        <f t="shared" si="3"/>
        <v>8063.9999999999982</v>
      </c>
      <c r="T21" s="91">
        <f t="shared" si="4"/>
        <v>1.1061507936507939</v>
      </c>
    </row>
    <row r="22" spans="2:20" ht="15" thickBot="1" x14ac:dyDescent="0.4">
      <c r="B22" s="220" t="s">
        <v>20</v>
      </c>
      <c r="C22" s="25">
        <v>0.8</v>
      </c>
      <c r="D22" s="25">
        <v>2.5</v>
      </c>
      <c r="E22" s="25">
        <v>1.4</v>
      </c>
      <c r="F22" s="25">
        <v>0</v>
      </c>
      <c r="G22" s="25">
        <v>0.2</v>
      </c>
      <c r="H22" s="25">
        <v>3400</v>
      </c>
    </row>
    <row r="23" spans="2:20" ht="15" thickBot="1" x14ac:dyDescent="0.4">
      <c r="B23" s="221" t="s">
        <v>19</v>
      </c>
      <c r="C23" s="25">
        <v>1</v>
      </c>
      <c r="D23" s="25">
        <v>0.8</v>
      </c>
      <c r="E23" s="25">
        <v>1.5</v>
      </c>
      <c r="F23" s="25">
        <v>0.5</v>
      </c>
      <c r="G23" s="25">
        <v>1.2</v>
      </c>
      <c r="H23" s="25">
        <v>9500</v>
      </c>
    </row>
    <row r="24" spans="2:20" ht="15" thickBot="1" x14ac:dyDescent="0.4">
      <c r="J24" s="72" t="s">
        <v>16</v>
      </c>
      <c r="K24" s="76" t="s">
        <v>11</v>
      </c>
      <c r="L24" s="77" t="s">
        <v>10</v>
      </c>
      <c r="M24" s="77" t="s">
        <v>9</v>
      </c>
      <c r="N24" s="77" t="s">
        <v>8</v>
      </c>
      <c r="O24" s="78" t="s">
        <v>7</v>
      </c>
    </row>
    <row r="25" spans="2:20" ht="15" thickBot="1" x14ac:dyDescent="0.4">
      <c r="B25" s="223" t="s">
        <v>55</v>
      </c>
      <c r="C25" s="224"/>
      <c r="D25" s="224"/>
      <c r="E25" s="224"/>
      <c r="F25" s="224"/>
      <c r="G25" s="224"/>
      <c r="H25" s="225"/>
      <c r="J25" s="75" t="s">
        <v>0</v>
      </c>
      <c r="K25" s="24">
        <v>0</v>
      </c>
      <c r="L25" s="24">
        <f>+D$31/D10</f>
        <v>856.4</v>
      </c>
      <c r="M25" s="23">
        <f>+E$31/E10</f>
        <v>701.42857142857144</v>
      </c>
      <c r="N25" s="24">
        <v>0</v>
      </c>
      <c r="O25" s="23">
        <f>+G$31/G10</f>
        <v>432.72727272727275</v>
      </c>
    </row>
    <row r="26" spans="2:20" ht="15" thickBot="1" x14ac:dyDescent="0.4">
      <c r="B26" s="226"/>
      <c r="C26" s="227"/>
      <c r="D26" s="227"/>
      <c r="E26" s="227"/>
      <c r="F26" s="227"/>
      <c r="G26" s="227"/>
      <c r="H26" s="228"/>
      <c r="Q26" s="1" t="s">
        <v>4</v>
      </c>
    </row>
    <row r="27" spans="2:20" ht="15" thickBot="1" x14ac:dyDescent="0.4">
      <c r="J27" s="80" t="s">
        <v>18</v>
      </c>
      <c r="K27" s="22">
        <v>200</v>
      </c>
      <c r="L27" s="7">
        <v>100</v>
      </c>
      <c r="M27" s="7">
        <v>180</v>
      </c>
      <c r="N27" s="7">
        <v>250</v>
      </c>
      <c r="O27" s="7">
        <v>120</v>
      </c>
      <c r="P27" s="1" t="s">
        <v>5</v>
      </c>
      <c r="Q27" s="17">
        <f>SUMPRODUCT(K27:O27,$C$31:$G$31)</f>
        <v>11468800</v>
      </c>
    </row>
    <row r="28" spans="2:20" ht="15" thickBot="1" x14ac:dyDescent="0.4">
      <c r="B28" s="66"/>
      <c r="C28" s="67" t="s">
        <v>11</v>
      </c>
      <c r="D28" s="67" t="s">
        <v>10</v>
      </c>
      <c r="E28" s="67" t="s">
        <v>9</v>
      </c>
      <c r="F28" s="67" t="s">
        <v>8</v>
      </c>
      <c r="G28" s="68" t="s">
        <v>7</v>
      </c>
      <c r="J28" s="81" t="s">
        <v>17</v>
      </c>
      <c r="K28" s="18">
        <v>200</v>
      </c>
      <c r="L28" s="14">
        <v>100</v>
      </c>
      <c r="M28" s="14">
        <v>180</v>
      </c>
      <c r="N28" s="14">
        <v>250</v>
      </c>
      <c r="O28" s="14">
        <v>81</v>
      </c>
      <c r="P28" s="1" t="s">
        <v>5</v>
      </c>
      <c r="Q28" s="17">
        <f>SUMPRODUCT(K28:O28,$C$31:$G$31)</f>
        <v>11097520</v>
      </c>
    </row>
    <row r="29" spans="2:20" ht="15" thickBot="1" x14ac:dyDescent="0.4">
      <c r="B29" s="69" t="s">
        <v>13</v>
      </c>
      <c r="C29" s="19">
        <f>+SUMPRODUCT(C18:C23*$H$18:$H$23)</f>
        <v>19330</v>
      </c>
      <c r="D29" s="19">
        <f>+SUMPRODUCT(D18:D23*$H$18:$H$23)</f>
        <v>20090</v>
      </c>
      <c r="E29" s="19">
        <f>+SUMPRODUCT(E18:E23*$H$18:$H$23)</f>
        <v>27570</v>
      </c>
      <c r="F29" s="19">
        <f>+SUMPRODUCT(F18:F23*$H$18:$H$23)</f>
        <v>15800</v>
      </c>
      <c r="G29" s="19">
        <f>+SUMPRODUCT(G18:G23*$H$18:$H$23)</f>
        <v>22880</v>
      </c>
    </row>
    <row r="30" spans="2:20" ht="15" thickBot="1" x14ac:dyDescent="0.4">
      <c r="J30" s="72" t="s">
        <v>16</v>
      </c>
      <c r="K30" s="76" t="s">
        <v>11</v>
      </c>
      <c r="L30" s="77" t="s">
        <v>10</v>
      </c>
      <c r="M30" s="77" t="s">
        <v>9</v>
      </c>
      <c r="N30" s="77" t="s">
        <v>8</v>
      </c>
      <c r="O30" s="78" t="s">
        <v>7</v>
      </c>
    </row>
    <row r="31" spans="2:20" ht="15" thickBot="1" x14ac:dyDescent="0.4">
      <c r="B31" s="1" t="s">
        <v>12</v>
      </c>
      <c r="C31" s="17">
        <f>+C12-C29</f>
        <v>13670</v>
      </c>
      <c r="D31" s="17">
        <f>+D12-D29</f>
        <v>21410</v>
      </c>
      <c r="E31" s="17">
        <f>+E12-E29</f>
        <v>14730</v>
      </c>
      <c r="F31" s="17">
        <f>+F12-F29</f>
        <v>11200</v>
      </c>
      <c r="G31" s="17">
        <f>+G12-G29</f>
        <v>9520</v>
      </c>
      <c r="J31" s="75" t="s">
        <v>0</v>
      </c>
      <c r="K31" s="18">
        <f>+C10*K28</f>
        <v>0</v>
      </c>
      <c r="L31" s="18">
        <f>+D10*L28</f>
        <v>2500</v>
      </c>
      <c r="M31" s="18">
        <f>+E10*M28</f>
        <v>3780</v>
      </c>
      <c r="N31" s="18">
        <f>+F10*N28</f>
        <v>0</v>
      </c>
      <c r="O31" s="18">
        <f>+G10*O28</f>
        <v>1782</v>
      </c>
      <c r="P31" s="1" t="s">
        <v>5</v>
      </c>
      <c r="Q31" s="14">
        <f>+SUM(K31:O31)</f>
        <v>8062</v>
      </c>
      <c r="R31" s="14" t="s">
        <v>15</v>
      </c>
      <c r="S31" s="14">
        <v>8063.9999999999982</v>
      </c>
    </row>
    <row r="35" spans="2:7" x14ac:dyDescent="0.35">
      <c r="B35" s="70" t="s">
        <v>14</v>
      </c>
      <c r="C35" s="16">
        <v>33000</v>
      </c>
      <c r="D35" s="16">
        <v>41500</v>
      </c>
      <c r="E35" s="16">
        <v>42300</v>
      </c>
      <c r="F35" s="16">
        <v>27000</v>
      </c>
      <c r="G35" s="16">
        <v>32400</v>
      </c>
    </row>
    <row r="36" spans="2:7" x14ac:dyDescent="0.35">
      <c r="B36" s="71" t="s">
        <v>13</v>
      </c>
      <c r="C36" s="15">
        <v>19330</v>
      </c>
      <c r="D36" s="15">
        <v>20090</v>
      </c>
      <c r="E36" s="15">
        <v>27570</v>
      </c>
      <c r="F36" s="15">
        <v>15800</v>
      </c>
      <c r="G36" s="15">
        <v>22880</v>
      </c>
    </row>
    <row r="37" spans="2:7" x14ac:dyDescent="0.35">
      <c r="B37" s="71" t="s">
        <v>12</v>
      </c>
      <c r="C37" s="13">
        <v>13670</v>
      </c>
      <c r="D37" s="13">
        <v>21410</v>
      </c>
      <c r="E37" s="13">
        <v>14730</v>
      </c>
      <c r="F37" s="13">
        <v>11200</v>
      </c>
      <c r="G37" s="13">
        <v>9520</v>
      </c>
    </row>
  </sheetData>
  <mergeCells count="7">
    <mergeCell ref="B14:H15"/>
    <mergeCell ref="B25:H26"/>
    <mergeCell ref="C2:G2"/>
    <mergeCell ref="J8:K8"/>
    <mergeCell ref="N10:N11"/>
    <mergeCell ref="J10:K11"/>
    <mergeCell ref="R3:V9"/>
  </mergeCells>
  <conditionalFormatting sqref="Q15:Q21 Q31">
    <cfRule type="cellIs" dxfId="3" priority="1" operator="greaterThan">
      <formula>S15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47"/>
  <sheetViews>
    <sheetView showGridLines="0" zoomScale="63" zoomScaleNormal="63" workbookViewId="0">
      <selection activeCell="X33" sqref="X33"/>
    </sheetView>
  </sheetViews>
  <sheetFormatPr baseColWidth="10" defaultColWidth="11.453125" defaultRowHeight="14.5" x14ac:dyDescent="0.35"/>
  <cols>
    <col min="1" max="11" width="11.453125" style="1"/>
    <col min="12" max="12" width="12" style="1" bestFit="1" customWidth="1"/>
    <col min="13" max="15" width="11.453125" style="1"/>
    <col min="16" max="16" width="5.1796875" style="1" customWidth="1"/>
    <col min="17" max="18" width="13" style="1" bestFit="1" customWidth="1"/>
    <col min="19" max="21" width="11.453125" style="1"/>
    <col min="22" max="22" width="13" style="1" bestFit="1" customWidth="1"/>
    <col min="23" max="16384" width="11.453125" style="1"/>
  </cols>
  <sheetData>
    <row r="1" spans="2:24" ht="15" thickBot="1" x14ac:dyDescent="0.4">
      <c r="T1" s="82" t="s">
        <v>56</v>
      </c>
      <c r="U1" s="83"/>
      <c r="V1" s="83"/>
      <c r="W1" s="83"/>
      <c r="X1" s="84"/>
    </row>
    <row r="2" spans="2:24" ht="16" thickBot="1" x14ac:dyDescent="0.4">
      <c r="B2" s="41"/>
      <c r="C2" s="59" t="s">
        <v>41</v>
      </c>
      <c r="D2" s="60"/>
      <c r="E2" s="60"/>
      <c r="F2" s="60"/>
      <c r="G2" s="61"/>
      <c r="H2" s="40"/>
      <c r="T2" s="85"/>
      <c r="U2" s="86"/>
      <c r="V2" s="86"/>
      <c r="W2" s="86"/>
      <c r="X2" s="87"/>
    </row>
    <row r="3" spans="2:24" ht="15" thickBot="1" x14ac:dyDescent="0.4">
      <c r="B3" s="62" t="s">
        <v>16</v>
      </c>
      <c r="C3" s="63" t="s">
        <v>11</v>
      </c>
      <c r="D3" s="63" t="s">
        <v>10</v>
      </c>
      <c r="E3" s="63" t="s">
        <v>9</v>
      </c>
      <c r="F3" s="63" t="s">
        <v>8</v>
      </c>
      <c r="G3" s="63" t="s">
        <v>7</v>
      </c>
      <c r="H3" s="64" t="s">
        <v>40</v>
      </c>
      <c r="T3" s="85"/>
      <c r="U3" s="86"/>
      <c r="V3" s="86"/>
      <c r="W3" s="86"/>
      <c r="X3" s="87"/>
    </row>
    <row r="4" spans="2:24" ht="15" thickBot="1" x14ac:dyDescent="0.4">
      <c r="B4" s="65" t="s">
        <v>33</v>
      </c>
      <c r="C4" s="25">
        <v>10</v>
      </c>
      <c r="D4" s="25">
        <v>15</v>
      </c>
      <c r="E4" s="25">
        <v>8</v>
      </c>
      <c r="F4" s="25">
        <v>4</v>
      </c>
      <c r="G4" s="25">
        <v>14</v>
      </c>
      <c r="H4" s="25">
        <v>2</v>
      </c>
      <c r="T4" s="85"/>
      <c r="U4" s="86"/>
      <c r="V4" s="86"/>
      <c r="W4" s="86"/>
      <c r="X4" s="87"/>
    </row>
    <row r="5" spans="2:24" ht="15" thickBot="1" x14ac:dyDescent="0.4">
      <c r="B5" s="65" t="s">
        <v>31</v>
      </c>
      <c r="C5" s="25">
        <v>5</v>
      </c>
      <c r="D5" s="25">
        <v>8</v>
      </c>
      <c r="E5" s="25">
        <v>10</v>
      </c>
      <c r="F5" s="25">
        <v>8</v>
      </c>
      <c r="G5" s="25">
        <v>12</v>
      </c>
      <c r="H5" s="25">
        <v>2</v>
      </c>
      <c r="T5" s="85"/>
      <c r="U5" s="86"/>
      <c r="V5" s="86"/>
      <c r="W5" s="86"/>
      <c r="X5" s="87"/>
    </row>
    <row r="6" spans="2:24" ht="15" thickBot="1" x14ac:dyDescent="0.4">
      <c r="B6" s="65" t="s">
        <v>28</v>
      </c>
      <c r="C6" s="25">
        <v>20</v>
      </c>
      <c r="D6" s="25">
        <v>7</v>
      </c>
      <c r="E6" s="25">
        <v>10</v>
      </c>
      <c r="F6" s="25">
        <v>15</v>
      </c>
      <c r="G6" s="25">
        <v>5</v>
      </c>
      <c r="H6" s="25">
        <v>4</v>
      </c>
      <c r="T6" s="85"/>
      <c r="U6" s="86"/>
      <c r="V6" s="86"/>
      <c r="W6" s="86"/>
      <c r="X6" s="87"/>
    </row>
    <row r="7" spans="2:24" ht="19.5" customHeight="1" thickBot="1" x14ac:dyDescent="0.4">
      <c r="B7" s="65" t="s">
        <v>26</v>
      </c>
      <c r="C7" s="25">
        <v>7</v>
      </c>
      <c r="D7" s="25">
        <v>15</v>
      </c>
      <c r="E7" s="25">
        <v>20</v>
      </c>
      <c r="F7" s="25">
        <v>12</v>
      </c>
      <c r="G7" s="25">
        <v>6</v>
      </c>
      <c r="H7" s="25">
        <v>3</v>
      </c>
      <c r="T7" s="88"/>
      <c r="U7" s="89"/>
      <c r="V7" s="89"/>
      <c r="W7" s="89"/>
      <c r="X7" s="90"/>
    </row>
    <row r="8" spans="2:24" ht="15" customHeight="1" thickBot="1" x14ac:dyDescent="0.4">
      <c r="B8" s="65" t="s">
        <v>24</v>
      </c>
      <c r="C8" s="25">
        <v>12</v>
      </c>
      <c r="D8" s="25">
        <v>8</v>
      </c>
      <c r="E8" s="25">
        <v>5</v>
      </c>
      <c r="F8" s="25">
        <v>7</v>
      </c>
      <c r="G8" s="25">
        <v>12</v>
      </c>
      <c r="H8" s="25">
        <v>2</v>
      </c>
      <c r="J8" s="99" t="s">
        <v>39</v>
      </c>
      <c r="K8" s="99"/>
      <c r="L8" s="15">
        <v>7000000</v>
      </c>
      <c r="M8" s="14" t="s">
        <v>36</v>
      </c>
    </row>
    <row r="9" spans="2:24" ht="15" thickBot="1" x14ac:dyDescent="0.4">
      <c r="B9" s="65" t="s">
        <v>22</v>
      </c>
      <c r="C9" s="25">
        <v>20</v>
      </c>
      <c r="D9" s="25">
        <v>4</v>
      </c>
      <c r="E9" s="25">
        <v>12</v>
      </c>
      <c r="F9" s="25">
        <v>18</v>
      </c>
      <c r="G9" s="25">
        <v>10</v>
      </c>
      <c r="H9" s="25">
        <v>4</v>
      </c>
    </row>
    <row r="10" spans="2:24" ht="15" thickBot="1" x14ac:dyDescent="0.4">
      <c r="B10" s="65" t="s">
        <v>0</v>
      </c>
      <c r="C10" s="25">
        <v>0</v>
      </c>
      <c r="D10" s="25">
        <v>25</v>
      </c>
      <c r="E10" s="25">
        <v>21</v>
      </c>
      <c r="F10" s="25">
        <v>0</v>
      </c>
      <c r="G10" s="25">
        <v>22</v>
      </c>
      <c r="H10" s="25">
        <v>2</v>
      </c>
      <c r="J10" s="99" t="s">
        <v>38</v>
      </c>
      <c r="K10" s="99"/>
      <c r="L10" s="14">
        <f>16*6*0.7</f>
        <v>67.199999999999989</v>
      </c>
      <c r="M10" s="14" t="s">
        <v>37</v>
      </c>
      <c r="N10" s="56" t="s">
        <v>36</v>
      </c>
    </row>
    <row r="11" spans="2:24" ht="15" thickBot="1" x14ac:dyDescent="0.4">
      <c r="B11" s="65" t="s">
        <v>35</v>
      </c>
      <c r="C11" s="25">
        <v>200</v>
      </c>
      <c r="D11" s="25">
        <v>100</v>
      </c>
      <c r="E11" s="25">
        <v>180</v>
      </c>
      <c r="F11" s="25">
        <v>250</v>
      </c>
      <c r="G11" s="25">
        <v>120</v>
      </c>
      <c r="H11" s="32"/>
      <c r="J11" s="99"/>
      <c r="K11" s="99"/>
      <c r="L11" s="14">
        <f>+L10*60</f>
        <v>4031.9999999999991</v>
      </c>
      <c r="M11" s="14" t="s">
        <v>34</v>
      </c>
      <c r="N11" s="56"/>
    </row>
    <row r="12" spans="2:24" ht="15" thickBot="1" x14ac:dyDescent="0.4">
      <c r="B12" s="65" t="s">
        <v>14</v>
      </c>
      <c r="C12" s="33">
        <v>33000</v>
      </c>
      <c r="D12" s="33">
        <v>41500</v>
      </c>
      <c r="E12" s="33">
        <v>42300</v>
      </c>
      <c r="F12" s="33">
        <v>27000</v>
      </c>
      <c r="G12" s="33">
        <v>32400</v>
      </c>
      <c r="H12" s="32"/>
    </row>
    <row r="13" spans="2:24" ht="15" thickBot="1" x14ac:dyDescent="0.4"/>
    <row r="14" spans="2:24" ht="15" thickBot="1" x14ac:dyDescent="0.4">
      <c r="B14" s="82" t="s">
        <v>57</v>
      </c>
      <c r="C14" s="83"/>
      <c r="D14" s="83"/>
      <c r="E14" s="83"/>
      <c r="F14" s="83"/>
      <c r="G14" s="83"/>
      <c r="H14" s="84"/>
      <c r="J14" s="100" t="s">
        <v>16</v>
      </c>
      <c r="K14" s="104" t="s">
        <v>11</v>
      </c>
      <c r="L14" s="105" t="s">
        <v>10</v>
      </c>
      <c r="M14" s="105" t="s">
        <v>9</v>
      </c>
      <c r="N14" s="105" t="s">
        <v>8</v>
      </c>
      <c r="O14" s="106" t="s">
        <v>7</v>
      </c>
    </row>
    <row r="15" spans="2:24" ht="15" thickBot="1" x14ac:dyDescent="0.4">
      <c r="B15" s="88"/>
      <c r="C15" s="89"/>
      <c r="D15" s="89"/>
      <c r="E15" s="89"/>
      <c r="F15" s="89"/>
      <c r="G15" s="89"/>
      <c r="H15" s="90"/>
      <c r="J15" s="101" t="s">
        <v>33</v>
      </c>
      <c r="K15" s="24">
        <f t="shared" ref="K15:O21" si="0">+C4*C$11</f>
        <v>2000</v>
      </c>
      <c r="L15" s="31">
        <f t="shared" si="0"/>
        <v>1500</v>
      </c>
      <c r="M15" s="31">
        <f t="shared" si="0"/>
        <v>1440</v>
      </c>
      <c r="N15" s="31">
        <f t="shared" si="0"/>
        <v>1000</v>
      </c>
      <c r="O15" s="31">
        <f t="shared" si="0"/>
        <v>1680</v>
      </c>
      <c r="P15" s="1" t="s">
        <v>5</v>
      </c>
      <c r="Q15" s="14">
        <f t="shared" ref="Q15:Q21" si="1">+SUM(K15:O15)</f>
        <v>7620</v>
      </c>
      <c r="R15" s="14" t="str">
        <f t="shared" ref="R15:R21" si="2">+IF(Q15&gt;S15,"&gt;","&lt;")</f>
        <v>&lt;</v>
      </c>
      <c r="S15" s="14">
        <f t="shared" ref="S15:S21" si="3">+$L$11*H4</f>
        <v>8063.9999999999982</v>
      </c>
      <c r="T15" s="30">
        <f t="shared" ref="T15:T21" si="4">+Q15/S15</f>
        <v>0.94494047619047639</v>
      </c>
    </row>
    <row r="16" spans="2:24" ht="15" thickBot="1" x14ac:dyDescent="0.4">
      <c r="J16" s="102" t="s">
        <v>31</v>
      </c>
      <c r="K16" s="18">
        <f t="shared" si="0"/>
        <v>1000</v>
      </c>
      <c r="L16" s="14">
        <f t="shared" si="0"/>
        <v>800</v>
      </c>
      <c r="M16" s="14">
        <f t="shared" si="0"/>
        <v>1800</v>
      </c>
      <c r="N16" s="14">
        <f t="shared" si="0"/>
        <v>2000</v>
      </c>
      <c r="O16" s="14">
        <f t="shared" si="0"/>
        <v>1440</v>
      </c>
      <c r="P16" s="1" t="s">
        <v>5</v>
      </c>
      <c r="Q16" s="14">
        <f t="shared" si="1"/>
        <v>7040</v>
      </c>
      <c r="R16" s="14" t="str">
        <f t="shared" si="2"/>
        <v>&lt;</v>
      </c>
      <c r="S16" s="14">
        <f t="shared" si="3"/>
        <v>8063.9999999999982</v>
      </c>
      <c r="T16" s="30">
        <f t="shared" si="4"/>
        <v>0.87301587301587324</v>
      </c>
    </row>
    <row r="17" spans="2:20" ht="15" thickBot="1" x14ac:dyDescent="0.4">
      <c r="B17" s="62" t="s">
        <v>30</v>
      </c>
      <c r="C17" s="64" t="s">
        <v>11</v>
      </c>
      <c r="D17" s="64" t="s">
        <v>10</v>
      </c>
      <c r="E17" s="64" t="s">
        <v>9</v>
      </c>
      <c r="F17" s="64" t="s">
        <v>8</v>
      </c>
      <c r="G17" s="64" t="s">
        <v>7</v>
      </c>
      <c r="H17" s="64" t="s">
        <v>29</v>
      </c>
      <c r="J17" s="102" t="s">
        <v>28</v>
      </c>
      <c r="K17" s="18">
        <f t="shared" si="0"/>
        <v>4000</v>
      </c>
      <c r="L17" s="14">
        <f t="shared" si="0"/>
        <v>700</v>
      </c>
      <c r="M17" s="14">
        <f t="shared" si="0"/>
        <v>1800</v>
      </c>
      <c r="N17" s="14">
        <f t="shared" si="0"/>
        <v>3750</v>
      </c>
      <c r="O17" s="14">
        <f t="shared" si="0"/>
        <v>600</v>
      </c>
      <c r="P17" s="1" t="s">
        <v>5</v>
      </c>
      <c r="Q17" s="14">
        <f t="shared" si="1"/>
        <v>10850</v>
      </c>
      <c r="R17" s="14" t="str">
        <f t="shared" si="2"/>
        <v>&lt;</v>
      </c>
      <c r="S17" s="14">
        <f t="shared" si="3"/>
        <v>16127.999999999996</v>
      </c>
      <c r="T17" s="30">
        <f t="shared" si="4"/>
        <v>0.67274305555555569</v>
      </c>
    </row>
    <row r="18" spans="2:20" ht="15" thickBot="1" x14ac:dyDescent="0.4">
      <c r="B18" s="92" t="s">
        <v>27</v>
      </c>
      <c r="C18" s="25">
        <v>0.5</v>
      </c>
      <c r="D18" s="25">
        <v>1.5</v>
      </c>
      <c r="E18" s="25">
        <v>0</v>
      </c>
      <c r="F18" s="25">
        <v>0.3</v>
      </c>
      <c r="G18" s="25">
        <v>0</v>
      </c>
      <c r="H18" s="25">
        <v>1500</v>
      </c>
      <c r="J18" s="102" t="s">
        <v>26</v>
      </c>
      <c r="K18" s="18">
        <f t="shared" si="0"/>
        <v>1400</v>
      </c>
      <c r="L18" s="14">
        <f t="shared" si="0"/>
        <v>1500</v>
      </c>
      <c r="M18" s="14">
        <f t="shared" si="0"/>
        <v>3600</v>
      </c>
      <c r="N18" s="14">
        <f t="shared" si="0"/>
        <v>3000</v>
      </c>
      <c r="O18" s="14">
        <f t="shared" si="0"/>
        <v>720</v>
      </c>
      <c r="P18" s="1" t="s">
        <v>5</v>
      </c>
      <c r="Q18" s="14">
        <f t="shared" si="1"/>
        <v>10220</v>
      </c>
      <c r="R18" s="14" t="str">
        <f t="shared" si="2"/>
        <v>&lt;</v>
      </c>
      <c r="S18" s="14">
        <f t="shared" si="3"/>
        <v>12095.999999999996</v>
      </c>
      <c r="T18" s="30">
        <f t="shared" si="4"/>
        <v>0.84490740740740766</v>
      </c>
    </row>
    <row r="19" spans="2:20" ht="15" thickBot="1" x14ac:dyDescent="0.4">
      <c r="B19" s="92" t="s">
        <v>25</v>
      </c>
      <c r="C19" s="25">
        <v>0</v>
      </c>
      <c r="D19" s="25">
        <v>0.3</v>
      </c>
      <c r="E19" s="25">
        <v>2</v>
      </c>
      <c r="F19" s="25">
        <v>0</v>
      </c>
      <c r="G19" s="25">
        <v>0.8</v>
      </c>
      <c r="H19" s="25">
        <v>3000</v>
      </c>
      <c r="J19" s="102" t="s">
        <v>24</v>
      </c>
      <c r="K19" s="18">
        <f t="shared" si="0"/>
        <v>2400</v>
      </c>
      <c r="L19" s="14">
        <f t="shared" si="0"/>
        <v>800</v>
      </c>
      <c r="M19" s="14">
        <f t="shared" si="0"/>
        <v>900</v>
      </c>
      <c r="N19" s="14">
        <f t="shared" si="0"/>
        <v>1750</v>
      </c>
      <c r="O19" s="14">
        <f t="shared" si="0"/>
        <v>1440</v>
      </c>
      <c r="P19" s="1" t="s">
        <v>5</v>
      </c>
      <c r="Q19" s="14">
        <f t="shared" si="1"/>
        <v>7290</v>
      </c>
      <c r="R19" s="14" t="str">
        <f t="shared" si="2"/>
        <v>&lt;</v>
      </c>
      <c r="S19" s="14">
        <f t="shared" si="3"/>
        <v>8063.9999999999982</v>
      </c>
      <c r="T19" s="30">
        <f t="shared" si="4"/>
        <v>0.90401785714285732</v>
      </c>
    </row>
    <row r="20" spans="2:20" ht="15" thickBot="1" x14ac:dyDescent="0.4">
      <c r="B20" s="92" t="s">
        <v>23</v>
      </c>
      <c r="C20" s="25">
        <v>2.5</v>
      </c>
      <c r="D20" s="25">
        <v>0.7</v>
      </c>
      <c r="E20" s="25">
        <v>1.2</v>
      </c>
      <c r="F20" s="25">
        <v>3</v>
      </c>
      <c r="G20" s="25">
        <v>0</v>
      </c>
      <c r="H20" s="25">
        <v>1200</v>
      </c>
      <c r="J20" s="102" t="s">
        <v>22</v>
      </c>
      <c r="K20" s="18">
        <f t="shared" si="0"/>
        <v>4000</v>
      </c>
      <c r="L20" s="14">
        <f t="shared" si="0"/>
        <v>400</v>
      </c>
      <c r="M20" s="14">
        <f t="shared" si="0"/>
        <v>2160</v>
      </c>
      <c r="N20" s="14">
        <f t="shared" si="0"/>
        <v>4500</v>
      </c>
      <c r="O20" s="14">
        <f t="shared" si="0"/>
        <v>1200</v>
      </c>
      <c r="P20" s="1" t="s">
        <v>5</v>
      </c>
      <c r="Q20" s="14">
        <f t="shared" si="1"/>
        <v>12260</v>
      </c>
      <c r="R20" s="14" t="str">
        <f t="shared" si="2"/>
        <v>&lt;</v>
      </c>
      <c r="S20" s="14">
        <f t="shared" si="3"/>
        <v>16127.999999999996</v>
      </c>
      <c r="T20" s="30">
        <f t="shared" si="4"/>
        <v>0.76016865079365092</v>
      </c>
    </row>
    <row r="21" spans="2:20" ht="15" thickBot="1" x14ac:dyDescent="0.4">
      <c r="B21" s="92" t="s">
        <v>21</v>
      </c>
      <c r="C21" s="25">
        <v>1.2</v>
      </c>
      <c r="D21" s="25">
        <v>0</v>
      </c>
      <c r="E21" s="25">
        <v>0.4</v>
      </c>
      <c r="F21" s="25">
        <v>2.5</v>
      </c>
      <c r="G21" s="25">
        <v>3</v>
      </c>
      <c r="H21" s="25">
        <v>2800</v>
      </c>
      <c r="J21" s="103" t="s">
        <v>0</v>
      </c>
      <c r="K21" s="18">
        <f t="shared" si="0"/>
        <v>0</v>
      </c>
      <c r="L21" s="14">
        <f t="shared" si="0"/>
        <v>2500</v>
      </c>
      <c r="M21" s="14">
        <f t="shared" si="0"/>
        <v>3780</v>
      </c>
      <c r="N21" s="14">
        <f t="shared" si="0"/>
        <v>0</v>
      </c>
      <c r="O21" s="14">
        <f t="shared" si="0"/>
        <v>2640</v>
      </c>
      <c r="P21" s="1" t="s">
        <v>5</v>
      </c>
      <c r="Q21" s="14">
        <f t="shared" si="1"/>
        <v>8920</v>
      </c>
      <c r="R21" s="14" t="str">
        <f t="shared" si="2"/>
        <v>&gt;</v>
      </c>
      <c r="S21" s="14">
        <f t="shared" si="3"/>
        <v>8063.9999999999982</v>
      </c>
      <c r="T21" s="91">
        <f t="shared" si="4"/>
        <v>1.1061507936507939</v>
      </c>
    </row>
    <row r="22" spans="2:20" ht="15" thickBot="1" x14ac:dyDescent="0.4">
      <c r="B22" s="92" t="s">
        <v>20</v>
      </c>
      <c r="C22" s="25">
        <v>0.8</v>
      </c>
      <c r="D22" s="25">
        <v>2.5</v>
      </c>
      <c r="E22" s="25">
        <v>1.4</v>
      </c>
      <c r="F22" s="25">
        <v>0</v>
      </c>
      <c r="G22" s="25">
        <v>0.2</v>
      </c>
      <c r="H22" s="25">
        <v>3400</v>
      </c>
    </row>
    <row r="23" spans="2:20" ht="15" thickBot="1" x14ac:dyDescent="0.4">
      <c r="B23" s="65" t="s">
        <v>19</v>
      </c>
      <c r="C23" s="25">
        <v>1</v>
      </c>
      <c r="D23" s="25">
        <v>0.8</v>
      </c>
      <c r="E23" s="25">
        <v>1.5</v>
      </c>
      <c r="F23" s="25">
        <v>0.5</v>
      </c>
      <c r="G23" s="25">
        <v>1.2</v>
      </c>
      <c r="H23" s="25">
        <v>9500</v>
      </c>
    </row>
    <row r="24" spans="2:20" ht="15" thickBot="1" x14ac:dyDescent="0.4">
      <c r="J24" s="100" t="s">
        <v>16</v>
      </c>
      <c r="K24" s="104" t="s">
        <v>11</v>
      </c>
      <c r="L24" s="105" t="s">
        <v>10</v>
      </c>
      <c r="M24" s="105" t="s">
        <v>9</v>
      </c>
      <c r="N24" s="105" t="s">
        <v>8</v>
      </c>
      <c r="O24" s="106" t="s">
        <v>7</v>
      </c>
    </row>
    <row r="25" spans="2:20" ht="15" thickBot="1" x14ac:dyDescent="0.4">
      <c r="B25" s="82" t="s">
        <v>58</v>
      </c>
      <c r="C25" s="83"/>
      <c r="D25" s="83"/>
      <c r="E25" s="83"/>
      <c r="F25" s="83"/>
      <c r="G25" s="83"/>
      <c r="H25" s="84"/>
      <c r="J25" s="103" t="s">
        <v>0</v>
      </c>
      <c r="K25" s="24">
        <v>0</v>
      </c>
      <c r="L25" s="24">
        <f>+D$32/D10</f>
        <v>856.4</v>
      </c>
      <c r="M25" s="23">
        <f>+E$32/E10</f>
        <v>701.42857142857144</v>
      </c>
      <c r="N25" s="24">
        <v>0</v>
      </c>
      <c r="O25" s="23">
        <f>+G$32/G10</f>
        <v>432.72727272727275</v>
      </c>
    </row>
    <row r="26" spans="2:20" ht="15" thickBot="1" x14ac:dyDescent="0.4">
      <c r="B26" s="88"/>
      <c r="C26" s="89"/>
      <c r="D26" s="89"/>
      <c r="E26" s="89"/>
      <c r="F26" s="89"/>
      <c r="G26" s="89"/>
      <c r="H26" s="90"/>
      <c r="J26" s="47"/>
      <c r="K26" s="12"/>
      <c r="L26" s="12"/>
      <c r="M26" s="46"/>
      <c r="N26" s="12"/>
      <c r="O26" s="46"/>
    </row>
    <row r="27" spans="2:20" ht="15" thickBot="1" x14ac:dyDescent="0.4">
      <c r="J27" s="107" t="s">
        <v>41</v>
      </c>
      <c r="K27" s="100" t="s">
        <v>11</v>
      </c>
      <c r="L27" s="104" t="s">
        <v>10</v>
      </c>
      <c r="M27" s="105" t="s">
        <v>9</v>
      </c>
      <c r="N27" s="105" t="s">
        <v>8</v>
      </c>
      <c r="O27" s="106" t="s">
        <v>7</v>
      </c>
    </row>
    <row r="28" spans="2:20" ht="15" thickBot="1" x14ac:dyDescent="0.4">
      <c r="J28" s="108" t="s">
        <v>46</v>
      </c>
      <c r="K28" s="18">
        <v>200</v>
      </c>
      <c r="L28" s="14">
        <v>100</v>
      </c>
      <c r="M28" s="14">
        <v>180</v>
      </c>
      <c r="N28" s="14">
        <v>250</v>
      </c>
      <c r="O28" s="14">
        <v>120</v>
      </c>
      <c r="P28" s="1" t="s">
        <v>5</v>
      </c>
      <c r="Q28" s="1" t="s">
        <v>4</v>
      </c>
      <c r="R28" s="17">
        <f>SUMPRODUCT(K28:O28,$C$32:$G$32)</f>
        <v>11468800</v>
      </c>
    </row>
    <row r="29" spans="2:20" ht="15" thickBot="1" x14ac:dyDescent="0.4">
      <c r="B29" s="93"/>
      <c r="C29" s="94" t="s">
        <v>11</v>
      </c>
      <c r="D29" s="94" t="s">
        <v>10</v>
      </c>
      <c r="E29" s="94" t="s">
        <v>9</v>
      </c>
      <c r="F29" s="94" t="s">
        <v>8</v>
      </c>
      <c r="G29" s="95" t="s">
        <v>7</v>
      </c>
      <c r="Q29" s="1" t="s">
        <v>45</v>
      </c>
      <c r="R29" s="45">
        <v>300000</v>
      </c>
    </row>
    <row r="30" spans="2:20" ht="15" thickBot="1" x14ac:dyDescent="0.4">
      <c r="B30" s="96" t="s">
        <v>13</v>
      </c>
      <c r="C30" s="19">
        <f>+SUMPRODUCT(C18:C23*$H$18:$H$23)</f>
        <v>19330</v>
      </c>
      <c r="D30" s="19">
        <f>+SUMPRODUCT(D18:D23*$H$18:$H$23)</f>
        <v>20090</v>
      </c>
      <c r="E30" s="19">
        <f>+SUMPRODUCT(E18:E23*$H$18:$H$23)</f>
        <v>27570</v>
      </c>
      <c r="F30" s="19">
        <f>+SUMPRODUCT(F18:F23*$H$18:$H$23)</f>
        <v>15800</v>
      </c>
      <c r="G30" s="19">
        <f>+SUMPRODUCT(G18:G23*$H$18:$H$23)</f>
        <v>22880</v>
      </c>
      <c r="Q30" s="1" t="s">
        <v>1</v>
      </c>
      <c r="R30" s="17">
        <f>+R28-R29</f>
        <v>11168800</v>
      </c>
    </row>
    <row r="31" spans="2:20" ht="15" thickBot="1" x14ac:dyDescent="0.4"/>
    <row r="32" spans="2:20" ht="15" thickBot="1" x14ac:dyDescent="0.4">
      <c r="B32" s="1" t="s">
        <v>12</v>
      </c>
      <c r="C32" s="17">
        <f>+C12-C30</f>
        <v>13670</v>
      </c>
      <c r="D32" s="17">
        <f>+D12-D30</f>
        <v>21410</v>
      </c>
      <c r="E32" s="17">
        <f>+E12-E30</f>
        <v>14730</v>
      </c>
      <c r="F32" s="17">
        <f>+F12-F30</f>
        <v>11200</v>
      </c>
      <c r="G32" s="17">
        <f>+G12-G30</f>
        <v>9520</v>
      </c>
      <c r="J32" s="100" t="s">
        <v>16</v>
      </c>
      <c r="K32" s="104" t="s">
        <v>11</v>
      </c>
      <c r="L32" s="105" t="s">
        <v>10</v>
      </c>
      <c r="M32" s="105" t="s">
        <v>9</v>
      </c>
      <c r="N32" s="105" t="s">
        <v>8</v>
      </c>
      <c r="O32" s="106" t="s">
        <v>7</v>
      </c>
    </row>
    <row r="33" spans="2:24" ht="15" thickBot="1" x14ac:dyDescent="0.4">
      <c r="J33" s="103" t="s">
        <v>0</v>
      </c>
      <c r="K33" s="18">
        <f>+C10*K28</f>
        <v>0</v>
      </c>
      <c r="L33" s="18">
        <f>+D10*L28</f>
        <v>2500</v>
      </c>
      <c r="M33" s="18">
        <f>+E10*M28</f>
        <v>3780</v>
      </c>
      <c r="N33" s="18">
        <f>+F10*N28</f>
        <v>0</v>
      </c>
      <c r="O33" s="18">
        <f>+G10*O28</f>
        <v>2640</v>
      </c>
      <c r="P33" s="1" t="s">
        <v>5</v>
      </c>
      <c r="Q33" s="14">
        <f>+SUM(K33:O33)</f>
        <v>8920</v>
      </c>
      <c r="R33" s="14" t="s">
        <v>32</v>
      </c>
      <c r="S33" s="14">
        <f>+S21+900</f>
        <v>8963.9999999999982</v>
      </c>
    </row>
    <row r="35" spans="2:24" x14ac:dyDescent="0.35">
      <c r="R35" s="1" t="s">
        <v>43</v>
      </c>
      <c r="S35" s="1">
        <v>15</v>
      </c>
    </row>
    <row r="36" spans="2:24" x14ac:dyDescent="0.35">
      <c r="B36" s="97" t="s">
        <v>14</v>
      </c>
      <c r="C36" s="16">
        <v>33000</v>
      </c>
      <c r="D36" s="16">
        <v>41500</v>
      </c>
      <c r="E36" s="16">
        <v>42300</v>
      </c>
      <c r="F36" s="16">
        <v>27000</v>
      </c>
      <c r="G36" s="16">
        <v>32400</v>
      </c>
    </row>
    <row r="37" spans="2:24" x14ac:dyDescent="0.35">
      <c r="B37" s="98" t="s">
        <v>13</v>
      </c>
      <c r="C37" s="15">
        <v>19330</v>
      </c>
      <c r="D37" s="15">
        <v>20090</v>
      </c>
      <c r="E37" s="15">
        <v>27570</v>
      </c>
      <c r="F37" s="15">
        <v>15800</v>
      </c>
      <c r="G37" s="15">
        <v>22880</v>
      </c>
    </row>
    <row r="38" spans="2:24" x14ac:dyDescent="0.35">
      <c r="B38" s="98" t="s">
        <v>12</v>
      </c>
      <c r="C38" s="13">
        <v>13670</v>
      </c>
      <c r="D38" s="13">
        <v>21410</v>
      </c>
      <c r="E38" s="13">
        <v>14730</v>
      </c>
      <c r="F38" s="13">
        <v>11200</v>
      </c>
      <c r="G38" s="13">
        <v>9520</v>
      </c>
    </row>
    <row r="39" spans="2:24" ht="15" thickBot="1" x14ac:dyDescent="0.4"/>
    <row r="40" spans="2:24" ht="15" thickBot="1" x14ac:dyDescent="0.4">
      <c r="N40" s="100" t="s">
        <v>16</v>
      </c>
      <c r="O40" s="109" t="s">
        <v>11</v>
      </c>
      <c r="P40" s="109" t="s">
        <v>10</v>
      </c>
      <c r="Q40" s="109" t="s">
        <v>9</v>
      </c>
      <c r="R40" s="109" t="s">
        <v>8</v>
      </c>
      <c r="S40" s="109" t="s">
        <v>7</v>
      </c>
      <c r="T40"/>
      <c r="U40"/>
      <c r="V40"/>
      <c r="W40"/>
      <c r="X40"/>
    </row>
    <row r="41" spans="2:24" ht="15" thickBot="1" x14ac:dyDescent="0.4">
      <c r="N41" s="110" t="s">
        <v>49</v>
      </c>
      <c r="O41" s="52">
        <v>0</v>
      </c>
      <c r="P41" s="52">
        <v>856.4</v>
      </c>
      <c r="Q41" s="52">
        <v>701.4</v>
      </c>
      <c r="R41" s="52">
        <v>0</v>
      </c>
      <c r="S41" s="52">
        <v>432.7</v>
      </c>
      <c r="T41"/>
      <c r="U41"/>
      <c r="V41"/>
      <c r="W41"/>
      <c r="X41"/>
    </row>
    <row r="42" spans="2:24" ht="15" thickBot="1" x14ac:dyDescent="0.4">
      <c r="N42" s="49"/>
      <c r="O42"/>
      <c r="P42"/>
      <c r="Q42"/>
      <c r="R42"/>
      <c r="S42"/>
      <c r="T42"/>
      <c r="U42"/>
      <c r="V42"/>
      <c r="W42"/>
      <c r="X42"/>
    </row>
    <row r="43" spans="2:24" ht="15" thickBot="1" x14ac:dyDescent="0.4">
      <c r="N43" s="111" t="s">
        <v>41</v>
      </c>
      <c r="O43" s="109" t="s">
        <v>11</v>
      </c>
      <c r="P43" s="109" t="s">
        <v>10</v>
      </c>
      <c r="Q43" s="109" t="s">
        <v>9</v>
      </c>
      <c r="R43" s="109" t="s">
        <v>8</v>
      </c>
      <c r="S43" s="109" t="s">
        <v>7</v>
      </c>
      <c r="T43" s="49"/>
      <c r="U43" s="49"/>
      <c r="V43" s="49"/>
      <c r="W43" s="49"/>
      <c r="X43" s="48"/>
    </row>
    <row r="44" spans="2:24" ht="15" thickBot="1" x14ac:dyDescent="0.4">
      <c r="N44" s="112" t="s">
        <v>6</v>
      </c>
      <c r="O44" s="52">
        <v>200</v>
      </c>
      <c r="P44" s="52">
        <v>100</v>
      </c>
      <c r="Q44" s="52">
        <v>180</v>
      </c>
      <c r="R44" s="52">
        <v>250</v>
      </c>
      <c r="S44" s="52">
        <v>120</v>
      </c>
      <c r="T44" s="51" t="s">
        <v>5</v>
      </c>
      <c r="U44" s="51" t="s">
        <v>4</v>
      </c>
      <c r="V44" s="50">
        <v>11468800</v>
      </c>
      <c r="W44" s="49"/>
      <c r="X44" s="32"/>
    </row>
    <row r="45" spans="2:24" x14ac:dyDescent="0.35">
      <c r="N45" s="49"/>
      <c r="O45" s="49"/>
      <c r="P45" s="49"/>
      <c r="Q45" s="49"/>
      <c r="R45" s="49"/>
      <c r="S45" s="49"/>
      <c r="T45" s="49"/>
      <c r="U45" s="51" t="s">
        <v>48</v>
      </c>
      <c r="V45" s="50">
        <v>7000000</v>
      </c>
      <c r="W45" s="49"/>
      <c r="X45" s="32"/>
    </row>
    <row r="46" spans="2:24" x14ac:dyDescent="0.35">
      <c r="N46" s="49"/>
      <c r="O46" s="49"/>
      <c r="P46" s="49"/>
      <c r="Q46" s="49"/>
      <c r="R46" s="49"/>
      <c r="S46" s="49"/>
      <c r="T46" s="49"/>
      <c r="U46" s="51" t="s">
        <v>47</v>
      </c>
      <c r="V46" s="50">
        <v>375000</v>
      </c>
      <c r="W46" s="49"/>
      <c r="X46" s="32"/>
    </row>
    <row r="47" spans="2:24" x14ac:dyDescent="0.35">
      <c r="N47" s="49"/>
      <c r="O47" s="49"/>
      <c r="P47" s="49"/>
      <c r="Q47" s="49"/>
      <c r="R47" s="49"/>
      <c r="S47" s="49"/>
      <c r="T47" s="49"/>
      <c r="U47" s="51" t="s">
        <v>1</v>
      </c>
      <c r="V47" s="50">
        <v>4093800</v>
      </c>
      <c r="W47" s="49"/>
      <c r="X47" s="48"/>
    </row>
  </sheetData>
  <mergeCells count="7">
    <mergeCell ref="B25:H26"/>
    <mergeCell ref="C2:G2"/>
    <mergeCell ref="J8:K8"/>
    <mergeCell ref="J10:K11"/>
    <mergeCell ref="N10:N11"/>
    <mergeCell ref="T1:X7"/>
    <mergeCell ref="B14:H15"/>
  </mergeCells>
  <conditionalFormatting sqref="Q15:Q21 Q33">
    <cfRule type="cellIs" dxfId="2" priority="1" operator="greaterThan">
      <formula>S15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44"/>
  <sheetViews>
    <sheetView tabSelected="1" topLeftCell="A9" zoomScale="64" zoomScaleNormal="64" workbookViewId="0">
      <selection activeCell="S10" sqref="S10"/>
    </sheetView>
  </sheetViews>
  <sheetFormatPr baseColWidth="10" defaultColWidth="11.453125" defaultRowHeight="14.5" x14ac:dyDescent="0.35"/>
  <cols>
    <col min="1" max="11" width="11.453125" style="1"/>
    <col min="12" max="12" width="12" style="1" bestFit="1" customWidth="1"/>
    <col min="13" max="15" width="11.453125" style="1"/>
    <col min="16" max="16" width="5.1796875" style="1" customWidth="1"/>
    <col min="17" max="17" width="13" style="1" bestFit="1" customWidth="1"/>
    <col min="18" max="18" width="12" style="1" bestFit="1" customWidth="1"/>
    <col min="19" max="19" width="11.453125" style="1"/>
    <col min="20" max="20" width="4" style="1" customWidth="1"/>
    <col min="21" max="16384" width="11.453125" style="1"/>
  </cols>
  <sheetData>
    <row r="1" spans="2:23" ht="15" thickBot="1" x14ac:dyDescent="0.4">
      <c r="S1" s="82" t="s">
        <v>56</v>
      </c>
      <c r="T1" s="83"/>
      <c r="U1" s="83"/>
      <c r="V1" s="83"/>
      <c r="W1" s="84"/>
    </row>
    <row r="2" spans="2:23" ht="16" thickBot="1" x14ac:dyDescent="0.4">
      <c r="B2" s="41"/>
      <c r="C2" s="193" t="s">
        <v>41</v>
      </c>
      <c r="D2" s="194"/>
      <c r="E2" s="194"/>
      <c r="F2" s="194"/>
      <c r="G2" s="195"/>
      <c r="H2" s="40"/>
      <c r="S2" s="85"/>
      <c r="T2" s="86"/>
      <c r="U2" s="86"/>
      <c r="V2" s="86"/>
      <c r="W2" s="87"/>
    </row>
    <row r="3" spans="2:23" ht="15" thickBot="1" x14ac:dyDescent="0.4">
      <c r="B3" s="191" t="s">
        <v>16</v>
      </c>
      <c r="C3" s="196" t="s">
        <v>11</v>
      </c>
      <c r="D3" s="196" t="s">
        <v>10</v>
      </c>
      <c r="E3" s="196" t="s">
        <v>9</v>
      </c>
      <c r="F3" s="196" t="s">
        <v>8</v>
      </c>
      <c r="G3" s="196" t="s">
        <v>7</v>
      </c>
      <c r="H3" s="197" t="s">
        <v>40</v>
      </c>
      <c r="S3" s="85"/>
      <c r="T3" s="86"/>
      <c r="U3" s="86"/>
      <c r="V3" s="86"/>
      <c r="W3" s="87"/>
    </row>
    <row r="4" spans="2:23" ht="15" thickBot="1" x14ac:dyDescent="0.4">
      <c r="B4" s="192" t="s">
        <v>33</v>
      </c>
      <c r="C4" s="25">
        <v>10</v>
      </c>
      <c r="D4" s="25">
        <v>15</v>
      </c>
      <c r="E4" s="25">
        <v>8</v>
      </c>
      <c r="F4" s="25">
        <v>4</v>
      </c>
      <c r="G4" s="25">
        <v>14</v>
      </c>
      <c r="H4" s="25">
        <v>2</v>
      </c>
      <c r="S4" s="85"/>
      <c r="T4" s="86"/>
      <c r="U4" s="86"/>
      <c r="V4" s="86"/>
      <c r="W4" s="87"/>
    </row>
    <row r="5" spans="2:23" ht="15" thickBot="1" x14ac:dyDescent="0.4">
      <c r="B5" s="192" t="s">
        <v>31</v>
      </c>
      <c r="C5" s="25">
        <v>5</v>
      </c>
      <c r="D5" s="25">
        <v>8</v>
      </c>
      <c r="E5" s="25">
        <v>10</v>
      </c>
      <c r="F5" s="25">
        <v>8</v>
      </c>
      <c r="G5" s="25">
        <v>12</v>
      </c>
      <c r="H5" s="25">
        <v>2</v>
      </c>
      <c r="S5" s="85"/>
      <c r="T5" s="86"/>
      <c r="U5" s="86"/>
      <c r="V5" s="86"/>
      <c r="W5" s="87"/>
    </row>
    <row r="6" spans="2:23" ht="15" thickBot="1" x14ac:dyDescent="0.4">
      <c r="B6" s="192" t="s">
        <v>28</v>
      </c>
      <c r="C6" s="25">
        <v>20</v>
      </c>
      <c r="D6" s="25">
        <v>7</v>
      </c>
      <c r="E6" s="25">
        <v>10</v>
      </c>
      <c r="F6" s="25">
        <v>15</v>
      </c>
      <c r="G6" s="25">
        <v>5</v>
      </c>
      <c r="H6" s="25">
        <v>4</v>
      </c>
      <c r="S6" s="85"/>
      <c r="T6" s="86"/>
      <c r="U6" s="86"/>
      <c r="V6" s="86"/>
      <c r="W6" s="87"/>
    </row>
    <row r="7" spans="2:23" ht="15" thickBot="1" x14ac:dyDescent="0.4">
      <c r="B7" s="192" t="s">
        <v>26</v>
      </c>
      <c r="C7" s="25">
        <v>7</v>
      </c>
      <c r="D7" s="25">
        <v>15</v>
      </c>
      <c r="E7" s="25">
        <v>20</v>
      </c>
      <c r="F7" s="25">
        <v>12</v>
      </c>
      <c r="G7" s="25">
        <v>6</v>
      </c>
      <c r="H7" s="25">
        <v>3</v>
      </c>
      <c r="S7" s="88"/>
      <c r="T7" s="89"/>
      <c r="U7" s="89"/>
      <c r="V7" s="89"/>
      <c r="W7" s="90"/>
    </row>
    <row r="8" spans="2:23" ht="15" thickBot="1" x14ac:dyDescent="0.4">
      <c r="B8" s="192" t="s">
        <v>24</v>
      </c>
      <c r="C8" s="25">
        <v>12</v>
      </c>
      <c r="D8" s="25">
        <v>8</v>
      </c>
      <c r="E8" s="25">
        <v>5</v>
      </c>
      <c r="F8" s="25">
        <v>7</v>
      </c>
      <c r="G8" s="25">
        <v>12</v>
      </c>
      <c r="H8" s="25">
        <v>2</v>
      </c>
      <c r="J8" s="208" t="s">
        <v>39</v>
      </c>
      <c r="K8" s="208"/>
      <c r="L8" s="15">
        <v>7000000</v>
      </c>
      <c r="M8" s="14" t="s">
        <v>36</v>
      </c>
    </row>
    <row r="9" spans="2:23" ht="15" thickBot="1" x14ac:dyDescent="0.4">
      <c r="B9" s="192" t="s">
        <v>22</v>
      </c>
      <c r="C9" s="25">
        <v>20</v>
      </c>
      <c r="D9" s="25">
        <v>4</v>
      </c>
      <c r="E9" s="25">
        <v>12</v>
      </c>
      <c r="F9" s="25">
        <v>18</v>
      </c>
      <c r="G9" s="25">
        <v>10</v>
      </c>
      <c r="H9" s="25">
        <v>4</v>
      </c>
    </row>
    <row r="10" spans="2:23" ht="15" thickBot="1" x14ac:dyDescent="0.4">
      <c r="B10" s="192" t="s">
        <v>0</v>
      </c>
      <c r="C10" s="25">
        <v>0</v>
      </c>
      <c r="D10" s="25">
        <v>25</v>
      </c>
      <c r="E10" s="25">
        <v>21</v>
      </c>
      <c r="F10" s="25">
        <v>0</v>
      </c>
      <c r="G10" s="25">
        <v>22</v>
      </c>
      <c r="H10" s="25">
        <v>2</v>
      </c>
      <c r="J10" s="208" t="s">
        <v>38</v>
      </c>
      <c r="K10" s="208"/>
      <c r="L10" s="14">
        <f>16*6*0.7</f>
        <v>67.199999999999989</v>
      </c>
      <c r="M10" s="14" t="s">
        <v>37</v>
      </c>
      <c r="N10" s="56" t="s">
        <v>36</v>
      </c>
    </row>
    <row r="11" spans="2:23" ht="15" thickBot="1" x14ac:dyDescent="0.4">
      <c r="B11" s="192" t="s">
        <v>35</v>
      </c>
      <c r="C11" s="25">
        <v>200</v>
      </c>
      <c r="D11" s="25">
        <v>100</v>
      </c>
      <c r="E11" s="25">
        <v>180</v>
      </c>
      <c r="F11" s="25">
        <v>250</v>
      </c>
      <c r="G11" s="25">
        <v>120</v>
      </c>
      <c r="H11" s="32"/>
      <c r="J11" s="208"/>
      <c r="K11" s="208"/>
      <c r="L11" s="14">
        <f>+L10*60</f>
        <v>4031.9999999999991</v>
      </c>
      <c r="M11" s="14" t="s">
        <v>34</v>
      </c>
      <c r="N11" s="56"/>
    </row>
    <row r="12" spans="2:23" ht="15" thickBot="1" x14ac:dyDescent="0.4">
      <c r="B12" s="192" t="s">
        <v>14</v>
      </c>
      <c r="C12" s="33">
        <v>33000</v>
      </c>
      <c r="D12" s="33">
        <v>41500</v>
      </c>
      <c r="E12" s="33">
        <v>42300</v>
      </c>
      <c r="F12" s="33">
        <v>27000</v>
      </c>
      <c r="G12" s="33">
        <v>32400</v>
      </c>
      <c r="H12" s="32"/>
    </row>
    <row r="13" spans="2:23" ht="15" thickBot="1" x14ac:dyDescent="0.4"/>
    <row r="14" spans="2:23" ht="15" thickBot="1" x14ac:dyDescent="0.4">
      <c r="B14" s="198" t="s">
        <v>62</v>
      </c>
      <c r="C14" s="199"/>
      <c r="D14" s="199"/>
      <c r="E14" s="199"/>
      <c r="F14" s="199"/>
      <c r="G14" s="199"/>
      <c r="H14" s="200"/>
      <c r="J14" s="209" t="s">
        <v>16</v>
      </c>
      <c r="K14" s="210" t="s">
        <v>11</v>
      </c>
      <c r="L14" s="211" t="s">
        <v>10</v>
      </c>
      <c r="M14" s="211" t="s">
        <v>9</v>
      </c>
      <c r="N14" s="211" t="s">
        <v>8</v>
      </c>
      <c r="O14" s="212" t="s">
        <v>7</v>
      </c>
    </row>
    <row r="15" spans="2:23" ht="15" thickBot="1" x14ac:dyDescent="0.4">
      <c r="B15" s="201"/>
      <c r="C15" s="202"/>
      <c r="D15" s="202"/>
      <c r="E15" s="202"/>
      <c r="F15" s="202"/>
      <c r="G15" s="202"/>
      <c r="H15" s="203"/>
      <c r="J15" s="213" t="s">
        <v>33</v>
      </c>
      <c r="K15" s="24">
        <f t="shared" ref="K15:O21" si="0">+C4*C$11</f>
        <v>2000</v>
      </c>
      <c r="L15" s="31">
        <f t="shared" si="0"/>
        <v>1500</v>
      </c>
      <c r="M15" s="31">
        <f t="shared" si="0"/>
        <v>1440</v>
      </c>
      <c r="N15" s="31">
        <f t="shared" si="0"/>
        <v>1000</v>
      </c>
      <c r="O15" s="31">
        <f t="shared" si="0"/>
        <v>1680</v>
      </c>
      <c r="P15" s="1" t="s">
        <v>5</v>
      </c>
      <c r="Q15" s="14">
        <f t="shared" ref="Q15:Q21" si="1">+SUM(K15:O15)</f>
        <v>7620</v>
      </c>
      <c r="R15" s="14" t="str">
        <f t="shared" ref="R15:R21" si="2">+IF(Q15&gt;S15,"&gt;","&lt;")</f>
        <v>&gt;</v>
      </c>
      <c r="S15" s="14">
        <f t="shared" ref="S15:S21" si="3">+$L$11</f>
        <v>4031.9999999999991</v>
      </c>
      <c r="U15" s="53">
        <f t="shared" ref="U15:U21" si="4">+Q15/S15</f>
        <v>1.8898809523809528</v>
      </c>
    </row>
    <row r="16" spans="2:23" ht="15" thickBot="1" x14ac:dyDescent="0.4">
      <c r="J16" s="214" t="s">
        <v>31</v>
      </c>
      <c r="K16" s="18">
        <f t="shared" si="0"/>
        <v>1000</v>
      </c>
      <c r="L16" s="14">
        <f t="shared" si="0"/>
        <v>800</v>
      </c>
      <c r="M16" s="14">
        <f t="shared" si="0"/>
        <v>1800</v>
      </c>
      <c r="N16" s="14">
        <f t="shared" si="0"/>
        <v>2000</v>
      </c>
      <c r="O16" s="14">
        <f t="shared" si="0"/>
        <v>1440</v>
      </c>
      <c r="P16" s="1" t="s">
        <v>5</v>
      </c>
      <c r="Q16" s="14">
        <f t="shared" si="1"/>
        <v>7040</v>
      </c>
      <c r="R16" s="14" t="str">
        <f t="shared" si="2"/>
        <v>&gt;</v>
      </c>
      <c r="S16" s="14">
        <f t="shared" si="3"/>
        <v>4031.9999999999991</v>
      </c>
      <c r="U16" s="53">
        <f t="shared" si="4"/>
        <v>1.7460317460317465</v>
      </c>
    </row>
    <row r="17" spans="2:21" ht="15" thickBot="1" x14ac:dyDescent="0.4">
      <c r="B17" s="191" t="s">
        <v>30</v>
      </c>
      <c r="C17" s="197" t="s">
        <v>11</v>
      </c>
      <c r="D17" s="197" t="s">
        <v>10</v>
      </c>
      <c r="E17" s="197" t="s">
        <v>9</v>
      </c>
      <c r="F17" s="197" t="s">
        <v>8</v>
      </c>
      <c r="G17" s="197" t="s">
        <v>7</v>
      </c>
      <c r="H17" s="197" t="s">
        <v>29</v>
      </c>
      <c r="J17" s="214" t="s">
        <v>28</v>
      </c>
      <c r="K17" s="18">
        <f t="shared" si="0"/>
        <v>4000</v>
      </c>
      <c r="L17" s="14">
        <f t="shared" si="0"/>
        <v>700</v>
      </c>
      <c r="M17" s="14">
        <f t="shared" si="0"/>
        <v>1800</v>
      </c>
      <c r="N17" s="14">
        <f t="shared" si="0"/>
        <v>3750</v>
      </c>
      <c r="O17" s="14">
        <f t="shared" si="0"/>
        <v>600</v>
      </c>
      <c r="P17" s="1" t="s">
        <v>5</v>
      </c>
      <c r="Q17" s="14">
        <f t="shared" si="1"/>
        <v>10850</v>
      </c>
      <c r="R17" s="14" t="str">
        <f t="shared" si="2"/>
        <v>&gt;</v>
      </c>
      <c r="S17" s="14">
        <f t="shared" si="3"/>
        <v>4031.9999999999991</v>
      </c>
      <c r="U17" s="53">
        <f t="shared" si="4"/>
        <v>2.6909722222222228</v>
      </c>
    </row>
    <row r="18" spans="2:21" ht="15" thickBot="1" x14ac:dyDescent="0.4">
      <c r="B18" s="204" t="s">
        <v>27</v>
      </c>
      <c r="C18" s="25">
        <v>0.5</v>
      </c>
      <c r="D18" s="25">
        <v>1.5</v>
      </c>
      <c r="E18" s="25">
        <v>0</v>
      </c>
      <c r="F18" s="25">
        <v>0.3</v>
      </c>
      <c r="G18" s="25">
        <v>0</v>
      </c>
      <c r="H18" s="25">
        <v>1500</v>
      </c>
      <c r="J18" s="214" t="s">
        <v>26</v>
      </c>
      <c r="K18" s="18">
        <f t="shared" si="0"/>
        <v>1400</v>
      </c>
      <c r="L18" s="14">
        <f t="shared" si="0"/>
        <v>1500</v>
      </c>
      <c r="M18" s="14">
        <f t="shared" si="0"/>
        <v>3600</v>
      </c>
      <c r="N18" s="14">
        <f t="shared" si="0"/>
        <v>3000</v>
      </c>
      <c r="O18" s="14">
        <f t="shared" si="0"/>
        <v>720</v>
      </c>
      <c r="P18" s="1" t="s">
        <v>5</v>
      </c>
      <c r="Q18" s="14">
        <f t="shared" si="1"/>
        <v>10220</v>
      </c>
      <c r="R18" s="14" t="str">
        <f t="shared" si="2"/>
        <v>&gt;</v>
      </c>
      <c r="S18" s="14">
        <f t="shared" si="3"/>
        <v>4031.9999999999991</v>
      </c>
      <c r="U18" s="53">
        <f t="shared" si="4"/>
        <v>2.5347222222222228</v>
      </c>
    </row>
    <row r="19" spans="2:21" ht="15" thickBot="1" x14ac:dyDescent="0.4">
      <c r="B19" s="204" t="s">
        <v>25</v>
      </c>
      <c r="C19" s="25">
        <v>0</v>
      </c>
      <c r="D19" s="25">
        <v>0.3</v>
      </c>
      <c r="E19" s="25">
        <v>2</v>
      </c>
      <c r="F19" s="25">
        <v>0</v>
      </c>
      <c r="G19" s="25">
        <v>0.8</v>
      </c>
      <c r="H19" s="25">
        <v>3000</v>
      </c>
      <c r="J19" s="214" t="s">
        <v>24</v>
      </c>
      <c r="K19" s="18">
        <f t="shared" si="0"/>
        <v>2400</v>
      </c>
      <c r="L19" s="14">
        <f t="shared" si="0"/>
        <v>800</v>
      </c>
      <c r="M19" s="14">
        <f t="shared" si="0"/>
        <v>900</v>
      </c>
      <c r="N19" s="14">
        <f t="shared" si="0"/>
        <v>1750</v>
      </c>
      <c r="O19" s="14">
        <f t="shared" si="0"/>
        <v>1440</v>
      </c>
      <c r="P19" s="1" t="s">
        <v>5</v>
      </c>
      <c r="Q19" s="14">
        <f t="shared" si="1"/>
        <v>7290</v>
      </c>
      <c r="R19" s="14" t="str">
        <f t="shared" si="2"/>
        <v>&gt;</v>
      </c>
      <c r="S19" s="14">
        <f t="shared" si="3"/>
        <v>4031.9999999999991</v>
      </c>
      <c r="U19" s="53">
        <f t="shared" si="4"/>
        <v>1.8080357142857146</v>
      </c>
    </row>
    <row r="20" spans="2:21" ht="15" thickBot="1" x14ac:dyDescent="0.4">
      <c r="B20" s="204" t="s">
        <v>23</v>
      </c>
      <c r="C20" s="25">
        <v>2.5</v>
      </c>
      <c r="D20" s="25">
        <v>0.7</v>
      </c>
      <c r="E20" s="25">
        <v>1.2</v>
      </c>
      <c r="F20" s="25">
        <v>3</v>
      </c>
      <c r="G20" s="25">
        <v>0</v>
      </c>
      <c r="H20" s="25">
        <v>1200</v>
      </c>
      <c r="J20" s="214" t="s">
        <v>22</v>
      </c>
      <c r="K20" s="18">
        <f t="shared" si="0"/>
        <v>4000</v>
      </c>
      <c r="L20" s="14">
        <f t="shared" si="0"/>
        <v>400</v>
      </c>
      <c r="M20" s="14">
        <f t="shared" si="0"/>
        <v>2160</v>
      </c>
      <c r="N20" s="14">
        <f t="shared" si="0"/>
        <v>4500</v>
      </c>
      <c r="O20" s="14">
        <f t="shared" si="0"/>
        <v>1200</v>
      </c>
      <c r="P20" s="1" t="s">
        <v>5</v>
      </c>
      <c r="Q20" s="14">
        <f t="shared" si="1"/>
        <v>12260</v>
      </c>
      <c r="R20" s="14" t="str">
        <f t="shared" si="2"/>
        <v>&gt;</v>
      </c>
      <c r="S20" s="14">
        <f t="shared" si="3"/>
        <v>4031.9999999999991</v>
      </c>
      <c r="U20" s="216">
        <f t="shared" si="4"/>
        <v>3.0406746031746037</v>
      </c>
    </row>
    <row r="21" spans="2:21" ht="15" thickBot="1" x14ac:dyDescent="0.4">
      <c r="B21" s="204" t="s">
        <v>21</v>
      </c>
      <c r="C21" s="25">
        <v>1.2</v>
      </c>
      <c r="D21" s="25">
        <v>0</v>
      </c>
      <c r="E21" s="25">
        <v>0.4</v>
      </c>
      <c r="F21" s="25">
        <v>2.5</v>
      </c>
      <c r="G21" s="25">
        <v>3</v>
      </c>
      <c r="H21" s="25">
        <v>2800</v>
      </c>
      <c r="J21" s="215" t="s">
        <v>0</v>
      </c>
      <c r="K21" s="18">
        <f t="shared" si="0"/>
        <v>0</v>
      </c>
      <c r="L21" s="14">
        <f t="shared" si="0"/>
        <v>2500</v>
      </c>
      <c r="M21" s="14">
        <f t="shared" si="0"/>
        <v>3780</v>
      </c>
      <c r="N21" s="14">
        <f t="shared" si="0"/>
        <v>0</v>
      </c>
      <c r="O21" s="14">
        <f t="shared" si="0"/>
        <v>2640</v>
      </c>
      <c r="P21" s="1" t="s">
        <v>5</v>
      </c>
      <c r="Q21" s="14">
        <f t="shared" si="1"/>
        <v>8920</v>
      </c>
      <c r="R21" s="14" t="str">
        <f t="shared" si="2"/>
        <v>&gt;</v>
      </c>
      <c r="S21" s="14">
        <f t="shared" si="3"/>
        <v>4031.9999999999991</v>
      </c>
      <c r="U21" s="53">
        <f t="shared" si="4"/>
        <v>2.2123015873015879</v>
      </c>
    </row>
    <row r="22" spans="2:21" ht="15" thickBot="1" x14ac:dyDescent="0.4">
      <c r="B22" s="204" t="s">
        <v>20</v>
      </c>
      <c r="C22" s="25">
        <v>0.8</v>
      </c>
      <c r="D22" s="25">
        <v>2.5</v>
      </c>
      <c r="E22" s="25">
        <v>1.4</v>
      </c>
      <c r="F22" s="25">
        <v>0</v>
      </c>
      <c r="G22" s="25">
        <v>0.2</v>
      </c>
      <c r="H22" s="25">
        <v>3400</v>
      </c>
    </row>
    <row r="23" spans="2:21" ht="15" thickBot="1" x14ac:dyDescent="0.4">
      <c r="B23" s="192" t="s">
        <v>19</v>
      </c>
      <c r="C23" s="25">
        <v>1</v>
      </c>
      <c r="D23" s="25">
        <v>0.8</v>
      </c>
      <c r="E23" s="25">
        <v>1.5</v>
      </c>
      <c r="F23" s="25">
        <v>0.5</v>
      </c>
      <c r="G23" s="25">
        <v>1.2</v>
      </c>
      <c r="H23" s="25">
        <v>9500</v>
      </c>
      <c r="J23" s="58" t="s">
        <v>53</v>
      </c>
      <c r="K23" s="58"/>
      <c r="L23" s="58"/>
      <c r="M23" s="58"/>
      <c r="N23" s="58"/>
      <c r="O23" s="58"/>
    </row>
    <row r="24" spans="2:21" ht="15" thickBot="1" x14ac:dyDescent="0.4">
      <c r="J24" s="209"/>
      <c r="K24" s="210" t="s">
        <v>11</v>
      </c>
      <c r="L24" s="211" t="s">
        <v>10</v>
      </c>
      <c r="M24" s="211" t="s">
        <v>9</v>
      </c>
      <c r="N24" s="211" t="s">
        <v>8</v>
      </c>
      <c r="O24" s="212" t="s">
        <v>7</v>
      </c>
    </row>
    <row r="25" spans="2:21" ht="15" thickBot="1" x14ac:dyDescent="0.4">
      <c r="B25" s="198" t="s">
        <v>63</v>
      </c>
      <c r="C25" s="199"/>
      <c r="D25" s="199"/>
      <c r="E25" s="199"/>
      <c r="F25" s="199"/>
      <c r="G25" s="199"/>
      <c r="H25" s="200"/>
      <c r="J25" s="215" t="s">
        <v>22</v>
      </c>
      <c r="K25" s="24">
        <f>+C31/C43</f>
        <v>1367</v>
      </c>
      <c r="L25" s="24">
        <f>+D31/D43</f>
        <v>10705</v>
      </c>
      <c r="M25" s="24">
        <f>+E31/E43</f>
        <v>2455</v>
      </c>
      <c r="N25" s="24">
        <f>+F31/F43</f>
        <v>1244.4444444444443</v>
      </c>
      <c r="O25" s="24">
        <f>+G31/G43</f>
        <v>1904</v>
      </c>
    </row>
    <row r="26" spans="2:21" ht="15" thickBot="1" x14ac:dyDescent="0.4">
      <c r="B26" s="201"/>
      <c r="C26" s="202"/>
      <c r="D26" s="202"/>
      <c r="E26" s="202"/>
      <c r="F26" s="202"/>
      <c r="G26" s="202"/>
      <c r="H26" s="203"/>
      <c r="Q26" s="1" t="s">
        <v>52</v>
      </c>
      <c r="S26" s="1" t="s">
        <v>51</v>
      </c>
      <c r="T26" s="1">
        <v>0</v>
      </c>
    </row>
    <row r="27" spans="2:21" ht="15" thickBot="1" x14ac:dyDescent="0.4">
      <c r="J27" s="217" t="s">
        <v>18</v>
      </c>
      <c r="K27" s="22">
        <v>200</v>
      </c>
      <c r="L27" s="7">
        <v>100</v>
      </c>
      <c r="M27" s="7">
        <v>180</v>
      </c>
      <c r="N27" s="7">
        <v>250</v>
      </c>
      <c r="O27" s="7">
        <v>120</v>
      </c>
      <c r="P27" s="1" t="s">
        <v>5</v>
      </c>
      <c r="Q27" s="17">
        <f>SUMPRODUCT(K27:O27,$C$31:$G$31)</f>
        <v>11468800</v>
      </c>
      <c r="R27" s="57">
        <f>+L8*1.04</f>
        <v>7280000</v>
      </c>
    </row>
    <row r="28" spans="2:21" ht="15" thickBot="1" x14ac:dyDescent="0.4">
      <c r="B28" s="205"/>
      <c r="C28" s="197" t="s">
        <v>11</v>
      </c>
      <c r="D28" s="197" t="s">
        <v>10</v>
      </c>
      <c r="E28" s="197" t="s">
        <v>9</v>
      </c>
      <c r="F28" s="197" t="s">
        <v>8</v>
      </c>
      <c r="G28" s="197" t="s">
        <v>7</v>
      </c>
      <c r="J28" s="218" t="s">
        <v>17</v>
      </c>
      <c r="K28" s="18">
        <v>200</v>
      </c>
      <c r="L28" s="14">
        <v>100</v>
      </c>
      <c r="M28" s="14">
        <v>180</v>
      </c>
      <c r="N28" s="14"/>
      <c r="O28" s="14">
        <v>120</v>
      </c>
      <c r="P28" s="1" t="s">
        <v>5</v>
      </c>
      <c r="Q28" s="17">
        <f>SUMPRODUCT(K28:O28,$C$31:$G$31)-(25000*T26)</f>
        <v>8668800</v>
      </c>
      <c r="R28" s="57"/>
    </row>
    <row r="29" spans="2:21" ht="15" thickBot="1" x14ac:dyDescent="0.4">
      <c r="B29" s="206" t="s">
        <v>13</v>
      </c>
      <c r="C29" s="45">
        <f>+SUMPRODUCT(C18:C23*$H$18:$H$23)</f>
        <v>19330</v>
      </c>
      <c r="D29" s="45">
        <f>+SUMPRODUCT(D18:D23*$H$18:$H$23)</f>
        <v>20090</v>
      </c>
      <c r="E29" s="45">
        <f>+SUMPRODUCT(E18:E23*$H$18:$H$23)</f>
        <v>27570</v>
      </c>
      <c r="F29" s="45">
        <f>+SUMPRODUCT(F18:F23*$H$18:$H$23)</f>
        <v>15800</v>
      </c>
      <c r="G29" s="45">
        <f>+SUMPRODUCT(G18:G23*$H$18:$H$23)</f>
        <v>22880</v>
      </c>
    </row>
    <row r="31" spans="2:21" x14ac:dyDescent="0.35">
      <c r="B31" s="1" t="s">
        <v>12</v>
      </c>
      <c r="C31" s="17">
        <f>+C12-C29</f>
        <v>13670</v>
      </c>
      <c r="D31" s="17">
        <f>+D12-D29</f>
        <v>21410</v>
      </c>
      <c r="E31" s="17">
        <f>+E12-E29</f>
        <v>14730</v>
      </c>
      <c r="F31" s="17">
        <f>+F12-F29</f>
        <v>11200</v>
      </c>
      <c r="G31" s="17">
        <f>+G12-G29</f>
        <v>9520</v>
      </c>
    </row>
    <row r="34" spans="2:21" x14ac:dyDescent="0.35">
      <c r="B34" s="207" t="s">
        <v>50</v>
      </c>
      <c r="C34" s="207"/>
      <c r="D34" s="207"/>
      <c r="E34" s="207"/>
      <c r="F34" s="207"/>
      <c r="G34" s="207"/>
      <c r="H34" s="207"/>
    </row>
    <row r="35" spans="2:21" ht="15" thickBot="1" x14ac:dyDescent="0.4"/>
    <row r="36" spans="2:21" ht="16" thickBot="1" x14ac:dyDescent="0.4">
      <c r="B36" s="41"/>
      <c r="C36" s="193" t="s">
        <v>41</v>
      </c>
      <c r="D36" s="194"/>
      <c r="E36" s="194"/>
      <c r="F36" s="194"/>
      <c r="G36" s="195"/>
      <c r="H36" s="40"/>
    </row>
    <row r="37" spans="2:21" ht="15" thickBot="1" x14ac:dyDescent="0.4">
      <c r="B37" s="191" t="s">
        <v>16</v>
      </c>
      <c r="C37" s="196" t="s">
        <v>11</v>
      </c>
      <c r="D37" s="196" t="s">
        <v>10</v>
      </c>
      <c r="E37" s="196" t="s">
        <v>9</v>
      </c>
      <c r="F37" s="196" t="s">
        <v>8</v>
      </c>
      <c r="G37" s="196" t="s">
        <v>7</v>
      </c>
      <c r="H37" s="197" t="s">
        <v>40</v>
      </c>
      <c r="J37" s="209" t="s">
        <v>16</v>
      </c>
      <c r="K37" s="210" t="s">
        <v>11</v>
      </c>
      <c r="L37" s="211" t="s">
        <v>10</v>
      </c>
      <c r="M37" s="211" t="s">
        <v>9</v>
      </c>
      <c r="N37" s="211" t="s">
        <v>8</v>
      </c>
      <c r="O37" s="212" t="s">
        <v>7</v>
      </c>
    </row>
    <row r="38" spans="2:21" ht="15" thickBot="1" x14ac:dyDescent="0.4">
      <c r="B38" s="192" t="s">
        <v>33</v>
      </c>
      <c r="C38" s="25">
        <v>10</v>
      </c>
      <c r="D38" s="25">
        <v>15</v>
      </c>
      <c r="E38" s="25">
        <v>8</v>
      </c>
      <c r="F38" s="25">
        <v>4</v>
      </c>
      <c r="G38" s="25">
        <v>14</v>
      </c>
      <c r="H38" s="25">
        <v>2</v>
      </c>
      <c r="J38" s="213" t="s">
        <v>33</v>
      </c>
      <c r="K38" s="24">
        <f t="shared" ref="K38:O44" si="5">+C38*K$28</f>
        <v>2000</v>
      </c>
      <c r="L38" s="24">
        <f t="shared" si="5"/>
        <v>1500</v>
      </c>
      <c r="M38" s="24">
        <f t="shared" si="5"/>
        <v>1440</v>
      </c>
      <c r="N38" s="24">
        <f t="shared" si="5"/>
        <v>0</v>
      </c>
      <c r="O38" s="24">
        <f t="shared" si="5"/>
        <v>1680</v>
      </c>
      <c r="P38" s="1" t="s">
        <v>5</v>
      </c>
      <c r="Q38" s="14">
        <f t="shared" ref="Q38:Q44" si="6">+SUM(K38:O38)</f>
        <v>6620</v>
      </c>
      <c r="R38" s="14" t="str">
        <f t="shared" ref="R38:R44" si="7">+IF(Q38&gt;S38,"&gt;","&lt;")</f>
        <v>&gt;</v>
      </c>
      <c r="S38" s="14">
        <f>+$L$11</f>
        <v>4031.9999999999991</v>
      </c>
      <c r="U38" s="53">
        <f t="shared" ref="U38:U44" si="8">+Q38/S38</f>
        <v>1.6418650793650797</v>
      </c>
    </row>
    <row r="39" spans="2:21" ht="15" thickBot="1" x14ac:dyDescent="0.4">
      <c r="B39" s="192" t="s">
        <v>31</v>
      </c>
      <c r="C39" s="25">
        <v>5</v>
      </c>
      <c r="D39" s="25">
        <v>8</v>
      </c>
      <c r="E39" s="25">
        <v>10</v>
      </c>
      <c r="F39" s="25">
        <v>8</v>
      </c>
      <c r="G39" s="25">
        <v>12</v>
      </c>
      <c r="H39" s="25">
        <v>2</v>
      </c>
      <c r="J39" s="214" t="s">
        <v>31</v>
      </c>
      <c r="K39" s="24">
        <f t="shared" si="5"/>
        <v>1000</v>
      </c>
      <c r="L39" s="24">
        <f t="shared" si="5"/>
        <v>800</v>
      </c>
      <c r="M39" s="24">
        <f t="shared" si="5"/>
        <v>1800</v>
      </c>
      <c r="N39" s="24">
        <f t="shared" si="5"/>
        <v>0</v>
      </c>
      <c r="O39" s="24">
        <f t="shared" si="5"/>
        <v>1440</v>
      </c>
      <c r="P39" s="1" t="s">
        <v>5</v>
      </c>
      <c r="Q39" s="14">
        <f t="shared" si="6"/>
        <v>5040</v>
      </c>
      <c r="R39" s="14" t="str">
        <f t="shared" si="7"/>
        <v>&gt;</v>
      </c>
      <c r="S39" s="14">
        <f>+$L$11</f>
        <v>4031.9999999999991</v>
      </c>
      <c r="U39" s="53">
        <f t="shared" si="8"/>
        <v>1.2500000000000002</v>
      </c>
    </row>
    <row r="40" spans="2:21" ht="15" thickBot="1" x14ac:dyDescent="0.4">
      <c r="B40" s="192" t="s">
        <v>28</v>
      </c>
      <c r="C40" s="25">
        <v>20</v>
      </c>
      <c r="D40" s="25">
        <v>7</v>
      </c>
      <c r="E40" s="25">
        <v>10</v>
      </c>
      <c r="F40" s="25">
        <v>15</v>
      </c>
      <c r="G40" s="25">
        <v>5</v>
      </c>
      <c r="H40" s="25">
        <v>4</v>
      </c>
      <c r="J40" s="214" t="s">
        <v>28</v>
      </c>
      <c r="K40" s="24">
        <f t="shared" si="5"/>
        <v>4000</v>
      </c>
      <c r="L40" s="24">
        <f t="shared" si="5"/>
        <v>700</v>
      </c>
      <c r="M40" s="24">
        <f t="shared" si="5"/>
        <v>1800</v>
      </c>
      <c r="N40" s="24">
        <f t="shared" si="5"/>
        <v>0</v>
      </c>
      <c r="O40" s="24">
        <f t="shared" si="5"/>
        <v>600</v>
      </c>
      <c r="P40" s="1" t="s">
        <v>5</v>
      </c>
      <c r="Q40" s="14">
        <f t="shared" si="6"/>
        <v>7100</v>
      </c>
      <c r="R40" s="14" t="str">
        <f t="shared" si="7"/>
        <v>&gt;</v>
      </c>
      <c r="S40" s="14">
        <f>+$L$11</f>
        <v>4031.9999999999991</v>
      </c>
      <c r="U40" s="53">
        <f t="shared" si="8"/>
        <v>1.7609126984126988</v>
      </c>
    </row>
    <row r="41" spans="2:21" ht="15" thickBot="1" x14ac:dyDescent="0.4">
      <c r="B41" s="192" t="s">
        <v>26</v>
      </c>
      <c r="C41" s="25">
        <v>7</v>
      </c>
      <c r="D41" s="25">
        <v>15</v>
      </c>
      <c r="E41" s="25">
        <v>20</v>
      </c>
      <c r="F41" s="25">
        <v>12</v>
      </c>
      <c r="G41" s="25">
        <v>6</v>
      </c>
      <c r="H41" s="25">
        <v>3</v>
      </c>
      <c r="J41" s="214" t="s">
        <v>26</v>
      </c>
      <c r="K41" s="24">
        <f t="shared" si="5"/>
        <v>1400</v>
      </c>
      <c r="L41" s="24">
        <f t="shared" si="5"/>
        <v>1500</v>
      </c>
      <c r="M41" s="24">
        <f t="shared" si="5"/>
        <v>3600</v>
      </c>
      <c r="N41" s="24">
        <f t="shared" si="5"/>
        <v>0</v>
      </c>
      <c r="O41" s="24">
        <f t="shared" si="5"/>
        <v>720</v>
      </c>
      <c r="P41" s="1" t="s">
        <v>5</v>
      </c>
      <c r="Q41" s="14">
        <f t="shared" si="6"/>
        <v>7220</v>
      </c>
      <c r="R41" s="14" t="str">
        <f t="shared" si="7"/>
        <v>&gt;</v>
      </c>
      <c r="S41" s="14">
        <f>+$L$11</f>
        <v>4031.9999999999991</v>
      </c>
      <c r="U41" s="53">
        <f t="shared" si="8"/>
        <v>1.7906746031746035</v>
      </c>
    </row>
    <row r="42" spans="2:21" ht="15" thickBot="1" x14ac:dyDescent="0.4">
      <c r="B42" s="192" t="s">
        <v>24</v>
      </c>
      <c r="C42" s="25">
        <v>12</v>
      </c>
      <c r="D42" s="25">
        <v>8</v>
      </c>
      <c r="E42" s="25">
        <v>5</v>
      </c>
      <c r="F42" s="25">
        <v>7</v>
      </c>
      <c r="G42" s="25">
        <v>12</v>
      </c>
      <c r="H42" s="25">
        <v>2</v>
      </c>
      <c r="J42" s="214" t="s">
        <v>24</v>
      </c>
      <c r="K42" s="24">
        <f t="shared" si="5"/>
        <v>2400</v>
      </c>
      <c r="L42" s="24">
        <f t="shared" si="5"/>
        <v>800</v>
      </c>
      <c r="M42" s="24">
        <f t="shared" si="5"/>
        <v>900</v>
      </c>
      <c r="N42" s="24">
        <f t="shared" si="5"/>
        <v>0</v>
      </c>
      <c r="O42" s="24">
        <f t="shared" si="5"/>
        <v>1440</v>
      </c>
      <c r="P42" s="1" t="s">
        <v>5</v>
      </c>
      <c r="Q42" s="14">
        <f t="shared" si="6"/>
        <v>5540</v>
      </c>
      <c r="R42" s="14" t="str">
        <f t="shared" si="7"/>
        <v>&gt;</v>
      </c>
      <c r="S42" s="14">
        <f>+$L$11</f>
        <v>4031.9999999999991</v>
      </c>
      <c r="U42" s="53">
        <f t="shared" si="8"/>
        <v>1.3740079365079367</v>
      </c>
    </row>
    <row r="43" spans="2:21" ht="15" thickBot="1" x14ac:dyDescent="0.4">
      <c r="B43" s="192" t="s">
        <v>22</v>
      </c>
      <c r="C43" s="25">
        <f>+(C9*$H43)/$I43</f>
        <v>10</v>
      </c>
      <c r="D43" s="25">
        <f>+(D9*$H43)/$I43</f>
        <v>2</v>
      </c>
      <c r="E43" s="25">
        <f>+(E9*$H43)/$I43</f>
        <v>6</v>
      </c>
      <c r="F43" s="25">
        <f>+(F9*$H43)/$I43</f>
        <v>9</v>
      </c>
      <c r="G43" s="25">
        <f>+(G9*$H43)/$I43</f>
        <v>5</v>
      </c>
      <c r="H43" s="25">
        <v>4</v>
      </c>
      <c r="I43" s="1">
        <v>8</v>
      </c>
      <c r="J43" s="214" t="s">
        <v>22</v>
      </c>
      <c r="K43" s="24">
        <f t="shared" si="5"/>
        <v>2000</v>
      </c>
      <c r="L43" s="24">
        <f t="shared" si="5"/>
        <v>200</v>
      </c>
      <c r="M43" s="24">
        <f t="shared" si="5"/>
        <v>1080</v>
      </c>
      <c r="N43" s="24">
        <f t="shared" si="5"/>
        <v>0</v>
      </c>
      <c r="O43" s="24">
        <f t="shared" si="5"/>
        <v>600</v>
      </c>
      <c r="P43" s="1" t="s">
        <v>5</v>
      </c>
      <c r="Q43" s="14">
        <f t="shared" si="6"/>
        <v>3880</v>
      </c>
      <c r="R43" s="14" t="str">
        <f t="shared" si="7"/>
        <v>&lt;</v>
      </c>
      <c r="S43" s="14">
        <f>+$L$11+(60*T26)</f>
        <v>4031.9999999999991</v>
      </c>
      <c r="U43" s="216">
        <f t="shared" si="8"/>
        <v>0.96230158730158755</v>
      </c>
    </row>
    <row r="44" spans="2:21" ht="15" thickBot="1" x14ac:dyDescent="0.4">
      <c r="B44" s="192" t="s">
        <v>0</v>
      </c>
      <c r="C44" s="25">
        <v>0</v>
      </c>
      <c r="D44" s="25">
        <v>25</v>
      </c>
      <c r="E44" s="25">
        <v>21</v>
      </c>
      <c r="F44" s="25">
        <v>0</v>
      </c>
      <c r="G44" s="25">
        <v>22</v>
      </c>
      <c r="H44" s="25">
        <v>2</v>
      </c>
      <c r="J44" s="215" t="s">
        <v>0</v>
      </c>
      <c r="K44" s="24">
        <f t="shared" si="5"/>
        <v>0</v>
      </c>
      <c r="L44" s="24">
        <f t="shared" si="5"/>
        <v>2500</v>
      </c>
      <c r="M44" s="24">
        <f t="shared" si="5"/>
        <v>3780</v>
      </c>
      <c r="N44" s="24">
        <f t="shared" si="5"/>
        <v>0</v>
      </c>
      <c r="O44" s="24">
        <f t="shared" si="5"/>
        <v>2640</v>
      </c>
      <c r="P44" s="1" t="s">
        <v>5</v>
      </c>
      <c r="Q44" s="14">
        <f t="shared" si="6"/>
        <v>8920</v>
      </c>
      <c r="R44" s="14" t="str">
        <f t="shared" si="7"/>
        <v>&gt;</v>
      </c>
      <c r="S44" s="14">
        <f>+$L$11</f>
        <v>4031.9999999999991</v>
      </c>
      <c r="U44" s="53">
        <f t="shared" si="8"/>
        <v>2.2123015873015879</v>
      </c>
    </row>
  </sheetData>
  <mergeCells count="11">
    <mergeCell ref="S1:W7"/>
    <mergeCell ref="C36:G36"/>
    <mergeCell ref="B34:H34"/>
    <mergeCell ref="R27:R28"/>
    <mergeCell ref="C2:G2"/>
    <mergeCell ref="J8:K8"/>
    <mergeCell ref="J10:K11"/>
    <mergeCell ref="N10:N11"/>
    <mergeCell ref="J23:O23"/>
    <mergeCell ref="B14:H15"/>
    <mergeCell ref="B25:H26"/>
  </mergeCells>
  <conditionalFormatting sqref="Q15:Q21">
    <cfRule type="cellIs" dxfId="1" priority="2" operator="greaterThan">
      <formula>S15</formula>
    </cfRule>
  </conditionalFormatting>
  <conditionalFormatting sqref="Q38:Q44">
    <cfRule type="cellIs" dxfId="0" priority="1" operator="greaterThan">
      <formula>S38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maquina</vt:lpstr>
      <vt:lpstr>subcontratatcion</vt:lpstr>
      <vt:lpstr>Modo Facil</vt:lpstr>
      <vt:lpstr>horas extra</vt:lpstr>
      <vt:lpstr>Modo Legendario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</dc:creator>
  <cp:lastModifiedBy>Marie</cp:lastModifiedBy>
  <dcterms:created xsi:type="dcterms:W3CDTF">2020-08-21T22:49:40Z</dcterms:created>
  <dcterms:modified xsi:type="dcterms:W3CDTF">2020-08-23T02:04:20Z</dcterms:modified>
</cp:coreProperties>
</file>